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Menu" sheetId="1" r:id="rId5"/>
    <sheet state="visible" name="CMU System Doctor" sheetId="2" r:id="rId6"/>
    <sheet state="visible" name="Setup Check" sheetId="3" r:id="rId7"/>
    <sheet state="visible" name="User Manual" sheetId="4" r:id="rId8"/>
    <sheet state="visible" name="Dashboard" sheetId="5" r:id="rId9"/>
    <sheet state="visible" name="Company Form" sheetId="6" r:id="rId10"/>
    <sheet state="visible" name="Licence Form" sheetId="7" r:id="rId11"/>
    <sheet state="visible" name="Clearance Form" sheetId="8" r:id="rId12"/>
    <sheet state="visible" name="Bill Form" sheetId="9" r:id="rId13"/>
    <sheet state="visible" name="Payment Form" sheetId="10" r:id="rId14"/>
    <sheet state="visible" name="Print CRL" sheetId="11" r:id="rId15"/>
    <sheet state="visible" name="Print CIL" sheetId="12" r:id="rId16"/>
    <sheet state="visible" name="Print EDL" sheetId="13" r:id="rId17"/>
    <sheet state="visible" name="Print EDL RP" sheetId="14" r:id="rId18"/>
    <sheet state="visible" name="Print Clearance" sheetId="15" r:id="rId19"/>
    <sheet state="visible" name="Print Bill" sheetId="16" r:id="rId20"/>
    <sheet state="visible" name="Companies" sheetId="17" r:id="rId21"/>
    <sheet state="visible" name="Licences &amp; Certificates" sheetId="18" r:id="rId22"/>
    <sheet state="visible" name="Licence Chemicals" sheetId="19" r:id="rId23"/>
    <sheet state="visible" name="Licence Vehicles" sheetId="20" r:id="rId24"/>
    <sheet state="visible" name="Licence Effluent" sheetId="21" r:id="rId25"/>
    <sheet state="visible" name="Chemical Clearances" sheetId="22" r:id="rId26"/>
    <sheet state="visible" name="Bills &amp; Invoices" sheetId="23" r:id="rId27"/>
    <sheet state="visible" name="Payments &amp; Receipts" sheetId="24" r:id="rId28"/>
    <sheet state="visible" name="Notes &amp; Issues" sheetId="25" r:id="rId29"/>
    <sheet state="visible" name="Fee Schedule" sheetId="26" r:id="rId30"/>
    <sheet state="visible" name="Lists" sheetId="27" r:id="rId31"/>
    <sheet state="visible" name="Macro Setup" sheetId="28" r:id="rId32"/>
    <sheet state="hidden" name="Users" sheetId="29" r:id="rId33"/>
    <sheet state="visible" name="SRC BMMC Log" sheetId="30" r:id="rId34"/>
    <sheet state="visible" name="SRC CMU Receipts" sheetId="31" r:id="rId35"/>
  </sheets>
  <definedNames>
    <definedName name="lstParameter">Lists!$AM$5:$AM$37</definedName>
    <definedName name="lstSector">Lists!$I$5:$I$27</definedName>
    <definedName name="lstService">'Fee Schedule'!$A$6:$A$16</definedName>
    <definedName name="setLetterhead_1">Lists!$P$13</definedName>
    <definedName name="lstUnit">Lists!$E$5:$E$8</definedName>
    <definedName name="T_tblLicenceEffluent">'Licence Effluent'!$A$5:$L$6</definedName>
    <definedName name="T_tSignatory">Lists!$T$5:$V$7</definedName>
    <definedName name="T_tOffice">Lists!$AF$5:$AI$7</definedName>
    <definedName name="lstClrNo">Lists!$R$5:$R$404</definedName>
    <definedName name="lstChemical">Lists!$G$5:$G$56</definedName>
    <definedName name="lstLicCategory">Lists!$A$5:$A$10</definedName>
    <definedName name="T_tSector">Lists!$I$5:$I$27</definedName>
    <definedName name="T_tblIssues">'Notes &amp; Issues'!$A$5:$G$26</definedName>
    <definedName name="lstBillNo">Lists!$X$5:$X$404</definedName>
    <definedName name="T_tblCorrespondence">'Notes &amp; Issues'!$A$31:$I$31</definedName>
    <definedName name="lstServiceForBill">Lists!$AK$5:$AK$40</definedName>
    <definedName name="lstSchedule">Lists!$AQ$5:$AQ$10</definedName>
    <definedName name="T_tblServices">'Fee Schedule'!$A$6:$D$16</definedName>
    <definedName name="setAcctTitle">Lists!$P$11</definedName>
    <definedName name="setLetterhead_3">Lists!$P$15</definedName>
    <definedName name="T_tblBills">'Bills &amp; Invoices'!$A$5:$V$32</definedName>
    <definedName name="setAcctNo">Lists!$P$10</definedName>
    <definedName name="T_tChemical">Lists!$G$5:$G$56</definedName>
    <definedName name="setLetterhead_5">Lists!$P$17</definedName>
    <definedName name="lstCompanyID">Companies!$A$5:$A$74</definedName>
    <definedName name="setSigBillTitle">Lists!$P$8</definedName>
    <definedName name="lstRecordGroup">Lists!$M$5:$M$8</definedName>
    <definedName name="setSigLicTitle">Lists!$P$6</definedName>
    <definedName name="lstBillType">'Fee Schedule'!$A$20:$A$26</definedName>
    <definedName name="T_tRecordGroup">Lists!$M$5:$M$8</definedName>
    <definedName name="lstLicType">Lists!$C$5:$C$12</definedName>
    <definedName name="lstEffUnit">Lists!$AO$5:$AO$13</definedName>
    <definedName name="setSigClrName">Lists!$P$18</definedName>
    <definedName name="setSigBillName">Lists!$P$7</definedName>
    <definedName name="lstLicID">'Licences &amp; Certificates'!$A$5:$A$73</definedName>
    <definedName name="T_tblClearances">'Chemical Clearances'!$A$5:$Q$169</definedName>
    <definedName name="T_tLicType">Lists!$C$5:$C$12</definedName>
    <definedName name="lstPurpose">Lists!$K$5:$K$18</definedName>
    <definedName name="setBank">Lists!$P$9</definedName>
    <definedName name="T_tEffUnit">Lists!$AO$5:$AO$13</definedName>
    <definedName name="setSigClrTitle">Lists!$P$19</definedName>
    <definedName name="setLetterhead_2">Lists!$P$14</definedName>
    <definedName name="T_tblLicenceVehicles">'Licence Vehicles'!$A$5:$F$67</definedName>
    <definedName name="lstCompanyName">Companies!$B$5:$B$74</definedName>
    <definedName name="T_tblCompanies">Companies!$A$5:$J$74</definedName>
    <definedName name="T_tblPayments">'Payments &amp; Receipts'!$A$5:$L$58</definedName>
    <definedName name="setSigLicName">Lists!$P$5</definedName>
    <definedName name="lstBillPick">Lists!$Y$5:$Y$404</definedName>
    <definedName name="lstBillID">'Bills &amp; Invoices'!$A$5:$A$32</definedName>
    <definedName name="T_tParameter">Lists!$AM$5:$AM$37</definedName>
    <definedName name="T_tblLicenceChemicals">'Licence Chemicals'!$A$5:$I$167</definedName>
    <definedName name="T_tUnit">Lists!$E$5:$E$8</definedName>
    <definedName name="lstSignatory">Lists!$T$5:$T$7</definedName>
    <definedName name="T_tPurpose">Lists!$K$5:$K$18</definedName>
    <definedName name="T_tblUsers">Users!$A$4:$H$5</definedName>
    <definedName name="T_tblLicences">'Licences &amp; Certificates'!$A$5:$Q$73</definedName>
    <definedName name="T_tSchedule">Lists!$AQ$5:$AQ$10</definedName>
    <definedName name="T_tLicCategory">Lists!$A$5:$A$10</definedName>
    <definedName name="T_tblBillTypes">'Fee Schedule'!$A$20:$G$26</definedName>
    <definedName name="setLetterhead_4">Lists!$P$16</definedName>
    <definedName name="setPayDeadline">Lists!$P$12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tc={dcfc6420-7bd0-4044-a9b9-d25afcf3e5eb}</author>
  </authors>
  <commentList>
    <comment authorId="0" xr:uid="{dcfc6420-7bd0-4044-a9b9-d25afcf3e5eb}" ref="A4">
      <text>
        <t xml:space="preserve">[Threaded comment]
 Your version of Excel allows you to read this threaded comment; however, any edits to it will get removed if the file is opened in a newer version of Excel. Learn more: https://go.microsoft.com/fwlink/?linkid=870924
Comment:
	Source: 2026 CHEMICAL MANAGEMENT UNIT DATABASE.xlsx (all tabs), uploaded 24-Sep-2026, plus Sheet1 &amp; Sheet2 of this workbook. Uploaded file. Names standardised; original spellings in 'Other Names Recorded'.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tc={07e7b3ab-0e22-4574-a2df-9ad4cee79381}</author>
  </authors>
  <commentList>
    <comment authorId="0" xr:uid="{07e7b3ab-0e22-4574-a2df-9ad4cee79381}" ref="A4">
      <text>
        <t xml:space="preserve">[Threaded comment]
 Your version of Excel allows you to read this threaded comment; however, any edits to it will get removed if the file is opened in a newer version of Excel. Learn more: https://go.microsoft.com/fwlink/?linkid=870924
Comment:
	Source: 2026 CHEMICAL MANAGEMENT UNIT DATABASE.xlsx – Chem. Reg. &amp; Imp Licenses 2026, Effluent Discharge License 2026, 2026 fumigation responses, Dangerous Goods Transport, TRANSPORTATION tabs; uploaded 24-Sep-2026. Uploaded file. 2025 records excluded.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tc={a80e9281-214b-4326-b352-62d1869a68fd}</author>
  </authors>
  <commentList>
    <comment authorId="0" xr:uid="{a80e9281-214b-4326-b352-62d1869a68fd}" ref="A4">
      <text>
        <t xml:space="preserve">[Threaded comment]
 Your version of Excel allows you to read this threaded comment; however, any edits to it will get removed if the file is opened in a newer version of Excel. Learn more: https://go.microsoft.com/fwlink/?linkid=870924
Comment:
	Source: CHEMICAL IMPORTATION LICENSES.pdf, uploaded 26-Sep-2026 (31 scanned pages read by OCR). Uploaded file. Unclear names/quantities are flagged in Notes &amp; Issues.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tc={e5ae27a6-626f-4944-9dd5-cdf0c3f4cc82}</author>
  </authors>
  <commentList>
    <comment authorId="0" xr:uid="{e5ae27a6-626f-4944-9dd5-cdf0c3f4cc82}" ref="A4">
      <text>
        <t xml:space="preserve">[Threaded comment]
 Your version of Excel allows you to read this threaded comment; however, any edits to it will get removed if the file is opened in a newer version of Excel. Learn more: https://go.microsoft.com/fwlink/?linkid=870924
Comment:
	Source: Chemical Transport Licenses.pdf, uploaded 26-Sep-2026 (12 scanned pages read by OCR). Uploaded file. Unclear registrations flagged in Notes &amp; Issues.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tc={2d46d7a4-8f7b-4a10-847e-ac6a5c6fe52a}</author>
  </authors>
  <commentList>
    <comment authorId="0" xr:uid="{2d46d7a4-8f7b-4a10-847e-ac6a5c6fe52a}" ref="A4">
      <text>
        <t xml:space="preserve">[Threaded comment]
 Your version of Excel allows you to read this threaded comment; however, any edits to it will get removed if the file is opened in a newer version of Excel. Learn more: https://go.microsoft.com/fwlink/?linkid=870924
Comment:
	Source: Sheet1 (BMMC Clearance Log, linked live) + 2026 CHEMICAL MANAGEMENT UNIT DATABASE.xlsx – BMMC Clearances 2026 &amp; Other Chemical Clearances 2026 tabs; uploaded 24-Sep-2026. Uploaded file. 2025 records excluded.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tc={28d44603-49db-4dc5-8f4f-bd5e0908900f}</author>
  </authors>
  <commentList>
    <comment authorId="0" xr:uid="{28d44603-49db-4dc5-8f4f-bd5e0908900f}" ref="A4">
      <text>
        <t xml:space="preserve">[Threaded comment]
 Your version of Excel allows you to read this threaded comment; however, any edits to it will get removed if the file is opened in a newer version of Excel. Learn more: https://go.microsoft.com/fwlink/?linkid=870924
Comment:
	Source: 2026 CHEMICAL MANAGEMENT UNIT DATABASE.xlsx – BILLS tab, uploaded 24-Sep-2026. Uploaded file. 2025 bills excluded.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tc={e4bc1b4c-6806-404a-bf06-f0bbc7f3b289}</author>
  </authors>
  <commentList>
    <comment authorId="0" xr:uid="{e4bc1b4c-6806-404a-bf06-f0bbc7f3b289}" ref="A4">
      <text>
        <t xml:space="preserve">[Threaded comment]
 Your version of Excel allows you to read this threaded comment; however, any edits to it will get removed if the file is opened in a newer version of Excel. Learn more: https://go.microsoft.com/fwlink/?linkid=870924
Comment:
	Source: Sheet2 (CMU Companies Audit Record, linked live) + 2026 CHEMICAL MANAGEMENT UNIT DATABASE.xlsx – RECEIPTS tab; uploaded 24-Sep-2026. Uploaded file. 2025 records excluded.
</t>
      </text>
    </comment>
  </commentList>
</comments>
</file>

<file path=xl/sharedStrings.xml><?xml version="1.0" encoding="utf-8"?>
<sst xmlns="http://schemas.openxmlformats.org/spreadsheetml/2006/main" count="9311" uniqueCount="5127">
  <si>
    <t>Check</t>
  </si>
  <si>
    <t>Area</t>
  </si>
  <si>
    <t>Sheet</t>
  </si>
  <si>
    <t>Status</t>
  </si>
  <si>
    <t>Result</t>
  </si>
  <si>
    <t>Details</t>
  </si>
  <si>
    <t>Code version</t>
  </si>
  <si>
    <t>Formulas</t>
  </si>
  <si>
    <t>Login</t>
  </si>
  <si>
    <t>2026.09.30-UI</t>
  </si>
  <si>
    <t>OK</t>
  </si>
  <si>
    <t>Main Menu</t>
  </si>
  <si>
    <t>Current Apps Script upgrade version</t>
  </si>
  <si>
    <t>User Manual</t>
  </si>
  <si>
    <t>No-login mode</t>
  </si>
  <si>
    <t>Dashboard</t>
  </si>
  <si>
    <t>ON / AVAILABLE</t>
  </si>
  <si>
    <t>Company Form</t>
  </si>
  <si>
    <t>Security is controlled by Google Sheet sharing if no-login is active.</t>
  </si>
  <si>
    <t>Licence Form</t>
  </si>
  <si>
    <t>Sheets</t>
  </si>
  <si>
    <t>CHECK</t>
  </si>
  <si>
    <t>Missing: Login</t>
  </si>
  <si>
    <t>Clearance Form</t>
  </si>
  <si>
    <t>Named table ranges</t>
  </si>
  <si>
    <t>Bill Form</t>
  </si>
  <si>
    <t>All table ranges found</t>
  </si>
  <si>
    <t>Formula errors</t>
  </si>
  <si>
    <t>Payment Form</t>
  </si>
  <si>
    <t>3 formula error(s) found</t>
  </si>
  <si>
    <t>Print CRL</t>
  </si>
  <si>
    <t>Print CIL</t>
  </si>
  <si>
    <t>Print EDL</t>
  </si>
  <si>
    <t>Print EDL RP</t>
  </si>
  <si>
    <t>EPA LIBERIA – ERRS | CHEMICAL MANAGEMENT UNIT (CMU) DATABASE 2026</t>
  </si>
  <si>
    <t>3 error(s)</t>
  </si>
  <si>
    <t>C82 #N/A, C97 #N/A, C112 #N/A</t>
  </si>
  <si>
    <t>Print Clearance</t>
  </si>
  <si>
    <t>Print Bill</t>
  </si>
  <si>
    <t>Companies</t>
  </si>
  <si>
    <t>Licences &amp; Certificates</t>
  </si>
  <si>
    <t>Licence Chemicals</t>
  </si>
  <si>
    <t>Licence Vehicles</t>
  </si>
  <si>
    <t>Licence Effluent</t>
  </si>
  <si>
    <t>Chemical Clearances</t>
  </si>
  <si>
    <t>Bills &amp; Invoices</t>
  </si>
  <si>
    <t>Payments &amp; Receipts</t>
  </si>
  <si>
    <t>Notes &amp; Issues</t>
  </si>
  <si>
    <t>Fee Schedule</t>
  </si>
  <si>
    <t>Lists</t>
  </si>
  <si>
    <t>Macro Setup</t>
  </si>
  <si>
    <t>Users</t>
  </si>
  <si>
    <t>SRC BMMC Log</t>
  </si>
  <si>
    <t>SRC CMU Receipts</t>
  </si>
  <si>
    <t>Buttons</t>
  </si>
  <si>
    <t>OK (1)</t>
  </si>
  <si>
    <t>OK (30)</t>
  </si>
  <si>
    <t>OK (7)</t>
  </si>
  <si>
    <t>OK (9)</t>
  </si>
  <si>
    <t>Main Menu – click a button to open a form or register. Buttons run the Apps Script (menu: CMU Database). First time: CMU Database ▸ Setup ▸ Rebuild Everything.</t>
  </si>
  <si>
    <t>OK (8)</t>
  </si>
  <si>
    <t>OK (6)</t>
  </si>
  <si>
    <t>OK (5)</t>
  </si>
  <si>
    <t>Drop-down</t>
  </si>
  <si>
    <t>OK (23 items)</t>
  </si>
  <si>
    <t>C7 ← Lists!I5:I27</t>
  </si>
  <si>
    <t>OK (70 items)</t>
  </si>
  <si>
    <t>C6 ← Companies!B5:B74</t>
  </si>
  <si>
    <t>OK (6 items)</t>
  </si>
  <si>
    <t>C7 ← Lists!A5:A10</t>
  </si>
  <si>
    <t>OK (8 items)</t>
  </si>
  <si>
    <t>C8 ← Lists!C5:C12</t>
  </si>
  <si>
    <t>OK (52 items)</t>
  </si>
  <si>
    <t>C20:C34 ← Lists!G5:G56</t>
  </si>
  <si>
    <t>OK (4 items)</t>
  </si>
  <si>
    <t>G20:G34 ← Lists!E5:E8</t>
  </si>
  <si>
    <t>OK (33 items)</t>
  </si>
  <si>
    <t>C45:C64 ← Lists!AM5:AM37</t>
  </si>
  <si>
    <t>OK (9 items)</t>
  </si>
  <si>
    <t>D45:D64 ← Lists!AO5:AO13</t>
  </si>
  <si>
    <t>G45:G64 ← Lists!AQ5:AQ10</t>
  </si>
  <si>
    <t>D13:D32 ← Lists!G5:G56</t>
  </si>
  <si>
    <t>F13:F32 ← Lists!E5:E8</t>
  </si>
  <si>
    <t>CMU DATABASE  –  USER MANUAL</t>
  </si>
  <si>
    <t>C13 ← Lists!I5:I27</t>
  </si>
  <si>
    <t>OK (7 items)</t>
  </si>
  <si>
    <t>C8 ← Fee Schedule!A20:A26</t>
  </si>
  <si>
    <t>OK (1 items)</t>
  </si>
  <si>
    <t>C17:C26 ← Lists!AK5:AK40</t>
  </si>
  <si>
    <t>OK (14 items)</t>
  </si>
  <si>
    <t>C7 ← Lists!K5:K18</t>
  </si>
  <si>
    <t>OK (20 items)</t>
  </si>
  <si>
    <t>C12 ← Lists!X5:X404</t>
  </si>
  <si>
    <t>OK (69 items)</t>
  </si>
  <si>
    <t>J4 ← Licences &amp; Certificates!A5:A73</t>
  </si>
  <si>
    <t>OK (3 items)</t>
  </si>
  <si>
    <t>J13 ← Lists!T5:T7</t>
  </si>
  <si>
    <t>EPA Liberia  ·  ERRS  ·  Chemical Management Unit (CMU) Database 2026  ·  Version 1.0 – 27 September 2026</t>
  </si>
  <si>
    <t>J12 ← Lists!T5:T7</t>
  </si>
  <si>
    <t>OK (147 items)</t>
  </si>
  <si>
    <t>J4 ← Lists!R5:R404</t>
  </si>
  <si>
    <t>J4 ← Lists!Y5:Y404</t>
  </si>
  <si>
    <t>J10 ← Lists!T5:T7</t>
  </si>
  <si>
    <t>B5:B73 ← Companies!A5:A74</t>
  </si>
  <si>
    <t>← Back to Main Menu</t>
  </si>
  <si>
    <t>A5:A167 ← Licences &amp; Certificates!A5:A73</t>
  </si>
  <si>
    <t>H5:H167 ← Lists!E5:E8</t>
  </si>
  <si>
    <t>A5:A67 ← Licences &amp; Certificates!A5:A73</t>
  </si>
  <si>
    <t>C5:C169 ← Companies!A5:A74</t>
  </si>
  <si>
    <t>C5:C32 ← Companies!A5:A74</t>
  </si>
  <si>
    <t>B5:B58 ← Companies!A5:A74</t>
  </si>
  <si>
    <t>Contents</t>
  </si>
  <si>
    <t>1.  About this manual</t>
  </si>
  <si>
    <t>2.  Getting started – opening and signing in</t>
  </si>
  <si>
    <t>3.  How the workbook is organised</t>
  </si>
  <si>
    <t>No-login mode: full access enabled</t>
  </si>
  <si>
    <t>ERRS – CHEMICAL MANAGEMENT UNIT (CMU) | 2026 DATABASE DASHBOARD</t>
  </si>
  <si>
    <t>4.  The Main Menu</t>
  </si>
  <si>
    <t>5.  Record numbers and cell colours</t>
  </si>
  <si>
    <t xml:space="preserve"> </t>
  </si>
  <si>
    <t>6.  Everyday tasks – step by step</t>
  </si>
  <si>
    <t>7.  The registers (database)</t>
  </si>
  <si>
    <t>📘  Open the User Manual</t>
  </si>
  <si>
    <t>8.  Dashboard</t>
  </si>
  <si>
    <t>9.  Notes &amp; Issues – the data-issue log</t>
  </si>
  <si>
    <t>QUICK FIGURES</t>
  </si>
  <si>
    <t>10.  Settings and administration</t>
  </si>
  <si>
    <t>All figures are live formulas from the registers (Companies, Licences &amp; Certificates, Chemical Clearances, Payments &amp; Receipts, Bills &amp; Invoices, Data Issues).</t>
  </si>
  <si>
    <t>11.  Source data sheets</t>
  </si>
  <si>
    <t>12.  Troubleshooting</t>
  </si>
  <si>
    <t>13.  Quick reference card</t>
  </si>
  <si>
    <t>Licences / Certs Numbered</t>
  </si>
  <si>
    <t>Licences Pending</t>
  </si>
  <si>
    <t>Clearances (No.)</t>
  </si>
  <si>
    <t>Total Cleared (MT)</t>
  </si>
  <si>
    <t>Total Billed (USD)</t>
  </si>
  <si>
    <t>Total Paid (USD)</t>
  </si>
  <si>
    <t>Open Data Issues</t>
  </si>
  <si>
    <t>Licences</t>
  </si>
  <si>
    <t>This manual explains how to use the CMU DATABASE workbook: signing in, the Main Menu, the five data-entry forms, the registers, printing licences, clearance letters and bills, and routine administration. The screenshots were taken from the live workbook on 27 September 2026, so the records shown in them will differ from what you see as new data is added.</t>
  </si>
  <si>
    <t>User</t>
  </si>
  <si>
    <t>Main tasks</t>
  </si>
  <si>
    <t>Clearances</t>
  </si>
  <si>
    <t>Sheets used most</t>
  </si>
  <si>
    <t>Data-entry officer</t>
  </si>
  <si>
    <t>Billed / Paid</t>
  </si>
  <si>
    <t>Register companies, record licences, clearances, bills and payments; print letters</t>
  </si>
  <si>
    <t>Forms, Print Centre, Find / Print a Record</t>
  </si>
  <si>
    <t>Supervisor / Unit head</t>
  </si>
  <si>
    <t>Monitor activity and outstanding bills; review data issues; approve letters</t>
  </si>
  <si>
    <t>Dashboard, Registers, Notes &amp; Issues</t>
  </si>
  <si>
    <t>Administrator</t>
  </si>
  <si>
    <t>Manage users and passwords, fees, dropdown lists and the macro code</t>
  </si>
  <si>
    <t>Users &amp; Passwords, Fee Schedule, Lists, Macro Setup</t>
  </si>
  <si>
    <t>STEP 1</t>
  </si>
  <si>
    <t>ERRS – CHEMICAL MANAGEMENT UNIT | COMPANY REGISTRATION FORM</t>
  </si>
  <si>
    <t>Open  CMU DATABASE.xlsm  in the desktop version of Microsoft Excel (Windows). Excel on the web and on phones cannot run the buttons.</t>
  </si>
  <si>
    <t>Yellow cells are inputs. * = required. To edit: type the ID in row 5 and click Find, change fields, then click Update. Leave the ID blank and click Save New for a new record.</t>
  </si>
  <si>
    <t>STEP 2</t>
  </si>
  <si>
    <t>If a yellow  SECURITY WARNING  bar appears under the ribbon, click  Enable Content.  Without this, none of the buttons work.</t>
  </si>
  <si>
    <t>FORM STATUS</t>
  </si>
  <si>
    <t>STEP 3</t>
  </si>
  <si>
    <t>The  Sign In  window opens. Type your username and password and press Enter. The first time you sign in you are asked to create your own password (at least 6 characters). After 5 wrong attempts the window closes.</t>
  </si>
  <si>
    <t>STEP 4</t>
  </si>
  <si>
    <t>The Main Menu opens. Check the top-right corner shows  ✓ Macros up to date  and  Signed in: &lt;your name&gt;.</t>
  </si>
  <si>
    <t>MONTHLY ACTIVITY 2026</t>
  </si>
  <si>
    <t>STEP 5</t>
  </si>
  <si>
    <t>When you finish, click  Log Out  on the Main Menu, then save the file with Ctrl + S. Always keep the file as  .xlsm  (macro-enabled).</t>
  </si>
  <si>
    <t>LICENCES &amp; CERTIFICATES BY CATEGORY</t>
  </si>
  <si>
    <t>Month</t>
  </si>
  <si>
    <t>⚠  IMPORTANT:  If the corner says  'Old macros'  or the buttons do nothing, see Section 12 – Troubleshooting.</t>
  </si>
  <si>
    <t>Company ID</t>
  </si>
  <si>
    <t>Cleared (MT)</t>
  </si>
  <si>
    <t>Payments (No.)</t>
  </si>
  <si>
    <t>Amount Paid (USD)</t>
  </si>
  <si>
    <t>Amount Billed (USD)</t>
  </si>
  <si>
    <t>Licences Issued</t>
  </si>
  <si>
    <t>Licence Category</t>
  </si>
  <si>
    <t>Total</t>
  </si>
  <si>
    <t>Active</t>
  </si>
  <si>
    <t>Issued – expiry not recorded</t>
  </si>
  <si>
    <t>Pending – no licence no.</t>
  </si>
  <si>
    <t>OUTSTANDING BILLS (Unpaid / Part paid)</t>
  </si>
  <si>
    <t>Every sheet belongs to one of five groups. The groups use the same colours as the Main Menu buttons, so you can always tell what kind of sheet you are on.</t>
  </si>
  <si>
    <t>Colour</t>
  </si>
  <si>
    <t>Group</t>
  </si>
  <si>
    <t>What you do there</t>
  </si>
  <si>
    <t>Data-entry forms</t>
  </si>
  <si>
    <t>Company Form, Licence Form, Clearance Form, Bill Form, Payment Form</t>
  </si>
  <si>
    <t>Add, find, update or delete records</t>
  </si>
  <si>
    <t>Registers (database)</t>
  </si>
  <si>
    <t>Companies, Licences &amp; Certificates, Licence Chemicals, Licence Vehicles, Licence Effluent, Chemical Clearances, Bills &amp; Invoices, Payments &amp; Receipts, Notes &amp; Issues</t>
  </si>
  <si>
    <t>Where every saved record is stored – view, filter and sort</t>
  </si>
  <si>
    <t>Print Centre</t>
  </si>
  <si>
    <t>Print CRL, Print CIL, Print EDL, Print EDL RP, Print Clearance, Print Bill</t>
  </si>
  <si>
    <t>Produce official licences and letters (print, PDF or Word)</t>
  </si>
  <si>
    <t>Reports &amp; settings</t>
  </si>
  <si>
    <t>Dashboard, Fee Schedule, Lists, Macro Setup, User Manual</t>
  </si>
  <si>
    <t>Summaries, fees, dropdown values, macro code, this manual</t>
  </si>
  <si>
    <t>Source data</t>
  </si>
  <si>
    <t>SRC BMMC Log, SRC CMU Receipts</t>
  </si>
  <si>
    <t>Original logs kept for reference – do not edit</t>
  </si>
  <si>
    <t>A typical case moves through the workbook from left to right, as shown in Figure 1. Every record carries the Company ID, which keeps all the registers linked together.</t>
  </si>
  <si>
    <t>Company Name *</t>
  </si>
  <si>
    <t>Figure 1 – The life of a case: from company registration to the printed letter</t>
  </si>
  <si>
    <t>Sector / Activity</t>
  </si>
  <si>
    <t>The Main Menu is the home screen. Every button opens a form, a register, a print page or a pop-up window. The numbered markers on Figure 2 match the table below it.</t>
  </si>
  <si>
    <t>Choose from list (add new sectors on the Lists sheet)</t>
  </si>
  <si>
    <t>Location</t>
  </si>
  <si>
    <t>Street / town, county</t>
  </si>
  <si>
    <t>Other Names Recorded</t>
  </si>
  <si>
    <t>Other spellings used on documents, separated by ;</t>
  </si>
  <si>
    <t>Chemical Registration (CRL)</t>
  </si>
  <si>
    <t>Figure 2 – The Main Menu with its nine areas numbered</t>
  </si>
  <si>
    <t>No.</t>
  </si>
  <si>
    <t>What it does</t>
  </si>
  <si>
    <t>Bill No.</t>
  </si>
  <si>
    <t>Shows whether the installed macros are current and who is signed in</t>
  </si>
  <si>
    <t>Company</t>
  </si>
  <si>
    <t>Bill Date</t>
  </si>
  <si>
    <t>Billed (USD)</t>
  </si>
  <si>
    <t>Paid on bill</t>
  </si>
  <si>
    <t>Quick Actions</t>
  </si>
  <si>
    <t>Create New Bill (step-by-step pop-up) and Find / Print a Record (searches every register)</t>
  </si>
  <si>
    <t>Data Entry Forms</t>
  </si>
  <si>
    <t>Opens the five forms: Company, Licence / Certificate, Clearance, Bill, Payment</t>
  </si>
  <si>
    <t>Registers</t>
  </si>
  <si>
    <t>Opens any register table (the database)</t>
  </si>
  <si>
    <t>Opens the print pages for CRL, CIL, EDL, EDL retention pond, clearance letter and bill letter</t>
  </si>
  <si>
    <t>Reports &amp; Settings</t>
  </si>
  <si>
    <t>Dashboard, Fee Schedule &amp; Letter Wording, Dropdown Lists, Macro Setup</t>
  </si>
  <si>
    <t>Account</t>
  </si>
  <si>
    <t>Users &amp; Passwords (Admin only), Change My Password, Log Out</t>
  </si>
  <si>
    <t>Source Data</t>
  </si>
  <si>
    <t>Original BMMC clearance log and CMU receipts</t>
  </si>
  <si>
    <t>Quick Figures</t>
  </si>
  <si>
    <t>Live totals of companies, licences, clearances and amounts billed / paid</t>
  </si>
  <si>
    <t>💡  TIP:  Every form, register and print page has a dark  Main Menu  button (top-right or in the GO TO panel) that brings you back here.</t>
  </si>
  <si>
    <t>Record numbers are issued automatically when you click Save New. Never type a new ID yourself. To change an existing record, type its ID in the ID cell (row 5 of the form) and click Find Record.</t>
  </si>
  <si>
    <t>Prefix</t>
  </si>
  <si>
    <t>Chemical Importation (CIL)</t>
  </si>
  <si>
    <t>Record</t>
  </si>
  <si>
    <t>Created by</t>
  </si>
  <si>
    <t>Example</t>
  </si>
  <si>
    <t>CMU-###</t>
  </si>
  <si>
    <t>CMU-069</t>
  </si>
  <si>
    <t>LIC-###</t>
  </si>
  <si>
    <t>Licence or certificate</t>
  </si>
  <si>
    <t>LIC-070</t>
  </si>
  <si>
    <t>CLN-###</t>
  </si>
  <si>
    <t>Clearance (one letter, up to 20 chemicals)</t>
  </si>
  <si>
    <t>CLN-147</t>
  </si>
  <si>
    <t>CLR-###</t>
  </si>
  <si>
    <t>One chemical line inside a clearance</t>
  </si>
  <si>
    <t>Clearance Form (automatic)</t>
  </si>
  <si>
    <t>CLR-165</t>
  </si>
  <si>
    <t>BN-2026-###</t>
  </si>
  <si>
    <t>Bill (one letter)</t>
  </si>
  <si>
    <t>Create New Bill / Bill Form</t>
  </si>
  <si>
    <t>BN-2026-020</t>
  </si>
  <si>
    <t>BIL-###</t>
  </si>
  <si>
    <t>One service line inside a bill</t>
  </si>
  <si>
    <t>Bill Form (automatic)</t>
  </si>
  <si>
    <t>BIL-028</t>
  </si>
  <si>
    <t>PAY-###</t>
  </si>
  <si>
    <t>Payment / receipt</t>
  </si>
  <si>
    <t>PAY-054</t>
  </si>
  <si>
    <t>ISS-###</t>
  </si>
  <si>
    <t>Data issue</t>
  </si>
  <si>
    <t>Typed on Notes &amp; Issues</t>
  </si>
  <si>
    <t>ISS-022</t>
  </si>
  <si>
    <t>What the cell colours mean</t>
  </si>
  <si>
    <t>Sample</t>
  </si>
  <si>
    <t>Meaning</t>
  </si>
  <si>
    <t>Type here</t>
  </si>
  <si>
    <t>Input cell – type a value or pick from the dropdown arrow. Labels marked * are required.</t>
  </si>
  <si>
    <t>CMU-070</t>
  </si>
  <si>
    <t>Record ID – leave blank for a new record; type an ID to find an existing one</t>
  </si>
  <si>
    <t>Guidance text</t>
  </si>
  <si>
    <t>ERRS – CHEMICAL MANAGEMENT UNIT | LICENCE &amp; CERTIFICATE FORM</t>
  </si>
  <si>
    <t>Grey italic text beside a field explains what to enter</t>
  </si>
  <si>
    <t>✓ Ready to save</t>
  </si>
  <si>
    <t>Form Status bar – ✓ green means ready; ✗ red lists what is missing</t>
  </si>
  <si>
    <t>Formula</t>
  </si>
  <si>
    <t>Calculated column in a register – filled automatically, never type over it</t>
  </si>
  <si>
    <t>6.1  Register a new company</t>
  </si>
  <si>
    <t>Figure 3 – Company Registration Form</t>
  </si>
  <si>
    <t>On the Main Menu click  Register Company.</t>
  </si>
  <si>
    <t>Leave  Company ID  blank. The grey text shows the next number (for example CMU-070).</t>
  </si>
  <si>
    <t>Type the official  Company Name  (required). Choose the  Sector / Activity,  then type the  Location  and any  Other Names  used on documents, separated by ;</t>
  </si>
  <si>
    <t>Check the Form Status bar shows ✓, then click  Save New.  The company is added to the Companies register with its new ID.</t>
  </si>
  <si>
    <t>💡  TIP:  Search first with  Find / Print a Record  to avoid registering the same company twice. The pop-up version of this form warns you when a similar name already exists.</t>
  </si>
  <si>
    <t>6.2  Record a licence or certificate</t>
  </si>
  <si>
    <t>Effluent Discharge (EDL)</t>
  </si>
  <si>
    <t>Record ID</t>
  </si>
  <si>
    <t>ERRS – CHEMICAL MANAGEMENT UNIT | CHEMICAL CLEARANCE FORM (MULTI-CHEMICAL)</t>
  </si>
  <si>
    <t>Figure 4 – Licence / Certificate Form (top part)</t>
  </si>
  <si>
    <t>One clearance = one Clearance No. (automatic) with up to 20 chemicals. Fill the details once, list the chemicals, click Save New. To edit: type the Clearance No., EPA Ref. No. or a CLR- ID in C5 and click Find.</t>
  </si>
  <si>
    <t>Click  Licence / Certificate Form.  Leave the Record ID blank for a new licence.</t>
  </si>
  <si>
    <t>Choose the  Company,  Licence Category  (CRL, CIL, EDL, Dewatering, Fumigation, Transportation…),  Type  and  Location;  enter the application and response dates.</t>
  </si>
  <si>
    <t>When the licence is issued, enter the  Licence / Certificate No.,  Date Issued  and  Expiry Date.  Without a number the licence shows as Pending.</t>
  </si>
  <si>
    <t>For CIL / CRL licences list the approved chemicals in the chemical grid; for EDL licences complete the effluent sections further down the form.</t>
  </si>
  <si>
    <t>Click  Save New.  Chemicals are saved to Licence Chemicals and effluent details to Licence Effluent automatically.</t>
  </si>
  <si>
    <t>6.3  Record a chemical clearance</t>
  </si>
  <si>
    <t>Company *</t>
  </si>
  <si>
    <t>Figure 5 – Chemical Clearance Form – A status, B letter details, C chemical lines, D record buttons, E output and navigation</t>
  </si>
  <si>
    <t>Marker</t>
  </si>
  <si>
    <t>Part of the form</t>
  </si>
  <si>
    <t>Notes</t>
  </si>
  <si>
    <t>Dewatering &amp; Sedimentation Pond</t>
  </si>
  <si>
    <t>A</t>
  </si>
  <si>
    <t>Form Status</t>
  </si>
  <si>
    <t>Shows ✓ Ready to save and the number of chemical lines, or what is missing</t>
  </si>
  <si>
    <t>B</t>
  </si>
  <si>
    <t>Letter details</t>
  </si>
  <si>
    <t>Company, clearance date, EPA ref. no. (e.g. ED/EPA-01/388/26/RL), default B/L, remarks, ETA</t>
  </si>
  <si>
    <t>C</t>
  </si>
  <si>
    <t>Chemical lines</t>
  </si>
  <si>
    <t>Licence Category *</t>
  </si>
  <si>
    <t>Up to 20 chemicals: name as written, standard name, quantity, unit, and B/L if different from the default. The total in kg and MT is shown at the bottom.</t>
  </si>
  <si>
    <t>D</t>
  </si>
  <si>
    <t>RECORD buttons</t>
  </si>
  <si>
    <t>Save New, Find Record, Update Record, Delete Record, Clear Form</t>
  </si>
  <si>
    <t>CRL / CIL / EDL / Dewatering / Fumigation / Transport</t>
  </si>
  <si>
    <t>E</t>
  </si>
  <si>
    <t>OUTPUT / GO TO</t>
  </si>
  <si>
    <t>Licence / Certificate Type *</t>
  </si>
  <si>
    <t>Open the clearance letter, create a bill, open the register or return to the Main Menu</t>
  </si>
  <si>
    <t>Choose the specific licence</t>
  </si>
  <si>
    <t>Click  Chemical Clearance Form,  then  Clear Form.</t>
  </si>
  <si>
    <t>Site address</t>
  </si>
  <si>
    <t>Application Date</t>
  </si>
  <si>
    <t>Fill the letter details (B). Pick the company from the dropdown.</t>
  </si>
  <si>
    <t>List each chemical on its own line (C). Choose the unit (kg, MT, L…) – quantities are converted to kg in the register.</t>
  </si>
  <si>
    <t>Click  Save New.  The clearance gets a CLN number and each line a CLR number.</t>
  </si>
  <si>
    <t>dd-mmm-yyyy</t>
  </si>
  <si>
    <t>Response Date</t>
  </si>
  <si>
    <t>Date EPA responded</t>
  </si>
  <si>
    <t>To print the letter click the OUTPUT button or go to Print Clearance (Section 6.7).</t>
  </si>
  <si>
    <t>Reference Code</t>
  </si>
  <si>
    <t>e.g. ED/EPA-01/075/26/RL</t>
  </si>
  <si>
    <t>Licence / Certificate No.</t>
  </si>
  <si>
    <t>6.4  Create a bill</t>
  </si>
  <si>
    <t>Date Issued</t>
  </si>
  <si>
    <t>Expiry Date</t>
  </si>
  <si>
    <t>Figure 6 – Bill / Invoice Form</t>
  </si>
  <si>
    <t>Fastest way: click  + CREATE NEW BILL  on the Main Menu. The pop-up walks you through three steps – 1) bill type, 2) company, 3) services and amounts. Suggested fees come from the Fee Schedule, the total and the amount in words update as you type, and Save stays disabled until everything required is filled. You can also fill the Bill / Invoice Form directly. Each bill gets a number BN-2026-### and prints from the Print Bill page.</t>
  </si>
  <si>
    <t>6.5  Record a payment</t>
  </si>
  <si>
    <t>Fumigation</t>
  </si>
  <si>
    <t>Remarks</t>
  </si>
  <si>
    <t>CHEMICALS ON THIS LICENCE (CRL / CIL) – up to 15 lines, saved with Save New / Update and loaded by Find</t>
  </si>
  <si>
    <t>Figure 7 – Payment / Receipt Form</t>
  </si>
  <si>
    <t>Click  Record Payment / Receipt.</t>
  </si>
  <si>
    <t>Trade or IUPAC Name</t>
  </si>
  <si>
    <t>EPA Registration No.</t>
  </si>
  <si>
    <t>Type</t>
  </si>
  <si>
    <t>Stipulated Qty (CIL)</t>
  </si>
  <si>
    <t>Unit (CIL)</t>
  </si>
  <si>
    <t>Consignment Ref. BL/IPD (CIL)</t>
  </si>
  <si>
    <t>Choose the  Bill No.  being paid – the amount billed, paid so far and balance are shown.</t>
  </si>
  <si>
    <t>Enter the  Amount  (or click  Pay full balance),  Payment Date,  Receipt No.  and any remarks.</t>
  </si>
  <si>
    <t>Click  Save.  You are warned if the amount is more than the balance or the receipt number was already used. The bill's payment status (Paid / Part paid / Unpaid) updates automatically.</t>
  </si>
  <si>
    <t>6.6  Find, update or delete a record</t>
  </si>
  <si>
    <t>•   Find / Print a Record (Main Menu): type any part of a company name, ID, B/L, reference or licence number. Results appear as you type; use the tabs to show only Companies, Licences, Clearances, Bills or Payments. Open loads the record into its form; Print opens its print page.</t>
  </si>
  <si>
    <t>•   On any form: type the ID in row 5 and click Find Record, change the yellow cells, then click Update Record.</t>
  </si>
  <si>
    <t>•   Delete Record asks for confirmation and cannot be undone. Clear Form empties the form without changing any saved record.</t>
  </si>
  <si>
    <t>6.7  Print a licence, clearance letter or bill</t>
  </si>
  <si>
    <t>Chemical Transportation</t>
  </si>
  <si>
    <t>Figure 8 – Print Clearance page – the letter on the left, the control panel on the right</t>
  </si>
  <si>
    <t>Lines</t>
  </si>
  <si>
    <t>Open the print page from the Print Centre (or the OUTPUT button on a form).</t>
  </si>
  <si>
    <t>Pick the record from the dropdown in the yellow cell (e.g. Clearance No.). Check the line shows  ✓ Ready to print.</t>
  </si>
  <si>
    <t>Set  Print letterhead  to  No  when printing on pre-printed EPA letterhead paper, and choose who the letter is  Signed by.</t>
  </si>
  <si>
    <t>Click  Print Preview,  then  Print  – or  Save as PDF  /  Save as Word  to keep an electronic copy.</t>
  </si>
  <si>
    <t>Print page</t>
  </si>
  <si>
    <t>Produces</t>
  </si>
  <si>
    <t>Chemical Registration Licence</t>
  </si>
  <si>
    <t>Chemical Importation Licence with its chemical list</t>
  </si>
  <si>
    <t>CRL: Name, EPA Reg. No., Type.  CIL: also Qty, Unit, Consignment Ref.</t>
  </si>
  <si>
    <t>Effluent Discharge Licence</t>
  </si>
  <si>
    <t>EDL format ▶</t>
  </si>
  <si>
    <t>Effluent Discharge Licence – retention pond version</t>
  </si>
  <si>
    <t>To whom it may concern' chemical clearance letter</t>
  </si>
  <si>
    <t>Bill / invoice letter with fee table and amount in words</t>
  </si>
  <si>
    <t>EFFLUENT DETAILS (EDL) – fill only for Effluent Discharge licences; saved with Save New / Update and loaded by Find</t>
  </si>
  <si>
    <t>TOTAL</t>
  </si>
  <si>
    <t>Receiving water</t>
  </si>
  <si>
    <t>Figure 9 – Print Bill page</t>
  </si>
  <si>
    <t>Used in Conditions 1–2 of the printed EDL, e.g. receiving water “the estuary”, volume “10”, discharge point “in a containment tank”.</t>
  </si>
  <si>
    <t>Max. volume (m³/day)</t>
  </si>
  <si>
    <t>Discharge point / facility</t>
  </si>
  <si>
    <t>Registers are Excel tables. Each saved record is one row. You can filter with the arrows in the header row, sort, and copy data out – but always add or change records through the forms so the IDs and links stay correct.</t>
  </si>
  <si>
    <t>DISCHARGE LIMITS – up to 20 lines. List ONLY the parameters this licence requires (pick from the list or type your own)</t>
  </si>
  <si>
    <t>Figure 10 – Chemical Clearances register – one row per chemical line</t>
  </si>
  <si>
    <t>Parameter</t>
  </si>
  <si>
    <t>Register</t>
  </si>
  <si>
    <t>Holds</t>
  </si>
  <si>
    <t>Unit</t>
  </si>
  <si>
    <t>Limit</t>
  </si>
  <si>
    <t>Sample Type</t>
  </si>
  <si>
    <t>Testing Schedule</t>
  </si>
  <si>
    <t>Discharge Stage (Retention Pond only) e.g. Detox Unit I &amp; II to TSF-II</t>
  </si>
  <si>
    <t>Filled by</t>
  </si>
  <si>
    <t>One row per company, with live totals of licences, clearances, kg cleared, billed and paid</t>
  </si>
  <si>
    <t>Every licence / certificate application, number, dates and status</t>
  </si>
  <si>
    <t>Chemicals approved on each CIL / CRL</t>
  </si>
  <si>
    <t>Trucks listed on each chemical transport licence</t>
  </si>
  <si>
    <t>Typed / imported</t>
  </si>
  <si>
    <t>Effluent parameters and limits for EDL licences</t>
  </si>
  <si>
    <t>Licence Form (EDL)</t>
  </si>
  <si>
    <t>One row per chemical cleared, with kg, MT, B/L and EPA reference</t>
  </si>
  <si>
    <t>One row per bill line, with payment status</t>
  </si>
  <si>
    <t>Every payment received and its receipt number</t>
  </si>
  <si>
    <t>Data-issue log and correspondence</t>
  </si>
  <si>
    <t>Typed directly</t>
  </si>
  <si>
    <t>⚠  IMPORTANT:  Do not insert, delete or re-order rows directly in a register, and never type in grey formula columns. The Source column shows where each record came from (for example 'Upload: Clearances.pdf p.12').</t>
  </si>
  <si>
    <t>Figure 11 – Dashboard – key figures, monthly activity, licences by category and outstanding bills</t>
  </si>
  <si>
    <t>•   Key figures: companies, licences numbered, licences pending, clearances, total cleared (MT), total billed, total paid and open data issues.</t>
  </si>
  <si>
    <t>•   Monthly Activity 2026: clearances, tonnage, payments and amounts billed per month.</t>
  </si>
  <si>
    <t>•   Licences &amp; Certificates by Category: total, active, issued without expiry, and pending.</t>
  </si>
  <si>
    <t>•   Outstanding Bills: every unpaid or part-paid bill – use this list to follow up payments.</t>
  </si>
  <si>
    <t>💡  TIP:  All Dashboard figures are formulas – they update the moment a record is saved. There is nothing to refresh.</t>
  </si>
  <si>
    <t>Clearance No.</t>
  </si>
  <si>
    <t>Figure 12 – Notes &amp; Issues – each problem found in the data gets an ISS number</t>
  </si>
  <si>
    <t>When a record cannot be confirmed (unreadable scan, a quantity that disagrees with a letter, a possible duplicate), it is logged here with the register, record, source, the issue found, the action taken and a follow-up status. Review the Open items regularly, correct the record through its form, and set the status to Closed. The Correspondence table further down records letters issued that are not licences or clearances.</t>
  </si>
  <si>
    <t>BILLS – PAYMENT STATUS</t>
  </si>
  <si>
    <t>Figure 13 – Fee Schedule – services, suggested fees and the wording used for each bill type</t>
  </si>
  <si>
    <t>Setting</t>
  </si>
  <si>
    <t>Where</t>
  </si>
  <si>
    <t>Who</t>
  </si>
  <si>
    <t>What to do</t>
  </si>
  <si>
    <t>Fees and bill wording</t>
  </si>
  <si>
    <t>Change a suggested fee or the paragraphs printed on each bill type</t>
  </si>
  <si>
    <t>RETENTION POND LICENCES ONLY – GEO-REFERENCE (Tables 1A / 1B): type 1A or 1B in the Table column, up to 20 lines</t>
  </si>
  <si>
    <t>Dropdown values</t>
  </si>
  <si>
    <t>Add a new chemical, sector, unit or signatory at the bottom of its list</t>
  </si>
  <si>
    <t>Users and passwords</t>
  </si>
  <si>
    <t>Users &amp; Passwords (Main Menu)</t>
  </si>
  <si>
    <t>Table (1A or 1B)</t>
  </si>
  <si>
    <t>Add users, set roles, reset passwords, deactivate leavers</t>
  </si>
  <si>
    <t>Vertex</t>
  </si>
  <si>
    <t>Easting</t>
  </si>
  <si>
    <t>Northing</t>
  </si>
  <si>
    <t>Own password</t>
  </si>
  <si>
    <t>Change My Password</t>
  </si>
  <si>
    <t>Everyone</t>
  </si>
  <si>
    <t>Change your password at any time</t>
  </si>
  <si>
    <t>Macro code</t>
  </si>
  <si>
    <t>Re-install the code when a new version is supplied (below)</t>
  </si>
  <si>
    <t>Re-installing the macros (administrator only)</t>
  </si>
  <si>
    <t>Press  Alt + F11  to open the VBA editor, double-click  Module1,  press Ctrl + A then Delete.</t>
  </si>
  <si>
    <t>Payment Status</t>
  </si>
  <si>
    <t>Bills (No.)</t>
  </si>
  <si>
    <t>Back on the Macro Setup sheet, select  A16:A2308  (type it in the Name Box), press Ctrl + C, return to Module1 and press Ctrl + V.</t>
  </si>
  <si>
    <t>Close the editor. Press  Alt + F8  and run  Build_UserForms,  then  Build_LoginForms,  then  Setup_Buttons.</t>
  </si>
  <si>
    <t>Save the file, close it and open it again. The Main Menu should show ✓ Macros up to date.</t>
  </si>
  <si>
    <t>Clearance Date *</t>
  </si>
  <si>
    <t>RETENTION POND LICENCES ONLY – DISCHARGE SOURCES (Table 1B source list &amp; Table 2), up to 6 lines</t>
  </si>
  <si>
    <t>SRC BMMC Log and SRC CMU Receipts hold the original logs the database was built from. They are kept only for checking and audit. Do not edit them; corrections belong in the registers through the forms.</t>
  </si>
  <si>
    <t>EPA Ref. No.</t>
  </si>
  <si>
    <t>Discharge source</t>
  </si>
  <si>
    <t>Receiving unit</t>
  </si>
  <si>
    <t>Problem</t>
  </si>
  <si>
    <t>X (Table 1B)</t>
  </si>
  <si>
    <t>Likely cause</t>
  </si>
  <si>
    <t>Y (Table 1B)</t>
  </si>
  <si>
    <t>Buttons do nothing</t>
  </si>
  <si>
    <t>Macros disabled, or file opened in Excel on the web</t>
  </si>
  <si>
    <t>Click Enable Content; open the file in desktop Excel</t>
  </si>
  <si>
    <t>Corner shows 'Old macros'</t>
  </si>
  <si>
    <t>The code on Macro Setup is newer than the installed code</t>
  </si>
  <si>
    <t>Re-install the macros (Section 10)</t>
  </si>
  <si>
    <t>Form Status shows ✗ Missing …</t>
  </si>
  <si>
    <t>A required field (*) is empty</t>
  </si>
  <si>
    <t>Fill the fields listed, then save</t>
  </si>
  <si>
    <t>Cannot type in a cell</t>
  </si>
  <si>
    <t>B/L / Invoice / AWB No.</t>
  </si>
  <si>
    <t>Forms are protected – only yellow cells accept input</t>
  </si>
  <si>
    <t>Type in yellow cells; use the buttons for everything else</t>
  </si>
  <si>
    <t>Record not found</t>
  </si>
  <si>
    <t>Wrong ID or spelling</t>
  </si>
  <si>
    <t>Use Find / Print a Record and search part of the name</t>
  </si>
  <si>
    <t>Print page says 'not found'</t>
  </si>
  <si>
    <t>The record box is empty or mistyped</t>
  </si>
  <si>
    <t>Pick the record from the dropdown</t>
  </si>
  <si>
    <t>A total looks wrong</t>
  </si>
  <si>
    <t>Wrong unit (kg vs MT) on a line</t>
  </si>
  <si>
    <t>Check Unit and Qty (kg) in the register; correct via the form</t>
  </si>
  <si>
    <t>Paid</t>
  </si>
  <si>
    <t>Forgot password</t>
  </si>
  <si>
    <t>–</t>
  </si>
  <si>
    <t>Applies to all lines</t>
  </si>
  <si>
    <t>ETA</t>
  </si>
  <si>
    <t>Ask the administrator to reset it in Users &amp; Passwords</t>
  </si>
  <si>
    <t>Estimated arrival – date or text (e.g. N/A). Printed on the clearance letter.</t>
  </si>
  <si>
    <t>#REF! or #N/A in a register</t>
  </si>
  <si>
    <t>Rows were deleted or typed over directly</t>
  </si>
  <si>
    <t>Line</t>
  </si>
  <si>
    <t>Undo (Ctrl + Z) if possible and tell the administrator</t>
  </si>
  <si>
    <t>Chemical as Recorded</t>
  </si>
  <si>
    <t>Chemical (Standard)</t>
  </si>
  <si>
    <t>Quantity *</t>
  </si>
  <si>
    <t>Unit *</t>
  </si>
  <si>
    <t>B/L / Invoice No. (blank = same as C9)</t>
  </si>
  <si>
    <t>✔  DO</t>
  </si>
  <si>
    <t>✘  DON'T</t>
  </si>
  <si>
    <t>Use the forms to add or change records</t>
  </si>
  <si>
    <t>Type over grey formula cells</t>
  </si>
  <si>
    <t>Enable Content every time you open the file</t>
  </si>
  <si>
    <t>Delete or insert rows directly in a register</t>
  </si>
  <si>
    <t>Save often (Ctrl + S) and keep the .xlsm format</t>
  </si>
  <si>
    <t>Rename sheets, tables or buttons</t>
  </si>
  <si>
    <t>Log unclear data in Notes &amp; Issues</t>
  </si>
  <si>
    <t>Share your password</t>
  </si>
  <si>
    <t>Log Out when you finish</t>
  </si>
  <si>
    <t>Edit the SRC source-data sheets</t>
  </si>
  <si>
    <t>Part paid</t>
  </si>
  <si>
    <t>Date not recorded</t>
  </si>
  <si>
    <t>No payment on record</t>
  </si>
  <si>
    <t>TOTAL kg</t>
  </si>
  <si>
    <t>Check vs registers (should be 0)</t>
  </si>
  <si>
    <t>Tip: if Chemical as Recorded is blank, the Standard name is saved in its place. To remove a saved chemical, Find it, clear that whole line (C to F), then click Update.</t>
  </si>
  <si>
    <t>CLEARANCES BY CHEMICAL (standardised names)</t>
  </si>
  <si>
    <t>Shipments (No.)</t>
  </si>
  <si>
    <t>Qty (kg)</t>
  </si>
  <si>
    <t>Qty (MT)</t>
  </si>
  <si>
    <t>% of Total kg</t>
  </si>
  <si>
    <t>Ferric Chloride</t>
  </si>
  <si>
    <t>Explosives (Emulsion)</t>
  </si>
  <si>
    <t>Sodium Cyanide</t>
  </si>
  <si>
    <t>Akshot 160 (Alkali Curing Accelerator)</t>
  </si>
  <si>
    <t>Sodium Metabisulphite (SMBS)</t>
  </si>
  <si>
    <t>Polymers (PE / PP)</t>
  </si>
  <si>
    <t>ERRS – CHEMICAL MANAGEMENT UNIT | BILL / INVOICE FORM (MULTI-SERVICE)</t>
  </si>
  <si>
    <t>One bill = one Bill No. (automatic) with up to 10 services. Fill the bill details once, list the services and type each amount, click Save New. To edit: type the Bill No., Bill Ref. No. or a BIL- line ID in C5 and click Find.</t>
  </si>
  <si>
    <t>Methyltrialkyl Ammonium Chloride</t>
  </si>
  <si>
    <t>Paint &amp; Coatings</t>
  </si>
  <si>
    <t>ERRS – CHEMICAL MANAGEMENT UNIT | PAYMENT / RECEIPT FORM</t>
  </si>
  <si>
    <t>Caustic Soda (Sodium Hydroxide)</t>
  </si>
  <si>
    <t>Activated Carbon</t>
  </si>
  <si>
    <t>Hydrated Lime</t>
  </si>
  <si>
    <t>PRINT – ANNUAL CHEMICAL REGISTRATION LICENSE</t>
  </si>
  <si>
    <t>Print letterhead ▶</t>
  </si>
  <si>
    <t>Yes</t>
  </si>
  <si>
    <t>Akhidralin (Shotcrete Fluidifier)</t>
  </si>
  <si>
    <t>Licence Record ID ▶</t>
  </si>
  <si>
    <t>Other / Unspecified</t>
  </si>
  <si>
    <t>Purpose / Services *</t>
  </si>
  <si>
    <t>What the payment is for</t>
  </si>
  <si>
    <t>Amount (USD) *</t>
  </si>
  <si>
    <t>US dollars</t>
  </si>
  <si>
    <t>Payment Date *</t>
  </si>
  <si>
    <t>Hydrochloric Acid</t>
  </si>
  <si>
    <t>Receipt No.</t>
  </si>
  <si>
    <t>Bill No. (paying for)</t>
  </si>
  <si>
    <t>Manoshot AL</t>
  </si>
  <si>
    <t>Silicon Manganese / Ferro Silicon</t>
  </si>
  <si>
    <t>(row in register)</t>
  </si>
  <si>
    <t>Company account</t>
  </si>
  <si>
    <t>Ammonium Nitrate</t>
  </si>
  <si>
    <t>Licence No.</t>
  </si>
  <si>
    <t>Degreaser</t>
  </si>
  <si>
    <t>Surfactant</t>
  </si>
  <si>
    <t>Lead Nitrate</t>
  </si>
  <si>
    <t>Nitric Acid</t>
  </si>
  <si>
    <t>Titanium Dioxide</t>
  </si>
  <si>
    <r>
      <rPr>
        <rFont val="Times New Roman"/>
        <b/>
        <color theme="1"/>
        <sz val="18.0"/>
      </rPr>
      <t xml:space="preserve">ANNUAL </t>
    </r>
    <r>
      <rPr>
        <rFont val="Times New Roman"/>
        <b/>
        <color theme="1"/>
        <sz val="18.0"/>
      </rPr>
      <t>CHEMICAL REGISTRATION LICENSE</t>
    </r>
  </si>
  <si>
    <t>Sodium Nitrite</t>
  </si>
  <si>
    <t>Acetic Acid</t>
  </si>
  <si>
    <t>(Issued under Part II Section VI of the EPA Act)</t>
  </si>
  <si>
    <t>Chemical lines found</t>
  </si>
  <si>
    <t>Signed by ▶</t>
  </si>
  <si>
    <t>Executive Director</t>
  </si>
  <si>
    <t>Gypsum</t>
  </si>
  <si>
    <t>This is to certify that</t>
  </si>
  <si>
    <t>How to use: pick the Licence Record ID in J4 and choose who signs. Add the chemicals for that licence on the 'Licence Chemicals' sheet. Then use the OUTPUT buttons on the right – empty table rows are left out automatically. Set 'Print letterhead' (J3) to No when printing on pre-printed EPA letterhead paper – the letterhead text and logos are left off, keeping the same space at the top.</t>
  </si>
  <si>
    <r>
      <rPr>
        <rFont val="Times New Roman"/>
        <color theme="1"/>
        <sz val="11.0"/>
      </rPr>
      <t xml:space="preserve">Is hereby granted this Annual </t>
    </r>
    <r>
      <rPr>
        <rFont val="Times New Roman"/>
        <b/>
        <color theme="1"/>
        <sz val="11.0"/>
      </rPr>
      <t>Chemical Registration License</t>
    </r>
    <r>
      <rPr>
        <rFont val="Times New Roman"/>
        <color theme="1"/>
        <sz val="11.0"/>
      </rPr>
      <t xml:space="preserve">, pursuant to Part 5 Section 51-53 of the Environmental Protection and Management Law of Liberia and Section 5.5 &amp; 5.6 of the National Environmental Policy of Liberia, for the registration of </t>
    </r>
    <r>
      <rPr>
        <rFont val="Times New Roman"/>
        <b/>
        <color theme="1"/>
        <sz val="11.0"/>
      </rPr>
      <t>Industrial Chemicals,</t>
    </r>
    <r>
      <rPr>
        <rFont val="Times New Roman"/>
        <color theme="1"/>
        <sz val="11.0"/>
      </rPr>
      <t xml:space="preserve"> subject to the EPA Act, the Chemical Guideline of Liberia and conditions specified in this license.</t>
    </r>
  </si>
  <si>
    <t>Isopropanol</t>
  </si>
  <si>
    <t>PRODUCT INFORMATION</t>
  </si>
  <si>
    <t>EPA Registration #.</t>
  </si>
  <si>
    <t>Types</t>
  </si>
  <si>
    <t>General Cargo (non-chemical)</t>
  </si>
  <si>
    <t>helper</t>
  </si>
  <si>
    <t>Thiourea</t>
  </si>
  <si>
    <t>Loctite Adhesives &amp; Sealants</t>
  </si>
  <si>
    <t>Anti-Scalant</t>
  </si>
  <si>
    <t>PRINT – CHEMICAL IMPORTATION LICENSE</t>
  </si>
  <si>
    <t>Acetylene</t>
  </si>
  <si>
    <t>LIC-027</t>
  </si>
  <si>
    <t>Flammable Gas</t>
  </si>
  <si>
    <t>Emergency Escape Breathing Device</t>
  </si>
  <si>
    <t>Flammable Liquid</t>
  </si>
  <si>
    <t>Bill Date *</t>
  </si>
  <si>
    <t>Adhesives</t>
  </si>
  <si>
    <t>Bill Type *</t>
  </si>
  <si>
    <t>Corrosive Substances</t>
  </si>
  <si>
    <t>Emulsion Pumping System</t>
  </si>
  <si>
    <t>Rubber Solution</t>
  </si>
  <si>
    <t>Compressed Nitrogen</t>
  </si>
  <si>
    <t>Aerosols</t>
  </si>
  <si>
    <t>Compressed Oxygen</t>
  </si>
  <si>
    <t>CHEMICAL IMPORTATION LICENSE</t>
  </si>
  <si>
    <t>Bill Ref. No.</t>
  </si>
  <si>
    <t>Epoxy Resin / Coating</t>
  </si>
  <si>
    <t>Contact Person</t>
  </si>
  <si>
    <t>Name as it should appear, e.g. Mr. Isaac Bestman (or just Isaac Bestman)</t>
  </si>
  <si>
    <t>Position / Title</t>
  </si>
  <si>
    <t>Job title, e.g. General Manager, CEO – or Mr./Mrs./Dr. if you typed only the name above</t>
  </si>
  <si>
    <t>Fire Extinguishers</t>
  </si>
  <si>
    <t>Activity</t>
  </si>
  <si>
    <t>Linked Record(s)</t>
  </si>
  <si>
    <t>Silver Nitrate</t>
  </si>
  <si>
    <t>Filled by 'Create Bill' (LIC-### / CLN-###) – links this bill to the licence or clearance</t>
  </si>
  <si>
    <t>BILL LINES (up to 10 services)</t>
  </si>
  <si>
    <t>Service *</t>
  </si>
  <si>
    <t>Details / Chemical(s)</t>
  </si>
  <si>
    <r>
      <rPr>
        <rFont val="Times New Roman"/>
        <b val="0"/>
        <color theme="1"/>
        <sz val="11.0"/>
      </rPr>
      <t xml:space="preserve">Is hereby granted this </t>
    </r>
    <r>
      <rPr>
        <rFont val="Times New Roman"/>
        <b/>
        <color theme="1"/>
        <sz val="11.0"/>
      </rPr>
      <t>Chemical Importation License</t>
    </r>
    <r>
      <rPr>
        <rFont val="Times New Roman"/>
        <b val="0"/>
        <color theme="1"/>
        <sz val="11.0"/>
      </rPr>
      <t>, pursuant to Part 5 Section 51-53 of the Environmental Protection and Management Laws of Liberia and Section 5.5 of the National Environmental Policy of Liberia, for the importation of the following chemical within the territorial boundaries of the Republic of Liberia subject to the EPA Act, the Chemical Guideline of Liberia and conditions specified in this license.</t>
    </r>
  </si>
  <si>
    <t>Suggested fee</t>
  </si>
  <si>
    <t>Line ID</t>
  </si>
  <si>
    <t>White Spirit</t>
  </si>
  <si>
    <t>EPA / Registration #.</t>
  </si>
  <si>
    <t>Stipulated Qty (kg/L)</t>
  </si>
  <si>
    <t>Consignment Reference (BL/IPD No.)</t>
  </si>
  <si>
    <t>Isobutane</t>
  </si>
  <si>
    <t>Magnesium Perchlorate</t>
  </si>
  <si>
    <t>Tip: to remove a saved service from a bill, Find the bill, clear that line's Service and Amount, then click Update.</t>
  </si>
  <si>
    <t>PRINT – ANNUAL EFFLUENT DISCHARGE LICENSE</t>
  </si>
  <si>
    <t>LIC-017</t>
  </si>
  <si>
    <t>ANNUAL EFFLUENT DISCHARGE LICENSE</t>
  </si>
  <si>
    <t>LICENSEE</t>
  </si>
  <si>
    <t>Receiving water ▶</t>
  </si>
  <si>
    <t>Max. volume (m³/day) ▶</t>
  </si>
  <si>
    <t>Discharge point ▶</t>
  </si>
  <si>
    <t>LOCATION</t>
  </si>
  <si>
    <t>⇄ Switch to Print EDL RP (Retention Pond)</t>
  </si>
  <si>
    <t>How to use: pick the EDL Record ID in J4 and choose who signs in J12. Receiving water, volume, discharge point and the discharge-limits table come from the EFFLUENT DETAILS section of the Licence Form (saved on the Licence Effluent sheet). Only the parameters entered for this licence print; empty table rows are left out. Then use the OUTPUT buttons on the right. Set 'Print letterhead' (J3) to No when printing on pre-printed EPA letterhead paper – the letterhead text and logos are left off, keeping the same space at the top.</t>
  </si>
  <si>
    <t>In pursuant to Part 5 Section 56-60 of the Environmental Protection and Management Law of Liberia, this annual Effluent Discharge License is hereby issued for the discharge of treated effluent subject to the Act of the Environmental Protection Agency of Liberia, the Environmental Protection and Management Law of Liberia, the Liberia Water Quality Standards and the conditions specified in this license.</t>
  </si>
  <si>
    <t>CONDITIONS</t>
  </si>
  <si>
    <t>1.</t>
  </si>
  <si>
    <t>2.</t>
  </si>
  <si>
    <t>3.</t>
  </si>
  <si>
    <t>Part V Section 61 of EPML strictly prohibits the pollution of any water body in any form and manner. Any violation against this provision is punishable by fine and/or other legal action consistent with the EPML. This license does not cover the discharge in whatsoever form of untreated effluent from the licensee’s facility to any water course or wetland;</t>
  </si>
  <si>
    <t>4.</t>
  </si>
  <si>
    <t>All effluent shall be treated to meet the following sewerage discharge limits:</t>
  </si>
  <si>
    <t>5.</t>
  </si>
  <si>
    <t>The Licensee must monitor and ensure discharges from its facility meet the limits as specified in the above table. The figure represents permissible effluent limits and the licensee must comply with the effluent limits in the tables unless otherwise indicated, regardless of the frequency of monitoring or reporting requirement;</t>
  </si>
  <si>
    <t>6.</t>
  </si>
  <si>
    <t>A comprehensive effluent analysis report should be presented to the Agency quarterly by the Licensee. The Licensee shall hire an EPA accredited third party Laboratory to collect and test effluent samples to gage adherence to the license for all parameters mentioned herein.</t>
  </si>
  <si>
    <t>7.</t>
  </si>
  <si>
    <t>The licensee shall keep all results submitted by third party Laboratory as per the reporting schedule and include same in monitoring reports submitted to the Agency (if applicable) or submit same when requested by inspectors of the Agency;</t>
  </si>
  <si>
    <t>8.</t>
  </si>
  <si>
    <t>In the event that a test result by the third party Laboratory records an exceedance of any of the parameters in the Table, the Licensee shall discontinue discharging into the stream and notify the Agency immediately;</t>
  </si>
  <si>
    <t>9.</t>
  </si>
  <si>
    <t>This license does not cover the discharge of mineral oil, diesel and any other pollutant into the stream; all hazardous waste shall be handled by an EPA certified hazardous waste handler. The licensee shall keep all records of the name, address and permit number of the waste service contractor hired, the date on which the waste was transported offsite, the type and quantity of waste transported (in m³), and the location of disposal;</t>
  </si>
  <si>
    <t>10.</t>
  </si>
  <si>
    <t>All over ground storage tanks areas and drums storage areas which contain oils, chemicals, or other substances which are or could be harmful to the aquatic environment shall be rendered impervious to the material stored therein. Additionally, these areas shall be bunded and designed in order to give protection to sewer, surface water and groundwater on spillage or seepage of the materials;</t>
  </si>
  <si>
    <t>11.</t>
  </si>
  <si>
    <t>Storm water shall be separately collected and discharged to the water drain via an oil interceptor. A readily and safely accessible monitoring chamber shall be constructed on the storm water pipeline to allow for inspection and sampling of the storm water being discharged;</t>
  </si>
  <si>
    <t>12.</t>
  </si>
  <si>
    <t>The wastewater/effluent treatment equipment and facility at the premises shall be operational and in use at all times when effluent is being discharged. The Agency shall be notified, through writing, about any malfunction of the equipment;</t>
  </si>
  <si>
    <t>13.</t>
  </si>
  <si>
    <t>The licensee shall conduct visual inspection of the effluent discharge and storm water discharge points on a weekly basis. Records of all inspections shall be kept in a logbook. If it appears that there is any abnormalities, the Licensee shall notify the Agency through writing, and initial an investigation into the possible cause(s) of the abnormalities;</t>
  </si>
  <si>
    <t>14.</t>
  </si>
  <si>
    <t>The Licensee shall immediately notify the Agency, through writing, after occurrence of any accidental discharge, spillage or deposit of any pollutants or potential pollutant which enters or is likely to enter the water or cause pollution;</t>
  </si>
  <si>
    <t>15.</t>
  </si>
  <si>
    <t>The Licensee shall notify the Agency, through writing, immediately prior to the commencement of the licensed discharge;</t>
  </si>
  <si>
    <t>16.</t>
  </si>
  <si>
    <t>The Licensee shall notify the Agency, through writing, within 72 hours of any environmental emergency onsite and off-site, including all measures taken to remedy the situation;</t>
  </si>
  <si>
    <t>17.</t>
  </si>
  <si>
    <t>The Licensee shall notify the Agency, through writing, in an event of decommissioning, abandonment or changes in operation/site;</t>
  </si>
  <si>
    <t>18.</t>
  </si>
  <si>
    <t>A readily and safely accessible monitoring chamber, approved by the Agency shall be provided and maintained by the Licensee on the foul sewer pipeline to allow sampling of treated effluent. The chamber shall incorporate an automatic flow measurement equipment, which shall continuously indicate, integrate and record the hourly and total daily flow (in m³) of treated effluent;</t>
  </si>
  <si>
    <t>19.</t>
  </si>
  <si>
    <t>A copy of these records shall be presented to the Agency quarterly and included in monitoring reports submitted to the Agency (if applicable). They shall also be maintained on site for inspection and submitted when requested by inspectors of the Agency;</t>
  </si>
  <si>
    <t>20.</t>
  </si>
  <si>
    <t>The licensee shall nominate a suitable qualified persons who shall be responsible for the supervision, control and monitoring of all discharge arising at the premises as well as giving information on all such discharge to the Agency. The names, telephone numbers and details of these persons shall be submitted to the Agency prior to commencement of discharge/operation;</t>
  </si>
  <si>
    <t>21.</t>
  </si>
  <si>
    <t>The licensee must ensure adherence to the license conditions at all time. Any violation of the license conditions will incur a penalty consistent with Section 112 of the Environmental Protection and Management Law of Liberia;</t>
  </si>
  <si>
    <t>22.</t>
  </si>
  <si>
    <t>The Agency reserves itself the right to conduct routine documentary and compliance monitoring at all time without any hindrance from the licensee or any of its employees or associates.</t>
  </si>
  <si>
    <t>_____________________________________________</t>
  </si>
  <si>
    <t>PRINT – EFFLUENT DISCHARGE &amp; RETENTION POND LICENSE</t>
  </si>
  <si>
    <t>PRINT – CHEMICAL CLEARANCE LETTER</t>
  </si>
  <si>
    <t>Clearance No. ▶</t>
  </si>
  <si>
    <t>LIC-005</t>
  </si>
  <si>
    <t>CLN-140  –  Mano Manufacturing Company (MANCO)</t>
  </si>
  <si>
    <t>(first row in register)</t>
  </si>
  <si>
    <t>No</t>
  </si>
  <si>
    <t>Clearance date</t>
  </si>
  <si>
    <t>EFFLUENT DISCHARGE &amp; RETENTION POND LICENSE</t>
  </si>
  <si>
    <t>Total (kg)</t>
  </si>
  <si>
    <t>TO WHOM IT MAY CONCERN</t>
  </si>
  <si>
    <t>How to use: pick the Clearance No. (CLN-###) in J4 – every chemical saved under it prints in the table. ETA and B/L come from the Clearance Form. Set 'Print letterhead' to No when printing on EPA letterhead paper. Signatory is set on the Lists sheet (Print Settings).</t>
  </si>
  <si>
    <t>Description</t>
  </si>
  <si>
    <t>Weight (Kgs)</t>
  </si>
  <si>
    <t>BL/ Invoice No.</t>
  </si>
  <si>
    <t>⇄ Switch to Print EDL (standard)</t>
  </si>
  <si>
    <t>How to use: pick the Retention Pond licence Record ID in J4 and choose who signs in J12. Coordinates, discharge sources, receiving water/volume and the limits table (with stage) come from the EFFLUENT DETAILS section of the Licence Form. Empty table rows are left out when printing. Section 3.3 uses the standard EDL conditions – edit them here if your Retention Pond licence differs. Set 'Print letterhead' (J3) to No when printing on pre-printed EPA letterhead paper – the letterhead text and logos are left off, keeping the same space at the top.</t>
  </si>
  <si>
    <t>Stage</t>
  </si>
  <si>
    <t>StageNo</t>
  </si>
  <si>
    <t>StageIdx</t>
  </si>
  <si>
    <t>StageKey</t>
  </si>
  <si>
    <t>CoordGrp</t>
  </si>
  <si>
    <t>CoordKey</t>
  </si>
  <si>
    <t>1.   Project Geo-reference</t>
  </si>
  <si>
    <t>The project for which this permit is issued bears the following geographical coordinates:</t>
  </si>
  <si>
    <t>Table 1A: Metes and bounds of the discharge sources</t>
  </si>
  <si>
    <t>Eastern</t>
  </si>
  <si>
    <t>Northern</t>
  </si>
  <si>
    <r>
      <rPr>
        <rFont val="Times New Roman"/>
        <color theme="1"/>
        <sz val="11.0"/>
      </rPr>
      <t xml:space="preserve">This license </t>
    </r>
    <r>
      <rPr>
        <rFont val="Times New Roman"/>
        <b/>
        <color theme="1"/>
        <sz val="11.0"/>
      </rPr>
      <t>does not</t>
    </r>
    <r>
      <rPr>
        <rFont val="Times New Roman"/>
        <color theme="1"/>
        <sz val="11.0"/>
      </rPr>
      <t xml:space="preserve"> apply to the importation of chemicals, it applies only to the registration of the chemicals listed in the application letter;</t>
    </r>
  </si>
  <si>
    <r>
      <rPr>
        <rFont val="Times New Roman"/>
        <color theme="1"/>
        <sz val="11.0"/>
      </rPr>
      <t xml:space="preserve">Issuance of this license </t>
    </r>
    <r>
      <rPr>
        <rFont val="Times New Roman"/>
        <b/>
        <color theme="1"/>
        <sz val="11.0"/>
      </rPr>
      <t>does not</t>
    </r>
    <r>
      <rPr>
        <rFont val="Times New Roman"/>
        <color theme="1"/>
        <sz val="11.0"/>
      </rPr>
      <t xml:space="preserve"> authorize the licensee to import any of the listed chemicals without obtaining chemical importation licenses from the EPA. A chemical importation license must be obtained from the Agency prior to the importation of any of the listed chemicals;</t>
    </r>
  </si>
  <si>
    <r>
      <rPr>
        <rFont val="Times New Roman"/>
        <color theme="1"/>
        <sz val="11.0"/>
      </rPr>
      <t xml:space="preserve">Any importation without prior approval from the Agency is a </t>
    </r>
    <r>
      <rPr>
        <rFont val="Times New Roman"/>
        <b/>
        <color theme="1"/>
        <sz val="11.0"/>
      </rPr>
      <t>violation</t>
    </r>
    <r>
      <rPr>
        <rFont val="Times New Roman"/>
        <color theme="1"/>
        <sz val="11.0"/>
      </rPr>
      <t xml:space="preserve"> of this license condition and will incur a penalty consistent with Section 112 of the Environmental Protection and Management Law of Liberia;</t>
    </r>
  </si>
  <si>
    <r>
      <rPr>
        <rFont val="Times New Roman"/>
        <color theme="1"/>
        <sz val="11.0"/>
      </rPr>
      <t xml:space="preserve">This license only applies to the chemicals specified in the application, additional chemicals must be </t>
    </r>
    <r>
      <rPr>
        <rFont val="Times New Roman"/>
        <b/>
        <color theme="1"/>
        <sz val="11.0"/>
      </rPr>
      <t>declared and registered</t>
    </r>
    <r>
      <rPr>
        <rFont val="Times New Roman"/>
        <color theme="1"/>
        <sz val="11.0"/>
      </rPr>
      <t xml:space="preserve"> with the EPA.</t>
    </r>
  </si>
  <si>
    <r>
      <rPr>
        <rFont val="Times New Roman"/>
        <b val="0"/>
        <color theme="1"/>
        <sz val="11.0"/>
      </rPr>
      <t xml:space="preserve">The importation must </t>
    </r>
    <r>
      <rPr>
        <rFont val="Times New Roman"/>
        <b/>
        <color theme="1"/>
        <sz val="11.0"/>
      </rPr>
      <t>not exceed</t>
    </r>
    <r>
      <rPr>
        <rFont val="Times New Roman"/>
        <b val="0"/>
        <color theme="1"/>
        <sz val="11.0"/>
      </rPr>
      <t xml:space="preserve"> the quantity stipulated in this license; any exceedance of this quantity without prior approval from the Agency is a violation of this license condition and will incur a </t>
    </r>
    <r>
      <rPr>
        <rFont val="Times New Roman"/>
        <b/>
        <color theme="1"/>
        <sz val="11.0"/>
      </rPr>
      <t>penalty</t>
    </r>
    <r>
      <rPr>
        <rFont val="Times New Roman"/>
        <b val="0"/>
        <color theme="1"/>
        <sz val="11.0"/>
      </rPr>
      <t>;</t>
    </r>
  </si>
  <si>
    <r>
      <rPr>
        <rFont val="Times New Roman"/>
        <b val="0"/>
        <color theme="1"/>
        <sz val="11.0"/>
      </rPr>
      <t xml:space="preserve">A </t>
    </r>
    <r>
      <rPr>
        <rFont val="Times New Roman"/>
        <b/>
        <color theme="1"/>
        <sz val="11.0"/>
      </rPr>
      <t>written notification</t>
    </r>
    <r>
      <rPr>
        <rFont val="Times New Roman"/>
        <b val="0"/>
        <color theme="1"/>
        <sz val="11.0"/>
      </rPr>
      <t xml:space="preserve"> should be made with importation documents and details of the consignment at least two weeks before the arrival and transportation of the consignment;</t>
    </r>
  </si>
  <si>
    <r>
      <rPr>
        <rFont val="Times New Roman"/>
        <b val="0"/>
        <color theme="1"/>
        <sz val="11.0"/>
      </rPr>
      <t xml:space="preserve">Ensure that the quality of the chemical </t>
    </r>
    <r>
      <rPr>
        <rFont val="Times New Roman"/>
        <b/>
        <color theme="1"/>
        <sz val="11.0"/>
      </rPr>
      <t>complies</t>
    </r>
    <r>
      <rPr>
        <rFont val="Times New Roman"/>
        <b val="0"/>
        <color theme="1"/>
        <sz val="11.0"/>
      </rPr>
      <t xml:space="preserve"> with the information in the attached label and with the literature and specifications published in the MSDS by the manufacturer;</t>
    </r>
  </si>
  <si>
    <r>
      <rPr>
        <rFont val="Times New Roman"/>
        <b/>
        <color theme="1"/>
        <sz val="11.0"/>
      </rPr>
      <t>Notify</t>
    </r>
    <r>
      <rPr>
        <rFont val="Times New Roman"/>
        <b val="0"/>
        <color theme="1"/>
        <sz val="11.0"/>
      </rPr>
      <t xml:space="preserve"> the EPA immediately in case of any significant change to the information in the application;</t>
    </r>
  </si>
  <si>
    <r>
      <rPr>
        <rFont val="Times New Roman"/>
        <b/>
        <color theme="1"/>
        <sz val="11.0"/>
      </rPr>
      <t>Undertake adequate safety and security measures</t>
    </r>
    <r>
      <rPr>
        <rFont val="Times New Roman"/>
        <b val="0"/>
        <color theme="1"/>
        <sz val="11.0"/>
      </rPr>
      <t xml:space="preserve"> while transporting the consignment from the port of entry to the storage site. No person shall handle, offer for transport, or transport chemicals unless he/she is trained or certified by the EPA; a list of certified transporters can be obtained from the Agency;</t>
    </r>
  </si>
  <si>
    <r>
      <rPr>
        <rFont val="Times New Roman"/>
        <b/>
        <color theme="1"/>
        <sz val="11.0"/>
      </rPr>
      <t>Notify the Agency within 24 hours</t>
    </r>
    <r>
      <rPr>
        <rFont val="Times New Roman"/>
        <b val="0"/>
        <color theme="1"/>
        <sz val="11.0"/>
      </rPr>
      <t xml:space="preserve"> in case of emergency or accidental release to the environment;</t>
    </r>
  </si>
  <si>
    <r>
      <rPr>
        <rFont val="Times New Roman"/>
        <b val="0"/>
        <color theme="1"/>
        <sz val="11.0"/>
      </rPr>
      <t xml:space="preserve">This license only applies to the </t>
    </r>
    <r>
      <rPr>
        <rFont val="Times New Roman"/>
        <b/>
        <color theme="1"/>
        <sz val="11.0"/>
      </rPr>
      <t>chemicals specified</t>
    </r>
    <r>
      <rPr>
        <rFont val="Times New Roman"/>
        <b val="0"/>
        <color theme="1"/>
        <sz val="11.0"/>
      </rPr>
      <t xml:space="preserve"> in this license. It does not include the importation of narcotics drugs or any chemicals banned under international conventions;</t>
    </r>
  </si>
  <si>
    <r>
      <rPr>
        <rFont val="Times New Roman"/>
        <b val="0"/>
        <color theme="1"/>
        <sz val="11.0"/>
      </rPr>
      <t xml:space="preserve">This license is valid for importation through </t>
    </r>
    <r>
      <rPr>
        <rFont val="Times New Roman"/>
        <b/>
        <color theme="1"/>
        <sz val="11.0"/>
      </rPr>
      <t>authorized custom entry points</t>
    </r>
    <r>
      <rPr>
        <rFont val="Times New Roman"/>
        <b val="0"/>
        <color theme="1"/>
        <sz val="11.0"/>
      </rPr>
      <t xml:space="preserve"> into Liberia only;</t>
    </r>
  </si>
  <si>
    <r>
      <rPr>
        <rFont val="Times New Roman"/>
        <b val="0"/>
        <color theme="1"/>
        <sz val="11.0"/>
      </rPr>
      <t xml:space="preserve">This license is valid until the end of the year, however, </t>
    </r>
    <r>
      <rPr>
        <rFont val="Times New Roman"/>
        <b/>
        <color theme="1"/>
        <sz val="11.0"/>
      </rPr>
      <t>expires immediately</t>
    </r>
    <r>
      <rPr>
        <rFont val="Times New Roman"/>
        <b val="0"/>
        <color theme="1"/>
        <sz val="11.0"/>
      </rPr>
      <t xml:space="preserve"> after the clearance of the stipulated consignments and quantities from the port of entry.</t>
    </r>
  </si>
  <si>
    <r>
      <rPr>
        <rFont val="Times New Roman"/>
        <b/>
        <color theme="1"/>
        <sz val="11.0"/>
      </rPr>
      <t>Any violation</t>
    </r>
    <r>
      <rPr>
        <rFont val="Times New Roman"/>
        <b val="0"/>
        <color theme="1"/>
        <sz val="11.0"/>
      </rPr>
      <t xml:space="preserve"> of this license condition will incur a </t>
    </r>
    <r>
      <rPr>
        <rFont val="Times New Roman"/>
        <b/>
        <color theme="1"/>
        <sz val="11.0"/>
      </rPr>
      <t>penalty</t>
    </r>
    <r>
      <rPr>
        <rFont val="Times New Roman"/>
        <b val="0"/>
        <color theme="1"/>
        <sz val="11.0"/>
      </rPr>
      <t xml:space="preserve"> consistent with Section 112 of the Environmental Protection and Management Law of Liberia;</t>
    </r>
  </si>
  <si>
    <t>PRINT – BILL LETTER</t>
  </si>
  <si>
    <t>Bill No. ▶</t>
  </si>
  <si>
    <t>BN-2026-015  –  Greenfield Liberia Inc.  –  $500</t>
  </si>
  <si>
    <t>Bill Type (from the bill)</t>
  </si>
  <si>
    <t>Salutation (optional) ▶</t>
  </si>
  <si>
    <t>Letter wording</t>
  </si>
  <si>
    <t>Table 1B: Metes and bounds of the discharge sources</t>
  </si>
  <si>
    <t>Address</t>
  </si>
  <si>
    <t>X</t>
  </si>
  <si>
    <t>Y</t>
  </si>
  <si>
    <t>Contact person</t>
  </si>
  <si>
    <t>ERRS – CHEMICAL MANAGEMENT UNIT (CMU) | COMPANY REGISTER 2026</t>
  </si>
  <si>
    <t>Master list of all companies. Every record sheet links to the Company ID here. 'Other Names Recorded' shows spellings found in source records.</t>
  </si>
  <si>
    <t>Company Name</t>
  </si>
  <si>
    <t>Licences (No.)</t>
  </si>
  <si>
    <t>Total Cleared (kg)</t>
  </si>
  <si>
    <t>CMU-001</t>
  </si>
  <si>
    <t>Bea Mountain Mining Corporation (BMMC)</t>
  </si>
  <si>
    <t>Mining</t>
  </si>
  <si>
    <t>18th Street, Sinkor / Grand Cape Mount</t>
  </si>
  <si>
    <t>BMMC; Bea Mountain; Bea Mountain Mining Corporation; Bea Mountain Mining Inc.</t>
  </si>
  <si>
    <t>Contact title</t>
  </si>
  <si>
    <t>CMU-002</t>
  </si>
  <si>
    <t>MNG Gold Liberia Inc.</t>
  </si>
  <si>
    <t>Kokoya District, Bong County</t>
  </si>
  <si>
    <t>MNG; MNG Gold; MNG Gold Liberia, Inc.; MNG Gold Mine</t>
  </si>
  <si>
    <t>CMU-003</t>
  </si>
  <si>
    <t>Firestone Liberia</t>
  </si>
  <si>
    <t>Rubber Plantation</t>
  </si>
  <si>
    <t>Harbel, Margibi County</t>
  </si>
  <si>
    <t>Firestone; Firestone Liberia Harbel; Firestone Rubber Plantation</t>
  </si>
  <si>
    <t>Bill date</t>
  </si>
  <si>
    <t>CMU-004</t>
  </si>
  <si>
    <t>A-Z Corporation</t>
  </si>
  <si>
    <t>Chemical Importation</t>
  </si>
  <si>
    <t>Monrovia</t>
  </si>
  <si>
    <t>Service lines</t>
  </si>
  <si>
    <t>CMU-005</t>
  </si>
  <si>
    <t>Tanmay Hardware Center</t>
  </si>
  <si>
    <t>Distributor</t>
  </si>
  <si>
    <t>TANMAY HARDWARE CENTER</t>
  </si>
  <si>
    <t>Services</t>
  </si>
  <si>
    <t>table?</t>
  </si>
  <si>
    <t>Total (USD)</t>
  </si>
  <si>
    <t>CMU-006</t>
  </si>
  <si>
    <t>Delta Plastics Inc.</t>
  </si>
  <si>
    <t>Manufacturing (Industrial Chemical)</t>
  </si>
  <si>
    <t>Japan Freeway</t>
  </si>
  <si>
    <t>Delta Plastics; Delta Plastics, Inc.</t>
  </si>
  <si>
    <t>Amount in words</t>
  </si>
  <si>
    <t>CMU-007</t>
  </si>
  <si>
    <t>Golden Sifca Inc.</t>
  </si>
  <si>
    <t>Pleebo, Maryland County</t>
  </si>
  <si>
    <t>Golden Sifca Inc</t>
  </si>
  <si>
    <t>Licence year</t>
  </si>
  <si>
    <t>CMU-008</t>
  </si>
  <si>
    <t>KAPEKS Liberia Inc.</t>
  </si>
  <si>
    <t>Congo Town, Monrovia</t>
  </si>
  <si>
    <t>KAPEKS-Liberia</t>
  </si>
  <si>
    <t>Opening paragraph</t>
  </si>
  <si>
    <t>CMU-009</t>
  </si>
  <si>
    <t>DuraPlast Liberia Inc.</t>
  </si>
  <si>
    <t>Plastic Production</t>
  </si>
  <si>
    <t>Gardnersville</t>
  </si>
  <si>
    <t>DuraPlast Liberia; Duraplast Liberia Inc.</t>
  </si>
  <si>
    <t>CMU-010</t>
  </si>
  <si>
    <t>Duraplast Paint</t>
  </si>
  <si>
    <t>Manufacturing (Paint)</t>
  </si>
  <si>
    <t>CMU-011</t>
  </si>
  <si>
    <t>Good Luck Hardware / Business Center</t>
  </si>
  <si>
    <t>Japanese Freeway</t>
  </si>
  <si>
    <t>Good Luck Business Center; Good Luck Hardware Center</t>
  </si>
  <si>
    <t>CMU-012</t>
  </si>
  <si>
    <t>Fayad Enterprise Corporation</t>
  </si>
  <si>
    <t>Gardnersville, Somalia Drive</t>
  </si>
  <si>
    <t>Fayad Enterprise corperation</t>
  </si>
  <si>
    <t>CMU-013</t>
  </si>
  <si>
    <t>NICOM Distilleries Inc.</t>
  </si>
  <si>
    <t>Alcoholic Beverages</t>
  </si>
  <si>
    <t>Lynch Street, Monrovia</t>
  </si>
  <si>
    <t>NICOM DISTILERIES; NICOM DISTILERY INC.</t>
  </si>
  <si>
    <t>Stage names</t>
  </si>
  <si>
    <t>CMU-014</t>
  </si>
  <si>
    <t>Mano Manufacturing Company (MANCO)</t>
  </si>
  <si>
    <t>Manufacturing</t>
  </si>
  <si>
    <t>Caldwell Road / New Kru Town, Bushrod Island</t>
  </si>
  <si>
    <t>MANO Manufacturing Company (MANCO); Mano Manufacturing Company</t>
  </si>
  <si>
    <t>Collection paragraph</t>
  </si>
  <si>
    <t>CMU-015</t>
  </si>
  <si>
    <t>National Paint Industries</t>
  </si>
  <si>
    <t>Somalia Drive / Japan Freeway, Gardnersville</t>
  </si>
  <si>
    <t>National Paint Industry</t>
  </si>
  <si>
    <t>CMU-016</t>
  </si>
  <si>
    <t>Mukesh Shopping Center</t>
  </si>
  <si>
    <t>CMU-017</t>
  </si>
  <si>
    <t>Fouani Brothers</t>
  </si>
  <si>
    <t>72-hour payment line ▶</t>
  </si>
  <si>
    <t>CMU-018</t>
  </si>
  <si>
    <t>LIPFOCO Mattress Factory</t>
  </si>
  <si>
    <t>Mattress Factory</t>
  </si>
  <si>
    <t>King Peters Town, Bushrod Island, Montserrado</t>
  </si>
  <si>
    <t>LIPFOCO MATTRESS FACTORY</t>
  </si>
  <si>
    <t>CMU-019</t>
  </si>
  <si>
    <t>Mano Palm Oil Plantation (MPOP)</t>
  </si>
  <si>
    <t>Palm Plantation</t>
  </si>
  <si>
    <t>Bomi County</t>
  </si>
  <si>
    <t>MOPP; Mano Palm Oil Plantation</t>
  </si>
  <si>
    <t>CMU-020</t>
  </si>
  <si>
    <t>Quality Industries Limited</t>
  </si>
  <si>
    <t>Quality Industries; Quality Industry Limited</t>
  </si>
  <si>
    <t>CMU-021</t>
  </si>
  <si>
    <t>LR &amp; Sons Distillery Inc.</t>
  </si>
  <si>
    <t>Neezoe, Somalia Drive, Paynesville</t>
  </si>
  <si>
    <t>LR &amp; SON DISTILERY INC.; LR &amp; Son Distillery Inc.; LR and Sons Distilleries</t>
  </si>
  <si>
    <t>Office line</t>
  </si>
  <si>
    <t>CMU-022</t>
  </si>
  <si>
    <t>Tiba Industrial Group</t>
  </si>
  <si>
    <t>CMU-023</t>
  </si>
  <si>
    <t>National Beverages Inc.</t>
  </si>
  <si>
    <t>Beverages</t>
  </si>
  <si>
    <t>National Beverages</t>
  </si>
  <si>
    <t>CMU-024</t>
  </si>
  <si>
    <t>Optimum Solution Liberia</t>
  </si>
  <si>
    <t>Chemical / Fumigation</t>
  </si>
  <si>
    <t>Optimum Solution</t>
  </si>
  <si>
    <t>Contact line</t>
  </si>
  <si>
    <t>CMU-025</t>
  </si>
  <si>
    <t>Platinum Liberia Limited</t>
  </si>
  <si>
    <t>CMU-026</t>
  </si>
  <si>
    <t>MAXAM Liberia JV Inc.</t>
  </si>
  <si>
    <t>Explosives</t>
  </si>
  <si>
    <t>Klay District, Bomi County</t>
  </si>
  <si>
    <t>MAXAM Liberia; Maxam Liberia; Maxam Liberia JV Inc.</t>
  </si>
  <si>
    <t>Bill sentence</t>
  </si>
  <si>
    <t>CMU-027</t>
  </si>
  <si>
    <t>Supreme Liberia Inc.</t>
  </si>
  <si>
    <t>CMU-028</t>
  </si>
  <si>
    <t>Control People Pest's Enterprise</t>
  </si>
  <si>
    <t>Freeport of Monrovia</t>
  </si>
  <si>
    <t>Control People Pest; Control People Pest's; Control People Pest's Ent.</t>
  </si>
  <si>
    <t>CMU-029</t>
  </si>
  <si>
    <t>Conquest Inc.</t>
  </si>
  <si>
    <t>Conquesr Inc.; Conquest Inc; Conqust Inc.</t>
  </si>
  <si>
    <t>How to use: pick the Bill No. in J4. The wording comes ONLY from the bill's Bill Type (Fee Schedule sheet, table 2). To change wording for a type, edit that row. Set 'Print letterhead' to No on letterhead paper.</t>
  </si>
  <si>
    <t>CMU-030</t>
  </si>
  <si>
    <t>Everette Transport Corporation</t>
  </si>
  <si>
    <t>Transportation</t>
  </si>
  <si>
    <t>Gibson Avenue, Old CID Road</t>
  </si>
  <si>
    <t>EVERETTE TRANSPORT CORPORATION; Everette Tansport Corporation</t>
  </si>
  <si>
    <t>CMU-031</t>
  </si>
  <si>
    <t>Sayminee Express Services Inc.</t>
  </si>
  <si>
    <t>Buchanan &amp; Broad Streets, Monrovia</t>
  </si>
  <si>
    <t>Sayminee Express Service INC; Seyminee Express Services Inc</t>
  </si>
  <si>
    <t>CMU-032</t>
  </si>
  <si>
    <t>Dauda Transport Services</t>
  </si>
  <si>
    <t>Black Jinah, Paynesville</t>
  </si>
  <si>
    <t>CMU-033</t>
  </si>
  <si>
    <t>City Builders Inc.</t>
  </si>
  <si>
    <t>Freeport, Monrovia</t>
  </si>
  <si>
    <t>City Builder Inc.</t>
  </si>
  <si>
    <t>CMU-034</t>
  </si>
  <si>
    <t>T Waste Recycling &amp; Fumigation Inc.</t>
  </si>
  <si>
    <t>Capitol Bye Pass</t>
  </si>
  <si>
    <t>T Waste Recycling and Fumigation; T. Waste Recycling &amp; Fumigation Inc.</t>
  </si>
  <si>
    <t>CMU-035</t>
  </si>
  <si>
    <t>GLC Inc.</t>
  </si>
  <si>
    <t>Mineral Exploration</t>
  </si>
  <si>
    <t>Kle Kle, Margibi County</t>
  </si>
  <si>
    <t>CMU-036</t>
  </si>
  <si>
    <t>AMASCO</t>
  </si>
  <si>
    <t>Buchanan &amp; Front Street, Monrovia</t>
  </si>
  <si>
    <t>ATLANTIC MARITIME AGENCY (AMASCO)</t>
  </si>
  <si>
    <t>CMU-037</t>
  </si>
  <si>
    <t>CGGC</t>
  </si>
  <si>
    <t>Construction</t>
  </si>
  <si>
    <t>CMU-038</t>
  </si>
  <si>
    <t>Arkay Hardware Center</t>
  </si>
  <si>
    <t>Wholesaler</t>
  </si>
  <si>
    <t>Arkay Hardware center</t>
  </si>
  <si>
    <t>CMU-039</t>
  </si>
  <si>
    <t>Agri Commodity Trading Company</t>
  </si>
  <si>
    <t>Agriculture</t>
  </si>
  <si>
    <t>Agri Commodity Trading Comp.</t>
  </si>
  <si>
    <t>CMU-040</t>
  </si>
  <si>
    <t>Greenfield Liberia Inc.</t>
  </si>
  <si>
    <t>Capitol Bye-Pass</t>
  </si>
  <si>
    <t>Greenfiled Liberia Inc.</t>
  </si>
  <si>
    <t>The use of this license is solely restricted to the aforementioned metes and bounds. Any change in the project location without prior notification and approval of the agency is a violation.</t>
  </si>
  <si>
    <t>2.0   EFFLUENT DISCHARGE</t>
  </si>
  <si>
    <t>CMU-041</t>
  </si>
  <si>
    <t>G5+ Breweries</t>
  </si>
  <si>
    <t>G 5+ Breweries</t>
  </si>
  <si>
    <t>Table 2: Effluent discharge sources and receiving units.</t>
  </si>
  <si>
    <t>Please accept the assurances of my highest esteem and consideration as we strive for environmental sustainability for now and for successive generations.</t>
  </si>
  <si>
    <t>CMU-042</t>
  </si>
  <si>
    <t>Huiren Mining Inc.</t>
  </si>
  <si>
    <t>Kind regards,</t>
  </si>
  <si>
    <t>CMU-043</t>
  </si>
  <si>
    <t>Salala Rubber Corporation</t>
  </si>
  <si>
    <t>CC: Finance Department</t>
  </si>
  <si>
    <t>CMU-044</t>
  </si>
  <si>
    <t>IBI</t>
  </si>
  <si>
    <t>CMU-045</t>
  </si>
  <si>
    <t>LIBINC Oil Palm Inc.</t>
  </si>
  <si>
    <t>LIBINC OIL PALM INC</t>
  </si>
  <si>
    <t>CMU-046</t>
  </si>
  <si>
    <t>Liberia Agriculture Company (LAC)</t>
  </si>
  <si>
    <t>LAC; Liberia Agriculture Company</t>
  </si>
  <si>
    <t>CMU-047</t>
  </si>
  <si>
    <t>Liberty Investment Limited Inc.</t>
  </si>
  <si>
    <t>3.0   CONDITIONS OF LICENSE</t>
  </si>
  <si>
    <t>CMU-048</t>
  </si>
  <si>
    <t>Mr. Salas</t>
  </si>
  <si>
    <t>Individual</t>
  </si>
  <si>
    <t>3.1   COMPLY WITH THE FOLLOWING MITIGATION MEASURES:</t>
  </si>
  <si>
    <t>CMU-049</t>
  </si>
  <si>
    <t>Ma Bendu Farms</t>
  </si>
  <si>
    <t>The license authorizes the discharge of only those pollutants resulting from the facility processes, TSF and operations that have been clearly identified in the license application process.</t>
  </si>
  <si>
    <t>CMU-050</t>
  </si>
  <si>
    <t>Ma Bendu Investment Group</t>
  </si>
  <si>
    <t>CMU-051</t>
  </si>
  <si>
    <t>Impact Group of Companies</t>
  </si>
  <si>
    <t>Maximum Discharge Limit</t>
  </si>
  <si>
    <t>CMU-052</t>
  </si>
  <si>
    <t>Madina Rock Quarry Inc.</t>
  </si>
  <si>
    <t>Quarry</t>
  </si>
  <si>
    <t>Madina Town, Grand Cape Mount</t>
  </si>
  <si>
    <t>Madina Rock Quarry; Madina Rock Quarry, Inc.</t>
  </si>
  <si>
    <t>CMU-053</t>
  </si>
  <si>
    <t>New Green World Fumigation Service Inc.</t>
  </si>
  <si>
    <t>CMU-054</t>
  </si>
  <si>
    <t>Rainbow Paint Factory</t>
  </si>
  <si>
    <t>CMU-055</t>
  </si>
  <si>
    <t>ROSCAR Ltd.</t>
  </si>
  <si>
    <t>ROSCAR, Ltd.</t>
  </si>
  <si>
    <t>ERRS – CHEMICAL MANAGEMENT UNIT (CMU) | LICENCES &amp; CERTIFICATES REGISTER 2026</t>
  </si>
  <si>
    <t>CMU-056</t>
  </si>
  <si>
    <t>TESA Safeguard</t>
  </si>
  <si>
    <t>Chemical Registration (CRL), Importation (CIL), Effluent Discharge (EDL), Dewatering, Fumigation &amp; Transport licences. Status is calculated automatically.</t>
  </si>
  <si>
    <t>Name as Recorded</t>
  </si>
  <si>
    <t>Licence / Certificate Type</t>
  </si>
  <si>
    <t>Source</t>
  </si>
  <si>
    <t>LIC-002</t>
  </si>
  <si>
    <t>CMU-057</t>
  </si>
  <si>
    <t>Golden Veroleum Liberia (GVL)</t>
  </si>
  <si>
    <t>Sinoe County</t>
  </si>
  <si>
    <t>GVL; Golden Veroleum Liberia</t>
  </si>
  <si>
    <t>Bea Mountain</t>
  </si>
  <si>
    <t>Chemical Registration</t>
  </si>
  <si>
    <t>18th Street, Sinkor</t>
  </si>
  <si>
    <t>EPA/CRL-002/RL2026</t>
  </si>
  <si>
    <t>CMU-058</t>
  </si>
  <si>
    <t>Capital Link Corporation</t>
  </si>
  <si>
    <t>Capital Link corporation</t>
  </si>
  <si>
    <t>BMMC holds two CRL numbers (CRL-001 &amp; CRL-002/RL2026)</t>
  </si>
  <si>
    <t>Upload: Chem. Reg. &amp; Imp Licenses 2026 row 15</t>
  </si>
  <si>
    <t>CMU-059</t>
  </si>
  <si>
    <t>Efficient Professional Services Inc.</t>
  </si>
  <si>
    <t>Dixville, Montserrado</t>
  </si>
  <si>
    <t>LIC-003</t>
  </si>
  <si>
    <t>Firestone Rubber Plantation</t>
  </si>
  <si>
    <t>EPA/CRL-DC-0018/R26</t>
  </si>
  <si>
    <t>Licence no. EPA/CRL-DC-0018/R26 also recorded as MANCO ref code – verify</t>
  </si>
  <si>
    <t>Upload: Chem. Reg. &amp; Imp Licenses 2026 row 54</t>
  </si>
  <si>
    <t>LIC-004</t>
  </si>
  <si>
    <t>CMU-060</t>
  </si>
  <si>
    <t>Liberia Soap and Detergent Company</t>
  </si>
  <si>
    <t>Monrovia, Liberia</t>
  </si>
  <si>
    <t>EPA/CRL-ERRS-001/RL01-26</t>
  </si>
  <si>
    <t>Upload: Chem. Reg. &amp; Imp Licenses 2026 row 5</t>
  </si>
  <si>
    <t>CMU-061</t>
  </si>
  <si>
    <t>Kwado Energy</t>
  </si>
  <si>
    <t>Energy</t>
  </si>
  <si>
    <t>Kru Hill Community, Johnsonville</t>
  </si>
  <si>
    <t>kwado Energy</t>
  </si>
  <si>
    <t>EPA/CRL-CI-001/2026</t>
  </si>
  <si>
    <t>Upload: Chem. Reg. &amp; Imp Licenses 2026 row 9</t>
  </si>
  <si>
    <t>LIC-006</t>
  </si>
  <si>
    <t>CMU-062</t>
  </si>
  <si>
    <t>REAT Liberia</t>
  </si>
  <si>
    <t>Benson &amp; Buchanan Streets, Monrovia</t>
  </si>
  <si>
    <t>Delta Plastics</t>
  </si>
  <si>
    <t>EPA/CRL-AC009</t>
  </si>
  <si>
    <t>Upload: Chem. Reg. &amp; Imp Licenses 2026 row 10</t>
  </si>
  <si>
    <t>LIC-007</t>
  </si>
  <si>
    <t>Maryland County</t>
  </si>
  <si>
    <t>Upload: Chem. Reg. &amp; Imp Licenses 2026 row 12</t>
  </si>
  <si>
    <t>CMU-063</t>
  </si>
  <si>
    <t>Cheema &amp; Chahal Incorporated</t>
  </si>
  <si>
    <t>Japanese Freeway, Jacob's Town, Montserrado</t>
  </si>
  <si>
    <t>CHEEMA &amp; CHAHAL INCORPORATED</t>
  </si>
  <si>
    <t>LIC-008</t>
  </si>
  <si>
    <t>Congo Town, Monrovia, Liberia</t>
  </si>
  <si>
    <t>EPA/CRL-007/01/26</t>
  </si>
  <si>
    <t>Upload: Chem. Reg. &amp; Imp Licenses 2026 row 16</t>
  </si>
  <si>
    <t>LIC-009</t>
  </si>
  <si>
    <t>CMU-064</t>
  </si>
  <si>
    <t>Biomedical Link</t>
  </si>
  <si>
    <t>Duport Road Junction, Montserrado</t>
  </si>
  <si>
    <t>BIOMEDICAL LINK</t>
  </si>
  <si>
    <t>DuraPlast Liberia</t>
  </si>
  <si>
    <t>Gardnersville, Liberia</t>
  </si>
  <si>
    <t>Upload: Chem. Reg. &amp; Imp Licenses 2026 row 17</t>
  </si>
  <si>
    <t>LIC-010</t>
  </si>
  <si>
    <t>CMU-065</t>
  </si>
  <si>
    <t>Raja International Trading Company (RITCO)</t>
  </si>
  <si>
    <t>EPA/CRL-CL-030/R26</t>
  </si>
  <si>
    <t>Monrovia, Montserrado</t>
  </si>
  <si>
    <t>RAJA INTERNATIONAL TRADING COMPANY (RITCO)</t>
  </si>
  <si>
    <t>Upload: Chem. Reg. &amp; Imp Licenses 2026 row 51</t>
  </si>
  <si>
    <t>LIC-011</t>
  </si>
  <si>
    <t>Good Luck Hardware Center</t>
  </si>
  <si>
    <t>Upload: Chem. Reg. &amp; Imp Licenses 2026 row 18</t>
  </si>
  <si>
    <t>CMU-066</t>
  </si>
  <si>
    <t>Mira Gas &amp; Gas</t>
  </si>
  <si>
    <t>Japanese Freeway, Industrial Park, Montserrado</t>
  </si>
  <si>
    <t>MIRA GAS &amp; GAS</t>
  </si>
  <si>
    <t>LIC-012</t>
  </si>
  <si>
    <t>ED/EPA-01/075/26/RL</t>
  </si>
  <si>
    <t>EPA/CRL-CL-022/0126</t>
  </si>
  <si>
    <t>Upload: Chem. Reg. &amp; Imp Licenses 2026 row 19</t>
  </si>
  <si>
    <t>LIC-013</t>
  </si>
  <si>
    <t>CMU-067</t>
  </si>
  <si>
    <t>Packaging and Laboratory Equipment Supply (PALES)</t>
  </si>
  <si>
    <t>UN Drive, Sayon Town, Bushrod Island</t>
  </si>
  <si>
    <t>PACKAGING AND LABORATORY EQUIPMENT SUPPLY (PALES)</t>
  </si>
  <si>
    <t>NICOM DISTILERIES</t>
  </si>
  <si>
    <t>ED/EPA-01/368/26/RL</t>
  </si>
  <si>
    <t>EPA/CRL-CI-021/0126</t>
  </si>
  <si>
    <t>Duplicate CRL rows merged (location/response/ref from row 20)</t>
  </si>
  <si>
    <t>Upload: Chem. Reg. &amp; Imp Licenses 2026 rows 29 &amp; 20</t>
  </si>
  <si>
    <t>LIC-014</t>
  </si>
  <si>
    <t>CMU-068</t>
  </si>
  <si>
    <t>Freeway Logistics Trucking Company Inc.</t>
  </si>
  <si>
    <t>MANO Manufacturing Company (MANCO)</t>
  </si>
  <si>
    <t>Broad Street, between Center &amp; Buchanan Streets, Monrovia</t>
  </si>
  <si>
    <t>New Kru Town, Freeway-Bushrod Island</t>
  </si>
  <si>
    <t>FREEWAY LOGISTICS TRUCKING COMPANY INC</t>
  </si>
  <si>
    <t>Ref code EPA/CRL-DC-0018/R26 also used as Firestone CRL licence no. – verify</t>
  </si>
  <si>
    <t>Upload: Chem. Reg. &amp; Imp Licenses 2026 row 21</t>
  </si>
  <si>
    <t>LIC-015</t>
  </si>
  <si>
    <t>Somalia Drive, Monrovia</t>
  </si>
  <si>
    <t>EPA/CRL-P-001/0126</t>
  </si>
  <si>
    <t>"National Paint Industry" &amp; "National Paint Industries" CRL rows merged</t>
  </si>
  <si>
    <t>Upload: Chem. Reg. &amp; Imp Licenses 2026 rows 26 &amp; 22</t>
  </si>
  <si>
    <t>Pee Kay Enterprises</t>
  </si>
  <si>
    <t>LIC-016</t>
  </si>
  <si>
    <t>EPA/CRL-ERRS-04/R0226</t>
  </si>
  <si>
    <t>Upload: Chem. Reg. &amp; Imp Licenses 2026 row 23</t>
  </si>
  <si>
    <t>LEROY</t>
  </si>
  <si>
    <t>Lynch Street</t>
  </si>
  <si>
    <t>Leroy LLC</t>
  </si>
  <si>
    <t>Upload: Chem. Reg. &amp; Imp Licenses 2026 row 24</t>
  </si>
  <si>
    <t>LIC-018</t>
  </si>
  <si>
    <t>King Peters Town, Bushrod Island Montserrado county</t>
  </si>
  <si>
    <t>EPA/CRL-002MF/0126</t>
  </si>
  <si>
    <t>Upload: Chem. Reg. &amp; Imp Licenses 2026 row 27</t>
  </si>
  <si>
    <t>LIC-019</t>
  </si>
  <si>
    <t>Bomi County, Liberia</t>
  </si>
  <si>
    <t>Upload: Chem. Reg. &amp; Imp Licenses 2026 row 28</t>
  </si>
  <si>
    <t>LIC-020</t>
  </si>
  <si>
    <t>Quality Industries</t>
  </si>
  <si>
    <t>EPA/CRL-DB-0016/R26</t>
  </si>
  <si>
    <t>Upload: Chem. Reg. &amp; Imp Licenses 2026 row 33</t>
  </si>
  <si>
    <t>LIC-021</t>
  </si>
  <si>
    <t>LR and Sons Distilleries</t>
  </si>
  <si>
    <t>EPA/CRL-023/R26</t>
  </si>
  <si>
    <t>Upload: Chem. Reg. &amp; Imp Licenses 2026 row 36</t>
  </si>
  <si>
    <t>LIC-022</t>
  </si>
  <si>
    <t>EPA/CRL-FI-021/2026</t>
  </si>
  <si>
    <t>Same licence no. EPA/CRL-FI-021/2026 recorded for National Beverages – verify</t>
  </si>
  <si>
    <t>Upload: Chem. Reg. &amp; Imp Licenses 2026 row 46</t>
  </si>
  <si>
    <t>LIC-023</t>
  </si>
  <si>
    <t>Same licence no. EPA/CRL-FI-021/2026 recorded for Tiba Industrial Group – verify</t>
  </si>
  <si>
    <t>Upload: Chem. Reg. &amp; Imp Licenses 2026 row 40</t>
  </si>
  <si>
    <t>LIC-024</t>
  </si>
  <si>
    <t>EPA/CRL-F/022/2026</t>
  </si>
  <si>
    <t>Upload: Chem. Reg. &amp; Imp Licenses 2026 row 47</t>
  </si>
  <si>
    <t>LIC-025</t>
  </si>
  <si>
    <t>EPA/CRL-ERRS-0011/R0326</t>
  </si>
  <si>
    <t>Upload: Chem. Reg. &amp; Imp Licenses 2026 row 49</t>
  </si>
  <si>
    <t>LIC-026</t>
  </si>
  <si>
    <t>MAXAM Liberia</t>
  </si>
  <si>
    <t>EPA/CRL-ERRS-002/R0426</t>
  </si>
  <si>
    <t>Upload: Chem. Reg. &amp; Imp Licenses 2026 row 50</t>
  </si>
  <si>
    <t>EPA/CIL-002/RL2026</t>
  </si>
  <si>
    <t>Upload: Chem. Reg. &amp; Imp Licenses 2026 row 6</t>
  </si>
  <si>
    <t>LIC-028</t>
  </si>
  <si>
    <t>EPA/CIL-002A/R0426</t>
  </si>
  <si>
    <t>Upload: Chem. Reg. &amp; Imp Licenses 2026 row 55</t>
  </si>
  <si>
    <t>LIC-029</t>
  </si>
  <si>
    <t>EPA/CIL-020</t>
  </si>
  <si>
    <t>Upload: Chem. Reg. &amp; Imp Licenses 2026 row 11</t>
  </si>
  <si>
    <t>LIC-030</t>
  </si>
  <si>
    <t>EPA/CIL-07/26</t>
  </si>
  <si>
    <t>Upload: Chem. Reg. &amp; Imp Licenses 2026 row 52</t>
  </si>
  <si>
    <t>LIC-031</t>
  </si>
  <si>
    <t>EPA/CIL-AC-0021/0126</t>
  </si>
  <si>
    <t>Licence no. corrected from "EPA//CIL-AC-0021/0126"</t>
  </si>
  <si>
    <t>Upload: Chem. Reg. &amp; Imp Licenses 2026 row 30</t>
  </si>
  <si>
    <t>LIC-032</t>
  </si>
  <si>
    <t>Upload: Chem. Reg. &amp; Imp Licenses 2026 row 25</t>
  </si>
  <si>
    <t>LIC-033</t>
  </si>
  <si>
    <t>EPA/CIL-B-003A/0226</t>
  </si>
  <si>
    <t>Upload: Chem. Reg. &amp; Imp Licenses 2026 row 38</t>
  </si>
  <si>
    <t>LIC-034</t>
  </si>
  <si>
    <t>EPA/CIL-AC-0028/0126</t>
  </si>
  <si>
    <t>Upload: Chem. Reg. &amp; Imp Licenses 2026 row 48</t>
  </si>
  <si>
    <t>LIC-035</t>
  </si>
  <si>
    <t>MNG Gold Liberia, Inc.</t>
  </si>
  <si>
    <t>Effluent Discharge &amp; Retention Pond</t>
  </si>
  <si>
    <t>EPA/EDL-GM-B-003/026</t>
  </si>
  <si>
    <t>Also listed on Effluent Discharge sheet – merged</t>
  </si>
  <si>
    <t>Upload: Chem. Reg. &amp; Imp Licenses 2026 row 8; Upload: Effluent Discharge License 2026 row 4</t>
  </si>
  <si>
    <t>LIC-036</t>
  </si>
  <si>
    <t>We, therefore, request that you grant them clearance for the chemicals mentioned above while the license is being processed.</t>
  </si>
  <si>
    <t>Effluent Discharge</t>
  </si>
  <si>
    <t>EPA/EDL-B-004/R26</t>
  </si>
  <si>
    <t>Please accept the assurances of my highest esteem and consideration as we strive for environmental sustainability for now and successive generations.</t>
  </si>
  <si>
    <t>Upload: Chem. Reg. &amp; Imp Licenses 2026 row 53</t>
  </si>
  <si>
    <t>LIC-037</t>
  </si>
  <si>
    <t>EPA/EDL-B-003A/0126</t>
  </si>
  <si>
    <t>Upload: Chem. Reg. &amp; Imp Licenses 2026 row 31; Upload: Effluent Discharge License 2026 row 8</t>
  </si>
  <si>
    <t>LIC-038</t>
  </si>
  <si>
    <t>EPA/EDL-B-003B/0127</t>
  </si>
  <si>
    <t>Upload: Chem. Reg. &amp; Imp Licenses 2026 row 32</t>
  </si>
  <si>
    <t>LIC-039</t>
  </si>
  <si>
    <t>EPA/EDL-B-P-001/0126</t>
  </si>
  <si>
    <t>Upload: Effluent Discharge License 2026 row 9</t>
  </si>
  <si>
    <t>LIC-040</t>
  </si>
  <si>
    <t>King Peters Town, Bushrod Island, Montserrado County</t>
  </si>
  <si>
    <t>EPA/EDL-B-003/0126</t>
  </si>
  <si>
    <t>Also listed on Effluent Discharge sheet – merged; response date recorded as 30-Jan-2025, corrected to 2026 (ref no. is /0126)</t>
  </si>
  <si>
    <t>Upload: Chem. Reg. &amp; Imp Licenses 2026 row 35; Upload: Effluent Discharge License 2026 row 11</t>
  </si>
  <si>
    <t>LIC-041</t>
  </si>
  <si>
    <t>EPA/EDL-BD-B-005/R26</t>
  </si>
  <si>
    <t>Upload: Chem. Reg. &amp; Imp Licenses 2026 row 34</t>
  </si>
  <si>
    <t>LIC-042</t>
  </si>
  <si>
    <t>Neezoe Somalia Drive, Paynesville</t>
  </si>
  <si>
    <t>DEDA/EPA-02/007/26/RL</t>
  </si>
  <si>
    <t>EPA/EDL-B-010/R26</t>
  </si>
  <si>
    <t>Upload: Chem. Reg. &amp; Imp Licenses 2026 row 37; Upload: Effluent Discharge License 2026 row 7</t>
  </si>
  <si>
    <t>LIC-043</t>
  </si>
  <si>
    <t>EPA/ERRS-B/DC-024/R26</t>
  </si>
  <si>
    <t>Upload: Chem. Reg. &amp; Imp Licenses 2026 row 41</t>
  </si>
  <si>
    <t>LIC-044</t>
  </si>
  <si>
    <t>Gardnesville, Liberia</t>
  </si>
  <si>
    <t>EPA/EDL-B-002/0126</t>
  </si>
  <si>
    <t>Upload: Effluent Discharge License 2026 row 5</t>
  </si>
  <si>
    <t>LIC-045</t>
  </si>
  <si>
    <t>Control People Pest</t>
  </si>
  <si>
    <t>DEDA/EPA-02/021/26/RL</t>
  </si>
  <si>
    <t>Upload: Effluent Discharge License 2026 row 6</t>
  </si>
  <si>
    <t>LIC-046</t>
  </si>
  <si>
    <t>Conquest Inc</t>
  </si>
  <si>
    <t>Upload: Effluent Discharge License 2026 row 10</t>
  </si>
  <si>
    <t>LIC-047</t>
  </si>
  <si>
    <t>Underground Mine Dewatering &amp; Sedimentation Pond License</t>
  </si>
  <si>
    <t>EPA/DWL-GM-B-004/026</t>
  </si>
  <si>
    <t>Upload: Chem. Reg. &amp; Imp Licenses 2026 row 7</t>
  </si>
  <si>
    <t>LIC-048</t>
  </si>
  <si>
    <t>EPA/EDL-GM-A-004/026</t>
  </si>
  <si>
    <t>Upload: Chem. Reg. &amp; Imp Licenses 2026 row 14</t>
  </si>
  <si>
    <t>LIC-049</t>
  </si>
  <si>
    <t>Fumigation Service Provider Accreditation</t>
  </si>
  <si>
    <t>EPA/FS-0017/1026</t>
  </si>
  <si>
    <t>Upload: 2026 fumigation responses row 3</t>
  </si>
  <si>
    <t>LIC-050</t>
  </si>
  <si>
    <t>EVERETTE TRANSPORT CORPORATION</t>
  </si>
  <si>
    <t>Annual Chemical Transportation License</t>
  </si>
  <si>
    <t>EPA/CTP-012/01/24</t>
  </si>
  <si>
    <t>Also listed on TRANSPORTATION sheet – merged</t>
  </si>
  <si>
    <t>Upload: Dangerous Goods Transport Servi row 2; Upload: TRANSPORTATION row 2; Upload: Chemical Transport Licenses.pdf p.7-8</t>
  </si>
  <si>
    <t>LIC-051</t>
  </si>
  <si>
    <t>Sayminee Express Service INC</t>
  </si>
  <si>
    <t>Buchanan and Broad Street</t>
  </si>
  <si>
    <t>EPA/CTP-012/01/26</t>
  </si>
  <si>
    <t>Upload: Dangerous Goods Transport Servi row 3; Upload: Chemical Transport Licenses.pdf p.11-12</t>
  </si>
  <si>
    <t>LIC-052</t>
  </si>
  <si>
    <t>EPA/CTL-002/0126</t>
  </si>
  <si>
    <t>Upload: Dangerous Goods Transport Servi row 4; Upload: Chemical Transport Licenses.pdf p.3-4</t>
  </si>
  <si>
    <t>LIC-053</t>
  </si>
  <si>
    <t>ERRS – CHEMICAL MANAGEMENT UNIT (CMU) | LICENCE CHEMICALS (PRODUCT INFORMATION) 2026</t>
  </si>
  <si>
    <t>Fendell, Lower Careysburg, Montserrado</t>
  </si>
  <si>
    <t>EPA/CIL-0027/0326</t>
  </si>
  <si>
    <t>Stock-in-facility licence; signed by Deputy ED for Administration</t>
  </si>
  <si>
    <t>Upload: CHEMICAL IMPORTATION LICENSES.pdf p.1-2</t>
  </si>
  <si>
    <t>Chemicals listed on each CRL / CIL licence. EASIEST: enter them in the CHEMICALS table on the Licence Form (saved with Save New / Update). You can also add rows here: pick the Licence Record ID (LIC-###); licence no. and company fill in. These rows print in the PRODUCT INFORMATION table.</t>
  </si>
  <si>
    <t>Licence Record ID</t>
  </si>
  <si>
    <t>LIC-054</t>
  </si>
  <si>
    <t>Stipulated Qty</t>
  </si>
  <si>
    <t>Consignment Ref. (BL/IPD No.)</t>
  </si>
  <si>
    <t>EPA/CIL-04/0226</t>
  </si>
  <si>
    <t>Annual licence</t>
  </si>
  <si>
    <t>Upload: CHEMICAL IMPORTATION LICENSES.pdf p.3-4</t>
  </si>
  <si>
    <t>LIC-055</t>
  </si>
  <si>
    <t>Buchanan, Grand Bassa County</t>
  </si>
  <si>
    <t>EPA/CIL-AC-005/R0626</t>
  </si>
  <si>
    <t>Upload: CHEMICAL IMPORTATION LICENSES.pdf p.5-6</t>
  </si>
  <si>
    <t>Deltamethrin 2.5% EC (Insecticide)</t>
  </si>
  <si>
    <t>LIC-056</t>
  </si>
  <si>
    <t>EPA-CR-FI-001-001</t>
  </si>
  <si>
    <t>kg</t>
  </si>
  <si>
    <t>3rd Street, Sinkor, Tubman Boulevard, Montserrado</t>
  </si>
  <si>
    <t>EPA/CIL-003/0326</t>
  </si>
  <si>
    <t>Stock-in-facility licence</t>
  </si>
  <si>
    <t>Upload: CHEMICAL IMPORTATION LICENSES.pdf p.10</t>
  </si>
  <si>
    <t>LIC-057</t>
  </si>
  <si>
    <t>GREENFIELD LIBERIA INC</t>
  </si>
  <si>
    <t>Imidacloprid 200 g/l (Insecticide)</t>
  </si>
  <si>
    <t>EPA-CR-FI-001-002</t>
  </si>
  <si>
    <t>Capitol Bye Pass, Monrovia, Montserrado</t>
  </si>
  <si>
    <t>EPA/CIL-CI-006/0326</t>
  </si>
  <si>
    <t>Upload: CHEMICAL IMPORTATION LICENSES.pdf p.13</t>
  </si>
  <si>
    <t>LIC-058</t>
  </si>
  <si>
    <t>EPA/CIL-DC-003/0126</t>
  </si>
  <si>
    <t>Chemical list illegible on scan - see Notes &amp; Issues</t>
  </si>
  <si>
    <t>Upload: CHEMICAL IMPORTATION LICENSES.pdf p.14-15</t>
  </si>
  <si>
    <t>Cypermethrin 36 g/l EC</t>
  </si>
  <si>
    <t>EPA-CR-FI-001-003</t>
  </si>
  <si>
    <t>LIC-059</t>
  </si>
  <si>
    <t>RAINBOW PAINT FACTORY</t>
  </si>
  <si>
    <t>Shoe Factory, Gardnersville, Montserrado</t>
  </si>
  <si>
    <t>EPA/CIL-001/R0426</t>
  </si>
  <si>
    <t>Stock-in-facility licence; quantities illegible</t>
  </si>
  <si>
    <t>Upload: CHEMICAL IMPORTATION LICENSES.pdf p.16</t>
  </si>
  <si>
    <t>Glyphosate 480 g/l (Herbicide)</t>
  </si>
  <si>
    <t>LIC-060</t>
  </si>
  <si>
    <t>EPA-CR-FI-001-004</t>
  </si>
  <si>
    <t>EPA/CIL-003ALC/0126</t>
  </si>
  <si>
    <t>Upload: CHEMICAL IMPORTATION LICENSES.pdf p.17</t>
  </si>
  <si>
    <t>LIC-061</t>
  </si>
  <si>
    <t>NPK 15-15-15</t>
  </si>
  <si>
    <t>EPA-CR-FI-001-005</t>
  </si>
  <si>
    <t>FIRESTONE RUBBER PLANTATION</t>
  </si>
  <si>
    <t>Harbel, Lower Margibi County</t>
  </si>
  <si>
    <t>EPA/CIL-0028/R0426</t>
  </si>
  <si>
    <t>Upload: CHEMICAL IMPORTATION LICENSES.pdf p.18</t>
  </si>
  <si>
    <t>LIC-062</t>
  </si>
  <si>
    <t>FIRESTONE LIBERIA, LLC</t>
  </si>
  <si>
    <t>Urea 46%</t>
  </si>
  <si>
    <t>EPA-CR-FI-001-006</t>
  </si>
  <si>
    <t>EPA/CIL-CI-003/0726</t>
  </si>
  <si>
    <t>Upload: CHEMICAL IMPORTATION LICENSES.pdf p.20</t>
  </si>
  <si>
    <t>LIC-063</t>
  </si>
  <si>
    <t>Supreme Liberia Inc</t>
  </si>
  <si>
    <t>Monrovia Industrial Park, Montserrado</t>
  </si>
  <si>
    <t>EPA/CIL-001MF/0126</t>
  </si>
  <si>
    <t>Rock Phosphate</t>
  </si>
  <si>
    <t>Quantities are monthly; expiry 01 Dec 2026 as printed</t>
  </si>
  <si>
    <t>EPA-CR-FI-001-007</t>
  </si>
  <si>
    <t>Upload: CHEMICAL IMPORTATION LICENSES.pdf p.21</t>
  </si>
  <si>
    <t>LIC-064</t>
  </si>
  <si>
    <t>HVIREN MINING INC. CORPORATION (CRC)</t>
  </si>
  <si>
    <t>ELWA, opposite SKD Sport Complex, Montserrado</t>
  </si>
  <si>
    <t>EPA/CIL-CRC-001/R0626</t>
  </si>
  <si>
    <t>Upload: CHEMICAL IMPORTATION LICENSES.pdf p.22-23</t>
  </si>
  <si>
    <t>Ethyl Alcohol</t>
  </si>
  <si>
    <t>EPA-CR-BD-0008-0001</t>
  </si>
  <si>
    <t>TBP</t>
  </si>
  <si>
    <t>LIC-065</t>
  </si>
  <si>
    <t>King Peters Town, Freeway, Bushrod Island, Montserrado</t>
  </si>
  <si>
    <t>EPA/CIL-002MF/0126</t>
  </si>
  <si>
    <t>Expiry 01 Dec 2026 as printed</t>
  </si>
  <si>
    <t>Upload: CHEMICAL IMPORTATION LICENSES.pdf p.24</t>
  </si>
  <si>
    <t>LIC-066</t>
  </si>
  <si>
    <t>Assorted Color</t>
  </si>
  <si>
    <t>EPA-CR-BD-0008-0002</t>
  </si>
  <si>
    <t>EPA/CIL-AC-0029/R0626</t>
  </si>
  <si>
    <t>Upload: CHEMICAL IMPORTATION LICENSES.pdf p.27-28</t>
  </si>
  <si>
    <t>LIC-067</t>
  </si>
  <si>
    <t>Caramel</t>
  </si>
  <si>
    <t>EPA-CR-BD-0008-0003</t>
  </si>
  <si>
    <t>UN Drive, Sayon Town, Bushrod Island, Montserrado</t>
  </si>
  <si>
    <t>EPA/CIL-0030/0426</t>
  </si>
  <si>
    <t>Upload: CHEMICAL IMPORTATION LICENSES.pdf p.29-30</t>
  </si>
  <si>
    <t>LIC-068</t>
  </si>
  <si>
    <t>Assorted Flavoring</t>
  </si>
  <si>
    <t>EPA-CR-BD-0008-0004</t>
  </si>
  <si>
    <t>16th Street, Sinkor, Montserrado</t>
  </si>
  <si>
    <t>EPA/CTP-001/01/R0726</t>
  </si>
  <si>
    <t>Second transport licence for Everette (different address); 5 trucks</t>
  </si>
  <si>
    <t>Upload: Chemical Transport Licenses.pdf p.5-6</t>
  </si>
  <si>
    <t>LIC-069</t>
  </si>
  <si>
    <t>Assorted Concentrates</t>
  </si>
  <si>
    <t>EPA-CR-BD-0008-0005</t>
  </si>
  <si>
    <t>Buchanan &amp; Front Street, Montserrado</t>
  </si>
  <si>
    <t>EPA/CTP-001/01/R0526</t>
  </si>
  <si>
    <t>14 trucks</t>
  </si>
  <si>
    <t>Upload: Chemical Transport Licenses.pdf p.1-2</t>
  </si>
  <si>
    <t>(name illegible on scan)</t>
  </si>
  <si>
    <t>Broad Street, between Center &amp; Buchanan Streets</t>
  </si>
  <si>
    <t>EPA-CR-BD-0008-0006</t>
  </si>
  <si>
    <t>EPA/CTP-013/01/26</t>
  </si>
  <si>
    <t>3 trucks</t>
  </si>
  <si>
    <t>Upload: Chemical Transport Licenses.pdf p.9-10</t>
  </si>
  <si>
    <t>Assorted Sweeteners</t>
  </si>
  <si>
    <t>EPA-CR-BD-0008-0007</t>
  </si>
  <si>
    <t>MIRACLE 8240</t>
  </si>
  <si>
    <t>EPA-CR-AC-0002-0002</t>
  </si>
  <si>
    <t>To Be Provided</t>
  </si>
  <si>
    <t>GARLON MIXED</t>
  </si>
  <si>
    <t>EPA-CR-AC-0002-0004</t>
  </si>
  <si>
    <t>CYPERMETHRIN</t>
  </si>
  <si>
    <t>EPA-CR-AC-0002-0007</t>
  </si>
  <si>
    <t>SODIUM HYDROXIDE PELLETS</t>
  </si>
  <si>
    <t>EPA-CR-AC-0002-0009</t>
  </si>
  <si>
    <t>SODA ASH 25KG/BAG</t>
  </si>
  <si>
    <t>EPA-CR-AC-0002-0010</t>
  </si>
  <si>
    <t>H-1 TITRANT HIGH RANGE</t>
  </si>
  <si>
    <t>EPA-CR-AC-0002-0014</t>
  </si>
  <si>
    <t>H-3 TOTAL HARDNESS</t>
  </si>
  <si>
    <t>EPA-CR-AC-0002-0015</t>
  </si>
  <si>
    <t>POTASSIUM IODIDE-IODATE</t>
  </si>
  <si>
    <t>EPA-CR-AC-0002-0016</t>
  </si>
  <si>
    <t>INDICATOR</t>
  </si>
  <si>
    <t>EPA-CR-AC-0002-0017</t>
  </si>
  <si>
    <t>H-2 TOTAL HARDNESS BUFFER</t>
  </si>
  <si>
    <t>EPA-CR-AC-0002-0019</t>
  </si>
  <si>
    <t>STARCH ACID INDICATOR</t>
  </si>
  <si>
    <t>EPA-CR-AC-0002-0020</t>
  </si>
  <si>
    <t>METHYL ORANGE 0.1%</t>
  </si>
  <si>
    <t>EPA-CR-AC-0002-0024</t>
  </si>
  <si>
    <t>ALKALINE BOOSTER, NALCO</t>
  </si>
  <si>
    <t>EPA-CR-AC-0002-0034</t>
  </si>
  <si>
    <t>OXYGEN SCAVENGER, NALCO</t>
  </si>
  <si>
    <t>EPA-CR-AC-0002-0035</t>
  </si>
  <si>
    <t>ALUMINIUM SULPHATE</t>
  </si>
  <si>
    <t>EPA-CR-AC-0002-0043</t>
  </si>
  <si>
    <t>SCALE INHIBITOR NALCO 3273</t>
  </si>
  <si>
    <t>EPA-CR-AC-0002-0044</t>
  </si>
  <si>
    <t>Glyphosate (Supremo)</t>
  </si>
  <si>
    <t>EPA-CR-AC-0002-0045</t>
  </si>
  <si>
    <t>EPA-CR-AC-0002-0046</t>
  </si>
  <si>
    <t>EPA-CR-AC-0002-0047</t>
  </si>
  <si>
    <t>EPA-CR-AC-0002-0048</t>
  </si>
  <si>
    <t>SILVER NITRATE 0.0172N</t>
  </si>
  <si>
    <t>EPA-CR-AC-0002-0049</t>
  </si>
  <si>
    <t>SODIUM CHLORATE</t>
  </si>
  <si>
    <t>EPA-CR-AC-0002-0050</t>
  </si>
  <si>
    <t>EPA-CR-AC-0002-0051</t>
  </si>
  <si>
    <t>Cobalt Carboxylate</t>
  </si>
  <si>
    <t>EPA-CR-PI-0001-0001</t>
  </si>
  <si>
    <t>N/A</t>
  </si>
  <si>
    <t>ERRS – CHEMICAL MANAGEMENT UNIT (CMU) | LICENCE VEHICLES (TRANSPORTATION) 2026</t>
  </si>
  <si>
    <t>Vehicles listed on each Annual Chemical Transportation Licence. Enter the Licence Record ID (LIC-###); licence no. and company fill in automatically.</t>
  </si>
  <si>
    <t>Calcium 10</t>
  </si>
  <si>
    <t>EPA-CR-PI-0001-0002</t>
  </si>
  <si>
    <t>Vehicle Type</t>
  </si>
  <si>
    <t>Vehicle Registration No.</t>
  </si>
  <si>
    <t>Alkyd Resin</t>
  </si>
  <si>
    <t>EPA-CR-PI-0001-0003</t>
  </si>
  <si>
    <t>Heavy Duty Truck</t>
  </si>
  <si>
    <t>(illegible)</t>
  </si>
  <si>
    <t>EPA/CTP-003/T1</t>
  </si>
  <si>
    <t>2-amino-2-methyl-1-propanol</t>
  </si>
  <si>
    <t>EPA-CR-PI-0008-0004</t>
  </si>
  <si>
    <t>EPA/CTP-003/T2</t>
  </si>
  <si>
    <t>Isobutanol</t>
  </si>
  <si>
    <t>EPA-CR-PI-0008-0005</t>
  </si>
  <si>
    <t>CSA0045</t>
  </si>
  <si>
    <t>EPA/CTP-003/T3</t>
  </si>
  <si>
    <t>Ecozol</t>
  </si>
  <si>
    <t>EPA-CR-PI-0008-0006</t>
  </si>
  <si>
    <t>H1A0233</t>
  </si>
  <si>
    <t>EPA/CTP-003/T4</t>
  </si>
  <si>
    <t>H1A0234</t>
  </si>
  <si>
    <t>EPA/CTP-003/T5</t>
  </si>
  <si>
    <t>SE-Tylose</t>
  </si>
  <si>
    <t>EPA-CR-PI-0008-0007</t>
  </si>
  <si>
    <t>H1A0265</t>
  </si>
  <si>
    <t>EPA/CTP-003/T6</t>
  </si>
  <si>
    <t>Calcium Carbonate</t>
  </si>
  <si>
    <t>EPA-CR-PI-0008-0008</t>
  </si>
  <si>
    <t>H1A0266</t>
  </si>
  <si>
    <t>EPA/CTP-003/T7</t>
  </si>
  <si>
    <t>Monoethylene Glycol</t>
  </si>
  <si>
    <t>EPA-CR-PI-0008-0009</t>
  </si>
  <si>
    <t>H05485</t>
  </si>
  <si>
    <t>EPA/CTP-003/T8</t>
  </si>
  <si>
    <t>EPA-CR-PI-0008-0010</t>
  </si>
  <si>
    <t>H06244</t>
  </si>
  <si>
    <t>EPA/CTP-003/T9</t>
  </si>
  <si>
    <t>H04412</t>
  </si>
  <si>
    <t>EPA/CTP-003/T10</t>
  </si>
  <si>
    <t>Viscoatex</t>
  </si>
  <si>
    <t>EPA-CR-PI-0008-0011</t>
  </si>
  <si>
    <t>H04411</t>
  </si>
  <si>
    <t>EPA/CTP-003/T11</t>
  </si>
  <si>
    <t>1-Propanol</t>
  </si>
  <si>
    <t>EPA-CR-PI-0008-0012</t>
  </si>
  <si>
    <t>H04413</t>
  </si>
  <si>
    <t>EPA/CTP-003/T12</t>
  </si>
  <si>
    <t>Toluene</t>
  </si>
  <si>
    <t>EPA-CR-PI-0008-0013</t>
  </si>
  <si>
    <t>H04415</t>
  </si>
  <si>
    <t>EPA/CTP-003/T13</t>
  </si>
  <si>
    <t>H04416</t>
  </si>
  <si>
    <t>EPA/CTP-003/T14</t>
  </si>
  <si>
    <t>Chrome Yellow 5020 Pigment</t>
  </si>
  <si>
    <t>EPA-CR-PI-0008-0014</t>
  </si>
  <si>
    <t>Chrome Yellow 5036 Pigment</t>
  </si>
  <si>
    <t>EPA-CR-PI-0008-0015</t>
  </si>
  <si>
    <t>Iron Oxide Yellow Pigment</t>
  </si>
  <si>
    <t>EPA-CR-PI-0008-0016</t>
  </si>
  <si>
    <t>Iron Oxide Red Pigment</t>
  </si>
  <si>
    <t>EPA-CR-PI-0008-0017</t>
  </si>
  <si>
    <t>Iron Oxide Black Pigment</t>
  </si>
  <si>
    <t>EPA-CR-PI-0008-0018</t>
  </si>
  <si>
    <t>Iron Oxide Brown Pigment</t>
  </si>
  <si>
    <t>EPA-CR-PI-0008-0019</t>
  </si>
  <si>
    <t>PVC Resin</t>
  </si>
  <si>
    <t>EPA-CR-PF-0001-0001</t>
  </si>
  <si>
    <t>PVC Stabilizer</t>
  </si>
  <si>
    <t>EPA-CR-PF-0001-0002</t>
  </si>
  <si>
    <t>Stearic Acid</t>
  </si>
  <si>
    <t>EPA-CR-PF-0001-0003</t>
  </si>
  <si>
    <t>H03622</t>
  </si>
  <si>
    <t>Chlorinated (name partly illegible)</t>
  </si>
  <si>
    <t>EPA-CR-PF-0001-0004</t>
  </si>
  <si>
    <t>Pigment</t>
  </si>
  <si>
    <t>EPA-CR-PF-0001-0005</t>
  </si>
  <si>
    <t>H04370</t>
  </si>
  <si>
    <t>EPA-CR-AC-0001-0006</t>
  </si>
  <si>
    <t>H04219</t>
  </si>
  <si>
    <t>H04674</t>
  </si>
  <si>
    <t>Garlon Mix 333/17 EW</t>
  </si>
  <si>
    <t>EPA-CR-FI-001-0001</t>
  </si>
  <si>
    <t>Roll Up 480 SL</t>
  </si>
  <si>
    <t>EPA-CR-FI-001-0002</t>
  </si>
  <si>
    <t>H04070</t>
  </si>
  <si>
    <t>H2A0064</t>
  </si>
  <si>
    <t>EPA-CR-CI-006-0001</t>
  </si>
  <si>
    <t>H2A0065</t>
  </si>
  <si>
    <t>H2A0066</t>
  </si>
  <si>
    <t>EPA-CR-CI-006-0002</t>
  </si>
  <si>
    <t>H2A0067</t>
  </si>
  <si>
    <t>EPA-CR-CI-006-0003</t>
  </si>
  <si>
    <t>H2A0068</t>
  </si>
  <si>
    <t>H01961</t>
  </si>
  <si>
    <t>EPA-CR-CI-006-0004</t>
  </si>
  <si>
    <t>L</t>
  </si>
  <si>
    <t>H03051</t>
  </si>
  <si>
    <t>Insecticide</t>
  </si>
  <si>
    <t>EPA-CR-CI-006-0005</t>
  </si>
  <si>
    <t>H03047</t>
  </si>
  <si>
    <t>H02744</t>
  </si>
  <si>
    <t>EPA-CR-PI-0002-0001</t>
  </si>
  <si>
    <t>H03048</t>
  </si>
  <si>
    <t>EPA-CR-PI-0002-0002</t>
  </si>
  <si>
    <t>H03045</t>
  </si>
  <si>
    <t>Akry Resin</t>
  </si>
  <si>
    <t>EPA-CR-PI-0002-0003</t>
  </si>
  <si>
    <t>H02143</t>
  </si>
  <si>
    <t>EPA-CR-PI-0002-0004</t>
  </si>
  <si>
    <t>H03050</t>
  </si>
  <si>
    <t>EPA-CR-PI-0002-0005</t>
  </si>
  <si>
    <t>H03046</t>
  </si>
  <si>
    <t>H03049</t>
  </si>
  <si>
    <t>EPA-CR-PI-0002-0006</t>
  </si>
  <si>
    <t>H369</t>
  </si>
  <si>
    <t>EPA-CR-PI-0002-0007</t>
  </si>
  <si>
    <t>H371</t>
  </si>
  <si>
    <t>H370</t>
  </si>
  <si>
    <t>EPA-CR-PI-0002-0008</t>
  </si>
  <si>
    <t>H01388</t>
  </si>
  <si>
    <t>EPA-CR-PI-0002-0009</t>
  </si>
  <si>
    <t>H01240</t>
  </si>
  <si>
    <t>H01990</t>
  </si>
  <si>
    <t>EPA-CR-PI-0002-0010</t>
  </si>
  <si>
    <t>H01232</t>
  </si>
  <si>
    <t>EPA-CR-PI-0002-0011</t>
  </si>
  <si>
    <t>H01233</t>
  </si>
  <si>
    <t>Viscotex</t>
  </si>
  <si>
    <t>EPA-CR-PI-0002-0012</t>
  </si>
  <si>
    <t>H03606</t>
  </si>
  <si>
    <t>H01389</t>
  </si>
  <si>
    <t>EPA-CR-PI-0002-0013</t>
  </si>
  <si>
    <t>H01992</t>
  </si>
  <si>
    <t>EPA-CR-DB-0003-0001</t>
  </si>
  <si>
    <t>H03607</t>
  </si>
  <si>
    <t>Powder Foam</t>
  </si>
  <si>
    <t>H01989</t>
  </si>
  <si>
    <t>Acetone, ACS, 200L TR/DR</t>
  </si>
  <si>
    <t>H01234</t>
  </si>
  <si>
    <t>H01991</t>
  </si>
  <si>
    <t>Epoxy, Fastcure</t>
  </si>
  <si>
    <t>Varsol Fluid, Drum (DR)</t>
  </si>
  <si>
    <t>Potassium Chloride (KCl)</t>
  </si>
  <si>
    <t>Dye, Green, Aqueous</t>
  </si>
  <si>
    <t>Red Dye (Water)</t>
  </si>
  <si>
    <t>Polyol</t>
  </si>
  <si>
    <t>EPA-CR-MF-0001-0001</t>
  </si>
  <si>
    <t>kg/month</t>
  </si>
  <si>
    <t>TDI</t>
  </si>
  <si>
    <t>EPA-CR-MF-0001-0002</t>
  </si>
  <si>
    <t>MDI Organics</t>
  </si>
  <si>
    <t>EPA-CR-MF-0001-0003</t>
  </si>
  <si>
    <t>MC-270</t>
  </si>
  <si>
    <t>EPA-CR-MF-0001-0004</t>
  </si>
  <si>
    <t>Calcium Chloride</t>
  </si>
  <si>
    <t>EPA-CR-MF-0001-0005</t>
  </si>
  <si>
    <t>EPA-CR-MF-0001-0006</t>
  </si>
  <si>
    <t>EPA-CR-MF-0001-0007</t>
  </si>
  <si>
    <t>EPA-CR-MF-0001-0008</t>
  </si>
  <si>
    <t>EPA-CR-MF-0001-0009</t>
  </si>
  <si>
    <t>Tegoamine BDE</t>
  </si>
  <si>
    <t>EPA-CR-MF-0001-0010</t>
  </si>
  <si>
    <t>EPA-CR-MF-0001-0011</t>
  </si>
  <si>
    <t>Terpineol (Pine Oil) &gt;50%</t>
  </si>
  <si>
    <t>EPA-CR-AC-0002-0001</t>
  </si>
  <si>
    <t>Sodium Isobutyl Xanthate Pellets &gt;90%</t>
  </si>
  <si>
    <t>ERRS – CHEMICAL MANAGEMENT UNIT (CMU) | LICENCE EFFLUENT DETAILS (EDL) 2026</t>
  </si>
  <si>
    <t>Effluent details for each EDL licence, saved from the EFFLUENT DETAILS section of the Licence Form (Save New / Update) and loaded by Find. Section = Setting (Field 1 item, Field 2 value) | Limit (Parameter, Unit, Limit, Sample Type, Testing Schedule, Stage/Table) | Coordinate (Discharge source, Vertex, Easting, Northing) | Source (Discharge source, Receiving unit). Only the parameters a licence needs are listed.</t>
  </si>
  <si>
    <t>Ammonium Dibutyl Dithiophosphate &gt;91%</t>
  </si>
  <si>
    <t>Section</t>
  </si>
  <si>
    <t>Field 1</t>
  </si>
  <si>
    <t>Field 2</t>
  </si>
  <si>
    <t>Field 3</t>
  </si>
  <si>
    <t>Field 4</t>
  </si>
  <si>
    <t>Field 5</t>
  </si>
  <si>
    <t>Field 6</t>
  </si>
  <si>
    <t>Key</t>
  </si>
  <si>
    <t>EPA-CR-AC-0002-0003</t>
  </si>
  <si>
    <t/>
  </si>
  <si>
    <t>Zinc Powder 400</t>
  </si>
  <si>
    <t>Caustic Soda Flakes &gt;98%</t>
  </si>
  <si>
    <t>EPA-CR-AC-0002-0005</t>
  </si>
  <si>
    <t>ERRS – CHEMICAL MANAGEMENT UNIT (CMU) | CHEMICAL CLEARANCES REGISTER 2026</t>
  </si>
  <si>
    <t>All 2026 chemical import clearances (BMMC, MNG Gold and other companies). Sheet1 records are linked live to Sheet1; quantities converted to kg / MT by formula.</t>
  </si>
  <si>
    <t>Qty as Recorded</t>
  </si>
  <si>
    <t>Clearance Ref. No.</t>
  </si>
  <si>
    <t>Clearance Date</t>
  </si>
  <si>
    <t>CLR-001</t>
  </si>
  <si>
    <t>CLN-001</t>
  </si>
  <si>
    <t>Colorant</t>
  </si>
  <si>
    <t>Cyflo 050 EW</t>
  </si>
  <si>
    <t>EPA-CR-FI-0002-0001</t>
  </si>
  <si>
    <t>Bottles</t>
  </si>
  <si>
    <t>ED/EPA-01/05160/26/RL</t>
  </si>
  <si>
    <t>Delta 50 SC</t>
  </si>
  <si>
    <t>EPA-CR-FI-0002-0002</t>
  </si>
  <si>
    <t>Sodium Cyanide – also on upload BMMC Clearances 2026 (MNG Gold, dated 13-Jan-2026)</t>
  </si>
  <si>
    <t>Sheet1 row 4; letter: Clearances.pdf p.42</t>
  </si>
  <si>
    <t>CLR-002</t>
  </si>
  <si>
    <t>CLN-002</t>
  </si>
  <si>
    <t>Flumida SC</t>
  </si>
  <si>
    <t>EPA-CR-FI-0002-0003</t>
  </si>
  <si>
    <t>ERRS – CHEMICAL MANAGEMENT UNIT (CMU) | BILLS &amp; INVOICES REGISTER 2026</t>
  </si>
  <si>
    <t>Also on upload BMMC Clearances 2026 – reconciled (same record)</t>
  </si>
  <si>
    <t>Sheet1 row 5</t>
  </si>
  <si>
    <t>CLR-003</t>
  </si>
  <si>
    <t>CLN-003</t>
  </si>
  <si>
    <t>Bills issued in 2026. Payment status reconciles each company's total billed against its total paid on the Payments &amp; Receipts register.</t>
  </si>
  <si>
    <t>Lambdathrin 5SC</t>
  </si>
  <si>
    <t>EPA-CR-FI-0002-0004</t>
  </si>
  <si>
    <t>Bill ID</t>
  </si>
  <si>
    <t>Purpose / Licence Billed</t>
  </si>
  <si>
    <t>Chemical</t>
  </si>
  <si>
    <t>Company Total Billed (USD)</t>
  </si>
  <si>
    <t>Company Total Paid (USD)</t>
  </si>
  <si>
    <t>Contact Title</t>
  </si>
  <si>
    <t>Bill Type</t>
  </si>
  <si>
    <t>Paid on this Bill (USD)</t>
  </si>
  <si>
    <t>Bill Status</t>
  </si>
  <si>
    <t>Linked Record</t>
  </si>
  <si>
    <t>Sheet1 row 6</t>
  </si>
  <si>
    <t>BIL-001</t>
  </si>
  <si>
    <t>BN-2026-001</t>
  </si>
  <si>
    <t>EPA-CR-FI-0002-0005</t>
  </si>
  <si>
    <t>CLR-004</t>
  </si>
  <si>
    <t>CLN-004</t>
  </si>
  <si>
    <t>Delta Plastics, Inc.</t>
  </si>
  <si>
    <t>Annual Chemical Registration License</t>
  </si>
  <si>
    <t>Registration + Importation (combined fee)</t>
  </si>
  <si>
    <t>Sheet1 row 7</t>
  </si>
  <si>
    <t>Blox Final</t>
  </si>
  <si>
    <t>EPA-CR-FI-0002-0006</t>
  </si>
  <si>
    <t>CLR-005</t>
  </si>
  <si>
    <t>CLN-005</t>
  </si>
  <si>
    <t>Upload: BILLS row 18</t>
  </si>
  <si>
    <t>Licence – New Application</t>
  </si>
  <si>
    <t>DEDA/EPA-02/040/26/RL</t>
  </si>
  <si>
    <t>Also on upload BMMC Clearances 2026 as MNG Gold, 868,000 kg (Sheet1: 860,000 kg) – verify quantity</t>
  </si>
  <si>
    <t>Sheet1 row 8; letter: Clearances.pdf p.43</t>
  </si>
  <si>
    <t>EPA-CR-FI-0002-0007</t>
  </si>
  <si>
    <t>CLR-006</t>
  </si>
  <si>
    <t>CLN-006</t>
  </si>
  <si>
    <t>BIL-002</t>
  </si>
  <si>
    <t>BN-2026-002</t>
  </si>
  <si>
    <t>Mosquil</t>
  </si>
  <si>
    <t>EPA-CR-FI-0002-0008</t>
  </si>
  <si>
    <t>MNG Gold Mine</t>
  </si>
  <si>
    <t>Kokoya, Bong County</t>
  </si>
  <si>
    <t>Underground Mine Dewatering and Retention License</t>
  </si>
  <si>
    <t>Also on upload BMMC Clearances 2026 as MNG Gold; Date recorded as "February 6, 22026" – corrected</t>
  </si>
  <si>
    <t>Sheet1 row 9; letter: Clearances.pdf p.43</t>
  </si>
  <si>
    <t>Upload: BILLS row 19</t>
  </si>
  <si>
    <t>CLR-007</t>
  </si>
  <si>
    <t>CLN-007</t>
  </si>
  <si>
    <t>BIL-003</t>
  </si>
  <si>
    <t>EPA-CR-FI-0002-0009</t>
  </si>
  <si>
    <t>Annual Effluent Discharge License</t>
  </si>
  <si>
    <t>Sheet1 row 10; letter: Clearances.pdf p.43</t>
  </si>
  <si>
    <t>Upload: BILLS row 20</t>
  </si>
  <si>
    <t>CLR-008</t>
  </si>
  <si>
    <t>CLN-008</t>
  </si>
  <si>
    <t>BIL-004</t>
  </si>
  <si>
    <t>BN-2026-003</t>
  </si>
  <si>
    <t>EPA-CR-FI-0002-0010</t>
  </si>
  <si>
    <t>Mano Manufacturing Company</t>
  </si>
  <si>
    <t>Caldwell Road, Monrovia, Liberia</t>
  </si>
  <si>
    <t>Also on upload BMMC Clearances 2026 – reconciled (same record); Date recorded as "February 10, 22026" – corrected</t>
  </si>
  <si>
    <t>Sheet1 row 11</t>
  </si>
  <si>
    <t>Upload: BILLS row 21</t>
  </si>
  <si>
    <t>CLR-009</t>
  </si>
  <si>
    <t>CLN-009</t>
  </si>
  <si>
    <t>BIL-005</t>
  </si>
  <si>
    <t>BN-2026-004</t>
  </si>
  <si>
    <t>EPA-CR-FI-0002-0011</t>
  </si>
  <si>
    <t>Conquesr Inc.</t>
  </si>
  <si>
    <t>Gardnersville, Monrovia, Liberia</t>
  </si>
  <si>
    <t>Fumigation Certificate</t>
  </si>
  <si>
    <t>ED/EPA-01/485/26/RL</t>
  </si>
  <si>
    <t>Also on upload BMMC Clearances 2026 as MNG Gold</t>
  </si>
  <si>
    <t>Sheet1 row 12; letter: Clearances.pdf p.14</t>
  </si>
  <si>
    <t>Upload: BILLS row 22</t>
  </si>
  <si>
    <t>Matarat Wax</t>
  </si>
  <si>
    <t>EPA-CR-FI-0002-0012</t>
  </si>
  <si>
    <t>CLR-010</t>
  </si>
  <si>
    <t>CLN-010</t>
  </si>
  <si>
    <t>BIL-006</t>
  </si>
  <si>
    <t>BN-2026-005</t>
  </si>
  <si>
    <t>Dixville, Montserrado Liberia</t>
  </si>
  <si>
    <t>EPA-CR-FI-0002-0013</t>
  </si>
  <si>
    <t>ED/EPA-01/125/26/RL</t>
  </si>
  <si>
    <t>Upload: BILLS row 23</t>
  </si>
  <si>
    <t>Sheet1 row 13; letter: Clearances.pdf p.4</t>
  </si>
  <si>
    <t>BIL-007</t>
  </si>
  <si>
    <t>CLR-011</t>
  </si>
  <si>
    <t>BN-2026-006</t>
  </si>
  <si>
    <t>CLN-011</t>
  </si>
  <si>
    <t>EPA-CR-FI-0002-0014</t>
  </si>
  <si>
    <t>T Waste Recycling and Fumigation</t>
  </si>
  <si>
    <t>Capitol Bye PAss</t>
  </si>
  <si>
    <t>Upload: BILLS row 24</t>
  </si>
  <si>
    <t>Sheet1 row 14; letter: Clearances.pdf p.4</t>
  </si>
  <si>
    <t>Blox Contract</t>
  </si>
  <si>
    <t>EPA-CR-FI-0002-0015</t>
  </si>
  <si>
    <t>BIL-008</t>
  </si>
  <si>
    <t>BN-2026-007</t>
  </si>
  <si>
    <t>CLR-012</t>
  </si>
  <si>
    <t>CLN-012</t>
  </si>
  <si>
    <t>Upload: BILLS row 25</t>
  </si>
  <si>
    <t>LPG (Propane, Butane, Ethane, Isobutane)</t>
  </si>
  <si>
    <t>Sheet1 row 15; letter: Clearances.pdf p.4</t>
  </si>
  <si>
    <t>MT</t>
  </si>
  <si>
    <t>BIL-009</t>
  </si>
  <si>
    <t>BN-2026-008</t>
  </si>
  <si>
    <t>CLR-013</t>
  </si>
  <si>
    <t>CLN-013</t>
  </si>
  <si>
    <t>Bea Mountain Mining Corporation</t>
  </si>
  <si>
    <t>Hydrochloric Acid 1 mol/L AR</t>
  </si>
  <si>
    <t>EPA-CR-AC-0005-0001</t>
  </si>
  <si>
    <t>Upload: BILLS row 26</t>
  </si>
  <si>
    <t>Sheet1 row 16; letter: Clearances.pdf p.4</t>
  </si>
  <si>
    <t>BIL-010</t>
  </si>
  <si>
    <t>CLR-014</t>
  </si>
  <si>
    <t>BN-2026-009</t>
  </si>
  <si>
    <t>CLN-014</t>
  </si>
  <si>
    <t>Ortho-Phosphoric Acid AR-ACS</t>
  </si>
  <si>
    <t>EPA-CR-AC-0005-0002</t>
  </si>
  <si>
    <t>Seyminee Express Services Inc</t>
  </si>
  <si>
    <t>Chemical Transportation License</t>
  </si>
  <si>
    <t>Upload: BILLS row 27</t>
  </si>
  <si>
    <t>Sheet1 row 17; letter: Clearances.pdf p.4</t>
  </si>
  <si>
    <t>Glycerol AR, ACS - 2.5 L</t>
  </si>
  <si>
    <t>EPA-CR-AC-0005-0004</t>
  </si>
  <si>
    <t>BIL-011</t>
  </si>
  <si>
    <t>BN-2026-010</t>
  </si>
  <si>
    <t>CLR-015</t>
  </si>
  <si>
    <t>CLN-015</t>
  </si>
  <si>
    <t>Caustic Soda</t>
  </si>
  <si>
    <t>Upload: BILLS row 28</t>
  </si>
  <si>
    <t>Buffer Solution pH 4 - 500 mL</t>
  </si>
  <si>
    <t>EPA-CR-AC-0005-0005</t>
  </si>
  <si>
    <t>Sheet1 row 18; letter: Clearances.pdf p.4</t>
  </si>
  <si>
    <t>BIL-012</t>
  </si>
  <si>
    <t>CLR-016</t>
  </si>
  <si>
    <t>CLN-016</t>
  </si>
  <si>
    <t>Buffer Solution pH 7 - 500 mL</t>
  </si>
  <si>
    <t>Chemical Importation License</t>
  </si>
  <si>
    <t>EPA-CR-AC-0005-0006</t>
  </si>
  <si>
    <t>Upload: BILLS row 29</t>
  </si>
  <si>
    <t>Sheet1 row 19; letter: Clearances.pdf p.4</t>
  </si>
  <si>
    <t>BIL-013</t>
  </si>
  <si>
    <t>BN-2026-011</t>
  </si>
  <si>
    <t>CLR-017</t>
  </si>
  <si>
    <t>Acetic Acid Glacial AR ACS - 2.5 L</t>
  </si>
  <si>
    <t>CLN-017</t>
  </si>
  <si>
    <t>EPA-CR-AC-0005-0007</t>
  </si>
  <si>
    <t>EDTA, BHT, Glycerin</t>
  </si>
  <si>
    <t>Upload: BILLS row 30</t>
  </si>
  <si>
    <t>ED/EPA-01/124/26/RL</t>
  </si>
  <si>
    <t>Sodium Carbonate Anhydrous AR</t>
  </si>
  <si>
    <t>EPA-CR-AC-0005-0008</t>
  </si>
  <si>
    <t>BIL-014</t>
  </si>
  <si>
    <t>Sheet1 row 20; letter: Clearances.pdf p.44</t>
  </si>
  <si>
    <t>CLR-018</t>
  </si>
  <si>
    <t>CLN-018</t>
  </si>
  <si>
    <t>EDTA Disodium Salt Dihydrate AR</t>
  </si>
  <si>
    <t>EPA-CR-AC-0005-0009</t>
  </si>
  <si>
    <t>Upload: BILLS row 31</t>
  </si>
  <si>
    <t>BIL-015</t>
  </si>
  <si>
    <t>Sheet1 row 21; letter: Clearances.pdf p.44</t>
  </si>
  <si>
    <t>Sodium Acetate Anhydrous AR</t>
  </si>
  <si>
    <t>EPA-CR-AC-0005-0011</t>
  </si>
  <si>
    <t>CLR-019</t>
  </si>
  <si>
    <t>CLN-019</t>
  </si>
  <si>
    <t>Upload: BILLS row 32</t>
  </si>
  <si>
    <t>BIL-016</t>
  </si>
  <si>
    <t>BN-2026-012</t>
  </si>
  <si>
    <t>Sodium Phosphate Dibasic AR</t>
  </si>
  <si>
    <t>EPA-CR-AC-0005-0012</t>
  </si>
  <si>
    <t>Sheet1 row 22; letter: Clearances.pdf p.44</t>
  </si>
  <si>
    <t>CLR-020</t>
  </si>
  <si>
    <t>CLN-020</t>
  </si>
  <si>
    <t>Upload: BILLS row 33</t>
  </si>
  <si>
    <t>Sodium Acetate Trihydrate AR</t>
  </si>
  <si>
    <t>EPA-CR-AC-0005-0013</t>
  </si>
  <si>
    <t>BIL-017</t>
  </si>
  <si>
    <t>ED/EPA-01/494/26/RL</t>
  </si>
  <si>
    <t>Sheet1 row 23; letter: Clearances.pdf p.5</t>
  </si>
  <si>
    <t>CLR-021</t>
  </si>
  <si>
    <t>CLN-021</t>
  </si>
  <si>
    <t>Upload: BILLS row 34</t>
  </si>
  <si>
    <t>BIL-018</t>
  </si>
  <si>
    <t>BN-2026-013</t>
  </si>
  <si>
    <t>Sheet1 row 24</t>
  </si>
  <si>
    <t>Sodium Sulphate Anhydrous AR</t>
  </si>
  <si>
    <t>EPA-CR-AC-0005-0014</t>
  </si>
  <si>
    <t>Control People Pest's</t>
  </si>
  <si>
    <t>CLR-022</t>
  </si>
  <si>
    <t>CLN-022</t>
  </si>
  <si>
    <t>Upload: BILLS row 35</t>
  </si>
  <si>
    <t>BIL-019</t>
  </si>
  <si>
    <t>BN-2026-014</t>
  </si>
  <si>
    <t>Sodium Chloride AR, ACS - 500 g</t>
  </si>
  <si>
    <t>EPA-CR-AC-0005-0015</t>
  </si>
  <si>
    <t>Sheet1 row 25</t>
  </si>
  <si>
    <t>CLR-023</t>
  </si>
  <si>
    <t>CLN-023</t>
  </si>
  <si>
    <t>Upload: BILLS row 36</t>
  </si>
  <si>
    <t>Potassium Phosphate Dibasic AR</t>
  </si>
  <si>
    <t>EPA-CR-AC-0005-0016</t>
  </si>
  <si>
    <t>BIL-020</t>
  </si>
  <si>
    <t>ED/EPA-01/495/26/RL</t>
  </si>
  <si>
    <t>Sheet1 row 26; letter: Clearances.pdf p.3</t>
  </si>
  <si>
    <t>Starch, Soluble AR, ACS - 500 g</t>
  </si>
  <si>
    <t>EPA-CR-AC-0005-0018</t>
  </si>
  <si>
    <t>CLR-024</t>
  </si>
  <si>
    <t>Upload: BILLS row 37</t>
  </si>
  <si>
    <t>CLN-024</t>
  </si>
  <si>
    <t>BIL-021</t>
  </si>
  <si>
    <t>Unverified</t>
  </si>
  <si>
    <t>Potassium Chloride AR - 500 g</t>
  </si>
  <si>
    <t>EPA-CR-AC-0005-0019</t>
  </si>
  <si>
    <t>Quantity 2,599,007,504 matches the B/L no. – data-entry error; verify actual weight</t>
  </si>
  <si>
    <t>Sheet1 row 27; letter: Clearances.pdf p.3</t>
  </si>
  <si>
    <t>Upload: BILLS row 38</t>
  </si>
  <si>
    <t>CLR-025</t>
  </si>
  <si>
    <t>CLN-025</t>
  </si>
  <si>
    <t>BIL-022</t>
  </si>
  <si>
    <t>BN-2026-015</t>
  </si>
  <si>
    <t>Potassium Phosphate Monobasic</t>
  </si>
  <si>
    <t>EPA-CR-AC-0005-0020</t>
  </si>
  <si>
    <t>ED/EPA-01/642/26/RL</t>
  </si>
  <si>
    <t>Sheet1 row 28; letter: Clearances.pdf p.2</t>
  </si>
  <si>
    <t>Upload: BILLS row 39</t>
  </si>
  <si>
    <t>CLR-026</t>
  </si>
  <si>
    <t>CLN-026</t>
  </si>
  <si>
    <t>Ammonia Solution Sp. Gr. 0.91 AR</t>
  </si>
  <si>
    <t>EPA-CR-AC-0005-0022</t>
  </si>
  <si>
    <t>BIL-023</t>
  </si>
  <si>
    <t>BN-2026-016</t>
  </si>
  <si>
    <t>Madina Rock Quarry</t>
  </si>
  <si>
    <t>Madina Town, Cape Mount</t>
  </si>
  <si>
    <t>ED/EPA-01/644/26/RL</t>
  </si>
  <si>
    <t>Upload: BILLS row 40</t>
  </si>
  <si>
    <t>Potassium Sorbate LR - 1 kg</t>
  </si>
  <si>
    <t>EPA-CR-AC-0005-0023</t>
  </si>
  <si>
    <t>Sheet1 row 29; letter: Clearances.pdf p.7</t>
  </si>
  <si>
    <t>BIL-024</t>
  </si>
  <si>
    <t>CLR-027</t>
  </si>
  <si>
    <t>CLN-027</t>
  </si>
  <si>
    <t>Trisodium Citrate Dihydrate AR</t>
  </si>
  <si>
    <t>EPA-CR-AC-0005-0024</t>
  </si>
  <si>
    <t>Upload: BILLS row 41</t>
  </si>
  <si>
    <t>Sheet1 row 30; letter: Clearances.pdf p.7</t>
  </si>
  <si>
    <t>BIL-025</t>
  </si>
  <si>
    <t>BN-2026-017</t>
  </si>
  <si>
    <t>Ascorbic Acid AR ACS - 100 g</t>
  </si>
  <si>
    <t>EPA-CR-AC-0005-0025</t>
  </si>
  <si>
    <t>CLR-028</t>
  </si>
  <si>
    <t>CLN-028</t>
  </si>
  <si>
    <t>Kru Hill community, Johnsonville</t>
  </si>
  <si>
    <t>Upload: BILLS row 42</t>
  </si>
  <si>
    <t>ED/EPA-01/648/26/RL</t>
  </si>
  <si>
    <t>Citric Acid Anhydrous LR - 500 g</t>
  </si>
  <si>
    <t>EPA-CR-AC-0005-0026</t>
  </si>
  <si>
    <t>Sheet1 row 31; letter: Clearances.pdf p.18</t>
  </si>
  <si>
    <t>BIL-026</t>
  </si>
  <si>
    <t>BN-2026-018</t>
  </si>
  <si>
    <t>CLR-029</t>
  </si>
  <si>
    <t>CLN-029</t>
  </si>
  <si>
    <t>Maxam Liberia</t>
  </si>
  <si>
    <t>Includes Chemical Clearance – Porous Ammonium Nitrate</t>
  </si>
  <si>
    <t>Sodium Thiosulphate N/10</t>
  </si>
  <si>
    <t>EPA-CR-AC-0005-0028</t>
  </si>
  <si>
    <t>Upload: BILLS row 43</t>
  </si>
  <si>
    <t>BIL-027</t>
  </si>
  <si>
    <t>Sheet1 row 32; letter: Clearances.pdf p.18</t>
  </si>
  <si>
    <t>BN-2026-019</t>
  </si>
  <si>
    <t>Benson and Buchanan Streets</t>
  </si>
  <si>
    <t>CLR-030</t>
  </si>
  <si>
    <t>CLN-030</t>
  </si>
  <si>
    <t>EPA-CR-AC-0005-0029</t>
  </si>
  <si>
    <t>Upload: BILLS row 44</t>
  </si>
  <si>
    <t>ERRS – CHEMICAL MANAGEMENT UNIT (CMU) | PAYMENTS &amp; RECEIPTS REGISTER 2026</t>
  </si>
  <si>
    <t>Sheet1 row 33; letter: Clearances.pdf p.18</t>
  </si>
  <si>
    <t>EPA-CR-AC-0005-0030</t>
  </si>
  <si>
    <t>Liberia Agriculture Company</t>
  </si>
  <si>
    <t>CLR-031</t>
  </si>
  <si>
    <t>CLN-031</t>
  </si>
  <si>
    <t>All 2026 payments received. Sheet2 records are linked live to Sheet2; receipts from the uploaded log reconciled by receipt number.</t>
  </si>
  <si>
    <t>Upload: BILLS row 45</t>
  </si>
  <si>
    <t>EPA-CR-AC-0005-0031</t>
  </si>
  <si>
    <t>ED/EPA-01/619/26/RL</t>
  </si>
  <si>
    <t>Sheet1 row 34; letter: Clearances.pdf p.20</t>
  </si>
  <si>
    <t>Purpose / Services</t>
  </si>
  <si>
    <t>Amount (USD)</t>
  </si>
  <si>
    <t>Payment Date</t>
  </si>
  <si>
    <t>Record Group</t>
  </si>
  <si>
    <t>PAY-001</t>
  </si>
  <si>
    <t>CLR-032</t>
  </si>
  <si>
    <t>CLN-032</t>
  </si>
  <si>
    <t>Phenolphthalein Indicator Powder</t>
  </si>
  <si>
    <t>EPA-CR-AC-0005-0032</t>
  </si>
  <si>
    <t>Sheet1 row 35</t>
  </si>
  <si>
    <t>EPA-CR-AC-0005-0033</t>
  </si>
  <si>
    <t>CLR-033</t>
  </si>
  <si>
    <t>CLN-033</t>
  </si>
  <si>
    <t>EPA-CR-AC-0005-0034</t>
  </si>
  <si>
    <t>ED/EPA-01/647/26/RL</t>
  </si>
  <si>
    <t>Jan–Jul audit record</t>
  </si>
  <si>
    <t>Receipt also on upload RECEIPTS row 9 (dated 16-Jan-2026) – reconciled</t>
  </si>
  <si>
    <t>Sheet1 row 36; letter: Clearances.pdf p.19</t>
  </si>
  <si>
    <t>Sheet2 row 3</t>
  </si>
  <si>
    <t>PAY-002</t>
  </si>
  <si>
    <t>CLR-034</t>
  </si>
  <si>
    <t>CLN-034</t>
  </si>
  <si>
    <t>Sheet1 row 37; letter: Clearances.pdf p.19</t>
  </si>
  <si>
    <t>Receipt also on upload RECEIPTS row 12 (dated 20-Jan-2026) – reconciled</t>
  </si>
  <si>
    <t>Sheet2 row 4</t>
  </si>
  <si>
    <t>PAY-003</t>
  </si>
  <si>
    <t>CLR-035</t>
  </si>
  <si>
    <t>CLN-035</t>
  </si>
  <si>
    <t>Receipt also on upload RECEIPTS row 11 (dated 20-Jan-2026) – reconciled</t>
  </si>
  <si>
    <t>Sheet2 row 5</t>
  </si>
  <si>
    <t>PAY-004</t>
  </si>
  <si>
    <t>Sheet1 row 38; letter: Clearances.pdf p.19</t>
  </si>
  <si>
    <t>CLR-036</t>
  </si>
  <si>
    <t>CLN-036</t>
  </si>
  <si>
    <t>Sheet2 row 6</t>
  </si>
  <si>
    <t>PAY-005</t>
  </si>
  <si>
    <t>Sheet1 row 39; letter: Clearances.pdf p.19</t>
  </si>
  <si>
    <t>CLR-037</t>
  </si>
  <si>
    <t>CLN-037</t>
  </si>
  <si>
    <t>Sheet2 row 7</t>
  </si>
  <si>
    <t>PAY-006</t>
  </si>
  <si>
    <t>ED/EPA-01/651/26/RL</t>
  </si>
  <si>
    <t>Sheet1 row 40; letter: Clearances.pdf p.10</t>
  </si>
  <si>
    <t>Receipt also on upload RECEIPTS row 6 – reconciled</t>
  </si>
  <si>
    <t>Sheet2 row 9</t>
  </si>
  <si>
    <t>CLR-038</t>
  </si>
  <si>
    <t>CLN-038</t>
  </si>
  <si>
    <t>PAY-007</t>
  </si>
  <si>
    <t>ED/EPA-01/940/26/RL</t>
  </si>
  <si>
    <t>Sheet1 row 41; letter: Clearances.pdf p.16 (re-issued as ED/EPA-01/1130/26/RL, p.17)</t>
  </si>
  <si>
    <t>Sheet2 row 10</t>
  </si>
  <si>
    <t>PAY-008</t>
  </si>
  <si>
    <t>CLR-039</t>
  </si>
  <si>
    <t>CLN-039</t>
  </si>
  <si>
    <t>pcs</t>
  </si>
  <si>
    <t>Sheet2 row 11</t>
  </si>
  <si>
    <t>ED/EPA-01/1130/26/RL</t>
  </si>
  <si>
    <t>PAY-009</t>
  </si>
  <si>
    <t>Quantity recorded as pieces – not converted to kg</t>
  </si>
  <si>
    <t>Sheet1 row 42; letter: Clearances.pdf p.17</t>
  </si>
  <si>
    <t>CLR-040</t>
  </si>
  <si>
    <t>CLN-040</t>
  </si>
  <si>
    <t>Sheet2 row 12</t>
  </si>
  <si>
    <t>PAY-010</t>
  </si>
  <si>
    <t>ED/EPA-01/941/26/RL</t>
  </si>
  <si>
    <t>Sheet1 row 43; letter: Clearances.pdf p.8 (re-issued as ED/EPA-01/948/26/RL, 14 Apr 2026, p.6)</t>
  </si>
  <si>
    <t>CLR-041</t>
  </si>
  <si>
    <t>Sheet2 row 13</t>
  </si>
  <si>
    <t>PAY-011</t>
  </si>
  <si>
    <t>Sheet1 row 44; letter: Clearances.pdf p.8 (re-issued as ED/EPA-01/948/26/RL, 14 Apr 2026, p.6)</t>
  </si>
  <si>
    <t>Sheet2 row 14</t>
  </si>
  <si>
    <t>PAY-012</t>
  </si>
  <si>
    <t>CLR-042</t>
  </si>
  <si>
    <t>CLN-041</t>
  </si>
  <si>
    <t>Sheet2 row 15</t>
  </si>
  <si>
    <t>PAY-013</t>
  </si>
  <si>
    <t>Sheet1 row 45; letter: Clearances.pdf p.8 (re-issued as ED/EPA-01/948/26/RL, 14 Apr 2026, p.6)</t>
  </si>
  <si>
    <t>CLR-043</t>
  </si>
  <si>
    <t>CLN-042</t>
  </si>
  <si>
    <t>Sheet2 row 16</t>
  </si>
  <si>
    <t>PAY-014</t>
  </si>
  <si>
    <t>ED/EPA-01/1131/26/RL</t>
  </si>
  <si>
    <t>Sheet1 row 46; letter: Clearances.pdf p.15</t>
  </si>
  <si>
    <t>CLR-044</t>
  </si>
  <si>
    <t>CLN-043</t>
  </si>
  <si>
    <t>Sheet2 row 17</t>
  </si>
  <si>
    <t>PAY-015</t>
  </si>
  <si>
    <t>Sheet1 row 47; letter: Clearances.pdf p.15</t>
  </si>
  <si>
    <t>Sheet2 row 18</t>
  </si>
  <si>
    <t>PAY-016</t>
  </si>
  <si>
    <t>CLR-045</t>
  </si>
  <si>
    <t>CLN-044</t>
  </si>
  <si>
    <t>Sheet2 row 19</t>
  </si>
  <si>
    <t>Sheet1 row 48; letter: Clearances.pdf p.15</t>
  </si>
  <si>
    <t>PAY-017</t>
  </si>
  <si>
    <t>CLR-046</t>
  </si>
  <si>
    <t>CLN-045</t>
  </si>
  <si>
    <t>Sheet2 row 20</t>
  </si>
  <si>
    <t>PAY-018</t>
  </si>
  <si>
    <t>ED/EPA-01/1132/26/RL</t>
  </si>
  <si>
    <t>Sheet1 row 49; letter: Clearances.pdf p.12</t>
  </si>
  <si>
    <t>CLR-047</t>
  </si>
  <si>
    <t>CLN-046</t>
  </si>
  <si>
    <t>Date recorded as "Feb-2025-2026" – unclear, left blank; verify</t>
  </si>
  <si>
    <t>Sheet2 row 21</t>
  </si>
  <si>
    <t>PAY-019</t>
  </si>
  <si>
    <t>ED/EPA-01/947/26/RL</t>
  </si>
  <si>
    <t>Sheet1 row 50; letter: Clearances.pdf p.23</t>
  </si>
  <si>
    <t>Date recorded as "20-Apr-2025-2026" – unclear, left blank; verify</t>
  </si>
  <si>
    <t>Sheet2 row 22</t>
  </si>
  <si>
    <t>PAY-020</t>
  </si>
  <si>
    <t>CLR-048</t>
  </si>
  <si>
    <t>Sheet2 row 23</t>
  </si>
  <si>
    <t>PAY-021</t>
  </si>
  <si>
    <t>Sheet1 row 51; letter: Clearances.pdf p.23</t>
  </si>
  <si>
    <t>CLR-049</t>
  </si>
  <si>
    <t>Sheet2 row 24</t>
  </si>
  <si>
    <t>PAY-022</t>
  </si>
  <si>
    <t>Sheet1 row 52; letter: Clearances.pdf p.23</t>
  </si>
  <si>
    <t>CLR-050</t>
  </si>
  <si>
    <t>CLN-047</t>
  </si>
  <si>
    <t>Sheet2 row 25</t>
  </si>
  <si>
    <t>PAY-023</t>
  </si>
  <si>
    <t>Sheet1 row 53; letter: Clearances.pdf p.23</t>
  </si>
  <si>
    <t>Sheet2 row 26</t>
  </si>
  <si>
    <t>CLR-051</t>
  </si>
  <si>
    <t>PAY-024</t>
  </si>
  <si>
    <t>Sheet1 row 54; letter: Clearances.pdf p.23</t>
  </si>
  <si>
    <t>Sheet2 row 28</t>
  </si>
  <si>
    <t>PAY-025</t>
  </si>
  <si>
    <t>CLR-052</t>
  </si>
  <si>
    <t>CLN-048</t>
  </si>
  <si>
    <t>ED/EPA-01/1198/26/RL</t>
  </si>
  <si>
    <t>Sheet2 row 29</t>
  </si>
  <si>
    <t>Sheet1 row 55; letter: Clearances.pdf p.11</t>
  </si>
  <si>
    <t>PAY-026</t>
  </si>
  <si>
    <t>CLR-053</t>
  </si>
  <si>
    <t>CLN-049</t>
  </si>
  <si>
    <t>Sheet2 row 30</t>
  </si>
  <si>
    <t>PAY-027</t>
  </si>
  <si>
    <t>ED/EPA-01/1484/26/RL</t>
  </si>
  <si>
    <t>Sheet1 row 56; letter: Clearances.pdf p.21</t>
  </si>
  <si>
    <t>CLR-054</t>
  </si>
  <si>
    <t>CLN-050</t>
  </si>
  <si>
    <t>Sheet2 row 31</t>
  </si>
  <si>
    <t>PAY-028</t>
  </si>
  <si>
    <t>Clearance date not recorded in Sheet1</t>
  </si>
  <si>
    <t>Sheet1 row 57; letter: Clearances.pdf p.21</t>
  </si>
  <si>
    <t>ERRS – CHEMICAL MANAGEMENT UNIT (CMU) | DATA RECONCILIATION &amp; ISSUES LOG 2026</t>
  </si>
  <si>
    <t>CLR-055</t>
  </si>
  <si>
    <t>Sheet2 row 32</t>
  </si>
  <si>
    <t>PAY-029</t>
  </si>
  <si>
    <t>Every merge, correction, conflict and exclusion made while consolidating the 2026 records. Update 'Follow-up Status' as items are verified.</t>
  </si>
  <si>
    <t>Sheet1 row 58; letter: Clearances.pdf p.21</t>
  </si>
  <si>
    <t>Sheet2 row 33</t>
  </si>
  <si>
    <t>CLR-056</t>
  </si>
  <si>
    <t>PAY-030</t>
  </si>
  <si>
    <t>Issue #</t>
  </si>
  <si>
    <t>Issue Found</t>
  </si>
  <si>
    <t>Action Taken</t>
  </si>
  <si>
    <t>Follow-up Status</t>
  </si>
  <si>
    <t>ISS-001</t>
  </si>
  <si>
    <t>CHEMICAL IMPORTATION LICENSES.pdf p.9</t>
  </si>
  <si>
    <t>PDF licence no. is EPA/CIL-020A/0226; register shows EPA/CIL-020.</t>
  </si>
  <si>
    <t>Chemicals added to LIC-029; licence no. not changed.</t>
  </si>
  <si>
    <t>Sheet1 row 59; letter: Clearances.pdf p.21</t>
  </si>
  <si>
    <t>Sheet2 row 34</t>
  </si>
  <si>
    <t>Open – confirm correct no.</t>
  </si>
  <si>
    <t>PAY-031</t>
  </si>
  <si>
    <t>CLR-057</t>
  </si>
  <si>
    <t>ISS-002</t>
  </si>
  <si>
    <t>CLN-051</t>
  </si>
  <si>
    <t>CHEMICAL IMPORTATION LICENSES.pdf p.7 &amp; p.11</t>
  </si>
  <si>
    <t>Same Dura Plast Paint licence EPA/CIL-07/26 appears twice in the PDF.</t>
  </si>
  <si>
    <t>Imported once (chemicals added to LIC-030).</t>
  </si>
  <si>
    <t>Closed</t>
  </si>
  <si>
    <t>ISS-003</t>
  </si>
  <si>
    <t>CHEMICAL IMPORTATION LICENSES.pdf p.31</t>
  </si>
  <si>
    <t>PDF names holder 'National Industrial Company Inc. (NICO)', Lynch St; register has NICOM Distilleries under same licence no.</t>
  </si>
  <si>
    <t>Chemicals added to LIC-031 (matched on licence no.).</t>
  </si>
  <si>
    <t>Open – confirm company</t>
  </si>
  <si>
    <t>ISS-004</t>
  </si>
  <si>
    <t>CHEMICAL IMPORTATION LICENSES.pdf p.22</t>
  </si>
  <si>
    <t>PDF spells 'HVIREN MINING INC. CORPORATION (CRC)'; matched to Huiren Mining Inc. (CMU-042).</t>
  </si>
  <si>
    <t>Linked to CMU-042.</t>
  </si>
  <si>
    <t>Open – confirm</t>
  </si>
  <si>
    <t>Sheet2 row 35</t>
  </si>
  <si>
    <t>ISS-005</t>
  </si>
  <si>
    <t>Sheet1 row 60; letter: Clearances.pdf p.21</t>
  </si>
  <si>
    <t>CHEMICAL IMPORTATION LICENSES.pdf p.14-15</t>
  </si>
  <si>
    <t>Biomedical Link chemical table illegible on scan; issue date may read 15 Jan 2026.</t>
  </si>
  <si>
    <t>Licence added with 1 Jan 2026; no chemical lines.</t>
  </si>
  <si>
    <t>PAY-032</t>
  </si>
  <si>
    <t>Open – enter from original</t>
  </si>
  <si>
    <t>ISS-006</t>
  </si>
  <si>
    <t>CHEMICAL IMPORTATION LICENSES.pdf All pages</t>
  </si>
  <si>
    <t>Scanned PDF read by OCR: 30 chemical names marked '(name illegible on scan)' and 57 quantities left blank where unreadable.</t>
  </si>
  <si>
    <t>Entered what was legible.</t>
  </si>
  <si>
    <t>Open – verify against originals</t>
  </si>
  <si>
    <t>CLR-058</t>
  </si>
  <si>
    <t>CLN-052</t>
  </si>
  <si>
    <t>ISS-007</t>
  </si>
  <si>
    <t>CHEMICAL IMPORTATION LICENSES.pdf p.16</t>
  </si>
  <si>
    <t>Rainbow Paint quantities unreadable.</t>
  </si>
  <si>
    <t>Quantities left blank.</t>
  </si>
  <si>
    <t>ISS-008</t>
  </si>
  <si>
    <t>LIC-063 / LIC-065</t>
  </si>
  <si>
    <t>CHEMICAL IMPORTATION LICENSES.pdf p.21, p.24</t>
  </si>
  <si>
    <t>Supreme and LIPFOCO licences print expiry 01 Dec 2026 (not 31 Dec).</t>
  </si>
  <si>
    <t>Recorded as printed.</t>
  </si>
  <si>
    <t>ISS-009</t>
  </si>
  <si>
    <t>Sheet2 row 36</t>
  </si>
  <si>
    <t>LIC-050 / LIC-068</t>
  </si>
  <si>
    <t>Chemical Transport Licenses.pdf p.5-8</t>
  </si>
  <si>
    <t>PDF has two Everette Transport licences: EPA/CTP-012/01/24 (Gibson Ave) and EPA/CTP-001/01/R0726 (16th St, Sinkor). '/24' suffix on a 2026 licence looks unusual.</t>
  </si>
  <si>
    <t>LIC-050 given the Gibson Ave no.; LIC-068 added for 16th St.</t>
  </si>
  <si>
    <t>Open – confirm numbers</t>
  </si>
  <si>
    <t>PAY-033</t>
  </si>
  <si>
    <t>Sheet1 row 61; letter: Clearances.pdf p.21</t>
  </si>
  <si>
    <t>ISS-010</t>
  </si>
  <si>
    <t>Chemical Transport Licenses.pdf p.11</t>
  </si>
  <si>
    <t>Sayminee licence no. EPA/CTP-012/01/26 is close to Everette's EPA/CTP-012/01/24.</t>
  </si>
  <si>
    <t>ISS-011</t>
  </si>
  <si>
    <t>CLR-059</t>
  </si>
  <si>
    <t>Chemical Transport Licenses.pdf p.4</t>
  </si>
  <si>
    <t>CLN-053</t>
  </si>
  <si>
    <t>Dauda: 18 trucks listed but 13 plate numbers illegible; no EPA vehicle nos. printed.</t>
  </si>
  <si>
    <t>Illegible plates entered as '(illegible)'.</t>
  </si>
  <si>
    <t>ISS-012</t>
  </si>
  <si>
    <t>LIC-050 / LIC-069 / LIC-070</t>
  </si>
  <si>
    <t>Chemical Transport Licenses.pdf p.2, p.8, p.10</t>
  </si>
  <si>
    <t>Several plate numbers are uncertain OCR reads (AMASCO T1–T2 illegible; Everette Gibson T6 illegible; Freeway plates read as H369/H371/H370).</t>
  </si>
  <si>
    <t>Entered best reading.</t>
  </si>
  <si>
    <t>Sheet2 row 37</t>
  </si>
  <si>
    <t>ISS-013</t>
  </si>
  <si>
    <t>Chemical Transport Licenses.pdf All pages</t>
  </si>
  <si>
    <t>New 'Licence Vehicles' register created to hold truck lists (63 lines). Licence Form and print pages do not yet show vehicles.</t>
  </si>
  <si>
    <t>PAY-034</t>
  </si>
  <si>
    <t>Sheet added.</t>
  </si>
  <si>
    <t>Open – decide if print/form needed</t>
  </si>
  <si>
    <t>ISS-014</t>
  </si>
  <si>
    <t>CLN-037; CLN-017 to CLN-019</t>
  </si>
  <si>
    <t>Clearances.pdf p.10, p.44</t>
  </si>
  <si>
    <t>Letters ED/EPA-01/651/26/RL and ED/EPA-01/124/26/RL are addressed to MNG Gold Liberia, but these lines are recorded under Bea Mountain (CMU-001).</t>
  </si>
  <si>
    <t>Reference numbers added; company left unchanged.</t>
  </si>
  <si>
    <t>Open</t>
  </si>
  <si>
    <t>Sheet1 row 62; letter: Clearances.pdf p.21</t>
  </si>
  <si>
    <t>ISS-015</t>
  </si>
  <si>
    <t>Clearances.pdf p.11</t>
  </si>
  <si>
    <t>Register quantity 216,000 kg; letter ED/EPA-01/1198/26/RL shows 261,000 kg (same B/L MEDUX0381529).</t>
  </si>
  <si>
    <t>Not changed - check original.</t>
  </si>
  <si>
    <t>ISS-016</t>
  </si>
  <si>
    <t>CLN-104</t>
  </si>
  <si>
    <t>Clearances.pdf p.46</t>
  </si>
  <si>
    <t>CLR-060</t>
  </si>
  <si>
    <t>Register quantity 55,400 kg; letter DEDA/EPA-02/046/26/RL quantity reads ~35,409 or 5,400 kg (scan unclear).</t>
  </si>
  <si>
    <t>CLN-054</t>
  </si>
  <si>
    <t>Sheet2 row 38</t>
  </si>
  <si>
    <t>ISS-017</t>
  </si>
  <si>
    <t>CLN-103</t>
  </si>
  <si>
    <t>Clearances.pdf p.31</t>
  </si>
  <si>
    <t>Fayad caustic soda 137,500 kg also appears on letter ED/EPA-01/622/26/RL (17 Feb) vs register ref 381 (4 Feb). Could be a re-issue or a second shipment.</t>
  </si>
  <si>
    <t>Not added as new line; B/L MEDUFF233078 filled.</t>
  </si>
  <si>
    <t>PAY-035</t>
  </si>
  <si>
    <t>ISS-018</t>
  </si>
  <si>
    <t>CLN-132</t>
  </si>
  <si>
    <t>Clearances.pdf p.1</t>
  </si>
  <si>
    <t>HCl Antimony ICP 2 kg, epoxy resin 100 kg, rubber solution 500 kg match CLN-046 quantities but carry different B/L numbers (267589713/26758913).</t>
  </si>
  <si>
    <t>Added as new lines; possible duplicate.</t>
  </si>
  <si>
    <t>ISS-019</t>
  </si>
  <si>
    <t>Clearances.pdf p.44</t>
  </si>
  <si>
    <t>Acetylene: register 4,119 kg, letter reads 49 kg.</t>
  </si>
  <si>
    <t>Sheet1 row 63; letter: Clearances.pdf p.21</t>
  </si>
  <si>
    <t>ISS-020</t>
  </si>
  <si>
    <t>CLN-040/041, CLN-038/039</t>
  </si>
  <si>
    <t>Clearances.pdf p.6, p.17</t>
  </si>
  <si>
    <t>Letters ED/EPA-01/948/26/RL and ED/EPA-01/1130/26/RL re-issue consignments already cleared under 941 and 940.</t>
  </si>
  <si>
    <t>Not added again; noted in Source.</t>
  </si>
  <si>
    <t>ISS-021</t>
  </si>
  <si>
    <t>CLN-108, CLN-130</t>
  </si>
  <si>
    <t>Clearances.pdf p.27-30</t>
  </si>
  <si>
    <t>Letters list two containers (MEDUOM402873 and MEDUOM402865) but the register has one line each.</t>
  </si>
  <si>
    <t>Both B/Ls recorded on the line.</t>
  </si>
  <si>
    <t>CLR-061</t>
  </si>
  <si>
    <t>CLN-055</t>
  </si>
  <si>
    <t>Sheet2 row 39</t>
  </si>
  <si>
    <t>CLN-141, CLN-142, CLN-145, CLN-146, CLN-147</t>
  </si>
  <si>
    <t>PAY-036</t>
  </si>
  <si>
    <t>Clearances.pdf p.37, 38, 45, 47, 48</t>
  </si>
  <si>
    <t>Quantities, chemical names, date or reference unreadable on scan (MANCO 039 &amp; 05161, MNG 489, Pee Kay 630, Supreme ref).</t>
  </si>
  <si>
    <t>Entered with blanks/remarks; new company CMU-069 Pee Kay Enterprises added.</t>
  </si>
  <si>
    <t>CORRESPONDENCE (reminder letters, violation notices, shutdown notices)</t>
  </si>
  <si>
    <t>Sheet1 row 64; letter: Clearances.pdf p.21</t>
  </si>
  <si>
    <t>Sheet2 row 40</t>
  </si>
  <si>
    <t>EPA Reference No.</t>
  </si>
  <si>
    <t>PAY-037</t>
  </si>
  <si>
    <t>COR-001</t>
  </si>
  <si>
    <t>CLR-062</t>
  </si>
  <si>
    <t>CLN-056</t>
  </si>
  <si>
    <t>Sheet2 row 41</t>
  </si>
  <si>
    <t>Violation Notice</t>
  </si>
  <si>
    <t>PAY-038</t>
  </si>
  <si>
    <t>ED/EPA-01/1486/26/RL</t>
  </si>
  <si>
    <t>Violation of Unlicensed Transportation</t>
  </si>
  <si>
    <t>Sheet1 row 65; letter: Clearances.pdf p.22</t>
  </si>
  <si>
    <t>CLR-063</t>
  </si>
  <si>
    <t>CLN-057</t>
  </si>
  <si>
    <t>Sheet2 row 42</t>
  </si>
  <si>
    <t>PAY-039</t>
  </si>
  <si>
    <t>Sheet1 row 66; letter: Clearances.pdf p.22</t>
  </si>
  <si>
    <t>CLR-064</t>
  </si>
  <si>
    <t>CLN-058</t>
  </si>
  <si>
    <t>Sheet2 row 43</t>
  </si>
  <si>
    <t>PAY-040</t>
  </si>
  <si>
    <t>ED/EPA-01/1775/26/RL</t>
  </si>
  <si>
    <t>Sheet1 row 67; letter: Clearances.pdf p.13</t>
  </si>
  <si>
    <t>Sheet2 row 44</t>
  </si>
  <si>
    <t>PAY-041</t>
  </si>
  <si>
    <t>CLR-065</t>
  </si>
  <si>
    <t>CLN-059</t>
  </si>
  <si>
    <t>Sheet2 row 45</t>
  </si>
  <si>
    <t>Sheet1 row 68; letter: Clearances.pdf p.13</t>
  </si>
  <si>
    <t>PAY-042</t>
  </si>
  <si>
    <t>CLR-066</t>
  </si>
  <si>
    <t>CLN-060</t>
  </si>
  <si>
    <t>Sheet2 row 46</t>
  </si>
  <si>
    <t>PAY-043</t>
  </si>
  <si>
    <t>Sheet1 row 69</t>
  </si>
  <si>
    <t>CLR-067</t>
  </si>
  <si>
    <t>CLN-061</t>
  </si>
  <si>
    <t>Purpose not recorded</t>
  </si>
  <si>
    <t>Sheet2 row 47</t>
  </si>
  <si>
    <t>PAY-044</t>
  </si>
  <si>
    <t>Sheet1 row 70</t>
  </si>
  <si>
    <t>CLR-068</t>
  </si>
  <si>
    <t>CLN-062</t>
  </si>
  <si>
    <t>Sheet2 row 48</t>
  </si>
  <si>
    <t>PAY-045</t>
  </si>
  <si>
    <t>Sheet1 row 71</t>
  </si>
  <si>
    <t>CLR-069</t>
  </si>
  <si>
    <t>CLN-063</t>
  </si>
  <si>
    <t>Aug–Dec receipts</t>
  </si>
  <si>
    <t>Sheet2 row 53</t>
  </si>
  <si>
    <t>PAY-046</t>
  </si>
  <si>
    <t>Sheet1 row 72</t>
  </si>
  <si>
    <t>Sheet2 row 54</t>
  </si>
  <si>
    <t>PAY-047</t>
  </si>
  <si>
    <t>CLR-070</t>
  </si>
  <si>
    <t>CLN-064</t>
  </si>
  <si>
    <t>Sheet2 row 55</t>
  </si>
  <si>
    <t>Sheet1 row 73</t>
  </si>
  <si>
    <t>CLR-071</t>
  </si>
  <si>
    <t>CLN-065</t>
  </si>
  <si>
    <t>Sheet1 row 74</t>
  </si>
  <si>
    <t>PAY-048</t>
  </si>
  <si>
    <t>CLR-072</t>
  </si>
  <si>
    <t>CLN-066</t>
  </si>
  <si>
    <t>Sheet1 row 75</t>
  </si>
  <si>
    <t>Recorded as 'MOPP' – assumed Mano Palm Oil Plantation (MPOP); verify</t>
  </si>
  <si>
    <t>Sheet2 row 56</t>
  </si>
  <si>
    <t>PAY-049</t>
  </si>
  <si>
    <t>CLR-073</t>
  </si>
  <si>
    <t>CLN-067</t>
  </si>
  <si>
    <t>Sheet2 row 57</t>
  </si>
  <si>
    <t>Sheet1 row 76</t>
  </si>
  <si>
    <t>PAY-050</t>
  </si>
  <si>
    <t>CLR-074</t>
  </si>
  <si>
    <t>CLN-068</t>
  </si>
  <si>
    <t>Upload receipts log</t>
  </si>
  <si>
    <t>Receipt logged but amount not recorded</t>
  </si>
  <si>
    <t>Upload: RECEIPTS row 2</t>
  </si>
  <si>
    <t>PAY-051</t>
  </si>
  <si>
    <t>T. Waste Recycling &amp; Fumigation Inc.</t>
  </si>
  <si>
    <t>Fumigation certificate</t>
  </si>
  <si>
    <t>Receipt logged but amount not recorded; no receipt no.</t>
  </si>
  <si>
    <t>Upload: RECEIPTS row 4</t>
  </si>
  <si>
    <t>Sheet1 row 77</t>
  </si>
  <si>
    <t>PAY-052</t>
  </si>
  <si>
    <t>CLR-075</t>
  </si>
  <si>
    <t>CLN-069</t>
  </si>
  <si>
    <t>Bea Mountain Mining Inc.</t>
  </si>
  <si>
    <t>Chemical Importation &amp; Registration</t>
  </si>
  <si>
    <t>Upload: RECEIPTS row 10</t>
  </si>
  <si>
    <t>PAY-053</t>
  </si>
  <si>
    <t>Upload: RECEIPTS row 8</t>
  </si>
  <si>
    <t>Sheet1 row 78</t>
  </si>
  <si>
    <t>CLR-076</t>
  </si>
  <si>
    <t>CLN-070</t>
  </si>
  <si>
    <t>Chemical Registration &amp; Effluent Discharge Licences</t>
  </si>
  <si>
    <t>Upload: RECEIPTS row 13</t>
  </si>
  <si>
    <t>ED/EPA-01/1485/26/RL</t>
  </si>
  <si>
    <t>Sheet1 row 79; letter: Clearances.pdf p.9</t>
  </si>
  <si>
    <t>Records:</t>
  </si>
  <si>
    <t>CLR-077</t>
  </si>
  <si>
    <t>CLN-071</t>
  </si>
  <si>
    <t>Sheet1 row 80; letter: Clearances.pdf p.9</t>
  </si>
  <si>
    <t>CLR-078</t>
  </si>
  <si>
    <t>CLN-072</t>
  </si>
  <si>
    <t>Sheet1 row 81</t>
  </si>
  <si>
    <t>CLR-079</t>
  </si>
  <si>
    <t>CLN-073</t>
  </si>
  <si>
    <t>Sheet1 row 82</t>
  </si>
  <si>
    <t>CLR-080</t>
  </si>
  <si>
    <t>CLN-074</t>
  </si>
  <si>
    <t>Sheet1 row 83</t>
  </si>
  <si>
    <t>CLR-081</t>
  </si>
  <si>
    <t>CLN-075</t>
  </si>
  <si>
    <t>Sheet1 row 84</t>
  </si>
  <si>
    <t>CLR-082</t>
  </si>
  <si>
    <t>Sheet1 row 85</t>
  </si>
  <si>
    <t>CLR-083</t>
  </si>
  <si>
    <t>CLN-076</t>
  </si>
  <si>
    <t>Sheet1 row 86</t>
  </si>
  <si>
    <t>CLR-084</t>
  </si>
  <si>
    <t>CLN-077</t>
  </si>
  <si>
    <t>Sheet1 row 87</t>
  </si>
  <si>
    <t>CLR-085</t>
  </si>
  <si>
    <t>CLN-078</t>
  </si>
  <si>
    <t>Sheet1 row 88</t>
  </si>
  <si>
    <t>CLR-086</t>
  </si>
  <si>
    <t>CLN-079</t>
  </si>
  <si>
    <t>Sheet1 row 89</t>
  </si>
  <si>
    <t>CLR-087</t>
  </si>
  <si>
    <t>CLN-080</t>
  </si>
  <si>
    <t>Sheet1 row 90</t>
  </si>
  <si>
    <t>CLR-088</t>
  </si>
  <si>
    <t>CLN-081</t>
  </si>
  <si>
    <t>Sheet1 row 91</t>
  </si>
  <si>
    <t>CLR-089</t>
  </si>
  <si>
    <t>CLN-082</t>
  </si>
  <si>
    <t>Sheet1 row 92</t>
  </si>
  <si>
    <t>CLR-090</t>
  </si>
  <si>
    <t>CLN-083</t>
  </si>
  <si>
    <t>Sheet1 row 93</t>
  </si>
  <si>
    <t>CLR-091</t>
  </si>
  <si>
    <t>CLN-084</t>
  </si>
  <si>
    <t>Sheet1 row 94</t>
  </si>
  <si>
    <t>CLR-092</t>
  </si>
  <si>
    <t>CLN-085</t>
  </si>
  <si>
    <t>Sheet1 row 95</t>
  </si>
  <si>
    <t>CLR-093</t>
  </si>
  <si>
    <t>CLN-086</t>
  </si>
  <si>
    <t>Sheet1 row 96</t>
  </si>
  <si>
    <t>CLR-094</t>
  </si>
  <si>
    <t>CLN-087</t>
  </si>
  <si>
    <t>Sheet1 row 97</t>
  </si>
  <si>
    <t>CLR-095</t>
  </si>
  <si>
    <t>CLN-088</t>
  </si>
  <si>
    <t>Sheet1 row 98</t>
  </si>
  <si>
    <t>CLR-096</t>
  </si>
  <si>
    <t>CLN-089</t>
  </si>
  <si>
    <t>Sheet1 row 99</t>
  </si>
  <si>
    <t>CLR-097</t>
  </si>
  <si>
    <t>CLN-090</t>
  </si>
  <si>
    <t>Sheet1 row 100</t>
  </si>
  <si>
    <t>CLR-098</t>
  </si>
  <si>
    <t>CLN-091</t>
  </si>
  <si>
    <t>Sheet1 row 101</t>
  </si>
  <si>
    <t>CLR-099</t>
  </si>
  <si>
    <t>CLN-092</t>
  </si>
  <si>
    <t>Sheet1 row 102</t>
  </si>
  <si>
    <t>CLR-100</t>
  </si>
  <si>
    <t>CLN-093</t>
  </si>
  <si>
    <t>Sheet1 row 103</t>
  </si>
  <si>
    <t>CLR-101</t>
  </si>
  <si>
    <t>CLN-094</t>
  </si>
  <si>
    <t>Sheet1 row 104</t>
  </si>
  <si>
    <t>CLR-102</t>
  </si>
  <si>
    <t>CLN-095</t>
  </si>
  <si>
    <t>Sheet1 row 105</t>
  </si>
  <si>
    <t>CLR-103</t>
  </si>
  <si>
    <t>CLN-096</t>
  </si>
  <si>
    <t>Sheet1 row 106</t>
  </si>
  <si>
    <t>CLR-104</t>
  </si>
  <si>
    <t>CLN-097</t>
  </si>
  <si>
    <t>Sheet1 row 107</t>
  </si>
  <si>
    <t>CLR-105</t>
  </si>
  <si>
    <t>CLN-098</t>
  </si>
  <si>
    <t>Sheet1 row 108</t>
  </si>
  <si>
    <t>CLR-106</t>
  </si>
  <si>
    <t>CLN-099</t>
  </si>
  <si>
    <t>Sheet1 row 109</t>
  </si>
  <si>
    <t>CLR-107</t>
  </si>
  <si>
    <t>CLN-100</t>
  </si>
  <si>
    <t>Sheet1 row 110</t>
  </si>
  <si>
    <t>CLR-108</t>
  </si>
  <si>
    <t>CLN-101</t>
  </si>
  <si>
    <t>Sheet1 row 111</t>
  </si>
  <si>
    <t>CLR-109</t>
  </si>
  <si>
    <t>CLN-102</t>
  </si>
  <si>
    <t>ED/EPA-01/065/26/RL</t>
  </si>
  <si>
    <t>Date recorded as 06-Jan-2025; corrected to 2026 (ref ED/EPA-01/065/26/RL)</t>
  </si>
  <si>
    <t>Upload: Other Chemical Clearances 2026 row 20 (name recorded: Duraplast Liberia Inc.)</t>
  </si>
  <si>
    <t>CLR-110</t>
  </si>
  <si>
    <t>Caustic Soda Prills</t>
  </si>
  <si>
    <t>BL MEDUFF233078 (container MSBU1177797)</t>
  </si>
  <si>
    <t>ED/EPA-01/381/26RL</t>
  </si>
  <si>
    <t>Upload: Other Chemical Clearances 2026 row 21 (name recorded: Fayad Enterprise Corporation); letter: Clearances.pdf p.31</t>
  </si>
  <si>
    <t>CLR-111</t>
  </si>
  <si>
    <t>BL MEDUD0498361</t>
  </si>
  <si>
    <t>DEDA/EPA-02/046/26/RL</t>
  </si>
  <si>
    <t>Upload: Other Chemical Clearances 2026 row 22 (name recorded: Mukesh Shopping Center); letter: Clearances.pdf p.46</t>
  </si>
  <si>
    <t>CLR-112</t>
  </si>
  <si>
    <t>CLN-105</t>
  </si>
  <si>
    <t>Porous Ammonium Nitrate</t>
  </si>
  <si>
    <t>ED/EPA-01/483/26/RL</t>
  </si>
  <si>
    <t>Upload: Other Chemical Clearances 2026 row 23 (name recorded: MAXAM Liberia); letter: Clearances.pdf p.41</t>
  </si>
  <si>
    <t>CLR-113</t>
  </si>
  <si>
    <t>CLN-106</t>
  </si>
  <si>
    <t>55 MT</t>
  </si>
  <si>
    <t>ED/EPA-01/388/26/RL</t>
  </si>
  <si>
    <t>Upload: Other Chemical Clearances 2026 row 24 (name recorded: Tanmay Hardware Center)</t>
  </si>
  <si>
    <t>CLR-114</t>
  </si>
  <si>
    <t>CLN-107</t>
  </si>
  <si>
    <t>HDPE High Cube</t>
  </si>
  <si>
    <t>56 MT</t>
  </si>
  <si>
    <t>BL MEDUJ4264530</t>
  </si>
  <si>
    <t>ED/EPA-01/0372/26/RL</t>
  </si>
  <si>
    <t>Clearance date not recorded</t>
  </si>
  <si>
    <t>Upload: Other Chemical Clearances 2026 row 25 (name recorded: Duraplast Liberia Inc.); letter: Clearances.pdf p.27-28</t>
  </si>
  <si>
    <t>CLR-115</t>
  </si>
  <si>
    <t>CLN-108</t>
  </si>
  <si>
    <t>Polypropylene</t>
  </si>
  <si>
    <t>371.250 MT</t>
  </si>
  <si>
    <t>BL MEDUOM402873 / MEDUOM402865</t>
  </si>
  <si>
    <t>Upload: Other Chemical Clearances 2026 row 26 (name recorded: Duraplast Liberia Inc.); letter: Clearances.pdf p.27-28</t>
  </si>
  <si>
    <t>CLR-116</t>
  </si>
  <si>
    <t>CLN-109</t>
  </si>
  <si>
    <t>Silicon Manganese and Ferro Silicon</t>
  </si>
  <si>
    <t>BL MEDUP4160255</t>
  </si>
  <si>
    <t>Upload: Other Chemical Clearances 2026 row 27 (name recorded: Duraplast Liberia Inc.); letter: Clearances.pdf p.27-28</t>
  </si>
  <si>
    <t>CLR-117</t>
  </si>
  <si>
    <t>CLN-110</t>
  </si>
  <si>
    <t>BL MEDUH9141605</t>
  </si>
  <si>
    <t>Quantity 28.08 recorded in kg column – may be MT; verify; Clearance date not recorded</t>
  </si>
  <si>
    <t>Upload: Other Chemical Clearances 2026 row 28 (name recorded: Duraplast Liberia Inc.); letter: Clearances.pdf p.27-28</t>
  </si>
  <si>
    <t>CLR-118</t>
  </si>
  <si>
    <t>CLN-111</t>
  </si>
  <si>
    <t>LLDPE 118WJ</t>
  </si>
  <si>
    <t>247.500 MT</t>
  </si>
  <si>
    <t>BL MEDUJ4261775</t>
  </si>
  <si>
    <t>Upload: Other Chemical Clearances 2026 row 29 (name recorded: Duraplast Liberia Inc.); letter: Clearances.pdf p.27-28</t>
  </si>
  <si>
    <t>CLR-119</t>
  </si>
  <si>
    <t>CLN-112</t>
  </si>
  <si>
    <t>HC FCL</t>
  </si>
  <si>
    <t>BL MEDUP4468211</t>
  </si>
  <si>
    <t>Possible duplicate: "HC FCL" and "High Cube FCL" both 15,292 kg – verify; Clearance date not recorded</t>
  </si>
  <si>
    <t>Upload: Other Chemical Clearances 2026 row 30 (name recorded: Duraplast Liberia Inc.); letter: Clearances.pdf p.27-28</t>
  </si>
  <si>
    <t>CLR-120</t>
  </si>
  <si>
    <t>CLN-113</t>
  </si>
  <si>
    <t>BL 260402263</t>
  </si>
  <si>
    <t>Upload: Other Chemical Clearances 2026 row 31 (name recorded: Duraplast Liberia Inc.); letter: Clearances.pdf p.27-28</t>
  </si>
  <si>
    <t>CLR-121</t>
  </si>
  <si>
    <t>CLN-114</t>
  </si>
  <si>
    <t>HC 1020 HDPE</t>
  </si>
  <si>
    <t>51 MT</t>
  </si>
  <si>
    <t>BL MCB0318780</t>
  </si>
  <si>
    <t>Upload: Other Chemical Clearances 2026 row 32 (name recorded: Duraplast Liberia Inc.); letter: Clearances.pdf p.27-28</t>
  </si>
  <si>
    <t>CLR-122</t>
  </si>
  <si>
    <t>CLN-115</t>
  </si>
  <si>
    <t>Dry Van Titanium Dioxide</t>
  </si>
  <si>
    <t>BL 721219120</t>
  </si>
  <si>
    <t>Upload: Other Chemical Clearances 2026 row 33 (name recorded: Duraplast Liberia Inc.); letter: Clearances.pdf p.27-28</t>
  </si>
  <si>
    <t>CLR-123</t>
  </si>
  <si>
    <t>CLN-116</t>
  </si>
  <si>
    <t>TLLU2190478 Dry</t>
  </si>
  <si>
    <t>Upload: Other Chemical Clearances 2026 row 34 (name recorded: Duraplast Liberia Inc.); letter: Clearances.pdf p.27-28</t>
  </si>
  <si>
    <t>CLR-124</t>
  </si>
  <si>
    <t>CLN-117</t>
  </si>
  <si>
    <t>PP Homolyer Injection</t>
  </si>
  <si>
    <t>BL MEDUR6124289</t>
  </si>
  <si>
    <t>ED/EPA-01/0374/26/RL</t>
  </si>
  <si>
    <t>Upload: Other Chemical Clearances 2026 row 35 (name recorded: Duraplast Liberia Inc.); letter: Clearances.pdf p.29-30</t>
  </si>
  <si>
    <t>CLR-125</t>
  </si>
  <si>
    <t>CLN-118</t>
  </si>
  <si>
    <t>Dry Van DV FCL</t>
  </si>
  <si>
    <t>BL MEDUWP079470</t>
  </si>
  <si>
    <t>Upload: Other Chemical Clearances 2026 row 36 (name recorded: Duraplast Liberia Inc.); letter: Clearances.pdf p.29-30</t>
  </si>
  <si>
    <t>CLR-126</t>
  </si>
  <si>
    <t>CLN-119</t>
  </si>
  <si>
    <t>HD Polyethelene</t>
  </si>
  <si>
    <t>BL LSP206627</t>
  </si>
  <si>
    <t>Upload: Other Chemical Clearances 2026 row 37 (name recorded: Duraplast Liberia Inc.); letter: Clearances.pdf p.29-30</t>
  </si>
  <si>
    <t>CLR-127</t>
  </si>
  <si>
    <t>CLN-120</t>
  </si>
  <si>
    <t>SLAC</t>
  </si>
  <si>
    <t>BL HLCUBO1251292571</t>
  </si>
  <si>
    <t>Upload: Other Chemical Clearances 2026 row 38 (name recorded: Duraplast Liberia Inc.); letter: Clearances.pdf p.29-30</t>
  </si>
  <si>
    <t>CLR-128</t>
  </si>
  <si>
    <t>CLN-121</t>
  </si>
  <si>
    <t>BL 262182263</t>
  </si>
  <si>
    <t>Upload: Other Chemical Clearances 2026 row 39 (name recorded: Duraplast Liberia Inc.); letter: Clearances.pdf p.29-30</t>
  </si>
  <si>
    <t>CLR-129</t>
  </si>
  <si>
    <t>CLN-122</t>
  </si>
  <si>
    <t>Load Stow Count</t>
  </si>
  <si>
    <t>BL MEDUOM406478</t>
  </si>
  <si>
    <t>Upload: Other Chemical Clearances 2026 row 40 (name recorded: Duraplast Liberia Inc.); letter: Clearances.pdf p.29-30</t>
  </si>
  <si>
    <t>CLR-130</t>
  </si>
  <si>
    <t>CLN-123</t>
  </si>
  <si>
    <t>Homopolymer</t>
  </si>
  <si>
    <t>BL MEDUF1696065</t>
  </si>
  <si>
    <t>Upload: Other Chemical Clearances 2026 row 41 (name recorded: Duraplast Liberia Inc.); letter: Clearances.pdf p.29-30</t>
  </si>
  <si>
    <t>CLR-131</t>
  </si>
  <si>
    <t>CLN-124</t>
  </si>
  <si>
    <t>Iso Propylol</t>
  </si>
  <si>
    <t>BL MEDUH9159169</t>
  </si>
  <si>
    <t>Upload: Other Chemical Clearances 2026 row 42 (name recorded: Duraplast Liberia Inc.); letter: Clearances.pdf p.29-30</t>
  </si>
  <si>
    <t>CLR-132</t>
  </si>
  <si>
    <t>CLN-125</t>
  </si>
  <si>
    <t>Sabutol</t>
  </si>
  <si>
    <t>Upload: Other Chemical Clearances 2026 row 43 (name recorded: Duraplast Liberia Inc.); letter: Clearances.pdf p.29-30</t>
  </si>
  <si>
    <t>CLR-133</t>
  </si>
  <si>
    <t>CLN-126</t>
  </si>
  <si>
    <t>Pallet</t>
  </si>
  <si>
    <t>BL 262424807</t>
  </si>
  <si>
    <t>Upload: Other Chemical Clearances 2026 row 44 (name recorded: Duraplast Liberia Inc.); letter: Clearances.pdf p.29-30</t>
  </si>
  <si>
    <t>CLR-134</t>
  </si>
  <si>
    <t>CLN-127</t>
  </si>
  <si>
    <t>High Cube FCL</t>
  </si>
  <si>
    <t>Upload: Other Chemical Clearances 2026 row 45 (name recorded: Duraplast Liberia Inc.); letter: Clearances.pdf p.29-30</t>
  </si>
  <si>
    <t>CLR-135</t>
  </si>
  <si>
    <t>CLN-128</t>
  </si>
  <si>
    <t>LLDPE 118WJ High Cube</t>
  </si>
  <si>
    <t>Upload: Other Chemical Clearances 2026 row 46 (name recorded: Duraplast Liberia Inc.); letter: Clearances.pdf p.29-30</t>
  </si>
  <si>
    <t>CLR-136</t>
  </si>
  <si>
    <t>CLN-129</t>
  </si>
  <si>
    <t>Upload: Other Chemical Clearances 2026 row 47 (name recorded: Duraplast Liberia Inc.); letter: Clearances.pdf p.29-30</t>
  </si>
  <si>
    <t>CLR-137</t>
  </si>
  <si>
    <t>CLN-130</t>
  </si>
  <si>
    <t>BL MEDUOM402865 / MEDUOM402873</t>
  </si>
  <si>
    <t>Upload: Other Chemical Clearances 2026 row 48 (name recorded: Duraplast Liberia Inc.); letter: Clearances.pdf p.29-30</t>
  </si>
  <si>
    <t>CLR-138</t>
  </si>
  <si>
    <t>CLN-131</t>
  </si>
  <si>
    <t>Upload: Other Chemical Clearances 2026 row 49 (name recorded: Duraplast Liberia Inc.); letter: Clearances.pdf p.29-30</t>
  </si>
  <si>
    <t>CLR-139</t>
  </si>
  <si>
    <t>Hydrochloric Acid Antimony ICP</t>
  </si>
  <si>
    <t>BL 267589713</t>
  </si>
  <si>
    <t>ED/EPA-01/946/26/RL</t>
  </si>
  <si>
    <t>Upload: Clearances.pdf p.1</t>
  </si>
  <si>
    <t>CLR-140</t>
  </si>
  <si>
    <t>Loctite Epoxy Resin</t>
  </si>
  <si>
    <t>BL 26758913</t>
  </si>
  <si>
    <t>B/L as printed (possibly 267589713)</t>
  </si>
  <si>
    <t>CLR-141</t>
  </si>
  <si>
    <t>CLR-142</t>
  </si>
  <si>
    <t>BL 257852127</t>
  </si>
  <si>
    <t>CLR-143</t>
  </si>
  <si>
    <t>MEDUX0182307</t>
  </si>
  <si>
    <t>CLR-144</t>
  </si>
  <si>
    <t>CLR-145</t>
  </si>
  <si>
    <t>CLN-133</t>
  </si>
  <si>
    <t>Glue (Heptane, branched, cyclic and linear)</t>
  </si>
  <si>
    <t>BL 269032914</t>
  </si>
  <si>
    <t>Upload: Clearances.pdf p.9</t>
  </si>
  <si>
    <t>CLR-146</t>
  </si>
  <si>
    <t>BL 269718480</t>
  </si>
  <si>
    <t>CLR-147</t>
  </si>
  <si>
    <t>BL 269434176</t>
  </si>
  <si>
    <t>CLR-148</t>
  </si>
  <si>
    <t>CLN-134</t>
  </si>
  <si>
    <t>Ethanol Min. 96%</t>
  </si>
  <si>
    <t>Ethanol (Ethyl Alcohol)</t>
  </si>
  <si>
    <t>BL 265640269</t>
  </si>
  <si>
    <t>ED/EPA-01/1089/26/RL</t>
  </si>
  <si>
    <t>Upload: Clearances.pdf p.24</t>
  </si>
  <si>
    <t>CLR-149</t>
  </si>
  <si>
    <t>CLN-135</t>
  </si>
  <si>
    <t>BL 266248482</t>
  </si>
  <si>
    <t>ED/EPA-01/1090/26/RL</t>
  </si>
  <si>
    <t>Upload: Clearances.pdf p.25</t>
  </si>
  <si>
    <t>CLR-150</t>
  </si>
  <si>
    <t>CLN-136</t>
  </si>
  <si>
    <t>Ti-Pure Titanium Dioxide</t>
  </si>
  <si>
    <t>BL ANT1996006</t>
  </si>
  <si>
    <t>ED/EPA-01/1489/26/RL</t>
  </si>
  <si>
    <t>Container TRHU1032845</t>
  </si>
  <si>
    <t>Upload: Clearances.pdf p.26</t>
  </si>
  <si>
    <t>CLR-151</t>
  </si>
  <si>
    <t>Dipentene</t>
  </si>
  <si>
    <t>BL AMC2500501</t>
  </si>
  <si>
    <t>Container GACU6056970</t>
  </si>
  <si>
    <t>CLR-152</t>
  </si>
  <si>
    <t>CLN-137</t>
  </si>
  <si>
    <t>Wanol Polyol</t>
  </si>
  <si>
    <t>95.2 MT</t>
  </si>
  <si>
    <t>Invoice F0044</t>
  </si>
  <si>
    <t>ED/EPA-01/374/26/RL</t>
  </si>
  <si>
    <t>Upload: Clearances.pdf p.32</t>
  </si>
  <si>
    <t>CLR-153</t>
  </si>
  <si>
    <t>Wannate TDI-80</t>
  </si>
  <si>
    <t>Toluene Diisocyanate (TDI)</t>
  </si>
  <si>
    <t>Invoice F0045</t>
  </si>
  <si>
    <t>CLR-154</t>
  </si>
  <si>
    <t>CLN-138</t>
  </si>
  <si>
    <t>Caustic Soda Pearl 99%</t>
  </si>
  <si>
    <t>BL OGD2769351</t>
  </si>
  <si>
    <t>ED/EPA-01/1779/26/RL</t>
  </si>
  <si>
    <t>Upload: Clearances.pdf p.34</t>
  </si>
  <si>
    <t>CLR-155</t>
  </si>
  <si>
    <t>BL OGD2794540</t>
  </si>
  <si>
    <t>CLR-156</t>
  </si>
  <si>
    <t>CLN-139</t>
  </si>
  <si>
    <t>Caustic Soda Pearls</t>
  </si>
  <si>
    <t>BL 270173105</t>
  </si>
  <si>
    <t>DEDA/EPA-02/429/26/RL</t>
  </si>
  <si>
    <t>Upload: Clearances.pdf p.35</t>
  </si>
  <si>
    <t>CLR-157</t>
  </si>
  <si>
    <t>CLN-140</t>
  </si>
  <si>
    <t>Liquid Chlorine 99.8% (HS 2801100000, 1000 kg cylinders)</t>
  </si>
  <si>
    <t>Liquid Chlorine</t>
  </si>
  <si>
    <t>BL HLCULE1260410450</t>
  </si>
  <si>
    <t>DEDA/EPA-02/232/26/RL</t>
  </si>
  <si>
    <t>Qty read as 13,000 (scan unclear; could be 12,000)</t>
  </si>
  <si>
    <t>Upload: Clearances.pdf p.36</t>
  </si>
  <si>
    <t>CLR-158</t>
  </si>
  <si>
    <t>CLN-141</t>
  </si>
  <si>
    <t>Liquid Chlorine (13 x 900 kg drums / 20' FCL)</t>
  </si>
  <si>
    <t>1,527 KGS / 13 x 900 KGS</t>
  </si>
  <si>
    <t>BL HLCUBO1251259553</t>
  </si>
  <si>
    <t>DEDA/EPA-01/039/26/RL</t>
  </si>
  <si>
    <t>Quantity unclear on scan - verify</t>
  </si>
  <si>
    <t>Upload: Clearances.pdf p.37</t>
  </si>
  <si>
    <t>CLR-159</t>
  </si>
  <si>
    <t>CLN-142</t>
  </si>
  <si>
    <t>TIN0808769 (unclear)</t>
  </si>
  <si>
    <t>ED/EPA-01/05161/26/RL</t>
  </si>
  <si>
    <t>Quantity illegible on scan; letter date not legible</t>
  </si>
  <si>
    <t>Upload: Clearances.pdf p.38</t>
  </si>
  <si>
    <t>CLR-160</t>
  </si>
  <si>
    <t>CLN-143</t>
  </si>
  <si>
    <t>BL 26700199</t>
  </si>
  <si>
    <t>ED/EPA-01/942/26/RL</t>
  </si>
  <si>
    <t>Upload: Clearances.pdf p.39</t>
  </si>
  <si>
    <t>CLR-161</t>
  </si>
  <si>
    <t>CLN-144</t>
  </si>
  <si>
    <t>BL 261577517</t>
  </si>
  <si>
    <t>ED/EPA-01/05162/26/RL</t>
  </si>
  <si>
    <t>Upload: Clearances.pdf p.40</t>
  </si>
  <si>
    <t>CLR-162</t>
  </si>
  <si>
    <t>Liquid Chlorine 99.8%</t>
  </si>
  <si>
    <t>BL AMC2464982</t>
  </si>
  <si>
    <t>CLR-163</t>
  </si>
  <si>
    <t>CLN-145</t>
  </si>
  <si>
    <t>ED/EPA-01/489/26/RL</t>
  </si>
  <si>
    <t>Quantity and B/L illegible on scan</t>
  </si>
  <si>
    <t>Upload: Clearances.pdf p.45</t>
  </si>
  <si>
    <t>CLR-164</t>
  </si>
  <si>
    <t>CLN-146</t>
  </si>
  <si>
    <t>(chemical illegible on scan)</t>
  </si>
  <si>
    <t>Container ...U8416370</t>
  </si>
  <si>
    <t>ED/EPA-01/630/26/RL</t>
  </si>
  <si>
    <t>Table illegible on scan - verify against original letter</t>
  </si>
  <si>
    <t>Upload: Clearances.pdf p.47</t>
  </si>
  <si>
    <t>Toluene Diisocyanate (Wannate TDI-80)</t>
  </si>
  <si>
    <t>BL 78655568</t>
  </si>
  <si>
    <t>DEDA/EPA-02/257/26/RL</t>
  </si>
  <si>
    <t>Ref. partly illegible on scan</t>
  </si>
  <si>
    <t>Upload: Clearances.pdf p.48</t>
  </si>
  <si>
    <t>ERRS – CMU | BILL TYPES, SERVICES &amp; LETTER WORDING</t>
  </si>
  <si>
    <t>Every bill has ONE Bill Type. The Bill Type decides which services are allowed and exactly which letter wording is printed. Edit a sentence here and every bill of that type changes.</t>
  </si>
  <si>
    <t>1. SERVICES (what can be billed)</t>
  </si>
  <si>
    <t>Service</t>
  </si>
  <si>
    <t>Bill Group</t>
  </si>
  <si>
    <t>Suggested Fee (USD)</t>
  </si>
  <si>
    <t>Licence</t>
  </si>
  <si>
    <t>Fee assessed case by case</t>
  </si>
  <si>
    <t>US$1,000–3,050 billed in 2026</t>
  </si>
  <si>
    <t>Effluent Discharge and Dewatering License</t>
  </si>
  <si>
    <t>Chemical Clearance</t>
  </si>
  <si>
    <t>Clearance</t>
  </si>
  <si>
    <t>Depends on number of trucks (e.g. 3 trucks US$600)</t>
  </si>
  <si>
    <t>Penalty / Fine</t>
  </si>
  <si>
    <t>Other</t>
  </si>
  <si>
    <t>Other Service</t>
  </si>
  <si>
    <t>2. BILL TYPES &amp; LETTER WORDING (one row = one complete letter). Only {SERVICES} (the services on the bill) and {DETAILS} (line-1 details) are filled in automatically.</t>
  </si>
  <si>
    <t>Opening Paragraph</t>
  </si>
  <si>
    <t>Extra Paragraph</t>
  </si>
  <si>
    <t>Bill Sentence (starts)</t>
  </si>
  <si>
    <t>Collection Paragraph</t>
  </si>
  <si>
    <t>Show Fee Table</t>
  </si>
  <si>
    <t>I present my professional compliments and acknowledge receipt of your application for the {SERVICES}.</t>
  </si>
  <si>
    <t>The total bill for the licenses is</t>
  </si>
  <si>
    <t>Please come with this letter and the deposit slip, after payment, to the EPA Account section for the issuance of an official receipt and proceed to the ERRS Laboratory for the licenses.</t>
  </si>
  <si>
    <t>Licence – Renewal</t>
  </si>
  <si>
    <t>I present my professional compliments and acknowledge receipt of your communication for the renewal of your {SERVICES}.</t>
  </si>
  <si>
    <t>Licence – Renewal Reminder</t>
  </si>
  <si>
    <t>I present my professional compliments and wish to remind you that a review of our records shows that your company has not renewed its {SERVICES}, as required by the chemical guidelines and the Environmental Protection and Management Law of Liberia.</t>
  </si>
  <si>
    <t>In lieu of the above, you are requested to kindly regularize the status of your company by obtaining the licenses for your operations or face the penalty in accordance with the Environmental Protection and Management Law of Liberia. The duration of the license is one year and commences on January 1 of each year.</t>
  </si>
  <si>
    <t>The total fee for the licenses is</t>
  </si>
  <si>
    <t>I present my professional compliments and acknowledge receipt of your request for the clearance of chemical consignment(s) {DETAILS}.</t>
  </si>
  <si>
    <t>The total bill for the clearance is</t>
  </si>
  <si>
    <t>Please come with this letter and the deposit slip, after payment, to the EPA Account section for the issuance of an official receipt and proceed to the ERRS Laboratory for the clearance letter.</t>
  </si>
  <si>
    <t>I present my professional compliments and acknowledge receipt of your application for Fumigation Certification.</t>
  </si>
  <si>
    <t>Kindly provide the following information as per the fumigation guidelines of Liberia:
1. Name(s) and Qualification(s) of fumigation operator(s)
2. Personal Health Certificate of fumigation Operator(s) from an accredited hospital in Liberia
3. List of fumigants/chemicals
4. List and contacts of past clients (if any)
5. Business registry
6. Fumigation protocol
7. Organizational chart with clear job descriptions</t>
  </si>
  <si>
    <t>Please note that the total bill for this certificate is</t>
  </si>
  <si>
    <t>Please come with this letter and the deposit slip, after payment, to the EPA Account section for the issuance of an official receipt and proceed to the ERRS Department for the certificate.</t>
  </si>
  <si>
    <t>I present my professional compliments and acknowledge receipt of your communication for the renewal of your chemical transportation license {DETAILS}.</t>
  </si>
  <si>
    <t>The total bill for the license is</t>
  </si>
  <si>
    <t>Please come with this letter and the deposit slip, after payment, to the EPA Account section for the issuance of an official receipt and proceed to the ERRS Laboratory for the license and clearance.</t>
  </si>
  <si>
    <t>Penalty / Other</t>
  </si>
  <si>
    <t>I present my professional compliments and wish to inform you that the following fee(s) have been assessed against your company in accordance with the Environmental Protection and Management Law of Liberia.</t>
  </si>
  <si>
    <t>The total amount due is</t>
  </si>
  <si>
    <t>Please come with this letter and the deposit slip, after payment, to the EPA Account section for the issuance of an official receipt and proceed to the ERRS Department.</t>
  </si>
  <si>
    <t>Every letter then ends with: "…payable at the Eco-Bank Liberia Limited; Account Number: 6100064132; Account Title: NATIONAL ENVIRONMENTAL COMMISSION.", the fee table (if Show Fee Table = Yes), the collection paragraph, the closing and the signatory.</t>
  </si>
  <si>
    <t>ERRS – CMU | DROPDOWN LISTS</t>
  </si>
  <si>
    <t>Options used by the input forms. Add new options at the bottom of any list – the dropdowns expand automatically.</t>
  </si>
  <si>
    <t>SIGNATORIES – edit names/titles here; add a row for a new signatory (e.g. Acting Executive Director)</t>
  </si>
  <si>
    <t>SIGNATORY OFFICES – office line, contacts and reference prefix printed on bill letters</t>
  </si>
  <si>
    <t>Service / Purpose</t>
  </si>
  <si>
    <t>PRINT SETTINGS (used on the Print pages)</t>
  </si>
  <si>
    <t>Clearance list (auto – for Print Clearance)</t>
  </si>
  <si>
    <t>Signatory</t>
  </si>
  <si>
    <t>Name</t>
  </si>
  <si>
    <t>Title</t>
  </si>
  <si>
    <t>Bill No. list (auto)</t>
  </si>
  <si>
    <t>Bill list for Print Bill (auto)</t>
  </si>
  <si>
    <t>Office Line</t>
  </si>
  <si>
    <t>Contact Line</t>
  </si>
  <si>
    <t>Ref. Prefix</t>
  </si>
  <si>
    <t>Services allowed for the Bill Form's type (auto)</t>
  </si>
  <si>
    <t>Effluent Unit</t>
  </si>
  <si>
    <t>Chemical Registration License</t>
  </si>
  <si>
    <t>Form entry</t>
  </si>
  <si>
    <t>Licence signatory – name</t>
  </si>
  <si>
    <t>Hon. Dweh Siehwloh Boley</t>
  </si>
  <si>
    <t>Dr. Emmanuel K. Urey Yarkpawolo</t>
  </si>
  <si>
    <t>EXECUTIVE DIRECTOR/CEO</t>
  </si>
  <si>
    <t>Office of the Executive Director</t>
  </si>
  <si>
    <t>Cell #: +231 888 608 224 / +231 777 596 220   |   Email: info@epa.gov.lr / www.epa.gov.lr</t>
  </si>
  <si>
    <t>ED/EPA-01/</t>
  </si>
  <si>
    <t>pH</t>
  </si>
  <si>
    <t>mg/L</t>
  </si>
  <si>
    <t>Daily</t>
  </si>
  <si>
    <t>Licence signatory – title</t>
  </si>
  <si>
    <t>DEPUTY EXECUTIVE DIRECTOR</t>
  </si>
  <si>
    <t>Deputy Executive Director for Technical Services</t>
  </si>
  <si>
    <t>DEPUTY EXECUTIVE DIRECTOR FOR TECHNICAL SERVICES</t>
  </si>
  <si>
    <t>Office of the Deputy Executive Director for Technical Services</t>
  </si>
  <si>
    <t>Biological Oxygen Demand (BOD₅)</t>
  </si>
  <si>
    <t>NTU</t>
  </si>
  <si>
    <t>Weekly</t>
  </si>
  <si>
    <t>Chemical Registration &amp; Importation License</t>
  </si>
  <si>
    <t>Bill signatory – name</t>
  </si>
  <si>
    <t>Deputy Executive Director for Administration</t>
  </si>
  <si>
    <t>Hon. Anthony S. Kollie</t>
  </si>
  <si>
    <t>DEPUTY EXECUTIVE DIRECTOR FOR ADMINISTRATION</t>
  </si>
  <si>
    <t>Office of the Deputy Executive Director for Administration</t>
  </si>
  <si>
    <t>Cell #: +231 770 113 663 / +231 886 588 459 / +231 886 542 865   |   Email: akollie@epa.gov.lr / website: epa.gov.lr</t>
  </si>
  <si>
    <t>DEDA/EPA-02/</t>
  </si>
  <si>
    <t>Chemical Oxygen Demand (COD)</t>
  </si>
  <si>
    <t>-</t>
  </si>
  <si>
    <t>Monthly</t>
  </si>
  <si>
    <t>Effluent Discharge License</t>
  </si>
  <si>
    <t>Bill signatory – title</t>
  </si>
  <si>
    <t>ERRS – CMU | MACRO SETUP (one-time, about 3 minutes)</t>
  </si>
  <si>
    <t>POP-UP FORM CODE – read automatically by Build_UserForms (do not copy this column)</t>
  </si>
  <si>
    <t>THISWORKBOOK CODE – paste into the ThisWorkbook module (double-click ThisWorkbook in the VBA editor)</t>
  </si>
  <si>
    <t>1.  Save as .xlsm.  Tick ONCE: File &gt; Options &gt; Trust Center &gt; Macro Settings &gt; 'Trust access to the VBA project object model'.</t>
  </si>
  <si>
    <t>2.  Alt+F11 → Run → Reset. Click Module1, Ctrl+A, Delete.</t>
  </si>
  <si>
    <t>#FORM UF_COMMON</t>
  </si>
  <si>
    <t>Private Sub Workbook_Open()</t>
  </si>
  <si>
    <t>3.  Copy A16:A2308 below into Module1.</t>
  </si>
  <si>
    <t>Private mUI As Collection</t>
  </si>
  <si>
    <t xml:space="preserve">    CMU_LockAll</t>
  </si>
  <si>
    <t>4.  Double-click ThisWorkbook (left panel) and paste E3:E9 (yellow) into it.</t>
  </si>
  <si>
    <t>End Sub</t>
  </si>
  <si>
    <t>5.  Alt+F8 → Build_UserForms → Run.   Then Alt+F8 → Build_LoginForms → Run.  (Re-run both whenever the pop-up form design changes.)</t>
  </si>
  <si>
    <t>Private Sub UI_Wire()</t>
  </si>
  <si>
    <t>6.  Alt+F8 → Setup_Buttons → Run. Save and close the file.</t>
  </si>
  <si>
    <t xml:space="preserve">    Dim c As Object, b As CMU_UIBtn</t>
  </si>
  <si>
    <t>Private Sub Workbook_BeforeClose(Cancel As Boolean)</t>
  </si>
  <si>
    <t>7.  Reopen → Enable Content → SIGN IN. First time: admin / admin123 – you must set a new password.</t>
  </si>
  <si>
    <t xml:space="preserve">    Set mUI = New Collection</t>
  </si>
  <si>
    <t>8.  Main Menu › Users &amp; Passwords: add staff (Admin / Officer / Viewer).</t>
  </si>
  <si>
    <t xml:space="preserve">    For Each c In Me.Controls</t>
  </si>
  <si>
    <t xml:space="preserve">    Me.Save</t>
  </si>
  <si>
    <t>Column C = pop-up form code (read automatically, do not copy).</t>
  </si>
  <si>
    <t xml:space="preserve">        If TypeName(c) = "CommandButton" Or TypeName(c) = "Label" Then</t>
  </si>
  <si>
    <t>•  Find Record – type an ID in C5 (or leave blank to be asked) and click Find Record. The record loads into the form.</t>
  </si>
  <si>
    <t xml:space="preserve">            Set b = New CMU_UIBtn</t>
  </si>
  <si>
    <t>•  Update Record – after Find, change the fields and click Update.  Delete Record – asks to confirm; companies that still have licences/clearances/bills/payments cannot be deleted.</t>
  </si>
  <si>
    <t xml:space="preserve">            b.Attach c</t>
  </si>
  <si>
    <t>•  Warnings (⚠) for duplicate licence numbers, B/Ls or receipts are shown next to the field and asked about before saving. The Dashboard and company totals update automatically.</t>
  </si>
  <si>
    <t xml:space="preserve">            mUI.Add b</t>
  </si>
  <si>
    <t xml:space="preserve">        End If</t>
  </si>
  <si>
    <t>VBA CODE – copy A16 to the last line</t>
  </si>
  <si>
    <t xml:space="preserve">    Next c</t>
  </si>
  <si>
    <t>Option Explicit</t>
  </si>
  <si>
    <t>Public CMU_User As String</t>
  </si>
  <si>
    <t>Public CMU_Role As String</t>
  </si>
  <si>
    <t>Private Sub UserForm_MouseMove(ByVal Button As Integer, ByVal Shift As Integer, ByVal X As Single, ByVal Y As Single)</t>
  </si>
  <si>
    <t>Public UI_HotBtn As Object</t>
  </si>
  <si>
    <t xml:space="preserve">    UI_Unhover</t>
  </si>
  <si>
    <t>#If VBA7 Then</t>
  </si>
  <si>
    <t>Private Declare PtrSafe Function UI_GetKeyState Lib "user32" Alias "GetKeyState" (ByVal nVirtKey As Long) As Integer</t>
  </si>
  <si>
    <t>#Else</t>
  </si>
  <si>
    <t>Private Sub UserForm_Terminate()</t>
  </si>
  <si>
    <t>Private Declare Function UI_GetKeyState Lib "user32" Alias "GetKeyState" (ByVal nVirtKey As Long) As Integer</t>
  </si>
  <si>
    <t>#End If</t>
  </si>
  <si>
    <t xml:space="preserve">    Set mUI = Nothing</t>
  </si>
  <si>
    <t>Private Const CMU_LOCKPWD As String = "CMU#ERRS-2026"</t>
  </si>
  <si>
    <t>Private Const CLR_FIRST As Long = 13</t>
  </si>
  <si>
    <t>Private Const CLR_LAST As Long = 32</t>
  </si>
  <si>
    <t>Private Sub SetStatus(ByVal msg As String, Optional ByVal kind As String = "i")</t>
  </si>
  <si>
    <t>Rem ==== ERRS CMU DATABASE 2026 - FORM ENGINE (paste into a standard Module) ====</t>
  </si>
  <si>
    <t xml:space="preserve">    UI_Status Me, msg, kind</t>
  </si>
  <si>
    <t>Private Function GetCfg(ByVal s As String, tbl As String, idCol As String, pre As String, mp As String, hasCo As Boolean) As Boolean</t>
  </si>
  <si>
    <t xml:space="preserve">    GetCfg = True: hasCo = True: idCol = "Record ID"</t>
  </si>
  <si>
    <t>Private Function Num(ByVal v As Variant) As Double</t>
  </si>
  <si>
    <t xml:space="preserve">    Select Case s</t>
  </si>
  <si>
    <t xml:space="preserve">    If IsNumeric(v) Then</t>
  </si>
  <si>
    <t xml:space="preserve">        Case "Company Form"</t>
  </si>
  <si>
    <t xml:space="preserve">        If CStr(v) &lt;&gt; "" Then Num = CDbl(v)</t>
  </si>
  <si>
    <t xml:space="preserve">            tbl = "tblCompanies": idCol = "Company ID": pre = "CMU-": hasCo = False</t>
  </si>
  <si>
    <t xml:space="preserve">    End If</t>
  </si>
  <si>
    <t xml:space="preserve">            mp = "C6=Company Name|C7=Sector / Activity|C8=Location|C9=Other Names Recorded"</t>
  </si>
  <si>
    <t>End Function</t>
  </si>
  <si>
    <t xml:space="preserve">        Case "Licence Form"</t>
  </si>
  <si>
    <t xml:space="preserve">            tbl = "tblLicences": pre = "LIC-"</t>
  </si>
  <si>
    <t>Private Function Tbl(ByVal n As String) As ListObject</t>
  </si>
  <si>
    <t xml:space="preserve">            mp = "C7=Licence Category|C8=Licence / Certificate Type|C9=Location|C10=Application Date|C11=Response Date|C12=Reference Code|C13=Licence / Certificate No.|C14=Date Issued|C15=Expiry Date|C16=Remarks"</t>
  </si>
  <si>
    <t xml:space="preserve">    Dim ws As Worksheet, t As ListObject</t>
  </si>
  <si>
    <t xml:space="preserve">        Case "Clearance Form"</t>
  </si>
  <si>
    <t xml:space="preserve">    For Each ws In ThisWorkbook.Worksheets</t>
  </si>
  <si>
    <t xml:space="preserve">            tbl = "tblClearances": pre = "CLR-"</t>
  </si>
  <si>
    <t xml:space="preserve">        For Each t In ws.ListObjects</t>
  </si>
  <si>
    <t xml:space="preserve">            mp = "C7=Chemical as Recorded|C8=Chemical (Standard)|C9=Qty as Recorded|C10=Unit|C11=B/L / Invoice / AWB No.|C12=Clearance Ref. No.|C13=Clearance Date|C14=Remarks"</t>
  </si>
  <si>
    <t xml:space="preserve">            If t.Name = n Then Set Tbl = t: Exit Function</t>
  </si>
  <si>
    <t xml:space="preserve">        Case "Bill Form"</t>
  </si>
  <si>
    <t xml:space="preserve">        Next t</t>
  </si>
  <si>
    <t xml:space="preserve">            tbl = "tblBills": idCol = "Bill ID": pre = "BIL-"</t>
  </si>
  <si>
    <t xml:space="preserve">    Next ws</t>
  </si>
  <si>
    <t xml:space="preserve">            mp = "C7=Activity|C8=Location|C9=Purpose / Licence Billed|C10=Chemical|C11=Amount Billed (USD)|C12=Bill Date|C13=Bill Ref. No.|C14=Contact Person|C15=Contact Title"</t>
  </si>
  <si>
    <t xml:space="preserve">        Case "Payment Form"</t>
  </si>
  <si>
    <t xml:space="preserve">            tbl = "tblPayments": pre = "PAY-"</t>
  </si>
  <si>
    <t>Private Sub OpenSheet(ws As Worksheet)</t>
  </si>
  <si>
    <t xml:space="preserve">            mp = "C7=Purpose / Services|C8=Amount (USD)|C9=Payment Date|C10=Receipt No.|C11=Remarks|C12=Bill No."</t>
  </si>
  <si>
    <t xml:space="preserve">    On Error Resume Next</t>
  </si>
  <si>
    <t xml:space="preserve">        Case Else</t>
  </si>
  <si>
    <t xml:space="preserve">    ws.Unprotect</t>
  </si>
  <si>
    <t xml:space="preserve">            GetCfg = False</t>
  </si>
  <si>
    <t xml:space="preserve">    On Error GoTo 0</t>
  </si>
  <si>
    <t xml:space="preserve">    End Select</t>
  </si>
  <si>
    <t>Private Sub LockSheet(ws As Worksheet)</t>
  </si>
  <si>
    <t>Private Function GetLO(ByVal tbl As String) As ListObject</t>
  </si>
  <si>
    <t xml:space="preserve">    ws.Protect DrawingObjects:=True, Contents:=True, UserInterfaceOnly:=True</t>
  </si>
  <si>
    <t xml:space="preserve">    ws.EnableSelection = xlUnlockedCells</t>
  </si>
  <si>
    <t>Dissolved Oxygen (DO)</t>
  </si>
  <si>
    <t>°C</t>
  </si>
  <si>
    <t>Quarterly</t>
  </si>
  <si>
    <t xml:space="preserve">            If t.Name = tbl Then Set GetLO = t: Exit Function</t>
  </si>
  <si>
    <t>#END UF_COMMON</t>
  </si>
  <si>
    <t>Effluent Discharge License and Retention</t>
  </si>
  <si>
    <t>Bank name</t>
  </si>
  <si>
    <t>#FORM CMU_UIBtn</t>
  </si>
  <si>
    <t>Eco-Bank Liberia Limited</t>
  </si>
  <si>
    <t>Private Function ColIdx(lo As ListObject, ByVal nm As String) As Long</t>
  </si>
  <si>
    <t>Private WithEvents mBtn As MSForms.CommandButton</t>
  </si>
  <si>
    <t xml:space="preserve">    Dim c As ListColumn</t>
  </si>
  <si>
    <t>Private WithEvents mLbl As MSForms.Label</t>
  </si>
  <si>
    <t xml:space="preserve">    For Each c In lo.ListColumns</t>
  </si>
  <si>
    <t xml:space="preserve">        If c.Name = nm Then ColIdx = c.Index: Exit Function</t>
  </si>
  <si>
    <t>Private Declare PtrSafe Function LoadCursor Lib "user32" Alias "LoadCursorA" (ByVal hInstance As LongPtr, ByVal lpCursorName As LongPtr) As LongPtr</t>
  </si>
  <si>
    <t>Private Declare PtrSafe Function SetCursor Lib "user32" (ByVal hCursor As LongPtr) As LongPtr</t>
  </si>
  <si>
    <t>Private Declare Function LoadCursor Lib "user32" Alias "LoadCursorA" (ByVal hInstance As Long, ByVal lpCursorName As Long) As Long</t>
  </si>
  <si>
    <t>Private Function NextID(lo As ListObject, ByVal idCol As String, ByVal pre As String) As String</t>
  </si>
  <si>
    <t>Private Declare Function SetCursor Lib "user32" (ByVal hCursor As Long) As Long</t>
  </si>
  <si>
    <t xml:space="preserve">    Dim c As Range, n As Long, mx As Long</t>
  </si>
  <si>
    <t xml:space="preserve">    If lo.ListRows.Count &gt; 0 Then</t>
  </si>
  <si>
    <t xml:space="preserve">        For Each c In lo.ListColumns(idCol).DataBodyRange.Cells</t>
  </si>
  <si>
    <t>Public Sub Attach(ByVal c As Object)</t>
  </si>
  <si>
    <t xml:space="preserve">            If Left$(CStr(c.Value), Len(pre)) = pre Then</t>
  </si>
  <si>
    <t xml:space="preserve">    If TypeName(c) = "CommandButton" Then</t>
  </si>
  <si>
    <t xml:space="preserve">                n = Val(Mid$(CStr(c.Value), Len(pre) + 1))</t>
  </si>
  <si>
    <t xml:space="preserve">        Set mBtn = c</t>
  </si>
  <si>
    <t xml:space="preserve">                If n &gt; mx Then mx = n</t>
  </si>
  <si>
    <t xml:space="preserve">        Cool</t>
  </si>
  <si>
    <t xml:space="preserve">            End If</t>
  </si>
  <si>
    <t xml:space="preserve">    Else</t>
  </si>
  <si>
    <t xml:space="preserve">        Next c</t>
  </si>
  <si>
    <t xml:space="preserve">        Set mLbl = c</t>
  </si>
  <si>
    <t xml:space="preserve">    NextID = pre &amp; Format(mx + 1, "000")</t>
  </si>
  <si>
    <t>Public Sub Cool()</t>
  </si>
  <si>
    <t>Private Function FindIdx(lo As ListObject, ByVal idCol As String, ByVal id As String) As Long</t>
  </si>
  <si>
    <t xml:space="preserve">    If mBtn Is Nothing Then Exit Sub</t>
  </si>
  <si>
    <t xml:space="preserve">    Dim r As Variant</t>
  </si>
  <si>
    <t xml:space="preserve">    UI_Paint mBtn, False</t>
  </si>
  <si>
    <t xml:space="preserve">    If lo.ListRows.Count = 0 Or id = "" Then Exit Function</t>
  </si>
  <si>
    <t xml:space="preserve">    r = Application.Match(id, lo.ListColumns(idCol).DataBodyRange, 0)</t>
  </si>
  <si>
    <t xml:space="preserve">    If Not IsError(r) Then FindIdx = CLng(r)</t>
  </si>
  <si>
    <t>Private Sub mBtn_MouseMove(ByVal Button As Integer, ByVal Shift As Integer, ByVal X As Single, ByVal Y As Single)</t>
  </si>
  <si>
    <t xml:space="preserve">    If Not mBtn.Enabled Then Exit Sub</t>
  </si>
  <si>
    <t xml:space="preserve">    SetCursor LoadCursor(0, 32649)</t>
  </si>
  <si>
    <t>Private Function CompanyID(ByVal nm As String) As String</t>
  </si>
  <si>
    <t xml:space="preserve">    If Not UI_HotBtn Is Me Then</t>
  </si>
  <si>
    <t xml:space="preserve">    Dim lo As ListObject, r As Variant</t>
  </si>
  <si>
    <t xml:space="preserve">        UI_Unhover</t>
  </si>
  <si>
    <t xml:space="preserve">    Set lo = GetLO("tblCompanies")</t>
  </si>
  <si>
    <t xml:space="preserve">        UI_Paint mBtn, True</t>
  </si>
  <si>
    <t xml:space="preserve">    r = Application.Match(nm, lo.ListColumns("Company Name").DataBodyRange, 0)</t>
  </si>
  <si>
    <t xml:space="preserve">        Set UI_HotBtn = Me</t>
  </si>
  <si>
    <t xml:space="preserve">    If Not IsError(r) Then CompanyID = CStr(lo.ListColumns("Company ID").DataBodyRange.Cells(r, 1).Value)</t>
  </si>
  <si>
    <t>Private Function FormOK(sh As Worksheet) As Boolean</t>
  </si>
  <si>
    <t>Private Sub mLbl_MouseMove(ByVal Button As Integer, ByVal Shift As Integer, ByVal X As Single, ByVal Y As Single)</t>
  </si>
  <si>
    <t xml:space="preserve">    If InStr(1, CStr(sh.Range("C4").Value), "Ready", vbTextCompare) &gt; 0 Then</t>
  </si>
  <si>
    <t xml:space="preserve">        FormOK = True</t>
  </si>
  <si>
    <t>#END CMU_UIBtn</t>
  </si>
  <si>
    <t xml:space="preserve">        MsgBox "The form is not complete:" &amp; vbCrLf &amp; vbCrLf &amp; Replace(CStr(sh.Range("C4").Value), ChrW(10006), ""), vbExclamation, "CMU Database"</t>
  </si>
  <si>
    <t>#FORM UF_Bill</t>
  </si>
  <si>
    <t>#COMMON</t>
  </si>
  <si>
    <t>Private Function WarningsOK(sh As Worksheet) As Boolean</t>
  </si>
  <si>
    <t xml:space="preserve">    Dim c As Range, msg As String</t>
  </si>
  <si>
    <t>Private Function GroupOf(ByVal bt As String) As String</t>
  </si>
  <si>
    <t xml:space="preserve">    For Each c In sh.Range("D6:D20").Cells</t>
  </si>
  <si>
    <t xml:space="preserve">        If InStr(1, CStr(c.Text), ChrW(9888)) &gt; 0 Then msg = msg &amp; "- " &amp; sh.Cells(c.Row, 2).Value &amp; ": " &amp; Replace(c.Text, ChrW(9888), "") &amp; vbCrLf</t>
  </si>
  <si>
    <t xml:space="preserve">    r = Application.Match(bt, Tbl("tblBillTypes").ListColumns("Bill Type").DataBodyRange, 0)</t>
  </si>
  <si>
    <t xml:space="preserve">    If Not IsError(r) Then GroupOf = CStr(Tbl("tblBillTypes").ListColumns("Bill Group").DataBodyRange.Cells(r, 1).Value)</t>
  </si>
  <si>
    <t xml:space="preserve">    If msg = "" Then</t>
  </si>
  <si>
    <t xml:space="preserve">        WarningsOK = True</t>
  </si>
  <si>
    <t>Private Sub UserForm_Initialize()</t>
  </si>
  <si>
    <t xml:space="preserve">        WarningsOK = (MsgBox("Please check:" &amp; vbCrLf &amp; vbCrLf &amp; msg &amp; vbCrLf &amp; "Save anyway?", vbYesNo + vbQuestion, "CMU Database") = vbYes)</t>
  </si>
  <si>
    <t xml:space="preserve">    Dim c As Range, i As Long</t>
  </si>
  <si>
    <t xml:space="preserve">    UI_Wire</t>
  </si>
  <si>
    <t xml:space="preserve">    cboCompany.Style = fmStyleDropDownList</t>
  </si>
  <si>
    <t xml:space="preserve">    For i = 1 To 5</t>
  </si>
  <si>
    <t>Private Sub WriteRow(lo As ListObject, ByVal idx As Long, sh As Worksheet, ByVal mp As String, ByVal hasCo As Boolean, ByVal isNew As Boolean)</t>
  </si>
  <si>
    <t xml:space="preserve">        Me.Controls("cboSvc" &amp; i).Style = fmStyleDropDownList</t>
  </si>
  <si>
    <t xml:space="preserve">    Dim p As Variant, kv() As String, cell As Range, first As Range, j As Long</t>
  </si>
  <si>
    <t xml:space="preserve">        Me.Controls("txtAmt" &amp; i).TextAlign = fmTextAlignRight</t>
  </si>
  <si>
    <t xml:space="preserve">    For Each p In Split(mp, "|")</t>
  </si>
  <si>
    <t xml:space="preserve">    Next i</t>
  </si>
  <si>
    <t xml:space="preserve">        kv = Split(p, "=")</t>
  </si>
  <si>
    <t xml:space="preserve">    For Each c In Tbl("tblBillTypes").ListColumns("Bill Type").DataBodyRange.Cells</t>
  </si>
  <si>
    <t xml:space="preserve">        Set cell = lo.DataBodyRange.Cells(idx, ColIdx(lo, kv(1)))</t>
  </si>
  <si>
    <t xml:space="preserve">        If CStr(c.Value) &lt;&gt; "" Then lstType.AddItem c.Value</t>
  </si>
  <si>
    <t xml:space="preserve">        If CStr(sh.Range(kv(0)).Value) = "" Then cell.ClearContents Else cell.Value = sh.Range(kv(0)).Value</t>
  </si>
  <si>
    <t xml:space="preserve">    Next p</t>
  </si>
  <si>
    <t xml:space="preserve">    For Each c In Tbl("tblCompanies").ListColumns("Company Name").DataBodyRange.Cells</t>
  </si>
  <si>
    <t>Turbidity</t>
  </si>
  <si>
    <t xml:space="preserve">    If hasCo Then</t>
  </si>
  <si>
    <t>µS/cm</t>
  </si>
  <si>
    <t xml:space="preserve">        If CStr(c.Value) &lt;&gt; "" Then cboCompany.AddItem c.Value</t>
  </si>
  <si>
    <t>Bi-annually</t>
  </si>
  <si>
    <t xml:space="preserve">        lo.DataBodyRange.Cells(idx, ColIdx(lo, "Company ID")).Value = CompanyID(sh.Range("C6").Value)</t>
  </si>
  <si>
    <t xml:space="preserve">        If ColIdx(lo, "Name as Recorded") &gt; 0 Then lo.DataBodyRange.Cells(idx, ColIdx(lo, "Name as Recorded")).Value = sh.Range("C6").Value</t>
  </si>
  <si>
    <t xml:space="preserve">    txtDate.Value = Format(Date, "dd-mmm-yyyy")</t>
  </si>
  <si>
    <t>Account number</t>
  </si>
  <si>
    <t>6100064132</t>
  </si>
  <si>
    <t xml:space="preserve">    lblHint.Caption = "Select a bill type to load its services."</t>
  </si>
  <si>
    <t xml:space="preserve">    If ColIdx(lo, "Source") &gt; 0 Then</t>
  </si>
  <si>
    <t xml:space="preserve">    lblCoInfo.Caption = ""</t>
  </si>
  <si>
    <t xml:space="preserve">        Set cell = lo.DataBodyRange.Cells(idx, ColIdx(lo, "Source"))</t>
  </si>
  <si>
    <t xml:space="preserve">    Validate</t>
  </si>
  <si>
    <t xml:space="preserve">        If isNew Then</t>
  </si>
  <si>
    <t xml:space="preserve">            cell.Value = "Form entry " &amp; Format(Now, "dd-mmm-yyyy hh:nn") &amp; " (" &amp; Application.UserName &amp; ")"</t>
  </si>
  <si>
    <t xml:space="preserve">        Else</t>
  </si>
  <si>
    <t>Private Sub UserForm_Activate()</t>
  </si>
  <si>
    <t xml:space="preserve">            cell.Value = CStr(cell.Value) &amp; " | Updated " &amp; Format(Now, "dd-mmm-yyyy hh:nn")</t>
  </si>
  <si>
    <t xml:space="preserve">    lstType.SetFocus</t>
  </si>
  <si>
    <t xml:space="preserve">    If isNew And ColIdx(lo, "Record Group") &gt; 0 Then lo.DataBodyRange.Cells(idx, ColIdx(lo, "Record Group")).Value = "Form entry"</t>
  </si>
  <si>
    <t xml:space="preserve">    Rem copy calculated formulas (Company Name, Status, kg, totals) into the row where missing</t>
  </si>
  <si>
    <t>Private Sub lstType_Click()</t>
  </si>
  <si>
    <t xml:space="preserve">    If idx &gt; 1 Then</t>
  </si>
  <si>
    <t xml:space="preserve">    Dim g As String, i As Long, k As Long, svc As Range, grp As Range, cb As Object</t>
  </si>
  <si>
    <t xml:space="preserve">        For j = 1 To lo.ListColumns.Count</t>
  </si>
  <si>
    <t xml:space="preserve">    If lstType.ListIndex &lt; 0 Then Exit Sub</t>
  </si>
  <si>
    <t xml:space="preserve">            Set cell = lo.DataBodyRange.Cells(idx, j)</t>
  </si>
  <si>
    <t xml:space="preserve">    g = GroupOf(lstType.Value)</t>
  </si>
  <si>
    <t xml:space="preserve">            Set first = lo.DataBodyRange.Cells(1, j)</t>
  </si>
  <si>
    <t xml:space="preserve">    Set svc = Tbl("tblServices").ListColumns("Service").DataBodyRange</t>
  </si>
  <si>
    <t xml:space="preserve">            If Not cell.HasFormula And CStr(cell.Value) = "" And first.HasFormula Then</t>
  </si>
  <si>
    <t xml:space="preserve">    Set grp = Tbl("tblServices").ListColumns("Bill Group").DataBodyRange</t>
  </si>
  <si>
    <t xml:space="preserve">                If InStr(first.Formula, "!") = 0 Then cell.Formula = first.Formula</t>
  </si>
  <si>
    <t xml:space="preserve">        Set cb = Me.Controls("cboSvc" &amp; i)</t>
  </si>
  <si>
    <t xml:space="preserve">        Next j</t>
  </si>
  <si>
    <t xml:space="preserve">        cb.Clear</t>
  </si>
  <si>
    <t xml:space="preserve">        cb.AddItem ""</t>
  </si>
  <si>
    <t xml:space="preserve">        For k = 1 To svc.Rows.Count</t>
  </si>
  <si>
    <t xml:space="preserve">            If CStr(grp.Cells(k, 1).Value) = g Then cb.AddItem svc.Cells(k, 1).Value</t>
  </si>
  <si>
    <t>Private Sub ClearInputs(sh As Worksheet, ByVal mp As String)</t>
  </si>
  <si>
    <t xml:space="preserve">        Next k</t>
  </si>
  <si>
    <t xml:space="preserve">    Dim p As Variant</t>
  </si>
  <si>
    <t xml:space="preserve">        Me.Controls("txtAmt" &amp; i).Value = ""</t>
  </si>
  <si>
    <t xml:space="preserve">    sh.Range("C5").ClearContents: If sh.Name = "Licence Form" Then Lic_ClearChems sh</t>
  </si>
  <si>
    <t xml:space="preserve">        Me.Controls("txtDet" &amp; i).Value = ""</t>
  </si>
  <si>
    <t xml:space="preserve">    sh.Range("C6").ClearContents</t>
  </si>
  <si>
    <t xml:space="preserve">    If cboSvc1.ListCount &gt; 1 Then cboSvc1.ListIndex = 1</t>
  </si>
  <si>
    <t xml:space="preserve">        sh.Range(Split(p, "=")(0)).ClearContents</t>
  </si>
  <si>
    <t xml:space="preserve">    If g = "Licence" Then</t>
  </si>
  <si>
    <t xml:space="preserve">        lblHint.Caption = "Letter: " &amp; lstType.Value &amp; vbLf &amp; "CRL, CIL, EDL and Dewatering can share one bill."</t>
  </si>
  <si>
    <t xml:space="preserve">    sh.Range("C6").Select</t>
  </si>
  <si>
    <t xml:space="preserve">        lblHint.Caption = "Letter: " &amp; lstType.Value &amp; vbLf &amp; "Only " &amp; g &amp; " services are allowed on this bill."</t>
  </si>
  <si>
    <t>Public Sub Form_Save()</t>
  </si>
  <si>
    <t xml:space="preserve">    If g = "Transportation" Then txtDet1.Value = "for a total of ___ trucks"</t>
  </si>
  <si>
    <t xml:space="preserve">    If Not CMU_CanEdit() Then Exit Sub</t>
  </si>
  <si>
    <t xml:space="preserve">    Dim sh As Worksheet, tbl As String, idCol As String, pre As String, mp As String, hasCo As Boolean</t>
  </si>
  <si>
    <t xml:space="preserve">    Dim lo As ListObject, newID As String, idx As Long</t>
  </si>
  <si>
    <t xml:space="preserve">    Set sh = ActiveSheet</t>
  </si>
  <si>
    <t>Private Sub SvcChanged(ByVal i As Long)</t>
  </si>
  <si>
    <t xml:space="preserve">    If sh.Name = "Clearance Form" Then Clr_Save: Exit Sub</t>
  </si>
  <si>
    <t xml:space="preserve">    Dim cb As Object, r As Variant, f As Variant</t>
  </si>
  <si>
    <t xml:space="preserve">    If sh.Name = "Bill Form" Then Bil_Save: Exit Sub</t>
  </si>
  <si>
    <t xml:space="preserve">    Set cb = Me.Controls("cboSvc" &amp; i)</t>
  </si>
  <si>
    <t xml:space="preserve">    If Not GetCfg(sh.Name, tbl, idCol, pre, mp, hasCo) Then Exit Sub</t>
  </si>
  <si>
    <t xml:space="preserve">    If CStr(cb.Value) &lt;&gt; "" Then</t>
  </si>
  <si>
    <t xml:space="preserve">    If CStr(sh.Range("C5").Value) &lt;&gt; "" Then</t>
  </si>
  <si>
    <t xml:space="preserve">        r = Application.Match(cb.Value, Tbl("tblServices").ListColumns("Service").DataBodyRange, 0)</t>
  </si>
  <si>
    <t xml:space="preserve">        MsgBox "The ID box (C5) is filled in. Use Update Record to change an existing record, or clear the ID to save a new one.", vbInformation, "CMU Database"</t>
  </si>
  <si>
    <t xml:space="preserve">        If Not IsError(r) Then</t>
  </si>
  <si>
    <t xml:space="preserve">        Exit Sub</t>
  </si>
  <si>
    <t xml:space="preserve">            f = Tbl("tblServices").ListColumns("Suggested Fee (USD)").DataBodyRange.Cells(r, 1).Value</t>
  </si>
  <si>
    <t xml:space="preserve">            If IsNumeric(f) And CStr(f) &lt;&gt; "" And CStr(Me.Controls("txtAmt" &amp; i).Value) = "" Then Me.Controls("txtAmt" &amp; i).Value = f</t>
  </si>
  <si>
    <t xml:space="preserve">    If Not FormOK(sh) Then Exit Sub</t>
  </si>
  <si>
    <t xml:space="preserve">    If Not WarningsOK(sh) Then Exit Sub</t>
  </si>
  <si>
    <t xml:space="preserve">    Set lo = GetLO(tbl): If Not Lic_ChemsOK(sh) Then Exit Sub</t>
  </si>
  <si>
    <t xml:space="preserve">    newID = NextID(lo, idCol, pre)</t>
  </si>
  <si>
    <t xml:space="preserve">    Application.ScreenUpdating = False</t>
  </si>
  <si>
    <t xml:space="preserve">    idx = lo.ListRows.Add(AlwaysInsert:=True).Index</t>
  </si>
  <si>
    <t>Private Sub cboSvc1_Change()</t>
  </si>
  <si>
    <t xml:space="preserve">    lo.DataBodyRange.Cells(idx, ColIdx(lo, idCol)).Value = newID</t>
  </si>
  <si>
    <t xml:space="preserve">    SvcChanged 1</t>
  </si>
  <si>
    <t xml:space="preserve">    WriteRow lo, idx, sh, mp, hasCo, True: Lic_SaveChems sh, newID</t>
  </si>
  <si>
    <t xml:space="preserve">    ClearInputs sh, mp</t>
  </si>
  <si>
    <t xml:space="preserve">    Application.ScreenUpdating = True</t>
  </si>
  <si>
    <t>Private Sub cboSvc2_Change()</t>
  </si>
  <si>
    <t xml:space="preserve">    MsgBox "Saved as " &amp; newID &amp; " in " &amp; lo.Parent.Name &amp; ".", vbInformation, "CMU Database"</t>
  </si>
  <si>
    <t xml:space="preserve">    SvcChanged 2</t>
  </si>
  <si>
    <t>Public Sub Form_Find()</t>
  </si>
  <si>
    <t>Private Sub cboSvc3_Change()</t>
  </si>
  <si>
    <t xml:space="preserve">    SvcChanged 3</t>
  </si>
  <si>
    <t xml:space="preserve">    Dim lo As ListObject, idx As Long, id As String, p As Variant, kv() As String, src As Range, linked As Boolean</t>
  </si>
  <si>
    <t xml:space="preserve">    If sh.Name = "Clearance Form" Then Clr_Find: Exit Sub</t>
  </si>
  <si>
    <t>Private Sub cboSvc4_Change()</t>
  </si>
  <si>
    <t>CMU DATABASE – USER ACCOUNTS (edit only through Main Menu › Users &amp; Passwords; passwords are stored as salted hashes, never as text)</t>
  </si>
  <si>
    <t xml:space="preserve">    If sh.Name = "Bill Form" Then Bil_Find: Exit Sub</t>
  </si>
  <si>
    <t xml:space="preserve">    SvcChanged 4</t>
  </si>
  <si>
    <t>Admin</t>
  </si>
  <si>
    <t xml:space="preserve">    id = Trim$(CStr(sh.Range("C5").Value))</t>
  </si>
  <si>
    <t xml:space="preserve">    If id = "" Then id = Trim$(InputBox("Enter the " &amp; idCol &amp; " to find (e.g. " &amp; pre &amp; "001):", "Find record"))</t>
  </si>
  <si>
    <t>Username</t>
  </si>
  <si>
    <t>Private Sub cboSvc5_Change()</t>
  </si>
  <si>
    <t xml:space="preserve">    If id = "" Then Exit Sub</t>
  </si>
  <si>
    <t>Full Name</t>
  </si>
  <si>
    <t xml:space="preserve">    SvcChanged 5</t>
  </si>
  <si>
    <t>Role</t>
  </si>
  <si>
    <t xml:space="preserve">    id = UCase$(id)</t>
  </si>
  <si>
    <t>Total Alkalinity as CaCO₃</t>
  </si>
  <si>
    <t>Salt</t>
  </si>
  <si>
    <t>pH units</t>
  </si>
  <si>
    <t xml:space="preserve">    Set lo = GetLO(tbl)</t>
  </si>
  <si>
    <t>Annually</t>
  </si>
  <si>
    <t>Password Hash</t>
  </si>
  <si>
    <t>Created</t>
  </si>
  <si>
    <t xml:space="preserve">    idx = FindIdx(lo, idCol, id)</t>
  </si>
  <si>
    <t>Private Sub txtAmt1_Change()</t>
  </si>
  <si>
    <t>Last Login</t>
  </si>
  <si>
    <t xml:space="preserve">    If idx = 0 Then</t>
  </si>
  <si>
    <t>Account title</t>
  </si>
  <si>
    <t xml:space="preserve">        MsgBox id &amp; " was not found in " &amp; lo.Parent.Name &amp; ".", vbExclamation, "CMU Database"</t>
  </si>
  <si>
    <t>NATIONAL ENVIRONMENTAL COMMISSION</t>
  </si>
  <si>
    <t>Private Sub txtAmt2_Change()</t>
  </si>
  <si>
    <t xml:space="preserve">    sh.Range("C5").Value = id: If sh.Name = "Licence Form" Then Lic_LoadChems sh, id</t>
  </si>
  <si>
    <t>Private Sub txtAmt3_Change()</t>
  </si>
  <si>
    <t xml:space="preserve">        Set src = lo.DataBodyRange.Cells(idx, ColIdx(lo, kv(1)))</t>
  </si>
  <si>
    <t xml:space="preserve">        sh.Range(kv(0)).Value = src.Value</t>
  </si>
  <si>
    <t xml:space="preserve">        If src.HasFormula And InStr(src.Formula, "!") &gt; 0 Then linked = True</t>
  </si>
  <si>
    <t>Private Sub txtAmt4_Change()</t>
  </si>
  <si>
    <t xml:space="preserve">    If hasCo Then sh.Range("C6").Value = lo.DataBodyRange.Cells(idx, ColIdx(lo, "Company Name")).Value</t>
  </si>
  <si>
    <t>hinneh45</t>
  </si>
  <si>
    <t>Leroy Hinneh</t>
  </si>
  <si>
    <t xml:space="preserve">    If linked Then</t>
  </si>
  <si>
    <t>Officer</t>
  </si>
  <si>
    <t xml:space="preserve">        MsgBox "Loaded " &amp; id &amp; ". Some fields are linked to Sheet1/Sheet2. Updating will replace those links with the values on the form.", vbInformation, "CMU Database"</t>
  </si>
  <si>
    <t>260927093519298566</t>
  </si>
  <si>
    <t>40959500793792873907</t>
  </si>
  <si>
    <t>Private Sub txtAmt5_Change()</t>
  </si>
  <si>
    <t xml:space="preserve">        MsgBox "Loaded " &amp; id &amp; ". Edit the fields, then click Update Record.", vbInformation, "CMU Database"</t>
  </si>
  <si>
    <t>Private Sub txtDate_Change()</t>
  </si>
  <si>
    <t>Public Sub Form_Update()</t>
  </si>
  <si>
    <t xml:space="preserve">    Dim lo As ListObject, idx As Long, id As String</t>
  </si>
  <si>
    <t>Private Sub cboCompany_Change()</t>
  </si>
  <si>
    <t xml:space="preserve">    ShowCompany</t>
  </si>
  <si>
    <t xml:space="preserve">    If sh.Name = "Clearance Form" Then Clr_Update: Exit Sub</t>
  </si>
  <si>
    <t xml:space="preserve">    If sh.Name = "Bill Form" Then Bil_Update: Exit Sub</t>
  </si>
  <si>
    <t xml:space="preserve">    id = UCase$(Trim$(CStr(sh.Range("C5").Value)))</t>
  </si>
  <si>
    <t>Private Sub ShowCompany()</t>
  </si>
  <si>
    <t xml:space="preserve">    If id = "" Then</t>
  </si>
  <si>
    <t xml:space="preserve">    Dim lo As ListObject, r As Variant, s As String, v As String, b As Double, p As Double, i As Long, d As Object</t>
  </si>
  <si>
    <t xml:space="preserve">        MsgBox "Type the ID in C5 and click Find Record first.", vbInformation, "CMU Database"</t>
  </si>
  <si>
    <t xml:space="preserve">    If cboCompany.ListIndex &lt; 0 Then Exit Sub</t>
  </si>
  <si>
    <t xml:space="preserve">    Set lo = Tbl("tblCompanies")</t>
  </si>
  <si>
    <t xml:space="preserve">    r = Application.Match(cboCompany.Value, lo.ListColumns("Company Name").DataBodyRange, 0)</t>
  </si>
  <si>
    <t xml:space="preserve">    idx = FindIdx(lo, idCol, id): If Not Lic_ChemsOK(sh) Then Exit Sub</t>
  </si>
  <si>
    <t xml:space="preserve">    If IsError(r) Then Exit Sub</t>
  </si>
  <si>
    <t xml:space="preserve">    s = CStr(lo.ListColumns("Company ID").DataBodyRange.Cells(r, 1).Value)</t>
  </si>
  <si>
    <t xml:space="preserve">        MsgBox id &amp; " was not found.", vbExclamation, "CMU Database"</t>
  </si>
  <si>
    <t xml:space="preserve">    v = CStr(lo.ListColumns("Sector / Activity").DataBodyRange.Cells(r, 1).Value)</t>
  </si>
  <si>
    <t xml:space="preserve">    If v &lt;&gt; "" Then s = s &amp; "   |   " &amp; v</t>
  </si>
  <si>
    <t xml:space="preserve">    v = CStr(lo.ListColumns("Location").DataBodyRange.Cells(r, 1).Value)</t>
  </si>
  <si>
    <t xml:space="preserve">    If MsgBox("Update " &amp; id &amp; " with the values on this form?", vbYesNo + vbQuestion, "CMU Database") &lt;&gt; vbYes Then Exit Sub</t>
  </si>
  <si>
    <t xml:space="preserve">    b = Num(lo.ListColumns("Total Billed (USD)").DataBodyRange.Cells(r, 1).Value)</t>
  </si>
  <si>
    <t xml:space="preserve">    WriteRow lo, idx, sh, mp, hasCo, False: Lic_SaveChems sh, id</t>
  </si>
  <si>
    <t xml:space="preserve">    p = Num(lo.ListColumns("Total Paid (USD)").DataBodyRange.Cells(r, 1).Value)</t>
  </si>
  <si>
    <t xml:space="preserve">    MsgBox id &amp; " updated.", vbInformation, "CMU Database"</t>
  </si>
  <si>
    <t xml:space="preserve">    Set d = CreateObject("Scripting.Dictionary")</t>
  </si>
  <si>
    <t xml:space="preserve">    Set lo = Tbl("tblBills")</t>
  </si>
  <si>
    <t xml:space="preserve">    For i = 1 To lo.ListRows.Count</t>
  </si>
  <si>
    <t>Public Sub Form_Delete()</t>
  </si>
  <si>
    <t xml:space="preserve">        If CStr(lo.ListColumns("Company Name").DataBodyRange.Cells(i, 1).Value) = cboCompany.Value Then</t>
  </si>
  <si>
    <t xml:space="preserve">            v = CStr(lo.ListColumns("Bill No.").DataBodyRange.Cells(i, 1).Value)</t>
  </si>
  <si>
    <t xml:space="preserve">            If v &lt;&gt; "" And Not d.Exists(v) Then d.Add v, 1</t>
  </si>
  <si>
    <t>Phenols</t>
  </si>
  <si>
    <t xml:space="preserve">    Dim lo As ListObject, idx As Long, id As String, n As Long, t As Variant</t>
  </si>
  <si>
    <t>m³/day</t>
  </si>
  <si>
    <t xml:space="preserve">    If sh.Name = "Clearance Form" Then Clr_Delete: Exit Sub</t>
  </si>
  <si>
    <t xml:space="preserve">    s = s &amp; vbLf &amp; d.Count &amp; " previous bill(s)   |   Billed US$" &amp; Format(b, "#,##0.00") &amp; "   |   Outstanding US$" &amp; Format(Application.Max(0, b - p), "#,##0.00")</t>
  </si>
  <si>
    <t xml:space="preserve">    If sh.Name = "Bill Form" Then Bil_Delete: Exit Sub</t>
  </si>
  <si>
    <t xml:space="preserve">    lblCoInfo.Caption = s</t>
  </si>
  <si>
    <t>Payment deadline (words)</t>
  </si>
  <si>
    <t>seventy-two (72) hours</t>
  </si>
  <si>
    <t xml:space="preserve">    If id = "" Then id = UCase$(Trim$(InputBox("Enter the " &amp; idCol &amp; " to delete:", "Delete record")))</t>
  </si>
  <si>
    <t>Private Function Validate() As Boolean</t>
  </si>
  <si>
    <t xml:space="preserve">    Dim i As Long, n As Long, t As Double, bad As Boolean, okDate As Boolean, a As String, msg As String, k As String, box As Object</t>
  </si>
  <si>
    <t xml:space="preserve">        Set box = Me.Controls("txtAmt" &amp; i)</t>
  </si>
  <si>
    <t xml:space="preserve">        a = Trim$(CStr(box.Value))</t>
  </si>
  <si>
    <t xml:space="preserve">        If CStr(Me.Controls("cboSvc" &amp; i).Value) &lt;&gt; "" Then</t>
  </si>
  <si>
    <t xml:space="preserve">            If Num(a) &gt; 0 Then</t>
  </si>
  <si>
    <t xml:space="preserve">                n = n + 1</t>
  </si>
  <si>
    <t xml:space="preserve">    If tbl = "tblCompanies" Then</t>
  </si>
  <si>
    <t xml:space="preserve">                t = t + Num(a)</t>
  </si>
  <si>
    <t xml:space="preserve">        For Each t In Array("tblLicences", "tblClearances", "tblBills", "tblPayments", "tblCorrespondence")</t>
  </si>
  <si>
    <t xml:space="preserve">                UI_Mark box, True</t>
  </si>
  <si>
    <t xml:space="preserve">            n = n + Application.WorksheetFunction.CountIf(GetLO(CStr(t)).ListColumns("Company ID").DataBodyRange, id)</t>
  </si>
  <si>
    <t xml:space="preserve">            Else</t>
  </si>
  <si>
    <t xml:space="preserve">                bad = True</t>
  </si>
  <si>
    <t xml:space="preserve">        If n &gt; 0 Then</t>
  </si>
  <si>
    <t xml:space="preserve">                UI_Mark box, False</t>
  </si>
  <si>
    <t xml:space="preserve">            MsgBox "Cannot delete " &amp; id &amp; ": it is used by " &amp; n &amp; " licence/clearance/bill/payment record(s).", vbCritical, "CMU Database"</t>
  </si>
  <si>
    <t xml:space="preserve">            Exit Sub</t>
  </si>
  <si>
    <t xml:space="preserve">        ElseIf a &lt;&gt; "" Then</t>
  </si>
  <si>
    <t xml:space="preserve">            bad = True</t>
  </si>
  <si>
    <t xml:space="preserve">            UI_Mark box, False</t>
  </si>
  <si>
    <t xml:space="preserve">    If MsgBox("Permanently delete " &amp; id &amp; " from " &amp; lo.Parent.Name &amp; "?" &amp; vbCrLf &amp; "This cannot be undone.", vbYesNo + vbCritical, "CMU Database") &lt;&gt; vbYes Then Exit Sub</t>
  </si>
  <si>
    <t xml:space="preserve">    lo.ListRows(idx).Delete: If tbl = "tblLicences" Then Lic_DeleteChems id: Eff_Delete id</t>
  </si>
  <si>
    <t xml:space="preserve">            UI_Mark box, True</t>
  </si>
  <si>
    <t xml:space="preserve">    MsgBox id &amp; " deleted.", vbInformation, "CMU Database"</t>
  </si>
  <si>
    <t xml:space="preserve">    okDate = IsDate(txtDate.Value)</t>
  </si>
  <si>
    <t xml:space="preserve">    UI_Mark txtDate, okDate</t>
  </si>
  <si>
    <t>Public Sub Form_Clear()</t>
  </si>
  <si>
    <t xml:space="preserve">    lblTotal.Caption = "US$ " &amp; Format(t, "#,##0.00")</t>
  </si>
  <si>
    <t xml:space="preserve">    If t &gt; 0 Then lblWords.Caption = AmountInWords(t) Else lblWords.Caption = ""</t>
  </si>
  <si>
    <t xml:space="preserve">    k = "i"</t>
  </si>
  <si>
    <t xml:space="preserve">    If sh.Name = "Clearance Form" Then Clr_Clear: Exit Sub</t>
  </si>
  <si>
    <t xml:space="preserve">    If lstType.ListIndex &lt; 0 Then</t>
  </si>
  <si>
    <t xml:space="preserve">    If sh.Name = "Bill Form" Then Bil_Clear: Exit Sub</t>
  </si>
  <si>
    <t xml:space="preserve">        msg = "Step 1 of 3:  choose the bill type on the left."</t>
  </si>
  <si>
    <t xml:space="preserve">    If GetCfg(sh.Name, tbl, idCol, pre, mp, hasCo) Then ClearInputs sh, mp</t>
  </si>
  <si>
    <t xml:space="preserve">    ElseIf cboCompany.ListIndex &lt; 0 Then</t>
  </si>
  <si>
    <t xml:space="preserve">        msg = "Step 2 of 3:  choose the company.  New company? Register it first from the Main Menu."</t>
  </si>
  <si>
    <t xml:space="preserve">    ElseIf Not okDate Then</t>
  </si>
  <si>
    <t>Public Sub Form_OpenRegister()</t>
  </si>
  <si>
    <t xml:space="preserve">        msg = "Enter a valid bill date, e.g. 25-Sep-2026.": k = "e"</t>
  </si>
  <si>
    <t xml:space="preserve">    Dim sh As Worksheet, tbl As String, idCol As String, pre As String, mp As String, hasCo As Boolean, lo As ListObject</t>
  </si>
  <si>
    <t xml:space="preserve">    ElseIf bad Then</t>
  </si>
  <si>
    <t xml:space="preserve">        msg = "Check the amounts marked in red  -  every service line needs an amount above 0.": k = "e"</t>
  </si>
  <si>
    <t xml:space="preserve">    ElseIf n = 0 Then</t>
  </si>
  <si>
    <t xml:space="preserve">        msg = "Step 3 of 3:  choose at least one service and its amount."</t>
  </si>
  <si>
    <t xml:space="preserve">    lo.Parent.Activate</t>
  </si>
  <si>
    <t xml:space="preserve">    If lo.ListRows.Count &gt; 0 Then lo.ListRows(lo.ListRows.Count).Range.Cells(1, 1).Select</t>
  </si>
  <si>
    <t xml:space="preserve">        msg = n &amp; " service line(s)   |   Total US$" &amp; Format(t, "#,##0.00") &amp; "   -   click Save Bill or press Enter.": k = "ok"</t>
  </si>
  <si>
    <t xml:space="preserve">        Validate = True</t>
  </si>
  <si>
    <t>Public Sub Form_PrintPage()</t>
  </si>
  <si>
    <t xml:space="preserve">    SetStatus msg, k</t>
  </si>
  <si>
    <t xml:space="preserve">    Dim sh As Worksheet, id As String, target As String, cat As String, c As Range, pick As String</t>
  </si>
  <si>
    <t xml:space="preserve">    UI_Enable cmdSave, Validate</t>
  </si>
  <si>
    <t xml:space="preserve">    Select Case sh.Name</t>
  </si>
  <si>
    <t>Private Sub cmdSave_Click()</t>
  </si>
  <si>
    <t xml:space="preserve">    Dim ws As Worksheet, i As Long, r As Long</t>
  </si>
  <si>
    <t xml:space="preserve">            cat = CStr(sh.Range("C7").Value)</t>
  </si>
  <si>
    <t xml:space="preserve">    If Not Validate() Then Exit Sub</t>
  </si>
  <si>
    <t xml:space="preserve">            If InStr(1, cat, "(CIL)", vbTextCompare) &gt; 0 Then</t>
  </si>
  <si>
    <t xml:space="preserve">    Set ws = ThisWorkbook.Worksheets("Bill Form")</t>
  </si>
  <si>
    <t xml:space="preserve">                target = "Print CIL"</t>
  </si>
  <si>
    <t xml:space="preserve">    OpenSheet ws</t>
  </si>
  <si>
    <t xml:space="preserve">            ElseIf InStr(1, cat, "(CRL)", vbTextCompare) &gt; 0 Or cat = "" Then</t>
  </si>
  <si>
    <t xml:space="preserve">    ws.Range("C5:C14").ClearContents</t>
  </si>
  <si>
    <t xml:space="preserve">                target = "Print CRL"</t>
  </si>
  <si>
    <t xml:space="preserve">    ws.Range("C17:E26").ClearContents</t>
  </si>
  <si>
    <t xml:space="preserve">            ElseIf InStr(1, CStr(sh.Range("C8").Value), "Retention", vbTextCompare) &gt; 0 Then</t>
  </si>
  <si>
    <t xml:space="preserve">    ws.Range("G17:G26").ClearContents</t>
  </si>
  <si>
    <t xml:space="preserve">                target = "Print EDL RP"</t>
  </si>
  <si>
    <t xml:space="preserve">    ws.Range("C6").Value = cboCompany.Value</t>
  </si>
  <si>
    <t xml:space="preserve">            ElseIf InStr(1, cat, "(EDL)", vbTextCompare) &gt; 0 Or InStr(1, cat, "Effluent", vbTextCompare) &gt; 0 Then</t>
  </si>
  <si>
    <t xml:space="preserve">    ws.Range("C7").Value = CDate(txtDate.Value)</t>
  </si>
  <si>
    <t xml:space="preserve">                target = "Print EDL"</t>
  </si>
  <si>
    <t xml:space="preserve">    ws.Range("C8").Value = lstType.Value</t>
  </si>
  <si>
    <t xml:space="preserve">    ws.Range("C9").Value = txtRef.Value</t>
  </si>
  <si>
    <t xml:space="preserve">                MsgBox "Print pages exist for Chemical Registration (CRL), Chemical Importation (CIL) and Effluent Discharge (EDL) licences only." &amp; vbCrLf &amp; "This record is: " &amp; cat, vbInformation, "CMU Database"</t>
  </si>
  <si>
    <t xml:space="preserve">    ws.Range("C10").Value = txtContact.Value</t>
  </si>
  <si>
    <t xml:space="preserve">                Exit Sub</t>
  </si>
  <si>
    <t xml:space="preserve">    ws.Range("C11").Value = txtTitle.Value</t>
  </si>
  <si>
    <t xml:space="preserve">    r = 17</t>
  </si>
  <si>
    <t xml:space="preserve">            pick = id</t>
  </si>
  <si>
    <t xml:space="preserve">            target = "Print Clearance"</t>
  </si>
  <si>
    <t xml:space="preserve">            ws.Range("C" &amp; r).Value = Me.Controls("cboSvc" &amp; i).Value</t>
  </si>
  <si>
    <t xml:space="preserve">            If id &lt;&gt; "" Then</t>
  </si>
  <si>
    <t xml:space="preserve">            ws.Range("D" &amp; r).Value = Me.Controls("txtDet" &amp; i).Value</t>
  </si>
  <si>
    <t xml:space="preserve">                For Each c In ThisWorkbook.Worksheets("Lists").Range("R5:R404").Cells</t>
  </si>
  <si>
    <t xml:space="preserve">            ws.Range("E" &amp; r).Value = CDbl(Me.Controls("txtAmt" &amp; i).Value)</t>
  </si>
  <si>
    <t xml:space="preserve">                    If Left$(CStr(c.Value), Len(id) + 1) = id &amp; " " Then pick = CStr(c.Value): Exit For</t>
  </si>
  <si>
    <t xml:space="preserve">            r = r + 1</t>
  </si>
  <si>
    <t>Chloride</t>
  </si>
  <si>
    <t xml:space="preserve">                Next c</t>
  </si>
  <si>
    <t>MPN/100mL</t>
  </si>
  <si>
    <t xml:space="preserve">                If pick = "" Then pick = id</t>
  </si>
  <si>
    <t xml:space="preserve">    LockSheet ws</t>
  </si>
  <si>
    <t>Letterhead line 1</t>
  </si>
  <si>
    <t>REPUBLIC OF LIBERIA</t>
  </si>
  <si>
    <t xml:space="preserve">    Me.Hide</t>
  </si>
  <si>
    <t xml:space="preserve">            target = "Print Bill"</t>
  </si>
  <si>
    <t xml:space="preserve">    ws.Activate</t>
  </si>
  <si>
    <t xml:space="preserve">    Application.Calculate</t>
  </si>
  <si>
    <t xml:space="preserve">                For Each c In ThisWorkbook.Worksheets("Lists").Range("Y5:Y404").Cells</t>
  </si>
  <si>
    <t xml:space="preserve">    Bil_Save</t>
  </si>
  <si>
    <t xml:space="preserve">    Unload Me</t>
  </si>
  <si>
    <t>Private Sub cmdCancel_Click()</t>
  </si>
  <si>
    <t xml:space="preserve">    With ThisWorkbook.Worksheets(target)</t>
  </si>
  <si>
    <t>#END UF_Bill</t>
  </si>
  <si>
    <t xml:space="preserve">        If pick &lt;&gt; "" Then</t>
  </si>
  <si>
    <t xml:space="preserve">            On Error Resume Next</t>
  </si>
  <si>
    <t>#FORM UF_Pay</t>
  </si>
  <si>
    <t xml:space="preserve">            .Range("J4").Value = pick</t>
  </si>
  <si>
    <t xml:space="preserve">            On Error GoTo 0</t>
  </si>
  <si>
    <t>Private mCo As String, mPurpose As String, mBN As String, mBal As Double</t>
  </si>
  <si>
    <t xml:space="preserve">        .Activate</t>
  </si>
  <si>
    <t xml:space="preserve">        .Range("J4").Select</t>
  </si>
  <si>
    <t xml:space="preserve">    End With</t>
  </si>
  <si>
    <t xml:space="preserve">    Dim c As Range</t>
  </si>
  <si>
    <t xml:space="preserve">    If id = "" Then MsgBox "No record loaded on the form, so the print page opened with its last selection." &amp; vbCrLf &amp; "Tip: Find a record (or save it) first, then click this button to print that record.", vbInformation, "CMU Database"</t>
  </si>
  <si>
    <t xml:space="preserve">    cboBill.Style = fmStyleDropDownList</t>
  </si>
  <si>
    <t>BEA MOUNTAIN MINING COMPANY CLEARANCE LOG JANUARY - DECEMBER 2026</t>
  </si>
  <si>
    <t xml:space="preserve">    txtAmt.TextAlign = fmTextAlignRight</t>
  </si>
  <si>
    <t>Public Sub Go_Menu()</t>
  </si>
  <si>
    <t xml:space="preserve">    For Each c In ThisWorkbook.Worksheets("Lists").Range("Y5:Y404").Cells</t>
  </si>
  <si>
    <t xml:space="preserve">    ThisWorkbook.Worksheets("Main Menu").Activate</t>
  </si>
  <si>
    <t xml:space="preserve">        If CStr(c.Value) &lt;&gt; "" Then cboBill.AddItem c.Value</t>
  </si>
  <si>
    <t xml:space="preserve">    ActiveSheet.Range("A1").Select</t>
  </si>
  <si>
    <t>CHEMICALS</t>
  </si>
  <si>
    <t xml:space="preserve">    UI_Enable cmdFull, False</t>
  </si>
  <si>
    <t>QUANTATY KGS</t>
  </si>
  <si>
    <t>Public Sub Nav_Go()</t>
  </si>
  <si>
    <t>DATE</t>
  </si>
  <si>
    <t>BILL OF LEADING</t>
  </si>
  <si>
    <t>Sodium Cyandide</t>
  </si>
  <si>
    <t xml:space="preserve">    Dim target As String</t>
  </si>
  <si>
    <t xml:space="preserve">    target = ActiveSheet.Shapes(Application.Caller).AlternativeText</t>
  </si>
  <si>
    <t>HLCUSEL251150580</t>
  </si>
  <si>
    <t xml:space="preserve">    If target = "" Then Exit Sub</t>
  </si>
  <si>
    <t xml:space="preserve">    cboBill.SetFocus</t>
  </si>
  <si>
    <t>BL 261510438/ INV. ORB19522025</t>
  </si>
  <si>
    <t xml:space="preserve">    If ThisWorkbook.Worksheets(target).Visible = xlSheetVisible Then ThisWorkbook.Worksheets(target).Activate Else MsgBox "Your account does not have access to the " &amp; target &amp; " sheet.", vbExclamation, "CMU Database"</t>
  </si>
  <si>
    <t>Loctite Thresd Sealant</t>
  </si>
  <si>
    <t>BL 265569706</t>
  </si>
  <si>
    <t>BL 261510675</t>
  </si>
  <si>
    <t>Private Sub cboBill_Change()</t>
  </si>
  <si>
    <t>MethylTrialkylammonium</t>
  </si>
  <si>
    <t>Public Sub Setup_Buttons()</t>
  </si>
  <si>
    <t>BL 259856144</t>
  </si>
  <si>
    <t xml:space="preserve">    Dim lo As ListObject, i As Long, billed As Double, paid As Double, p As String</t>
  </si>
  <si>
    <t>Alkali Curing Acceleration, Akkshot 160</t>
  </si>
  <si>
    <t xml:space="preserve">    Dim f As Variant, sh As Worksheet, s As Shape</t>
  </si>
  <si>
    <t>February 6, 22026</t>
  </si>
  <si>
    <t xml:space="preserve">    mBN = Trim$(Split(cboBill.Value &amp; " ", " ")(0))</t>
  </si>
  <si>
    <t>BL 257853200</t>
  </si>
  <si>
    <t xml:space="preserve">    For Each f In Array("Company Form", "Licence Form", "Clearance Form", "Bill Form", "Payment Form")</t>
  </si>
  <si>
    <t>BL 257855611</t>
  </si>
  <si>
    <t xml:space="preserve">    mCo = "": mPurpose = ""</t>
  </si>
  <si>
    <t>Ferric Chloride Solution 40-42%</t>
  </si>
  <si>
    <t xml:space="preserve">        Set sh = ThisWorkbook.Worksheets(f)</t>
  </si>
  <si>
    <t>February 10, 22026</t>
  </si>
  <si>
    <t>BL HLUCUBO1260100236</t>
  </si>
  <si>
    <t xml:space="preserve">        sh.Unprotect</t>
  </si>
  <si>
    <t>Caustic Soda Flakes</t>
  </si>
  <si>
    <t>BL MEDUP4500708</t>
  </si>
  <si>
    <t xml:space="preserve">        For Each s In sh.Shapes</t>
  </si>
  <si>
    <t>Degreaser &amp; Tar Remover</t>
  </si>
  <si>
    <t xml:space="preserve">        If CStr(lo.ListColumns("Bill No.").DataBodyRange.Cells(i, 1).Value) = mBN Then</t>
  </si>
  <si>
    <t>BL 260567551</t>
  </si>
  <si>
    <t xml:space="preserve">            Select Case s.Name</t>
  </si>
  <si>
    <t>Corrosive Liquid, Aerosos, Tangit PVC-C</t>
  </si>
  <si>
    <t xml:space="preserve">            If mCo = "" Then mCo = CStr(lo.ListColumns("Company Name").DataBodyRange.Cells(i, 1).Value)</t>
  </si>
  <si>
    <t>BL 265252729</t>
  </si>
  <si>
    <t xml:space="preserve">                Case "btnSave": s.OnAction = "Form_Save"</t>
  </si>
  <si>
    <t xml:space="preserve">Degreaser </t>
  </si>
  <si>
    <t xml:space="preserve">            p = CStr(lo.ListColumns("Purpose / Licence Billed").DataBodyRange.Cells(i, 1).Value)</t>
  </si>
  <si>
    <t>BL 263247741</t>
  </si>
  <si>
    <t xml:space="preserve">                Case "btnFind": s.OnAction = "Form_Find"</t>
  </si>
  <si>
    <t xml:space="preserve">            If mPurpose = "" Then mPurpose = p Else mPurpose = mPurpose &amp; ", " &amp; p</t>
  </si>
  <si>
    <t>BL 260289892</t>
  </si>
  <si>
    <t xml:space="preserve">                Case "btnUpdate": s.OnAction = "Form_Update"</t>
  </si>
  <si>
    <t>Corrosive Liquid</t>
  </si>
  <si>
    <t xml:space="preserve">            billed = billed + Num(lo.ListColumns("Amount Billed (USD)").DataBodyRange.Cells(i, 1).Value)</t>
  </si>
  <si>
    <t>BL 265251737</t>
  </si>
  <si>
    <t xml:space="preserve">                Case "btnDelete": s.OnAction = "Form_Delete"</t>
  </si>
  <si>
    <t>BL 264269801</t>
  </si>
  <si>
    <t xml:space="preserve">                Case "btnClear": s.OnAction = "Form_Clear"</t>
  </si>
  <si>
    <t>BL 265251729</t>
  </si>
  <si>
    <t xml:space="preserve">                Case "btnRegister": s.OnAction = "Form_OpenRegister"</t>
  </si>
  <si>
    <t xml:space="preserve">    If Tbl("tblPayments").ListRows.Count &gt; 0 Then paid = Application.WorksheetFunction.SumIfs(Tbl("tblPayments").ListColumns("Amount (USD)").DataBodyRange, Tbl("tblPayments").ListColumns("Bill No.").DataBodyRange, mBN)</t>
  </si>
  <si>
    <t xml:space="preserve">                Case "btnPrintPage": s.OnAction = "Form_PrintPage"</t>
  </si>
  <si>
    <t>BL 265546247</t>
  </si>
  <si>
    <t xml:space="preserve">    mBal = billed - paid</t>
  </si>
  <si>
    <t xml:space="preserve">                Case "btnMakeBill": s.OnAction = "Bill_FromRecord"</t>
  </si>
  <si>
    <t xml:space="preserve">    If mBal &lt; 0 Then mBal = 0</t>
  </si>
  <si>
    <t>BL 265546256</t>
  </si>
  <si>
    <t xml:space="preserve">                Case "btnMenu": s.OnAction = "Go_Menu"</t>
  </si>
  <si>
    <t xml:space="preserve">Alkali Curing Acceleration, Akkshot </t>
  </si>
  <si>
    <t xml:space="preserve">    lblCo.Caption = mCo &amp; "   -   " &amp; mBN</t>
  </si>
  <si>
    <t>BL 263709399</t>
  </si>
  <si>
    <t xml:space="preserve">            End Select</t>
  </si>
  <si>
    <t xml:space="preserve">    lblBilled.Caption = "US$ " &amp; Format(billed, "#,##0.00")</t>
  </si>
  <si>
    <t>BL 265986123</t>
  </si>
  <si>
    <t xml:space="preserve">        Next s</t>
  </si>
  <si>
    <t>Akshop 160</t>
  </si>
  <si>
    <t xml:space="preserve">    lblPaid.Caption = "US$ " &amp; Format(paid, "#,##0.00")</t>
  </si>
  <si>
    <t>BL 262848858</t>
  </si>
  <si>
    <t xml:space="preserve">        sh.Protect DrawingObjects:=True, Contents:=True, UserInterfaceOnly:=True</t>
  </si>
  <si>
    <t xml:space="preserve">    lblBal.Caption = "US$ " &amp; Format(mBal, "#,##0.00")</t>
  </si>
  <si>
    <t>BL 263709637</t>
  </si>
  <si>
    <t xml:space="preserve">        sh.EnableSelection = xlUnlockedCells</t>
  </si>
  <si>
    <t xml:space="preserve">    If mBal &gt; 0.005 Then lblBal.ForeColor = RGB(192, 0, 0) Else lblBal.ForeColor = RGB(56, 142, 60)</t>
  </si>
  <si>
    <t>BL HLCUBO12512BXAU3</t>
  </si>
  <si>
    <t xml:space="preserve">    Next f</t>
  </si>
  <si>
    <t>Epoxy Coating Solvent</t>
  </si>
  <si>
    <t xml:space="preserve">    If mBal &gt; 0.005 Then txtAmt.Value = Format(mBal, "0.00") Else txtAmt.Value = ""</t>
  </si>
  <si>
    <t>BL 259007504</t>
  </si>
  <si>
    <t xml:space="preserve">    For Each s In ThisWorkbook.Worksheets("Main Menu").Shapes</t>
  </si>
  <si>
    <t xml:space="preserve">Ferric Chloride Solution </t>
  </si>
  <si>
    <t xml:space="preserve">    UI_Enable cmdFull, (mBal &gt; 0.005)</t>
  </si>
  <si>
    <t>BL CSN0202778</t>
  </si>
  <si>
    <t xml:space="preserve">        If Left$(s.Name, 4) = "nav_" Then s.OnAction = "Nav_Go"</t>
  </si>
  <si>
    <t>Emulsion Explosives</t>
  </si>
  <si>
    <t>BL BV26DERMON02</t>
  </si>
  <si>
    <t xml:space="preserve">        If s.Name = "btnNewBill" Then s.OnAction = "Show_BillForm"</t>
  </si>
  <si>
    <t>Nitrate as N</t>
  </si>
  <si>
    <t>BL BV26DERMON01</t>
  </si>
  <si>
    <t>CFU/100mL</t>
  </si>
  <si>
    <t>Manoshot AL IBC Tank</t>
  </si>
  <si>
    <t xml:space="preserve">        If s.Name = "nav_F1" Then s.OnAction = "Show_CompanyForm"</t>
  </si>
  <si>
    <t>BL 265685259</t>
  </si>
  <si>
    <t xml:space="preserve">        If s.Name = "nav_F5" Then s.OnAction = "Show_PayForm"</t>
  </si>
  <si>
    <t>Emergency Secape Breathing Device</t>
  </si>
  <si>
    <t>Fumigation Clearance</t>
  </si>
  <si>
    <t>Private Sub cmdFull_Click()</t>
  </si>
  <si>
    <t>BL 259276608</t>
  </si>
  <si>
    <t>Letterhead line 2</t>
  </si>
  <si>
    <t xml:space="preserve">        If s.Name = "btnFindAny" Then s.OnAction = "Show_FindForm"</t>
  </si>
  <si>
    <t>Shotcrette Fludifier Akhiralin</t>
  </si>
  <si>
    <t>ENVIRONMENTAL PROTECTION AGENCY</t>
  </si>
  <si>
    <t xml:space="preserve">    txtAmt.Value = Format(mBal, "0.00")</t>
  </si>
  <si>
    <t>BL 263862389</t>
  </si>
  <si>
    <t xml:space="preserve">        If s.Name = "btnUsers" Then s.OnAction = "Show_UsersForm"</t>
  </si>
  <si>
    <t>BL 263709506</t>
  </si>
  <si>
    <t xml:space="preserve">        If s.Name = "btnMyPwd" Then s.OnAction = "Show_MyPwdForm"</t>
  </si>
  <si>
    <t>BL MEDUWP096060</t>
  </si>
  <si>
    <t xml:space="preserve">        If s.Name = "btnLogout" Then s.OnAction = "CMU_Logout"</t>
  </si>
  <si>
    <t>Private Sub txtAmt_Change()</t>
  </si>
  <si>
    <t xml:space="preserve">    Next s</t>
  </si>
  <si>
    <t>BL 265055122</t>
  </si>
  <si>
    <t xml:space="preserve">    For Each s In ThisWorkbook.Worksheets("Login").Shapes</t>
  </si>
  <si>
    <t>BL 261510559</t>
  </si>
  <si>
    <t xml:space="preserve">        If s.Name = "btnSignIn" Then s.OnAction = "Show_LoginForm"</t>
  </si>
  <si>
    <t>BL HLCUANR260243565</t>
  </si>
  <si>
    <t>BL 263862512</t>
  </si>
  <si>
    <t xml:space="preserve">    Rem Main Menu button on every sheet</t>
  </si>
  <si>
    <t>Anti-Scalant Phreedom</t>
  </si>
  <si>
    <t>BL HLUCBC1260201171</t>
  </si>
  <si>
    <t xml:space="preserve">    Dim w As Worksheet</t>
  </si>
  <si>
    <t>hYdrochloric Acid 33%</t>
  </si>
  <si>
    <t>BL HLCUBO12602BQJG8</t>
  </si>
  <si>
    <t xml:space="preserve">    For Each w In ThisWorkbook.Worksheets</t>
  </si>
  <si>
    <t>Sodium Hydroxide 90210 ELTRA</t>
  </si>
  <si>
    <t>20pcs</t>
  </si>
  <si>
    <t xml:space="preserve">        If Not w.ProtectDrawingObjects Then</t>
  </si>
  <si>
    <t>BL 147-92655371</t>
  </si>
  <si>
    <t>Private Sub txtReceipt_Change()</t>
  </si>
  <si>
    <t>Flammable non-Toxic Liquefied Gas</t>
  </si>
  <si>
    <t xml:space="preserve">            For Each s In w.Shapes</t>
  </si>
  <si>
    <t>BL 265924165</t>
  </si>
  <si>
    <t xml:space="preserve">                If s.Name = "btnMenu" Then s.OnAction = "Go_Menu"</t>
  </si>
  <si>
    <t xml:space="preserve">            Next s</t>
  </si>
  <si>
    <t>BL 266224839</t>
  </si>
  <si>
    <t xml:space="preserve">Surfactant </t>
  </si>
  <si>
    <t>Private Function ReceiptUsed() As Boolean</t>
  </si>
  <si>
    <t>BL MEDUEZ473475</t>
  </si>
  <si>
    <t xml:space="preserve">    Next w</t>
  </si>
  <si>
    <t>Cuastic Soda Flakes</t>
  </si>
  <si>
    <t xml:space="preserve">    Dim r As String</t>
  </si>
  <si>
    <t>BL MEDUXO036701</t>
  </si>
  <si>
    <t xml:space="preserve">    Setup_PrintButtons</t>
  </si>
  <si>
    <t xml:space="preserve">    r = Trim$(txtReceipt.Value)</t>
  </si>
  <si>
    <t>BL 268833547</t>
  </si>
  <si>
    <t xml:space="preserve">    MsgBox "Buttons connected and forms protected. The database is ready to use.", vbInformation, "CMU Database"</t>
  </si>
  <si>
    <t xml:space="preserve">    If r = "" Then Exit Function</t>
  </si>
  <si>
    <t>A.W.B 70651415921</t>
  </si>
  <si>
    <t xml:space="preserve">    If Tbl("tblPayments").ListRows.Count = 0 Then Exit Function</t>
  </si>
  <si>
    <t>BL 2664689</t>
  </si>
  <si>
    <t>Epoxy Resin</t>
  </si>
  <si>
    <t xml:space="preserve">    ReceiptUsed = (Application.WorksheetFunction.CountIf(Tbl("tblPayments").ListColumns("Receipt No.").DataBodyRange, r) &gt; 0)</t>
  </si>
  <si>
    <t>Rem ==== MULTI-CHEMICAL CLEARANCE FORM (Clearance Form sheet) ====</t>
  </si>
  <si>
    <t>Loctite (Epoxy Resin)</t>
  </si>
  <si>
    <t>Rem Clearance No. (CLN-###) is automatic and groups all chemical lines of one clearance.</t>
  </si>
  <si>
    <t>BL 267804860</t>
  </si>
  <si>
    <t>Loctite (Diethylenetriamine)</t>
  </si>
  <si>
    <t>Private Sub Clr_Prot(sh As Worksheet)</t>
  </si>
  <si>
    <t xml:space="preserve">    Dim a As String, okAmt As Boolean, okDate As Boolean, dup As Boolean</t>
  </si>
  <si>
    <t>BL MEDUXO381529</t>
  </si>
  <si>
    <t>Sodium Metabisuphite</t>
  </si>
  <si>
    <t xml:space="preserve">    a = Trim$(CStr(txtAmt.Value))</t>
  </si>
  <si>
    <t>BL 267462095</t>
  </si>
  <si>
    <t xml:space="preserve">    sh.Protect DrawingObjects:=True, Contents:=True, UserInterfaceOnly:=True</t>
  </si>
  <si>
    <t xml:space="preserve">Aerosols </t>
  </si>
  <si>
    <t xml:space="preserve">    okAmt = (Num(a) &gt; 0)</t>
  </si>
  <si>
    <t>BL 269718433</t>
  </si>
  <si>
    <t xml:space="preserve">    sh.EnableSelection = xlUnlockedCells</t>
  </si>
  <si>
    <t xml:space="preserve">Acetic Acid </t>
  </si>
  <si>
    <t xml:space="preserve">    UI_Mark txtAmt, okAmt Or a = ""</t>
  </si>
  <si>
    <t>Corrosive Solid, Acidic</t>
  </si>
  <si>
    <t>BL 267461944</t>
  </si>
  <si>
    <t>Private Function Clr_Map(ByVal r As Long) As String</t>
  </si>
  <si>
    <t xml:space="preserve">    dup = ReceiptUsed()</t>
  </si>
  <si>
    <t>BL AID0326419</t>
  </si>
  <si>
    <t xml:space="preserve">    Clr_Map = "C" &amp; r &amp; "=Chemical as Recorded|D" &amp; r &amp; "=Chemical (Standard)|E" &amp; r &amp; "=Qty as Recorded|F" &amp; r &amp; "=Unit|C5=Clearance No.|C7=Clearance Date|C8=Clearance Ref. No.|G" &amp; r &amp; "=B/L / Invoice / AWB No.|C10=Remarks|C11=ETA"</t>
  </si>
  <si>
    <t>BL 269434146</t>
  </si>
  <si>
    <t xml:space="preserve">    UI_Mark txtReceipt, Not dup</t>
  </si>
  <si>
    <t>Accerator Akshop 160</t>
  </si>
  <si>
    <t>BL 267233750</t>
  </si>
  <si>
    <t xml:space="preserve">    If mBN = "" Then</t>
  </si>
  <si>
    <t>Argon Gas Cylinder 99.9 purity (Refill)</t>
  </si>
  <si>
    <t>BL 269302888</t>
  </si>
  <si>
    <t xml:space="preserve">        SetStatus "Choose the bill being paid."</t>
  </si>
  <si>
    <t>Private Function Clr_Loaded(sh As Worksheet) As Long</t>
  </si>
  <si>
    <t xml:space="preserve">    ElseIf Not okAmt Then</t>
  </si>
  <si>
    <t>BL 269008735</t>
  </si>
  <si>
    <t xml:space="preserve">    Clr_Loaded = Application.WorksheetFunction.CountA(sh.Range("H" &amp; CLR_FIRST &amp; ":H" &amp; CLR_LAST))</t>
  </si>
  <si>
    <t>BL 269008460</t>
  </si>
  <si>
    <t xml:space="preserve">        If a = "" Then SetStatus "Type the amount paid." Else SetStatus "The amount must be a number above 0.", "e"</t>
  </si>
  <si>
    <t>aKshop 160</t>
  </si>
  <si>
    <t>BL 270152046</t>
  </si>
  <si>
    <t>SMBS</t>
  </si>
  <si>
    <t>BL 270298306</t>
  </si>
  <si>
    <t xml:space="preserve">        SetStatus "Enter a valid payment date, e.g. 25-Sep-2026.", "e"</t>
  </si>
  <si>
    <t>Private Sub Clr_ClearForm(sh As Worksheet)</t>
  </si>
  <si>
    <t>BL MEDUXW099931</t>
  </si>
  <si>
    <t xml:space="preserve">    Clr_Prot sh</t>
  </si>
  <si>
    <t>BL MEDUXW193148</t>
  </si>
  <si>
    <t>BL 270320487</t>
  </si>
  <si>
    <t xml:space="preserve">    sh.Range("C5:C11").ClearContents</t>
  </si>
  <si>
    <t>Flammble Liquid</t>
  </si>
  <si>
    <t xml:space="preserve">        If Num(a) &gt; mBal + 0.005 Then</t>
  </si>
  <si>
    <t>BL 271917135</t>
  </si>
  <si>
    <t xml:space="preserve">    sh.Range("C" &amp; CLR_FIRST &amp; ":G" &amp; CLR_LAST).ClearContents</t>
  </si>
  <si>
    <t>Sodium Cyanide Solid</t>
  </si>
  <si>
    <t xml:space="preserve">            SetStatus "Warning:  the amount is more than the outstanding balance (US$" &amp; Format(mBal, "#,##0.00") &amp; ").", "w"</t>
  </si>
  <si>
    <t>BL QGD2932233</t>
  </si>
  <si>
    <t xml:space="preserve">    sh.Range("H" &amp; CLR_FIRST &amp; ":H" &amp; CLR_LAST).ClearContents</t>
  </si>
  <si>
    <t xml:space="preserve">        ElseIf dup Then</t>
  </si>
  <si>
    <t>BL QGD2907380</t>
  </si>
  <si>
    <t>BL QGD2896367</t>
  </si>
  <si>
    <t xml:space="preserve">            SetStatus "Warning:  receipt No. " &amp; Trim$(txtReceipt.Value) &amp; " is already recorded.", "w"</t>
  </si>
  <si>
    <t>BL 270474126</t>
  </si>
  <si>
    <t>Oxygen Compressed</t>
  </si>
  <si>
    <t>BL 265924106</t>
  </si>
  <si>
    <t xml:space="preserve">            SetStatus "Ready to save US$" &amp; Format(Num(a), "#,##0.00") &amp; " against " &amp; mBN &amp; ".", "ok"</t>
  </si>
  <si>
    <t>Private Sub Clr_FillNames(sh As Worksheet)</t>
  </si>
  <si>
    <t>BL 269185896</t>
  </si>
  <si>
    <t>Fourthane Brown Line F-1415</t>
  </si>
  <si>
    <t>BL 267462374</t>
  </si>
  <si>
    <t xml:space="preserve">    Dim r As Long</t>
  </si>
  <si>
    <t>BL 2694742580</t>
  </si>
  <si>
    <t xml:space="preserve">Spray Paint Flourescent </t>
  </si>
  <si>
    <t xml:space="preserve">    For r = CLR_FIRST To CLR_LAST</t>
  </si>
  <si>
    <t>BL 267468423</t>
  </si>
  <si>
    <t xml:space="preserve">        If Trim$(CStr(sh.Range("C" &amp; r).Value)) = "" And Trim$(CStr(sh.Range("D" &amp; r).Value)) &lt;&gt; "" Then sh.Range("C" &amp; r).Value = sh.Range("D" &amp; r).Value</t>
  </si>
  <si>
    <t>BL 272090070</t>
  </si>
  <si>
    <t>Fire Extinguishers (2 Fibre Board Boxes)</t>
  </si>
  <si>
    <t>BL 270937159</t>
  </si>
  <si>
    <t xml:space="preserve">        If Trim$(CStr(sh.Range("C" &amp; r).Value)) &lt;&gt; "" And Trim$(CStr(sh.Range("G" &amp; r).Value)) = "" Then sh.Range("G" &amp; r).Value = sh.Range("C9").Value</t>
  </si>
  <si>
    <t>MEDUJ7559035</t>
  </si>
  <si>
    <t xml:space="preserve">    Next r</t>
  </si>
  <si>
    <t xml:space="preserve">    Dim ws As Worksheet</t>
  </si>
  <si>
    <t>Sodium</t>
  </si>
  <si>
    <t xml:space="preserve">Caustic Soda </t>
  </si>
  <si>
    <t>BL 271704712</t>
  </si>
  <si>
    <t xml:space="preserve">    If Num(txtAmt.Value) &gt; mBal + 0.005 Then</t>
  </si>
  <si>
    <t>BL 270871223</t>
  </si>
  <si>
    <t>Letterhead line 3</t>
  </si>
  <si>
    <t xml:space="preserve">        If MsgBox("The amount is more than the outstanding balance of US$" &amp; Format(mBal, "#,##0.00") &amp; "." &amp; vbCrLf &amp; "Save anyway?", vbYesNo + vbExclamation, "Record Payment") &lt;&gt; vbYes Then Exit Sub</t>
  </si>
  <si>
    <t>P.O. Box 4024</t>
  </si>
  <si>
    <t>BL 272209343</t>
  </si>
  <si>
    <t>Private Function Clr_HasLine(sh As Worksheet, ByVal r As Long) As Boolean</t>
  </si>
  <si>
    <t>BL 271717877</t>
  </si>
  <si>
    <t xml:space="preserve">    Clr_HasLine = (Trim$(CStr(sh.Range("C" &amp; r).Value)) &lt;&gt; "")</t>
  </si>
  <si>
    <t>8 Fibreboard Boxes</t>
  </si>
  <si>
    <t xml:space="preserve">    If ReceiptUsed() Then</t>
  </si>
  <si>
    <t>BL MEDUWO380473</t>
  </si>
  <si>
    <t>4 Packages Control Transformer</t>
  </si>
  <si>
    <t xml:space="preserve">        If MsgBox("Receipt No. " &amp; Trim$(txtReceipt.Value) &amp; " is already recorded." &amp; vbCrLf &amp; "Save anyway?", vbYesNo + vbExclamation, "Record Payment") &lt;&gt; vbYes Then Exit Sub</t>
  </si>
  <si>
    <t>BL 266777327</t>
  </si>
  <si>
    <t>Private Function Clr_WarnOK(sh As Worksheet) As Boolean</t>
  </si>
  <si>
    <t>35 Packages O-Ring, 07000B3050, Komatsu</t>
  </si>
  <si>
    <t xml:space="preserve">    Set ws = ThisWorkbook.Worksheets("Payment Form")</t>
  </si>
  <si>
    <t>BL 269091004</t>
  </si>
  <si>
    <t>Explosives  (18X40Ft+5x20Ft Cont.)</t>
  </si>
  <si>
    <t xml:space="preserve">    For Each c In sh.Range("D6:D10").Cells</t>
  </si>
  <si>
    <t xml:space="preserve">    ws.Range("C5:C12").ClearContents</t>
  </si>
  <si>
    <t xml:space="preserve">    ws.Range("C6").Value = mCo</t>
  </si>
  <si>
    <t>BL DEMON20</t>
  </si>
  <si>
    <t xml:space="preserve">    ws.Range("C7").Value = mPurpose</t>
  </si>
  <si>
    <t xml:space="preserve">Explosives  </t>
  </si>
  <si>
    <t>BL DEMON21</t>
  </si>
  <si>
    <t xml:space="preserve">    ws.Range("C8").Value = CDbl(txtAmt.Value)</t>
  </si>
  <si>
    <t>BL 271314611</t>
  </si>
  <si>
    <t xml:space="preserve">        Clr_WarnOK = True</t>
  </si>
  <si>
    <t xml:space="preserve">    ws.Range("C9").Value = CDate(txtDate.Value)</t>
  </si>
  <si>
    <t>Postforming Sprayable Adhesives</t>
  </si>
  <si>
    <t>BL 272933935</t>
  </si>
  <si>
    <t xml:space="preserve">    ws.Range("C10").Value = txtReceipt.Value</t>
  </si>
  <si>
    <t>GYPSUM</t>
  </si>
  <si>
    <t xml:space="preserve">        Clr_WarnOK = (MsgBox("Please check:" &amp; vbCrLf &amp; vbCrLf &amp; msg &amp; vbCrLf &amp; "Save anyway?", vbYesNo + vbQuestion, "CMU Database") = vbYes)</t>
  </si>
  <si>
    <t>1 Chartered Vessel</t>
  </si>
  <si>
    <t xml:space="preserve">    ws.Range("C11").Value = txtRemarks.Value</t>
  </si>
  <si>
    <t>Paint Futura Classic Ral (Aerosols-IMO 2.1)</t>
  </si>
  <si>
    <t xml:space="preserve">    ws.Range("C12").Value = mBN</t>
  </si>
  <si>
    <t>BL 274745540</t>
  </si>
  <si>
    <t>Public Sub Clr_Save()</t>
  </si>
  <si>
    <t>Alkali Curing Acelerator Askshot 160</t>
  </si>
  <si>
    <t>BL 274632709</t>
  </si>
  <si>
    <t>Alkali Curing Accelerator Askshot 160</t>
  </si>
  <si>
    <t xml:space="preserve">    Dim sh As Worksheet, lo As ListObject, r As Long, idx As Long, id As String, n As Long, firstID As String, cln As String</t>
  </si>
  <si>
    <t xml:space="preserve">    Form_Save</t>
  </si>
  <si>
    <t>BL 274632861</t>
  </si>
  <si>
    <t>BL 270297832</t>
  </si>
  <si>
    <t xml:space="preserve">    If Clr_Loaded(sh) &gt; 0 Or CStr(sh.Range("C5").Value) &lt;&gt; "" Then</t>
  </si>
  <si>
    <t>BL 271861684</t>
  </si>
  <si>
    <t xml:space="preserve">        MsgBox "A Clearance No. is already in C5. Click Update to save changes to that clearance, or Clear Form to start a new one.", vbInformation, "CMU Database"</t>
  </si>
  <si>
    <t>BL 271861663</t>
  </si>
  <si>
    <t>BL 265417603</t>
  </si>
  <si>
    <t>BL 275584752</t>
  </si>
  <si>
    <t xml:space="preserve">    Clr_FillNames sh</t>
  </si>
  <si>
    <t>AMC2605890</t>
  </si>
  <si>
    <t>JNG0340901</t>
  </si>
  <si>
    <t>DRNM0N37</t>
  </si>
  <si>
    <t>EXPLOSIVES</t>
  </si>
  <si>
    <t>DRNM0N38</t>
  </si>
  <si>
    <t>FERRIC CHLORIDE  SOLUTION</t>
  </si>
  <si>
    <t>#END UF_Pay</t>
  </si>
  <si>
    <t>BL 275079730</t>
  </si>
  <si>
    <t>FERRIC CHLORIDE SOLUTION</t>
  </si>
  <si>
    <t xml:space="preserve">    If Not Clr_WarnOK(sh) Then Exit Sub</t>
  </si>
  <si>
    <t>BL 273958775</t>
  </si>
  <si>
    <t xml:space="preserve">    Set lo = GetLO("tblClearances")</t>
  </si>
  <si>
    <t>#FORM UF_Company</t>
  </si>
  <si>
    <t xml:space="preserve">    cln = NextID(lo, "Clearance No.", "CLN-")</t>
  </si>
  <si>
    <t>Private mDup As Boolean, mNear As String, mDupID As String</t>
  </si>
  <si>
    <t xml:space="preserve">    sh.Range("C5").Value = cln</t>
  </si>
  <si>
    <t xml:space="preserve">        If Clr_HasLine(sh, r) Then</t>
  </si>
  <si>
    <t xml:space="preserve">            id = NextID(lo, "Record ID", "CLR-")</t>
  </si>
  <si>
    <t xml:space="preserve">            idx = lo.ListRows.Add(AlwaysInsert:=True).Index</t>
  </si>
  <si>
    <t xml:space="preserve">            lo.DataBodyRange.Cells(idx, ColIdx(lo, "Record ID")).Value = id</t>
  </si>
  <si>
    <t xml:space="preserve">    For Each c In Tbl("tSector").DataBodyRange.Columns(1).Cells</t>
  </si>
  <si>
    <t xml:space="preserve">            WriteRow lo, idx, sh, Clr_Map(r), True, True</t>
  </si>
  <si>
    <t xml:space="preserve">        If CStr(c.Value) &lt;&gt; "" Then cboSector.AddItem c.Value</t>
  </si>
  <si>
    <t xml:space="preserve">            If firstID = "" Then firstID = id</t>
  </si>
  <si>
    <t xml:space="preserve">            n = n + 1</t>
  </si>
  <si>
    <t xml:space="preserve">    lblCheckBg.Visible = False</t>
  </si>
  <si>
    <t xml:space="preserve">    lblCheck.Visible = False</t>
  </si>
  <si>
    <t xml:space="preserve">    MsgBox "Clearance " &amp; cln &amp; " saved: " &amp; n &amp; " chemical line(s) (" &amp; firstID &amp; " to " &amp; id &amp; ").", vbInformation, "CMU Database"</t>
  </si>
  <si>
    <t xml:space="preserve">    Clr_ClearForm sh</t>
  </si>
  <si>
    <t xml:space="preserve">    txtName.SetFocus</t>
  </si>
  <si>
    <t>Private Function Clr_Collect(lo As ListObject, ByVal colName As String, ByVal key As String, hit() As Long) As Long</t>
  </si>
  <si>
    <t xml:space="preserve">    Dim i As Long, c As Long, n As Long</t>
  </si>
  <si>
    <t xml:space="preserve">    c = ColIdx(lo, colName)</t>
  </si>
  <si>
    <t>Private Sub txtName_Change()</t>
  </si>
  <si>
    <t xml:space="preserve">    CheckName</t>
  </si>
  <si>
    <t xml:space="preserve">        If StrComp(Trim$(CStr(lo.DataBodyRange.Cells(i, c).Value)), key, vbTextCompare) = 0 Then n = n + 1: hit(n) = i</t>
  </si>
  <si>
    <t xml:space="preserve">    Clr_Collect = n</t>
  </si>
  <si>
    <t>Private Sub CheckName()</t>
  </si>
  <si>
    <t xml:space="preserve">    Dim lo As ListObject, i As Long, n As String, key As String, k2 As String, nm As String</t>
  </si>
  <si>
    <t>Public Sub Clr_Find()</t>
  </si>
  <si>
    <t xml:space="preserve">    n = Trim$(txtName.Value)</t>
  </si>
  <si>
    <t>Ammonia-Nitrogen</t>
  </si>
  <si>
    <t xml:space="preserve">    Dim sh As Worksheet, lo As ListObject, key As String, i As Long, r As Long, n As Long, total As Long</t>
  </si>
  <si>
    <t xml:space="preserve">    mDup = False: mNear = "": mDupID = ""</t>
  </si>
  <si>
    <t xml:space="preserve">    Dim hit() As Long, idx As Long, linked As Boolean, c As Range, cln As String</t>
  </si>
  <si>
    <t xml:space="preserve">    If n = "" Then</t>
  </si>
  <si>
    <t>Letterhead line 4</t>
  </si>
  <si>
    <t xml:space="preserve">        lblCheckBg.Visible = False: lblCheck.Visible = False</t>
  </si>
  <si>
    <t>Bright Building 302-A, Sekou Toure Avenue, Mamba Point</t>
  </si>
  <si>
    <t xml:space="preserve">    key = Trim$(CStr(sh.Range("C5").Value))</t>
  </si>
  <si>
    <t xml:space="preserve">    If key = "" Then key = Trim$(InputBox("Enter the Clearance No. (e.g. CLN-005), EPA Ref. No., or a record ID (e.g. CLR-001):", "Find clearance"))</t>
  </si>
  <si>
    <t xml:space="preserve">    If key = "" Then Exit Sub</t>
  </si>
  <si>
    <t xml:space="preserve">    key = UI_Norm(n)</t>
  </si>
  <si>
    <t xml:space="preserve">    If lo.ListRows.Count = 0 Then Exit Sub</t>
  </si>
  <si>
    <t xml:space="preserve">    ReDim hit(1 To lo.ListRows.Count)</t>
  </si>
  <si>
    <t xml:space="preserve">        nm = CStr(lo.ListColumns("Company Name").DataBodyRange.Cells(i, 1).Value)</t>
  </si>
  <si>
    <t xml:space="preserve">    total = Clr_Collect(lo, "Clearance No.", key, hit)</t>
  </si>
  <si>
    <t xml:space="preserve">        If LCase$(Trim$(nm)) = LCase$(n) Then</t>
  </si>
  <si>
    <t xml:space="preserve">    If total = 0 Then total = Clr_Collect(lo, "Clearance Ref. No.", key, hit)</t>
  </si>
  <si>
    <t xml:space="preserve">            mDup = True</t>
  </si>
  <si>
    <t xml:space="preserve">    If total = 0 Then total = Clr_Collect(lo, "Record ID", key, hit)</t>
  </si>
  <si>
    <t xml:space="preserve">            mDupID = CStr(lo.ListColumns("Company ID").DataBodyRange.Cells(i, 1).Value)</t>
  </si>
  <si>
    <t xml:space="preserve">    If total = 0 Then</t>
  </si>
  <si>
    <t xml:space="preserve">            Exit For</t>
  </si>
  <si>
    <t xml:space="preserve">        MsgBox key &amp; " was not found as a Clearance No., EPA Ref. No. or Record ID.", vbExclamation, "CMU Database"</t>
  </si>
  <si>
    <t xml:space="preserve">        ElseIf mNear = "" And key &lt;&gt; "" Then</t>
  </si>
  <si>
    <t xml:space="preserve">            k2 = UI_Norm(nm &amp; " ")</t>
  </si>
  <si>
    <t xml:space="preserve">            If k2 &lt;&gt; "" Then</t>
  </si>
  <si>
    <t xml:space="preserve">    cln = CStr(lo.DataBodyRange.Cells(hit(1), ColIdx(lo, "Clearance No.")).Value)</t>
  </si>
  <si>
    <t xml:space="preserve">                If k2 = key Or (Len(key) &gt;= 4 And InStr(1, k2, key) &gt; 0) Or (Len(k2) &gt;= 4 And InStr(1, key, k2) &gt; 0) Then</t>
  </si>
  <si>
    <t xml:space="preserve">    If cln &lt;&gt; "" Then total = Clr_Collect(lo, "Clearance No.", cln, hit)</t>
  </si>
  <si>
    <t xml:space="preserve">                    mNear = nm &amp; " (" &amp; CStr(lo.ListColumns("Company ID").DataBodyRange.Cells(i, 1).Value) &amp; ")"</t>
  </si>
  <si>
    <t xml:space="preserve">                End If</t>
  </si>
  <si>
    <t xml:space="preserve">    idx = hit(1)</t>
  </si>
  <si>
    <t xml:space="preserve">            If mNear = "" Then</t>
  </si>
  <si>
    <t xml:space="preserve">                k2 = UI_Norm(CStr(lo.ListColumns("Other Names Recorded").DataBodyRange.Cells(i, 1).Value))</t>
  </si>
  <si>
    <t xml:space="preserve">    sh.Range("C6").Value = lo.DataBodyRange.Cells(idx, ColIdx(lo, "Company Name")).Value</t>
  </si>
  <si>
    <t xml:space="preserve">                If k2 &lt;&gt; "" And Len(key) &gt;= 4 And InStr(1, k2, key) &gt; 0 Then mNear = nm &amp; " (" &amp; CStr(lo.ListColumns("Company ID").DataBodyRange.Cells(i, 1).Value) &amp; ", other name)"</t>
  </si>
  <si>
    <t xml:space="preserve">    sh.Range("C7").Value = lo.DataBodyRange.Cells(idx, ColIdx(lo, "Clearance Date")).Value</t>
  </si>
  <si>
    <t xml:space="preserve">    sh.Range("C8").Value = lo.DataBodyRange.Cells(idx, ColIdx(lo, "Clearance Ref. No.")).Value</t>
  </si>
  <si>
    <t xml:space="preserve">    sh.Range("C9").Value = lo.DataBodyRange.Cells(idx, ColIdx(lo, "B/L / Invoice / AWB No.")).Value</t>
  </si>
  <si>
    <t xml:space="preserve">    sh.Range("C10").Value = lo.DataBodyRange.Cells(idx, ColIdx(lo, "Remarks")).Value</t>
  </si>
  <si>
    <t xml:space="preserve">    lblCheckBg.Visible = True: lblCheck.Visible = True</t>
  </si>
  <si>
    <t xml:space="preserve">    sh.Range("C11").Value = lo.DataBodyRange.Cells(idx, ColIdx(lo, "ETA")).Value</t>
  </si>
  <si>
    <t xml:space="preserve">    If mDup Then</t>
  </si>
  <si>
    <t xml:space="preserve">    For i = 1 To total</t>
  </si>
  <si>
    <t xml:space="preserve">        lblCheckBg.BackColor = RGB(252, 228, 228): lblCheck.ForeColor = RGB(156, 0, 6)</t>
  </si>
  <si>
    <t xml:space="preserve">        If i &gt; CLR_LAST - CLR_FIRST + 1 Then Exit For</t>
  </si>
  <si>
    <t xml:space="preserve">        lblCheck.Caption = "Already registered as " &amp; mDupID &amp; "  -  a company cannot be added twice."</t>
  </si>
  <si>
    <t xml:space="preserve">        idx = hit(i): r = CLR_FIRST + i - 1</t>
  </si>
  <si>
    <t xml:space="preserve">    ElseIf mNear &lt;&gt; "" Then</t>
  </si>
  <si>
    <t xml:space="preserve">        sh.Range("C" &amp; r).Value = lo.DataBodyRange.Cells(idx, ColIdx(lo, "Chemical as Recorded")).Value</t>
  </si>
  <si>
    <t xml:space="preserve">        lblCheckBg.BackColor = RGB(255, 242, 204): lblCheck.ForeColor = RGB(128, 96, 0)</t>
  </si>
  <si>
    <t xml:space="preserve">        sh.Range("D" &amp; r).Value = lo.DataBodyRange.Cells(idx, ColIdx(lo, "Chemical (Standard)")).Value</t>
  </si>
  <si>
    <t xml:space="preserve">        lblCheck.Caption = "Similar name found:  " &amp; mNear &amp; ".  Check before saving."</t>
  </si>
  <si>
    <t xml:space="preserve">        sh.Range("E" &amp; r).Value = lo.DataBodyRange.Cells(idx, ColIdx(lo, "Qty as Recorded")).Value</t>
  </si>
  <si>
    <t xml:space="preserve">        sh.Range("F" &amp; r).Value = lo.DataBodyRange.Cells(idx, ColIdx(lo, "Unit")).Value</t>
  </si>
  <si>
    <t xml:space="preserve">        lblCheckBg.BackColor = RGB(226, 239, 218): lblCheck.ForeColor = RGB(56, 87, 35)</t>
  </si>
  <si>
    <t xml:space="preserve">        sh.Range("G" &amp; r).Value = lo.DataBodyRange.Cells(idx, ColIdx(lo, "B/L / Invoice / AWB No.")).Value</t>
  </si>
  <si>
    <t xml:space="preserve">        lblCheck.Caption = "New company  -  this name is not yet in the register."</t>
  </si>
  <si>
    <t xml:space="preserve">        sh.Range("H" &amp; r).Value = lo.DataBodyRange.Cells(idx, ColIdx(lo, "Record ID")).Value</t>
  </si>
  <si>
    <t xml:space="preserve">        For Each c In lo.DataBodyRange.Rows(idx).Cells</t>
  </si>
  <si>
    <t xml:space="preserve">            If c.HasFormula And InStr(c.Formula, "!") &gt; 0 Then linked = True</t>
  </si>
  <si>
    <t xml:space="preserve">        n = n + 1</t>
  </si>
  <si>
    <t xml:space="preserve">    UI_Mark txtName, Not mDup</t>
  </si>
  <si>
    <t xml:space="preserve">    If Trim$(txtName.Value) = "" Then</t>
  </si>
  <si>
    <t xml:space="preserve">        SetStatus Tbl("tblCompanies").ListRows.Count &amp; " companies registered.  Type the new company name."</t>
  </si>
  <si>
    <t xml:space="preserve">    If total &gt; n Then MsgBox "This clearance has " &amp; total &amp; " lines; only the first " &amp; n &amp; " were loaded.", vbExclamation, "CMU Database"</t>
  </si>
  <si>
    <t xml:space="preserve">    ElseIf mDup Then</t>
  </si>
  <si>
    <t xml:space="preserve">        SetStatus "This company is already registered as " &amp; mDupID &amp; ".", "e"</t>
  </si>
  <si>
    <t xml:space="preserve">        MsgBox "Loaded " &amp; cln &amp; " (" &amp; n &amp; " line(s)). Some fields are linked to Sheet1/Sheet2; Update will replace those links with the form values.", vbInformation, "CMU Database"</t>
  </si>
  <si>
    <t xml:space="preserve">        SetStatus "A similar company exists.  You can still save if this is a different company.", "w"</t>
  </si>
  <si>
    <t xml:space="preserve">        MsgBox "Loaded " &amp; cln &amp; " (" &amp; n &amp; " chemical line(s)). Edit, add or clear lines, then click Update.", vbInformation, "CMU Database"</t>
  </si>
  <si>
    <t xml:space="preserve">        SetStatus "Ready to save.", "ok"</t>
  </si>
  <si>
    <t>Public Sub Clr_Update()</t>
  </si>
  <si>
    <t xml:space="preserve">    Dim sh As Worksheet, lo As ListObject, r As Long, idx As Long, id As String</t>
  </si>
  <si>
    <t xml:space="preserve">    Dim nU As Long, nA As Long, nD As Long, delIDs As String, d As Variant</t>
  </si>
  <si>
    <t xml:space="preserve">    If Clr_Loaded(sh) = 0 Or CStr(sh.Range("C5").Value) = "" Then</t>
  </si>
  <si>
    <t xml:space="preserve">        MsgBox "Type the Clearance No. in C5 and click Find Record first.", vbInformation, "CMU Database"</t>
  </si>
  <si>
    <t xml:space="preserve">    If mNear &lt;&gt; "" Then</t>
  </si>
  <si>
    <t xml:space="preserve">        If MsgBox("A similar company is already registered:" &amp; vbCrLf &amp; mNear &amp; vbCrLf &amp; vbCrLf &amp; "Register " &amp; Trim$(txtName.Value) &amp; " as a NEW company?", vbYesNo + vbQuestion, "Register Company") &lt;&gt; vbYes Then Exit Sub</t>
  </si>
  <si>
    <t xml:space="preserve">    Set ws = ThisWorkbook.Worksheets("Company Form")</t>
  </si>
  <si>
    <t xml:space="preserve">        If CStr(sh.Range("H" &amp; r).Value) &lt;&gt; "" And Not Clr_HasLine(sh, r) Then nD = nD + 1</t>
  </si>
  <si>
    <t xml:space="preserve">    ws.Range("C5:C9").ClearContents</t>
  </si>
  <si>
    <t xml:space="preserve">    ws.Range("C6").Value = Trim$(txtName.Value)</t>
  </si>
  <si>
    <t xml:space="preserve">    If MsgBox("Update clearance " &amp; sh.Range("C5").Value &amp; "?" &amp; IIf(nD &gt; 0, vbCrLf &amp; nD &amp; " cleared line(s) will be DELETED from the register.", ""), vbYesNo + vbQuestion, "CMU Database") &lt;&gt; vbYes Then Exit Sub</t>
  </si>
  <si>
    <t>Oil and Grease</t>
  </si>
  <si>
    <t xml:space="preserve">    ws.Range("C7").Value = cboSector.Value</t>
  </si>
  <si>
    <t xml:space="preserve">    ws.Range("C8").Value = txtLoc.Value</t>
  </si>
  <si>
    <t>Letterhead line 5</t>
  </si>
  <si>
    <t xml:space="preserve">    ws.Range("C9").Value = txtOther.Value</t>
  </si>
  <si>
    <t>1000 Monrovia, 10 Liberia</t>
  </si>
  <si>
    <t xml:space="preserve">    nD = 0</t>
  </si>
  <si>
    <t xml:space="preserve">        id = CStr(sh.Range("H" &amp; r).Value)</t>
  </si>
  <si>
    <t xml:space="preserve">                idx = FindIdx(lo, "Record ID", id)</t>
  </si>
  <si>
    <t xml:space="preserve">                If idx &gt; 0 Then WriteRow lo, idx, sh, Clr_Map(r), True, False: nU = nU + 1</t>
  </si>
  <si>
    <t xml:space="preserve">                id = NextID(lo, "Record ID", "CLR-")</t>
  </si>
  <si>
    <t xml:space="preserve">                idx = lo.ListRows.Add(AlwaysInsert:=True).Index</t>
  </si>
  <si>
    <t xml:space="preserve">                lo.DataBodyRange.Cells(idx, ColIdx(lo, "Record ID")).Value = id</t>
  </si>
  <si>
    <t xml:space="preserve">                WriteRow lo, idx, sh, Clr_Map(r), True, True</t>
  </si>
  <si>
    <t>#END UF_Company</t>
  </si>
  <si>
    <t xml:space="preserve">                sh.Range("H" &amp; r).Value = id</t>
  </si>
  <si>
    <t xml:space="preserve">                nA = nA + 1</t>
  </si>
  <si>
    <t>#FORM UF_Find</t>
  </si>
  <si>
    <t xml:space="preserve">        ElseIf id &lt;&gt; "" Then</t>
  </si>
  <si>
    <t>Private mFilter As String</t>
  </si>
  <si>
    <t xml:space="preserve">            delIDs = delIDs &amp; id &amp; "|"</t>
  </si>
  <si>
    <t xml:space="preserve">            sh.Range("C" &amp; r &amp; ":G" &amp; r).ClearContents</t>
  </si>
  <si>
    <t xml:space="preserve">            sh.Range("H" &amp; r).ClearContents</t>
  </si>
  <si>
    <t>Private Function V(lo As ListObject, ByVal i As Long, ByVal col As String) As String</t>
  </si>
  <si>
    <t xml:space="preserve">    V = CStr(lo.ListColumns(col).DataBodyRange.Cells(i, 1).Value)</t>
  </si>
  <si>
    <t xml:space="preserve">    If delIDs &lt;&gt; "" Then</t>
  </si>
  <si>
    <t xml:space="preserve">        For Each d In Split(Left$(delIDs, Len(delIDs) - 1), "|")</t>
  </si>
  <si>
    <t xml:space="preserve">            idx = FindIdx(lo, "Record ID", CStr(d))</t>
  </si>
  <si>
    <t>Private Function D(lo As ListObject, ByVal i As Long, ByVal col As String) As String</t>
  </si>
  <si>
    <t xml:space="preserve">            If idx &gt; 0 Then lo.ListRows(idx).Delete: nD = nD + 1</t>
  </si>
  <si>
    <t xml:space="preserve">    Dim x As Variant</t>
  </si>
  <si>
    <t xml:space="preserve">        Next d</t>
  </si>
  <si>
    <t xml:space="preserve">    x = lo.ListColumns(col).DataBodyRange.Cells(i, 1).Value</t>
  </si>
  <si>
    <t xml:space="preserve">    If IsDate(x) And CStr(x) &lt;&gt; "" Then D = Format(CDate(x), "dd-mmm-yyyy")</t>
  </si>
  <si>
    <t xml:space="preserve">    MsgBox "Clearance " &amp; sh.Range("C5").Value &amp; " updated: " &amp; nU &amp; " changed, " &amp; nA &amp; " added, " &amp; nD &amp; " deleted.", vbInformation, "CMU Database"</t>
  </si>
  <si>
    <t>Private Function Want(ByVal k As String) As Boolean</t>
  </si>
  <si>
    <t>Public Sub Clr_Delete()</t>
  </si>
  <si>
    <t xml:space="preserve">    Want = (mFilter = "All" Or mFilter = k)</t>
  </si>
  <si>
    <t xml:space="preserve">    Dim sh As Worksheet, lo As ListObject, r As Long, idx As Long, n As Long</t>
  </si>
  <si>
    <t>Private Sub AddRow(ByVal p1 As String, ByVal p2 As String, ByVal p3 As String, ByVal p4 As String, ByVal p5 As String)</t>
  </si>
  <si>
    <t xml:space="preserve">    If Clr_Loaded(sh) = 0 Then</t>
  </si>
  <si>
    <t xml:space="preserve">    If lstRes.ListCount &gt;= 500 Then Exit Sub</t>
  </si>
  <si>
    <t xml:space="preserve">        MsgBox "Find the clearance first (type the Clearance No. in C5 and click Find Record).", vbInformation, "CMU Database"</t>
  </si>
  <si>
    <t xml:space="preserve">    lstRes.AddItem p1</t>
  </si>
  <si>
    <t xml:space="preserve">    lstRes.List(lstRes.ListCount - 1, 1) = p2</t>
  </si>
  <si>
    <t xml:space="preserve">    lstRes.List(lstRes.ListCount - 1, 2) = p3</t>
  </si>
  <si>
    <t xml:space="preserve">    If MsgBox("Permanently delete clearance " &amp; sh.Range("C5").Value &amp; " and its " &amp; Clr_Loaded(sh) &amp; " chemical line(s)?" &amp; vbCrLf &amp; "This cannot be undone.", vbYesNo + vbCritical, "CMU Database") &lt;&gt; vbYes Then Exit Sub</t>
  </si>
  <si>
    <t xml:space="preserve">    lstRes.List(lstRes.ListCount - 1, 3) = p4</t>
  </si>
  <si>
    <t xml:space="preserve">    lstRes.List(lstRes.ListCount - 1, 4) = p5</t>
  </si>
  <si>
    <t xml:space="preserve">        If CStr(sh.Range("H" &amp; r).Value) &lt;&gt; "" Then</t>
  </si>
  <si>
    <t xml:space="preserve">            idx = FindIdx(lo, "Record ID", CStr(sh.Range("H" &amp; r).Value))</t>
  </si>
  <si>
    <t xml:space="preserve">            If idx &gt; 0 Then lo.ListRows(idx).Delete: n = n + 1</t>
  </si>
  <si>
    <t xml:space="preserve">    lstRes.ColumnCount = 5</t>
  </si>
  <si>
    <t xml:space="preserve">    lstRes.ColumnWidths = "72 pt;82 pt;222 pt;192 pt;80 pt"</t>
  </si>
  <si>
    <t xml:space="preserve">    mFilter = "All"</t>
  </si>
  <si>
    <t xml:space="preserve">    MsgBox n &amp; " line(s) deleted.", vbInformation, "CMU Database"</t>
  </si>
  <si>
    <t xml:space="preserve">    UpdateButtons</t>
  </si>
  <si>
    <t xml:space="preserve">    SetStatus "Type at least 2 characters  -  results appear as you type."</t>
  </si>
  <si>
    <t>Public Sub Clr_Clear()</t>
  </si>
  <si>
    <t xml:space="preserve">    Clr_ClearForm ActiveSheet</t>
  </si>
  <si>
    <t>Rem ==== PRINT PAGES (Print CRL / Print CIL / Print Bill) ====</t>
  </si>
  <si>
    <t xml:space="preserve">    txtQ.SetFocus</t>
  </si>
  <si>
    <t>Public Function AmountInWords(ByVal amt As Double) As String</t>
  </si>
  <si>
    <t xml:space="preserve">    Dim d As Double, c As Long, s As String</t>
  </si>
  <si>
    <t>Private Sub SetFilter(ByVal k As String, ByVal idx As Long)</t>
  </si>
  <si>
    <t xml:space="preserve">    d = Int(Round(amt, 2)): c = CLng(Round((Round(amt, 2) - d) * 100, 0))</t>
  </si>
  <si>
    <t xml:space="preserve">    Dim i As Long</t>
  </si>
  <si>
    <t xml:space="preserve">    If d = 0 Then s = "ZERO" Else s = Trim$(WordsGroup(d))</t>
  </si>
  <si>
    <t xml:space="preserve">    mFilter = k</t>
  </si>
  <si>
    <t xml:space="preserve">    If c &gt; 0 Then s = s &amp; " AND " &amp; Format(c, "00") &amp; "/100"</t>
  </si>
  <si>
    <t xml:space="preserve">    For i = 0 To 5</t>
  </si>
  <si>
    <t xml:space="preserve">    AmountInWords = UCase$(s)</t>
  </si>
  <si>
    <t xml:space="preserve">        If i = idx Then Me.Controls("tab" &amp; i).Tag = "FA" Else Me.Controls("tab" &amp; i).Tag = "F"</t>
  </si>
  <si>
    <t xml:space="preserve">        UI_Paint Me.Controls("tab" &amp; i), False</t>
  </si>
  <si>
    <t>Private Function WordsGroup(ByVal n As Double) As String</t>
  </si>
  <si>
    <t xml:space="preserve">    DoSearch</t>
  </si>
  <si>
    <t xml:space="preserve">    Dim units As Variant, scl As Variant, i As Long, chunk As Long, s As String</t>
  </si>
  <si>
    <t xml:space="preserve">    scl = Array("", " THOUSAND", " MILLION", " BILLION")</t>
  </si>
  <si>
    <t xml:space="preserve">    i = 0</t>
  </si>
  <si>
    <t xml:space="preserve">    Do While n &gt; 0 And i &lt;= 3</t>
  </si>
  <si>
    <t xml:space="preserve">        chunk = CLng(n - Int(n / 1000) * 1000)</t>
  </si>
  <si>
    <t>Private Sub tab0_Click()</t>
  </si>
  <si>
    <t xml:space="preserve">        If chunk &gt; 0 Then s = Words999(chunk) &amp; scl(i) &amp; IIf(s = "", "", " " &amp; s)</t>
  </si>
  <si>
    <t xml:space="preserve">    SetFilter "All", 0</t>
  </si>
  <si>
    <t xml:space="preserve">        n = Int(n / 1000): i = i + 1</t>
  </si>
  <si>
    <t xml:space="preserve">    Loop</t>
  </si>
  <si>
    <t xml:space="preserve">    WordsGroup = s</t>
  </si>
  <si>
    <t>Private Sub tab1_Click()</t>
  </si>
  <si>
    <t xml:space="preserve">    SetFilter "Company", 1</t>
  </si>
  <si>
    <t>Private Function Words999(ByVal n As Long) As String</t>
  </si>
  <si>
    <t xml:space="preserve">    Dim ones As Variant, tens As Variant, s As String</t>
  </si>
  <si>
    <t>Private Sub tab2_Click()</t>
  </si>
  <si>
    <t xml:space="preserve">    ones = Array("", "ONE", "TWO", "THREE", "FOUR", "FIVE", "SIX", "SEVEN", "EIGHT", "NINE", "TEN", "ELEVEN", "TWELVE", "THIRTEEN", "FOURTEEN", "FIFTEEN", "SIXTEEN", "SEVENTEEN", "EIGHTEEN", "NINETEEN")</t>
  </si>
  <si>
    <t xml:space="preserve">    SetFilter "Licence", 2</t>
  </si>
  <si>
    <t xml:space="preserve">    tens = Array("", "", "TWENTY", "THIRTY", "FORTY", "FIFTY", "SIXTY", "SEVENTY", "EIGHTY", "NINETY")</t>
  </si>
  <si>
    <t xml:space="preserve">    If n &gt;= 100 Then s = ones(n \ 100) &amp; " HUNDRED": n = n Mod 100: If n &gt; 0 Then s = s &amp; " "</t>
  </si>
  <si>
    <t xml:space="preserve">    If n &gt;= 20 Then</t>
  </si>
  <si>
    <t>Private Sub tab3_Click()</t>
  </si>
  <si>
    <t>Chemical Management Unit (CMU) Companies Audit Record</t>
  </si>
  <si>
    <t xml:space="preserve">        s = s &amp; tens(n \ 10)</t>
  </si>
  <si>
    <t xml:space="preserve">    SetFilter "Clearance", 3</t>
  </si>
  <si>
    <t xml:space="preserve">        If n Mod 10 &gt; 0 Then s = s &amp; "-" &amp; ones(n Mod 10)</t>
  </si>
  <si>
    <t xml:space="preserve">    ElseIf n &gt; 0 Then</t>
  </si>
  <si>
    <t xml:space="preserve">        s = s &amp; ones(n)</t>
  </si>
  <si>
    <t>Private Sub tab4_Click()</t>
  </si>
  <si>
    <t xml:space="preserve">    SetFilter "Bill", 4</t>
  </si>
  <si>
    <t xml:space="preserve">    Words999 = s</t>
  </si>
  <si>
    <t>Total Suspended Solids</t>
  </si>
  <si>
    <t>Private Sub tab5_Click()</t>
  </si>
  <si>
    <t>Private Function Prn_Table(sh As Worksheet, t0 As Long, t1 As Long) As Boolean</t>
  </si>
  <si>
    <t>Amount Paid USD</t>
  </si>
  <si>
    <t xml:space="preserve">    SetFilter "Payment", 5</t>
  </si>
  <si>
    <t>Clearance signatory – name</t>
  </si>
  <si>
    <t>Purpose</t>
  </si>
  <si>
    <t>Date</t>
  </si>
  <si>
    <t xml:space="preserve">        Case "Print CRL": t0 = 22: t1 = 81: Prn_Table = True</t>
  </si>
  <si>
    <t xml:space="preserve">        Case "Print CIL": t0 = 22: t1 = 61: Prn_Table = True</t>
  </si>
  <si>
    <t>Private Sub txtQ_Change()</t>
  </si>
  <si>
    <t>BMMC</t>
  </si>
  <si>
    <t xml:space="preserve">        Case "Print EDL": t0 = 26: t1 = 46: Prn_Table = True</t>
  </si>
  <si>
    <t xml:space="preserve">        Case "Print EDL RP": t0 = 20: t1 = 146: Prn_Table = True</t>
  </si>
  <si>
    <t xml:space="preserve">        Case "Print Clearance": t0 = 18: t1 = 37: Prn_Table = True</t>
  </si>
  <si>
    <t xml:space="preserve">        Case "Print Bill": t0 = 23: t1 = 34: Prn_Table = True</t>
  </si>
  <si>
    <t>Private Sub txtQ_KeyDown(ByVal KeyCode As MSForms.ReturnInteger, ByVal Shift As Integer)</t>
  </si>
  <si>
    <t>CRL &amp; CIL</t>
  </si>
  <si>
    <t xml:space="preserve">    If KeyCode = 40 And lstRes.ListCount &gt; 0 Then</t>
  </si>
  <si>
    <t xml:space="preserve">        KeyCode = 0</t>
  </si>
  <si>
    <t xml:space="preserve">        lstRes.SetFocus</t>
  </si>
  <si>
    <t>Private Sub Prn_Rows(sh As Worksheet, ByVal hideEmpty As Boolean)</t>
  </si>
  <si>
    <t xml:space="preserve">        lstRes.ListIndex = 0</t>
  </si>
  <si>
    <t xml:space="preserve">    Dim t0 As Long, t1 As Long, r As Long</t>
  </si>
  <si>
    <t xml:space="preserve">    ElseIf KeyCode = 13 Then</t>
  </si>
  <si>
    <t xml:space="preserve">    If Not Prn_Table(sh, t0, t1) Then Exit Sub</t>
  </si>
  <si>
    <t>MNG</t>
  </si>
  <si>
    <t>EDL</t>
  </si>
  <si>
    <t xml:space="preserve">        If lstRes.ListCount = 1 Then lstRes.ListIndex = 0</t>
  </si>
  <si>
    <t xml:space="preserve">    For r = t0 + 1 To t1</t>
  </si>
  <si>
    <t xml:space="preserve">        If lstRes.ListIndex &gt;= 0 Then cmdOpen_Click</t>
  </si>
  <si>
    <t>Dewatering &amp; Construction of Retention</t>
  </si>
  <si>
    <t xml:space="preserve">        If hideEmpty Then</t>
  </si>
  <si>
    <t xml:space="preserve">            If sh.Name = "Print Bill" Then</t>
  </si>
  <si>
    <t>Open Pit EDL</t>
  </si>
  <si>
    <t xml:space="preserve">                sh.Rows(r).Hidden = (CStr(sh.Range("C" &amp; r).Value) = "" And CStr(sh.Range("M" &amp; r).Value) &lt;&gt; "T" And CStr(sh.Range("B" &amp; r).Value) = "")</t>
  </si>
  <si>
    <t>Private Sub lstRes_KeyDown(ByVal KeyCode As MSForms.ReturnInteger, ByVal Shift As Integer)</t>
  </si>
  <si>
    <t xml:space="preserve">                sh.Rows(r).Hidden = IIf(sh.Name = "Print EDL RP", CStr(sh.Range("L" &amp; r).Value) = "H", CStr(sh.Range(IIf(sh.Name = "Print Clearance", "B", "C") &amp; r).Value) = "")</t>
  </si>
  <si>
    <t>Firestone</t>
  </si>
  <si>
    <t xml:space="preserve">    If KeyCode = 13 Then</t>
  </si>
  <si>
    <t>CIL</t>
  </si>
  <si>
    <t xml:space="preserve">            If sh.Name = "Print Clearance" And Not sh.Rows(r).Hidden Then sh.Rows(r).AutoFit</t>
  </si>
  <si>
    <t xml:space="preserve">        cmdOpen_Click</t>
  </si>
  <si>
    <t xml:space="preserve">            sh.Rows(r).Hidden = False</t>
  </si>
  <si>
    <t>Private Sub DoSearch()</t>
  </si>
  <si>
    <t xml:space="preserve">    Dim q As String, lo As ListObject, i As Long, s As String, k As String, dd As Object, n As Long</t>
  </si>
  <si>
    <t xml:space="preserve">    q = LCase$(Trim$(txtQ.Value))</t>
  </si>
  <si>
    <t xml:space="preserve">    lstRes.Clear</t>
  </si>
  <si>
    <t>Private Sub Prn_Logos(sh As Worksheet, ByVal printing As Boolean)</t>
  </si>
  <si>
    <t xml:space="preserve">    Dim s As Shape, show As Boolean</t>
  </si>
  <si>
    <t xml:space="preserve">    If Len(q) &lt; 2 Then</t>
  </si>
  <si>
    <t xml:space="preserve">    show = True</t>
  </si>
  <si>
    <t xml:space="preserve">        SetStatus "Type at least 2 characters  -  results appear as you type."</t>
  </si>
  <si>
    <t xml:space="preserve">    If printing And sh.Name = "Print Bill" Then show = (CStr(sh.Range("J8").Value) = "Yes")</t>
  </si>
  <si>
    <t xml:space="preserve">    If printing And sh.Name = "Print Clearance" Then show = (CStr(sh.Range("J7").Value) = "Yes"): If printing And (sh.Name = "Print CRL" Or sh.Name = "Print CIL" Or sh.Name = "Print EDL" Or sh.Name = "Print EDL RP") Then show = (CStr(sh.Range("J3").Value) &lt;&gt; "No")</t>
  </si>
  <si>
    <t xml:space="preserve">    For Each s In sh.Shapes</t>
  </si>
  <si>
    <t xml:space="preserve">    If Want("Company") Then</t>
  </si>
  <si>
    <t xml:space="preserve">        If Left$(s.Name, 4) = "logo" Then s.Visible = IIf(show, msoTrue, msoFalse)</t>
  </si>
  <si>
    <t xml:space="preserve">        Set lo = Tbl("tblCompanies")</t>
  </si>
  <si>
    <t>CRL &amp; EDL</t>
  </si>
  <si>
    <t xml:space="preserve">        For i = 1 To lo.ListRows.Count</t>
  </si>
  <si>
    <t>CRL</t>
  </si>
  <si>
    <t xml:space="preserve">            s = V(lo, i, "Company ID") &amp; " " &amp; V(lo, i, "Company Name") &amp; " " &amp; V(lo, i, "Other Names Recorded")</t>
  </si>
  <si>
    <t xml:space="preserve">            If InStr(1, LCase$(s), q) &gt; 0 Then AddRow "Company", V(lo, i, "Company ID"), V(lo, i, "Company Name"), V(lo, i, "Sector / Activity"), ""</t>
  </si>
  <si>
    <t>Private Sub BoldPhrase(ByVal c As Range, ByVal ph As String)</t>
  </si>
  <si>
    <t xml:space="preserve">        Next i</t>
  </si>
  <si>
    <t>Control People Pest's Ent.</t>
  </si>
  <si>
    <t xml:space="preserve">    Dim p As Long</t>
  </si>
  <si>
    <t xml:space="preserve">    If c.HasFormula Or ph = "" Then Exit Sub</t>
  </si>
  <si>
    <t xml:space="preserve">    If Want("Licence") Then</t>
  </si>
  <si>
    <t xml:space="preserve">    p = InStr(1, CStr(c.Value), ph, vbTextCompare)</t>
  </si>
  <si>
    <t xml:space="preserve">        Set lo = Tbl("tblLicences")</t>
  </si>
  <si>
    <t xml:space="preserve">    If p &gt; 0 Then c.Characters(p, Len(ph)).Font.Bold = True</t>
  </si>
  <si>
    <t>Conqust Inc.</t>
  </si>
  <si>
    <t xml:space="preserve">            s = V(lo, i, "Record ID") &amp; " " &amp; V(lo, i, "Company Name") &amp; " " &amp; V(lo, i, "Licence / Certificate No.") &amp; " " &amp; V(lo, i, "Licence Category") &amp; " " &amp; V(lo, i, "Reference Code")</t>
  </si>
  <si>
    <t xml:space="preserve">            If InStr(1, LCase$(s), q) &gt; 0 Then AddRow "Licence", V(lo, i, "Record ID"), V(lo, i, "Company Name"), V(lo, i, "Licence Category") &amp; "  " &amp; V(lo, i, "Licence / Certificate No."), D(lo, i, "Date Issued")</t>
  </si>
  <si>
    <t>Private Sub BoldInRange(ByVal rng As Range, ByVal phrases As String)</t>
  </si>
  <si>
    <t xml:space="preserve">    Dim c As Range, ph As Variant</t>
  </si>
  <si>
    <t xml:space="preserve">    For Each c In rng.Cells</t>
  </si>
  <si>
    <t xml:space="preserve">    If Want("Clearance") Then</t>
  </si>
  <si>
    <t xml:space="preserve">        If Not c.HasFormula And CStr(c.Value) &lt;&gt; "" Then</t>
  </si>
  <si>
    <t xml:space="preserve">        Set lo = Tbl("tblClearances")</t>
  </si>
  <si>
    <t>CIL &amp; Chemical Reagent (class B)</t>
  </si>
  <si>
    <t xml:space="preserve">            For Each ph In Split(phrases, "|")</t>
  </si>
  <si>
    <t xml:space="preserve">        Set dd = CreateObject("Scripting.Dictionary")</t>
  </si>
  <si>
    <t xml:space="preserve">                BoldPhrase c, CStr(ph)</t>
  </si>
  <si>
    <t xml:space="preserve">            Next ph</t>
  </si>
  <si>
    <t xml:space="preserve">            k = V(lo, i, "Clearance No.")</t>
  </si>
  <si>
    <t>CRL, CIL &amp; EDL</t>
  </si>
  <si>
    <t>Feb-2025-2026</t>
  </si>
  <si>
    <t xml:space="preserve">            If k &lt;&gt; "" And Not dd.Exists(k) Then</t>
  </si>
  <si>
    <t xml:space="preserve">                s = k &amp; " " &amp; V(lo, i, "Company Name") &amp; " " &amp; V(lo, i, "B/L / Invoice / AWB No.") &amp; " " &amp; V(lo, i, "Clearance Ref. No.") &amp; " " &amp; V(lo, i, "Chemical as Recorded")</t>
  </si>
  <si>
    <t>20-Apr-2025-2026</t>
  </si>
  <si>
    <t xml:space="preserve">                If InStr(1, LCase$(s), q) &gt; 0 Then</t>
  </si>
  <si>
    <t>LR &amp; Son Distillery Inc.</t>
  </si>
  <si>
    <t xml:space="preserve">                    dd.Add k, 1</t>
  </si>
  <si>
    <t>Rem Bold wording as in the original Word documents</t>
  </si>
  <si>
    <t xml:space="preserve">                    AddRow "Clearance", k, V(lo, i, "Company Name"), "B/L " &amp; V(lo, i, "B/L / Invoice / AWB No.") &amp; "  " &amp; V(lo, i, "Clearance Ref. No."), D(lo, i, "Clearance Date")</t>
  </si>
  <si>
    <t>Private Sub Prn_Bold(sh As Worksheet, ByVal printing As Boolean)</t>
  </si>
  <si>
    <t xml:space="preserve">    Static billF As String</t>
  </si>
  <si>
    <t>LAC</t>
  </si>
  <si>
    <t xml:space="preserve">    Static clrF As String</t>
  </si>
  <si>
    <t xml:space="preserve">    Dim c As Range, t As String, p As Long, q As Long</t>
  </si>
  <si>
    <t xml:space="preserve">    If Want("Bill") Then</t>
  </si>
  <si>
    <t>Liberia Development &amp; Agriculture Corp.</t>
  </si>
  <si>
    <t xml:space="preserve">        Case "Print CRL"</t>
  </si>
  <si>
    <t xml:space="preserve">        Set lo = Tbl("tblBills")</t>
  </si>
  <si>
    <t>21/11/2025</t>
  </si>
  <si>
    <t xml:space="preserve">            BoldInRange sh.Range("B8:F20"), "Chemical Registration License|Industrial Chemicals,"</t>
  </si>
  <si>
    <t xml:space="preserve">            BoldInRange sh.Range("C82:F92"), "does not|violation|declared and registered"</t>
  </si>
  <si>
    <t xml:space="preserve">        Case "Print CIL"</t>
  </si>
  <si>
    <t xml:space="preserve">            k = V(lo, i, "Bill No.")</t>
  </si>
  <si>
    <t xml:space="preserve">            BoldInRange sh.Range("B8:F20"), "Chemical Importation License"</t>
  </si>
  <si>
    <t>Maxam Liberia JV Inc.</t>
  </si>
  <si>
    <t xml:space="preserve">            BoldInRange sh.Range("C62:F78"), "not exceed|written notification|complies|Notify the Agency within 24 hours|Notify|Undertake adequate safety and security measures|chemicals specified|authorized custom entry points|expires immediately|Any violation|penalty"</t>
  </si>
  <si>
    <t>CRL &amp; Chemical Clearance</t>
  </si>
  <si>
    <t xml:space="preserve">                s = k &amp; " " &amp; V(lo, i, "Company Name") &amp; " " &amp; V(lo, i, "Bill Ref. No.") &amp; " " &amp; V(lo, i, "Bill Type") &amp; " " &amp; V(lo, i, "Purpose / Licence Billed")</t>
  </si>
  <si>
    <t xml:space="preserve">        Case "Print Clearance"</t>
  </si>
  <si>
    <t xml:space="preserve">            Set c = sh.Range("B15")</t>
  </si>
  <si>
    <t xml:space="preserve">            If printing Then</t>
  </si>
  <si>
    <t>SMTELRDTZ19RGEX9</t>
  </si>
  <si>
    <t xml:space="preserve">                    AddRow "Bill", k, V(lo, i, "Company Name"), V(lo, i, "Bill Type") &amp; "  " &amp; V(lo, i, "Bill Ref. No."), D(lo, i, "Bill Date")</t>
  </si>
  <si>
    <t>Total Dissolved Solids</t>
  </si>
  <si>
    <t xml:space="preserve">                clrF = c.Formula</t>
  </si>
  <si>
    <t>Madina Rock Quarry, Inc.</t>
  </si>
  <si>
    <t xml:space="preserve">                t = CStr(c.Value)</t>
  </si>
  <si>
    <t xml:space="preserve">                c.Value = t</t>
  </si>
  <si>
    <t>Clearance signatory – title</t>
  </si>
  <si>
    <t xml:space="preserve">                c.Font.Bold = False</t>
  </si>
  <si>
    <t xml:space="preserve">                p = Len("This is to testify that ") + 1</t>
  </si>
  <si>
    <t xml:space="preserve">    If Want("Payment") Then</t>
  </si>
  <si>
    <t xml:space="preserve">                q = InStr(p, t, " is in the process")</t>
  </si>
  <si>
    <t xml:space="preserve">        Set lo = Tbl("tblPayments")</t>
  </si>
  <si>
    <t>26072315Z30H</t>
  </si>
  <si>
    <t xml:space="preserve">                If q &gt; p Then c.Characters(p, q - p).Font.Bold = True</t>
  </si>
  <si>
    <t xml:space="preserve">            ElseIf clrF &lt;&gt; "" Then</t>
  </si>
  <si>
    <t xml:space="preserve">            s = V(lo, i, "Record ID") &amp; " " &amp; V(lo, i, "Company Name") &amp; " " &amp; V(lo, i, "Receipt No.") &amp; " " &amp; V(lo, i, "Bill No.") &amp; " " &amp; V(lo, i, "Purpose / Services")</t>
  </si>
  <si>
    <t xml:space="preserve">                c.Formula = clrF</t>
  </si>
  <si>
    <t xml:space="preserve">            If InStr(1, LCase$(s), q) &gt; 0 Then AddRow "Payment", V(lo, i, "Record ID"), V(lo, i, "Company Name"), "Receipt " &amp; V(lo, i, "Receipt No.") &amp; "   US$" &amp; Format(Num(V(lo, i, "Amount (USD)")), "#,##0.00"), D(lo, i, "Payment Date")</t>
  </si>
  <si>
    <t>fumigation Certificate</t>
  </si>
  <si>
    <t xml:space="preserve">                clrF = ""</t>
  </si>
  <si>
    <t xml:space="preserve">    n = lstRes.ListCount</t>
  </si>
  <si>
    <t xml:space="preserve">        Case "Print Bill"</t>
  </si>
  <si>
    <t xml:space="preserve">    If n = 0 Then</t>
  </si>
  <si>
    <t>CRL, CIL &amp; Fumigation Certificate</t>
  </si>
  <si>
    <t xml:space="preserve">            Set c = sh.Range("B21")</t>
  </si>
  <si>
    <t xml:space="preserve">        SetStatus "No records match  " &amp; Chr(34) &amp; txtQ.Value &amp; Chr(34) &amp; IIf(mFilter = "All", "", "  in " &amp; mFilter &amp; " records") &amp; ".", "w"</t>
  </si>
  <si>
    <t xml:space="preserve">    ElseIf n &gt;= 500 Then</t>
  </si>
  <si>
    <t xml:space="preserve">                billF = c.Formula</t>
  </si>
  <si>
    <t xml:space="preserve">        SetStatus "Showing the first 500 results  -  type more to narrow the search.", "w"</t>
  </si>
  <si>
    <t xml:space="preserve">        SetStatus n &amp; " result(s)" &amp; IIf(mFilter = "All", "", "  (" &amp; mFilter &amp; " only)") &amp; ".  Select one, then Open Record or Print Page.", "ok"</t>
  </si>
  <si>
    <t xml:space="preserve">                p = InStr(1, t, "UNITED STATES DOLLARS-")</t>
  </si>
  <si>
    <t xml:space="preserve">                q = InStr(p + 1, t, ")")</t>
  </si>
  <si>
    <t xml:space="preserve">                If p &gt; 0 And q &gt; p Then c.Characters(p, q - p + 1).Font.Bold = True</t>
  </si>
  <si>
    <t>Private Function PrintSheet(ByVal k As String, ByVal info As String) As String</t>
  </si>
  <si>
    <t xml:space="preserve">                p = InStr(1, t, "payable at the ")</t>
  </si>
  <si>
    <t xml:space="preserve">    Select Case k</t>
  </si>
  <si>
    <t xml:space="preserve">                If p &gt; 0 Then c.Characters(p + 15, Len(t) - p - 14).Font.Bold = True</t>
  </si>
  <si>
    <t xml:space="preserve">        Case "Licence"</t>
  </si>
  <si>
    <t xml:space="preserve">            ElseIf billF &lt;&gt; "" Then</t>
  </si>
  <si>
    <t>GVL</t>
  </si>
  <si>
    <t xml:space="preserve">            If InStr(1, info, "(CIL)") &gt; 0 Then</t>
  </si>
  <si>
    <t>Chemical registration &amp; import Licenses</t>
  </si>
  <si>
    <t xml:space="preserve">                c.Formula = billF</t>
  </si>
  <si>
    <t xml:space="preserve">                PrintSheet = "Print CIL"</t>
  </si>
  <si>
    <t xml:space="preserve">            ElseIf InStr(1, info, "(CRL)") &gt; 0 Then</t>
  </si>
  <si>
    <t>Golden Veroleum Liberia</t>
  </si>
  <si>
    <t xml:space="preserve">                billF = ""</t>
  </si>
  <si>
    <t xml:space="preserve">                PrintSheet = "Print CRL"</t>
  </si>
  <si>
    <t xml:space="preserve">        Case "Clearance": PrintSheet = "Print Clearance"</t>
  </si>
  <si>
    <t xml:space="preserve">        Case "Bill": PrintSheet = "Print Bill"</t>
  </si>
  <si>
    <t>Rem resize wrapped paragraph rows on the bill letter (merged cells do not auto-fit)</t>
  </si>
  <si>
    <t>Quality Industry Limited</t>
  </si>
  <si>
    <t>Private Sub Prn_FitRows(sh As Worksheet)</t>
  </si>
  <si>
    <t xml:space="preserve">    Dim r As Variant, t As String, p As Variant, n As Long</t>
  </si>
  <si>
    <t>Private Sub UpdateButtons()</t>
  </si>
  <si>
    <t xml:space="preserve">    If sh.Name &lt;&gt; "Print Bill" Then Exit Sub</t>
  </si>
  <si>
    <t xml:space="preserve">    Dim sel As Boolean</t>
  </si>
  <si>
    <t xml:space="preserve">    For Each r In Array(19, 21, 36, 38)</t>
  </si>
  <si>
    <t xml:space="preserve">    sel = (lstRes.ListIndex &gt;= 0)</t>
  </si>
  <si>
    <t>Grand Total</t>
  </si>
  <si>
    <t xml:space="preserve">        t = CStr(sh.Range("B" &amp; r).Value)</t>
  </si>
  <si>
    <t xml:space="preserve">    UI_Enable cmdOpen, sel</t>
  </si>
  <si>
    <t xml:space="preserve">        n = 0</t>
  </si>
  <si>
    <t xml:space="preserve">    If sel Then</t>
  </si>
  <si>
    <t xml:space="preserve">        For Each p In Split(t, vbLf)</t>
  </si>
  <si>
    <t xml:space="preserve">        UI_Enable cmdPrint, (PrintSheet(lstRes.List(lstRes.ListIndex, 0), lstRes.List(lstRes.ListIndex, 3)) &lt;&gt; "")</t>
  </si>
  <si>
    <t xml:space="preserve">            n = n + Application.WorksheetFunction.Max(1, -Int(-Len(CStr(p)) / 88))</t>
  </si>
  <si>
    <t xml:space="preserve">        Next p</t>
  </si>
  <si>
    <t xml:space="preserve">        UI_Enable cmdPrint, False</t>
  </si>
  <si>
    <t xml:space="preserve">        If t = "" Then n = 1</t>
  </si>
  <si>
    <t xml:space="preserve">        sh.Rows(r).RowHeight = n * 15.5 + 3</t>
  </si>
  <si>
    <t>Private Sub lstRes_Change()</t>
  </si>
  <si>
    <t>Private Function Prn_OK(sh As Worksheet) As Boolean</t>
  </si>
  <si>
    <t xml:space="preserve">    If lstRes.ListIndex &gt;= 0 Then</t>
  </si>
  <si>
    <t xml:space="preserve">    Dim msg As String</t>
  </si>
  <si>
    <t xml:space="preserve">        If PrintSheet(lstRes.List(lstRes.ListIndex, 0), lstRes.List(lstRes.ListIndex, 3)) = "" Then</t>
  </si>
  <si>
    <t xml:space="preserve">    msg = CStr(sh.Range("J5").Value)</t>
  </si>
  <si>
    <t xml:space="preserve">            SetStatus "Selected " &amp; lstRes.List(lstRes.ListIndex, 1) &amp; "  -  no print page for this record type.  Open Record is available."</t>
  </si>
  <si>
    <t xml:space="preserve">    If InStr(1, msg, ChrW(9888)) &gt; 0 Then</t>
  </si>
  <si>
    <t xml:space="preserve">        Prn_OK = (MsgBox("Check before printing:" &amp; vbCrLf &amp; vbCrLf &amp; Replace(msg, ChrW(9888), "") &amp; vbCrLf &amp; vbCrLf &amp; "Continue anyway?", vbYesNo + vbQuestion, "CMU Database") = vbYes)</t>
  </si>
  <si>
    <t xml:space="preserve">            SetStatus "Selected " &amp; lstRes.List(lstRes.ListIndex, 1) &amp; "  -  " &amp; lstRes.List(lstRes.ListIndex, 2), "ok"</t>
  </si>
  <si>
    <t xml:space="preserve">        Prn_OK = True</t>
  </si>
  <si>
    <t>Private Function ListPick(ByVal col As String, ByVal id As String) As String</t>
  </si>
  <si>
    <t>Public Sub Print_Preview()</t>
  </si>
  <si>
    <t xml:space="preserve">    Dim sh As Worksheet</t>
  </si>
  <si>
    <t xml:space="preserve">    ListPick = id</t>
  </si>
  <si>
    <t xml:space="preserve">    For Each c In ThisWorkbook.Worksheets("Lists").Range(col &amp; "5:" &amp; col &amp; "404").Cells</t>
  </si>
  <si>
    <t xml:space="preserve">    If Not Prn_OK(sh) Then Exit Sub</t>
  </si>
  <si>
    <t xml:space="preserve">        If Left$(CStr(c.Value), Len(id) + 1) = id &amp; " " Then ListPick = CStr(c.Value): Exit Function</t>
  </si>
  <si>
    <t xml:space="preserve">    Prn_Rows sh, True: Prn_Logos sh, True: Prn_Bold sh, True: Prn_FitRows sh</t>
  </si>
  <si>
    <t xml:space="preserve">    sh.PrintPreview</t>
  </si>
  <si>
    <t xml:space="preserve">    Prn_Rows sh, False: Prn_Logos sh, False: Prn_Bold sh, False</t>
  </si>
  <si>
    <t>Private Sub lstRes_DblClick(ByVal Cancel As MSForms.ReturnBoolean)</t>
  </si>
  <si>
    <t xml:space="preserve">    cmdOpen_Click</t>
  </si>
  <si>
    <t>Public Sub Print_Now()</t>
  </si>
  <si>
    <t>Private Sub cmdOpen_Click()</t>
  </si>
  <si>
    <t xml:space="preserve">    Dim k As String, id As String, sh As String</t>
  </si>
  <si>
    <t xml:space="preserve">    If MsgBox("Send this document to the printer?", vbYesNo + vbQuestion, "CMU Database") &lt;&gt; vbYes Then Exit Sub</t>
  </si>
  <si>
    <t xml:space="preserve">    If lstRes.ListIndex &lt; 0 Then SetStatus "Select a result first.", "w": Exit Sub</t>
  </si>
  <si>
    <t xml:space="preserve">    k = lstRes.List(lstRes.ListIndex, 0)</t>
  </si>
  <si>
    <t xml:space="preserve">    sh.PrintOut Copies:=1</t>
  </si>
  <si>
    <t xml:space="preserve">    id = lstRes.List(lstRes.ListIndex, 1)</t>
  </si>
  <si>
    <t>RECEIPT FROM AUGUST - DECEMBER 2026</t>
  </si>
  <si>
    <t xml:space="preserve">        Case "Company": sh = "Company Form"</t>
  </si>
  <si>
    <t xml:space="preserve">        Case "Licence": sh = "Licence Form"</t>
  </si>
  <si>
    <t>Public Sub Print_PDF()</t>
  </si>
  <si>
    <t>Firestone Liberia Harbel</t>
  </si>
  <si>
    <t xml:space="preserve">        Case "Clearance": sh = "Clearance Form"</t>
  </si>
  <si>
    <t xml:space="preserve">    Dim sh As Worksheet, nm As String, f As String, ch As Variant</t>
  </si>
  <si>
    <t xml:space="preserve">        Case "Bill": sh = "Bill Form"</t>
  </si>
  <si>
    <t xml:space="preserve">        Case "Payment": sh = "Payment Form"</t>
  </si>
  <si>
    <t xml:space="preserve">    If sh.Name = "Print Bill" Then</t>
  </si>
  <si>
    <t xml:space="preserve">        nm = "Bill " &amp; sh.Range("K4").Value &amp; " " &amp; sh.Range("J12").Value</t>
  </si>
  <si>
    <t xml:space="preserve">    ThisWorkbook.Worksheets(sh).Activate</t>
  </si>
  <si>
    <t xml:space="preserve">    ElseIf sh.Name = "Print Clearance" Then</t>
  </si>
  <si>
    <t>MNG Gold</t>
  </si>
  <si>
    <t xml:space="preserve">    ThisWorkbook.Worksheets(sh).Range("C5").Value = id</t>
  </si>
  <si>
    <t xml:space="preserve">        nm = "Clearance " &amp; sh.Range("K4").Value &amp; " " &amp; sh.Range("J8").Value</t>
  </si>
  <si>
    <t xml:space="preserve">    Form_Find</t>
  </si>
  <si>
    <t xml:space="preserve">        nm = sh.Name &amp; " " &amp; sh.Range("J7").Value &amp; " " &amp; sh.Range("J8").Value</t>
  </si>
  <si>
    <t>MOPP</t>
  </si>
  <si>
    <t xml:space="preserve">    For Each ch In Array("/", "\", ":", "*", "?", """", "&lt;", "&gt;", "|")</t>
  </si>
  <si>
    <t>Private Sub cmdPrint_Click()</t>
  </si>
  <si>
    <t xml:space="preserve">        nm = Replace(nm, ch, "-")</t>
  </si>
  <si>
    <t xml:space="preserve">    Dim k As String, id As String, sh As String, pick As String</t>
  </si>
  <si>
    <t xml:space="preserve">    Next ch</t>
  </si>
  <si>
    <t xml:space="preserve">    f = ThisWorkbook.Path &amp; Application.PathSeparator &amp; Trim$(nm) &amp; ".pdf"</t>
  </si>
  <si>
    <t>CIL (Suit of Chemicals)</t>
  </si>
  <si>
    <t>Detergent</t>
  </si>
  <si>
    <t xml:space="preserve">    sh.ExportAsFixedFormat Type:=xlTypePDF, Filename:=f, Quality:=xlQualityStandard, IgnorePrintAreas:=False, OpenAfterPublish:=True</t>
  </si>
  <si>
    <t xml:space="preserve">    sh = PrintSheet(k, lstRes.List(lstRes.ListIndex, 3))</t>
  </si>
  <si>
    <t xml:space="preserve">    If sh = "" Then SetStatus "There is no print page for this record type.", "w": Exit Sub</t>
  </si>
  <si>
    <t xml:space="preserve">    MsgBox "Saved: " &amp; f, vbInformation, "CMU Database"</t>
  </si>
  <si>
    <t xml:space="preserve">        Case "Licence": pick = id</t>
  </si>
  <si>
    <t xml:space="preserve">        Case "Clearance": pick = ListPick("R", id)</t>
  </si>
  <si>
    <t>Public Sub Setup_PrintButtons()</t>
  </si>
  <si>
    <t xml:space="preserve">        Case "Bill": pick = ListPick("Y", id)</t>
  </si>
  <si>
    <t xml:space="preserve">    Dim f As Variant, s As Shape</t>
  </si>
  <si>
    <t xml:space="preserve">    For Each f In Array("Print CRL", "Print CIL", "Print Bill", "Print Clearance", "Print EDL", "Print EDL RP")</t>
  </si>
  <si>
    <t xml:space="preserve">        For Each s In ThisWorkbook.Worksheets(f).Shapes</t>
  </si>
  <si>
    <t xml:space="preserve">    ThisWorkbook.Worksheets(sh).Range("J4").Value = pick</t>
  </si>
  <si>
    <t xml:space="preserve">            If Left$(s.Name, 3) = "btn" Or Left$(s.Name, 4) = "hdr_" Then s.DrawingObject.PrintObject = False</t>
  </si>
  <si>
    <t xml:space="preserve">    ThisWorkbook.Worksheets(sh).Range("J4").Select</t>
  </si>
  <si>
    <t xml:space="preserve">                Case "btnPrintPreview": s.OnAction = "Print_Preview"</t>
  </si>
  <si>
    <t xml:space="preserve">                Case "btnPrint": s.OnAction = "Print_Now"</t>
  </si>
  <si>
    <t>Private Sub cmdClose_Click()</t>
  </si>
  <si>
    <t xml:space="preserve">                Case "btnPDF": s.OnAction = "Print_PDF"</t>
  </si>
  <si>
    <t xml:space="preserve">                Case "btnWord": s.OnAction = "Print_Word"</t>
  </si>
  <si>
    <t>#END UF_Find</t>
  </si>
  <si>
    <t>#FORM UF_Login</t>
  </si>
  <si>
    <t>Private mFails As Long, mMode As Long, mUser As String</t>
  </si>
  <si>
    <t>Rem ==== MULTI-SERVICE BILL FORM (Bill Form sheet) ====</t>
  </si>
  <si>
    <t>Private Function Bil_Map(ByVal r As Long) As String</t>
  </si>
  <si>
    <t xml:space="preserve">    Bil_Map = "C" &amp; r &amp; "=Purpose / Licence Billed|D" &amp; r &amp; "=Chemical|E" &amp; r &amp; "=Amount Billed (USD)|C5=Bill No.|C7=Bill Date|C8=Bill Type|C9=Bill Ref. No.|C10=Contact Person|C11=Contact Title|C12=Location|C13=Activity|C14=Linked Record"</t>
  </si>
  <si>
    <t xml:space="preserve">    ShowMode 1</t>
  </si>
  <si>
    <t xml:space="preserve">    SetStatus "Please sign in to continue."</t>
  </si>
  <si>
    <t>Private Function Bil_Loaded(sh As Worksheet) As Long</t>
  </si>
  <si>
    <t xml:space="preserve">    Bil_Loaded = Application.WorksheetFunction.CountA(sh.Range("G17:G26"))</t>
  </si>
  <si>
    <t xml:space="preserve">    CheckCaps</t>
  </si>
  <si>
    <t>Private Sub Bil_ClearForm(sh As Worksheet)</t>
  </si>
  <si>
    <t xml:space="preserve">    txtUser.SetFocus</t>
  </si>
  <si>
    <t xml:space="preserve">    sh.Range("C5:C14").ClearContents</t>
  </si>
  <si>
    <t xml:space="preserve">    sh.Range("C17:E26").ClearContents</t>
  </si>
  <si>
    <t>Private Sub ShowMode(ByVal m As Long)</t>
  </si>
  <si>
    <t xml:space="preserve">    sh.Range("G17:G26").ClearContents</t>
  </si>
  <si>
    <t xml:space="preserve">    Dim a As Boolean</t>
  </si>
  <si>
    <t xml:space="preserve">    If ActiveSheet.Name = sh.Name Then sh.Range("C6").Select</t>
  </si>
  <si>
    <t xml:space="preserve">    mMode = m</t>
  </si>
  <si>
    <t xml:space="preserve">    a = (m = 1)</t>
  </si>
  <si>
    <t xml:space="preserve">    capUser.Visible = a: txtUser.Visible = a</t>
  </si>
  <si>
    <t>Private Function Bil_WarnOK(sh As Worksheet) As Boolean</t>
  </si>
  <si>
    <t xml:space="preserve">    capPwd.Visible = a: txtPwd.Visible = a</t>
  </si>
  <si>
    <t xml:space="preserve">    lblCaps.Visible = False</t>
  </si>
  <si>
    <t xml:space="preserve">    For Each c In sh.Range("D6:D13").Cells</t>
  </si>
  <si>
    <t xml:space="preserve">    capNew1.Visible = Not a: txtNew1.Visible = Not a</t>
  </si>
  <si>
    <t xml:space="preserve">    lblStrBg.Visible = Not a: lblStrTxt.Visible = Not a</t>
  </si>
  <si>
    <t xml:space="preserve">    lblStrBar.Visible = False</t>
  </si>
  <si>
    <t xml:space="preserve">    capNew2.Visible = Not a: txtNew2.Visible = Not a</t>
  </si>
  <si>
    <t xml:space="preserve">        Bil_WarnOK = True</t>
  </si>
  <si>
    <t xml:space="preserve">    lblMsg.Caption = ""</t>
  </si>
  <si>
    <t xml:space="preserve">    If m = 2 Then</t>
  </si>
  <si>
    <t xml:space="preserve">        Bil_WarnOK = (MsgBox("Please check:" &amp; vbCrLf &amp; vbCrLf &amp; msg &amp; vbCrLf &amp; "Save anyway?", vbYesNo + vbQuestion, "CMU Database") = vbYes)</t>
  </si>
  <si>
    <t xml:space="preserve">        lblTitle.Caption = "Set Your New Password"</t>
  </si>
  <si>
    <t xml:space="preserve">        lblSub.Caption = "First sign-in for " &amp; mUser &amp; "  -  choose a new password (min. 6 characters)."</t>
  </si>
  <si>
    <t xml:space="preserve">        cmdOK.Caption = "Save &amp; Sign In"</t>
  </si>
  <si>
    <t>Private Sub Bil_Defaults(sh As Worksheet)</t>
  </si>
  <si>
    <t>Private Sub CheckCaps()</t>
  </si>
  <si>
    <t xml:space="preserve">    If CStr(sh.Range("C8").Value) = "" And CStr(sh.Range("C17").Value) &lt;&gt; "" Then sh.Range("C8").Value = Type_For(CStr(sh.Range("C17").Value))</t>
  </si>
  <si>
    <t xml:space="preserve">    lblCaps.Visible = (mMode = 1) And UI_CapsOn()</t>
  </si>
  <si>
    <t xml:space="preserve">    If CStr(sh.Range("C12").Value) = "" And CStr(sh.Range("C6").Value) &lt;&gt; "" Then</t>
  </si>
  <si>
    <t xml:space="preserve">        Set lo = GetLO("tblCompanies")</t>
  </si>
  <si>
    <t xml:space="preserve">        r = Application.Match(sh.Range("C6").Value, lo.ListColumns("Company Name").DataBodyRange, 0)</t>
  </si>
  <si>
    <t>Private Sub txtUser_KeyUp(ByVal KeyCode As MSForms.ReturnInteger, ByVal Shift As Integer)</t>
  </si>
  <si>
    <t xml:space="preserve">        If Not IsError(r) Then sh.Range("C12").Value = lo.ListColumns("Location").DataBodyRange.Cells(r, 1).Value</t>
  </si>
  <si>
    <t>Private Sub txtPwd_KeyUp(ByVal KeyCode As MSForms.ReturnInteger, ByVal Shift As Integer)</t>
  </si>
  <si>
    <t>Rem Bill Type used when a service is billed without a chosen type</t>
  </si>
  <si>
    <t>Public Function Type_For(ByVal svc As String) As String</t>
  </si>
  <si>
    <t xml:space="preserve">    Dim ls As ListObject, r As Variant, g As String</t>
  </si>
  <si>
    <t>Private Sub txtPwd_Change()</t>
  </si>
  <si>
    <t xml:space="preserve">    Set ls = GetLO("tblServices")</t>
  </si>
  <si>
    <t xml:space="preserve">    UI_Mark txtPwd, True</t>
  </si>
  <si>
    <t xml:space="preserve">    r = Application.Match(svc, ls.ListColumns("Service").DataBodyRange, 0)</t>
  </si>
  <si>
    <t xml:space="preserve">    If Not IsError(r) Then g = CStr(ls.ListColumns("Bill Group").DataBodyRange.Cells(r, 1).Value)</t>
  </si>
  <si>
    <t xml:space="preserve">    Select Case g</t>
  </si>
  <si>
    <t>Private Sub txtNew1_Change()</t>
  </si>
  <si>
    <t xml:space="preserve">        Case "Licence": Type_For = "Licence – New Application"</t>
  </si>
  <si>
    <t xml:space="preserve">    UI_Strength lblStrBar, lblStrTxt, txtNew1.Value, lblStrBg.Width</t>
  </si>
  <si>
    <t xml:space="preserve">        Case "Clearance": Type_For = "Chemical Clearance"</t>
  </si>
  <si>
    <t xml:space="preserve">    CheckNew</t>
  </si>
  <si>
    <t xml:space="preserve">        Case "Fumigation": Type_For = "Fumigation"</t>
  </si>
  <si>
    <t xml:space="preserve">        Case "Transportation": Type_For = "Chemical Transportation"</t>
  </si>
  <si>
    <t xml:space="preserve">        Case Else: Type_For = "Penalty / Other"</t>
  </si>
  <si>
    <t>Private Sub txtNew2_Change()</t>
  </si>
  <si>
    <t>Private Function Group_OfType(ByVal bt As String) As String</t>
  </si>
  <si>
    <t>Private Function CheckNew() As Boolean</t>
  </si>
  <si>
    <t xml:space="preserve">    Dim lt As ListObject, r As Variant</t>
  </si>
  <si>
    <t xml:space="preserve">    If txtNew2.Value = "" Then</t>
  </si>
  <si>
    <t xml:space="preserve">    Set lt = GetLO("tblBillTypes")</t>
  </si>
  <si>
    <t xml:space="preserve">        lblMsg.Caption = "": UI_Mark txtNew2, True</t>
  </si>
  <si>
    <t xml:space="preserve">    r = Application.Match(bt, lt.ListColumns("Bill Type").DataBodyRange, 0)</t>
  </si>
  <si>
    <t xml:space="preserve">    ElseIf txtNew1.Value &lt;&gt; txtNew2.Value Then</t>
  </si>
  <si>
    <t xml:space="preserve">    If Not IsError(r) Then Group_OfType = CStr(lt.ListColumns("Bill Group").DataBodyRange.Cells(r, 1).Value)</t>
  </si>
  <si>
    <t xml:space="preserve">        lblMsg.ForeColor = RGB(192, 0, 0): lblMsg.Caption = "The two passwords do not match."</t>
  </si>
  <si>
    <t xml:space="preserve">        UI_Mark txtNew2, False</t>
  </si>
  <si>
    <t>Public Function CMU_CodeVersion() As String</t>
  </si>
  <si>
    <t xml:space="preserve">        lblMsg.ForeColor = RGB(56, 142, 60): lblMsg.Caption = "Passwords match."</t>
  </si>
  <si>
    <t xml:space="preserve">    CMU_CodeVersion = "2026.09.26-R"</t>
  </si>
  <si>
    <t xml:space="preserve">        UI_Mark txtNew2, True</t>
  </si>
  <si>
    <t xml:space="preserve">    CheckNew = (Len(txtNew1.Value) &gt;= 6 And txtNew1.Value = txtNew2.Value)</t>
  </si>
  <si>
    <t>Public Sub Bil_Save()</t>
  </si>
  <si>
    <t xml:space="preserve">    Dim sh As Worksheet, lo As ListObject, r As Long, idx As Long, id As String, n As Long, bn As String</t>
  </si>
  <si>
    <t>Private Sub cmdOK_Click()</t>
  </si>
  <si>
    <t>WAD Cyanide</t>
  </si>
  <si>
    <t xml:space="preserve">    If Bil_Loaded(sh) &gt; 0 Or CStr(sh.Range("C5").Value) &lt;&gt; "" Then</t>
  </si>
  <si>
    <t xml:space="preserve">    If mMode = 2 Then</t>
  </si>
  <si>
    <t xml:space="preserve">        MsgBox "A Bill No. is already in C5. Click Update to save changes to that bill, or Clear Form to start a new one.", vbInformation, "CMU Database"</t>
  </si>
  <si>
    <t xml:space="preserve">        If Len(txtNew1.Value) &lt; 6 Then SetStatus "The new password must be at least 6 characters.", "e": txtNew1.SetFocus: Exit Sub</t>
  </si>
  <si>
    <t xml:space="preserve">        If Not CheckNew() Then SetStatus "The two passwords do not match.", "e": txtNew2.SetFocus: Exit Sub</t>
  </si>
  <si>
    <t xml:space="preserve">        CMU_SetPassword mUser, txtNew1.Value</t>
  </si>
  <si>
    <t xml:space="preserve">        CMU_AfterLogin mUser</t>
  </si>
  <si>
    <t xml:space="preserve">    If CStr(sh.Range("C9").Value) &lt;&gt; "" Then</t>
  </si>
  <si>
    <t xml:space="preserve">        Unload Me</t>
  </si>
  <si>
    <t xml:space="preserve">        If Application.WorksheetFunction.CountIf(GetLO("tblBills").ListColumns("Bill Ref. No.").DataBodyRange, sh.Range("C9").Value) &gt; 0 Then</t>
  </si>
  <si>
    <t xml:space="preserve">            MsgBox "Bill Ref. No. " &amp; sh.Range("C9").Value &amp; " is already used on another bill. Each bill needs its own reference number.", vbCritical, "CMU Database"</t>
  </si>
  <si>
    <t xml:space="preserve">    If Trim$(txtUser.Value) = "" Then SetStatus "Enter your username.", "e": UI_Mark txtUser, False: txtUser.SetFocus: Exit Sub</t>
  </si>
  <si>
    <t xml:space="preserve">    UI_Mark txtUser, True</t>
  </si>
  <si>
    <t xml:space="preserve">    r = CMU_CheckLogin(Trim$(txtUser.Value), txtPwd.Value)</t>
  </si>
  <si>
    <t xml:space="preserve">    If Not Bil_WarnOK(sh) Then Exit Sub</t>
  </si>
  <si>
    <t xml:space="preserve">    If r = "OK" Then</t>
  </si>
  <si>
    <t xml:space="preserve">    Bil_Defaults sh</t>
  </si>
  <si>
    <t xml:space="preserve">        CMU_AfterLogin Trim$(txtUser.Value)</t>
  </si>
  <si>
    <t xml:space="preserve">    Set lo = GetLO("tblBills")</t>
  </si>
  <si>
    <t xml:space="preserve">    bn = NextID(lo, "Bill No.", "BN-" &amp; Year(Date) &amp; "-")</t>
  </si>
  <si>
    <t xml:space="preserve">    ElseIf r = "FIRST" Then</t>
  </si>
  <si>
    <t xml:space="preserve">        mUser = Trim$(txtUser.Value)</t>
  </si>
  <si>
    <t xml:space="preserve">    sh.Range("C5").Value = bn</t>
  </si>
  <si>
    <t xml:space="preserve">        ShowMode 2</t>
  </si>
  <si>
    <t xml:space="preserve">    For r = 17 To 26</t>
  </si>
  <si>
    <t xml:space="preserve">        SetStatus "First sign-in:  set a new password to continue.", "w"</t>
  </si>
  <si>
    <t xml:space="preserve">        If Trim$(CStr(sh.Range("C" &amp; r).Value)) &lt;&gt; "" Then</t>
  </si>
  <si>
    <t xml:space="preserve">        txtNew1.SetFocus</t>
  </si>
  <si>
    <t xml:space="preserve">            id = NextID(lo, "Bill ID", "BIL-")</t>
  </si>
  <si>
    <t xml:space="preserve">        mFails = mFails + 1</t>
  </si>
  <si>
    <t xml:space="preserve">            lo.DataBodyRange.Cells(idx, ColIdx(lo, "Bill ID")).Value = id</t>
  </si>
  <si>
    <t xml:space="preserve">        lblMsg.ForeColor = RGB(192, 0, 0)</t>
  </si>
  <si>
    <t xml:space="preserve">            WriteRow lo, idx, sh, Bil_Map(r), True, True</t>
  </si>
  <si>
    <t xml:space="preserve">        lblMsg.Caption = r &amp; "   (attempt " &amp; mFails &amp; " of 5)"</t>
  </si>
  <si>
    <t xml:space="preserve">        SetStatus r, "e"</t>
  </si>
  <si>
    <t xml:space="preserve">        UI_Mark txtPwd, False</t>
  </si>
  <si>
    <t xml:space="preserve">        txtPwd.Value = ""</t>
  </si>
  <si>
    <t xml:space="preserve">        If mFails &gt;= 5 Then</t>
  </si>
  <si>
    <t xml:space="preserve">    If MsgBox("Bill " &amp; bn &amp; " saved: " &amp; n &amp; " service line(s), total US$" &amp; Format(Application.Sum(sh.Range("E17:E26")), "#,##0.00") &amp; "." &amp; vbCrLf &amp; vbCrLf &amp; "Open the bill letter now?", vbYesNo + vbInformation, "CMU Database") = vbYes Then</t>
  </si>
  <si>
    <t xml:space="preserve">            UI_Enable cmdOK, False</t>
  </si>
  <si>
    <t xml:space="preserve">        Form_PrintPage</t>
  </si>
  <si>
    <t xml:space="preserve">            lblMsg.Caption = "Too many failed attempts.  Close this window and try again later."</t>
  </si>
  <si>
    <t xml:space="preserve">    Bil_ClearForm sh</t>
  </si>
  <si>
    <t xml:space="preserve">            txtPwd.SetFocus</t>
  </si>
  <si>
    <t>Public Sub Bil_Find()</t>
  </si>
  <si>
    <t xml:space="preserve">    Dim hit() As Long, idx As Long, bn As String</t>
  </si>
  <si>
    <t xml:space="preserve">    If key = "" Then key = Trim$(InputBox("Enter the Bill No. (e.g. BN-005), Bill Ref. No., or a line ID (e.g. BIL-001):", "Find bill"))</t>
  </si>
  <si>
    <t>#END UF_Login</t>
  </si>
  <si>
    <t>#FORM UF_MyPwd</t>
  </si>
  <si>
    <t xml:space="preserve">    total = Clr_Collect(lo, "Bill No.", key, hit)</t>
  </si>
  <si>
    <t xml:space="preserve">    If total = 0 Then total = Clr_Collect(lo, "Bill Ref. No.", key, hit)</t>
  </si>
  <si>
    <t xml:space="preserve">    If total = 0 Then total = Clr_Collect(lo, "Bill ID", key, hit)</t>
  </si>
  <si>
    <t xml:space="preserve">    lblSub.Caption = "Signed in as " &amp; CMU_User &amp; "  -  choose a strong password of at least 6 characters."</t>
  </si>
  <si>
    <t xml:space="preserve">        MsgBox key &amp; " was not found as a Bill No., Bill Ref. No. or line ID.", vbExclamation, "CMU Database"</t>
  </si>
  <si>
    <t xml:space="preserve">    bn = CStr(lo.DataBodyRange.Cells(hit(1), ColIdx(lo, "Bill No.")).Value)</t>
  </si>
  <si>
    <t xml:space="preserve">    If bn &lt;&gt; "" Then total = Clr_Collect(lo, "Bill No.", bn, hit)</t>
  </si>
  <si>
    <t xml:space="preserve">    txtOld.SetFocus</t>
  </si>
  <si>
    <t>Private Sub txtOld_Change()</t>
  </si>
  <si>
    <t xml:space="preserve">    UI_Mark txtOld, True</t>
  </si>
  <si>
    <t xml:space="preserve">    sh.Range("C7").Value = lo.DataBodyRange.Cells(idx, ColIdx(lo, "Bill Date")).Value</t>
  </si>
  <si>
    <t xml:space="preserve">    sh.Range("C8").Value = lo.DataBodyRange.Cells(idx, ColIdx(lo, "Bill Type")).Value</t>
  </si>
  <si>
    <t xml:space="preserve">    sh.Range("C9").Value = lo.DataBodyRange.Cells(idx, ColIdx(lo, "Bill Ref. No.")).Value</t>
  </si>
  <si>
    <t xml:space="preserve">    sh.Range("C10").Value = lo.DataBodyRange.Cells(idx, ColIdx(lo, "Contact Person")).Value</t>
  </si>
  <si>
    <t>Private Sub txtNew_Change()</t>
  </si>
  <si>
    <t xml:space="preserve">    sh.Range("C11").Value = lo.DataBodyRange.Cells(idx, ColIdx(lo, "Contact Title")).Value</t>
  </si>
  <si>
    <t xml:space="preserve">    UI_Strength lblStrBar, lblStrTxt, txtNew.Value, lblStrBg.Width</t>
  </si>
  <si>
    <t xml:space="preserve">    sh.Range("C12").Value = lo.DataBodyRange.Cells(idx, ColIdx(lo, "Location")).Value</t>
  </si>
  <si>
    <t xml:space="preserve">    sh.Range("C13").Value = lo.DataBodyRange.Cells(idx, ColIdx(lo, "Activity")).Value</t>
  </si>
  <si>
    <t xml:space="preserve">    sh.Range("C14").Value = lo.DataBodyRange.Cells(idx, ColIdx(lo, "Linked Record")).Value</t>
  </si>
  <si>
    <t xml:space="preserve">        If i &gt; 10 Then Exit For</t>
  </si>
  <si>
    <t xml:space="preserve">        idx = hit(i): r = 16 + i</t>
  </si>
  <si>
    <t xml:space="preserve">        sh.Range("C" &amp; r).Value = lo.DataBodyRange.Cells(idx, ColIdx(lo, "Purpose / Licence Billed")).Value</t>
  </si>
  <si>
    <t xml:space="preserve">        sh.Range("D" &amp; r).Value = lo.DataBodyRange.Cells(idx, ColIdx(lo, "Chemical")).Value</t>
  </si>
  <si>
    <t xml:space="preserve">        sh.Range("E" &amp; r).Value = lo.DataBodyRange.Cells(idx, ColIdx(lo, "Amount Billed (USD)")).Value</t>
  </si>
  <si>
    <t xml:space="preserve">        sh.Range("G" &amp; r).Value = lo.DataBodyRange.Cells(idx, ColIdx(lo, "Bill ID")).Value</t>
  </si>
  <si>
    <t xml:space="preserve">    ElseIf txtNew.Value &lt;&gt; txtNew2.Value Then</t>
  </si>
  <si>
    <t xml:space="preserve">        lblMsg.ForeColor = RGB(192, 0, 0): lblMsg.Caption = "The new passwords do not match."</t>
  </si>
  <si>
    <t xml:space="preserve">    If total &gt; n Then MsgBox "This bill has " &amp; total &amp; " lines; only the first 10 were loaded.", vbExclamation, "CMU Database"</t>
  </si>
  <si>
    <t xml:space="preserve">    MsgBox "Loaded " &amp; bn &amp; " (" &amp; n &amp; " service line(s)). Edit, add or clear lines, then click Update.", vbInformation, "CMU Database"</t>
  </si>
  <si>
    <t>Public Sub Bil_Update()</t>
  </si>
  <si>
    <t xml:space="preserve">    If txtOld.Value = "" Then</t>
  </si>
  <si>
    <t xml:space="preserve">        SetStatus "Enter your current password."</t>
  </si>
  <si>
    <t xml:space="preserve">    ElseIf Len(txtNew.Value) &lt; 6 Then</t>
  </si>
  <si>
    <t xml:space="preserve">        SetStatus "The new password must be at least 6 characters."</t>
  </si>
  <si>
    <t xml:space="preserve">    If Bil_Loaded(sh) = 0 Or CStr(sh.Range("C5").Value) = "" Then</t>
  </si>
  <si>
    <t xml:space="preserve">        SetStatus "Type the new password again to confirm it."</t>
  </si>
  <si>
    <t xml:space="preserve">        MsgBox "Type the Bill No. in C5 and click Find Record first.", vbInformation, "CMU Database"</t>
  </si>
  <si>
    <t xml:space="preserve">    ElseIf txtNew.Value = txtOld.Value Then</t>
  </si>
  <si>
    <t xml:space="preserve">        SetStatus "The new password must be different from the current one.", "w"</t>
  </si>
  <si>
    <t xml:space="preserve">        If CStr(sh.Range("G" &amp; r).Value) &lt;&gt; "" And Trim$(CStr(sh.Range("C" &amp; r).Value)) = "" Then nD = nD + 1</t>
  </si>
  <si>
    <t xml:space="preserve">    UI_Enable cmdOK, Validate</t>
  </si>
  <si>
    <t xml:space="preserve">    If MsgBox("Update bill " &amp; sh.Range("C5").Value &amp; "?" &amp; IIf(nD &gt; 0, vbCrLf &amp; nD &amp; " cleared line(s) will be DELETED.", ""), vbYesNo + vbQuestion, "CMU Database") &lt;&gt; vbYes Then Exit Sub</t>
  </si>
  <si>
    <t xml:space="preserve">    If CMU_CheckLogin(CMU_User, txtOld.Value) &lt;&gt; "OK" Then</t>
  </si>
  <si>
    <t xml:space="preserve">        UI_Mark txtOld, False</t>
  </si>
  <si>
    <t xml:space="preserve">        id = CStr(sh.Range("G" &amp; r).Value)</t>
  </si>
  <si>
    <t xml:space="preserve">        SetStatus "Your current password is wrong.", "e"</t>
  </si>
  <si>
    <t xml:space="preserve">        txtOld.SetFocus</t>
  </si>
  <si>
    <t xml:space="preserve">                idx = FindIdx(lo, "Bill ID", id)</t>
  </si>
  <si>
    <t>Free Cyanide</t>
  </si>
  <si>
    <t xml:space="preserve">                If idx &gt; 0 Then WriteRow lo, idx, sh, Bil_Map(r), True, False: nU = nU + 1</t>
  </si>
  <si>
    <t xml:space="preserve">    CMU_SetPassword CMU_User, txtNew.Value</t>
  </si>
  <si>
    <t xml:space="preserve">    ThisWorkbook.Save</t>
  </si>
  <si>
    <t xml:space="preserve">                id = NextID(lo, "Bill ID", "BIL-")</t>
  </si>
  <si>
    <t xml:space="preserve">    MsgBox "Your password has been changed.", vbInformation, "CMU Database"</t>
  </si>
  <si>
    <t xml:space="preserve">                lo.DataBodyRange.Cells(idx, ColIdx(lo, "Bill ID")).Value = id</t>
  </si>
  <si>
    <t xml:space="preserve">                WriteRow lo, idx, sh, Bil_Map(r), True, True</t>
  </si>
  <si>
    <t xml:space="preserve">                sh.Range("G" &amp; r).Value = id</t>
  </si>
  <si>
    <t>#END UF_MyPwd</t>
  </si>
  <si>
    <t xml:space="preserve">            sh.Range("C" &amp; r &amp; ":E" &amp; r).ClearContents</t>
  </si>
  <si>
    <t>#FORM UF_Users</t>
  </si>
  <si>
    <t xml:space="preserve">            sh.Range("G" &amp; r).ClearContents</t>
  </si>
  <si>
    <t>Private Sub LoadList()</t>
  </si>
  <si>
    <t xml:space="preserve">    Dim i As Long, lo As ListObject, x As Variant</t>
  </si>
  <si>
    <t xml:space="preserve">            idx = FindIdx(lo, "Bill ID", CStr(d))</t>
  </si>
  <si>
    <t xml:space="preserve">    Set lo = Tbl("tblUsers")</t>
  </si>
  <si>
    <t xml:space="preserve">    lstU.Clear</t>
  </si>
  <si>
    <t xml:space="preserve">        lstU.AddItem lo.DataBodyRange.Cells(i, 1).Value</t>
  </si>
  <si>
    <t xml:space="preserve">        lstU.List(lstU.ListCount - 1, 1) = CStr(lo.DataBodyRange.Cells(i, 2).Value)</t>
  </si>
  <si>
    <t xml:space="preserve">    MsgBox "Bill " &amp; sh.Range("C5").Value &amp; " updated: " &amp; nU &amp; " changed, " &amp; nA &amp; " added, " &amp; nD &amp; " deleted.", vbInformation, "CMU Database"</t>
  </si>
  <si>
    <t xml:space="preserve">        lstU.List(lstU.ListCount - 1, 2) = CStr(lo.DataBodyRange.Cells(i, 3).Value)</t>
  </si>
  <si>
    <t xml:space="preserve">        lstU.List(lstU.ListCount - 1, 3) = CStr(lo.DataBodyRange.Cells(i, 4).Value)</t>
  </si>
  <si>
    <t xml:space="preserve">        x = lo.DataBodyRange.Cells(i, 8).Value</t>
  </si>
  <si>
    <t>Public Sub Bil_Delete()</t>
  </si>
  <si>
    <t xml:space="preserve">        If IsDate(x) And CStr(x) &lt;&gt; "" Then lstU.List(lstU.ListCount - 1, 4) = Format(x, "dd-mmm-yyyy hh:nn") Else lstU.List(lstU.ListCount - 1, 4) = "never"</t>
  </si>
  <si>
    <t xml:space="preserve">    Dim sh As Worksheet, lo As ListObject, r As Long, idx As Long, n As Long, paid As Double</t>
  </si>
  <si>
    <t xml:space="preserve">    If Bil_Loaded(sh) = 0 Then</t>
  </si>
  <si>
    <t xml:space="preserve">        MsgBox "Find the bill first (type the Bill No. in C5 and click Find Record).", vbInformation, "CMU Database"</t>
  </si>
  <si>
    <t xml:space="preserve">    lstU.ColumnCount = 5</t>
  </si>
  <si>
    <t xml:space="preserve">    lstU.ColumnWidths = "92 pt;172 pt;72 pt;52 pt;120 pt"</t>
  </si>
  <si>
    <t xml:space="preserve">    paid = Application.WorksheetFunction.SumIfs(GetLO("tblPayments").ListColumns("Amount (USD)").DataBodyRange, GetLO("tblPayments").ListColumns("Bill No.").DataBodyRange, sh.Range("C5").Value)</t>
  </si>
  <si>
    <t xml:space="preserve">    cboRole.Style = fmStyleDropDownList</t>
  </si>
  <si>
    <t xml:space="preserve">    If MsgBox("Permanently delete bill " &amp; sh.Range("C5").Value &amp; " and its " &amp; Bil_Loaded(sh) &amp; " line(s)?" &amp; IIf(paid &gt; 0, vbCrLf &amp; "WARNING: US$" &amp; Format(paid, "#,##0.00") &amp; " in payments is linked to this bill.", "") &amp; vbCrLf &amp; "This cannot be undone.", vbYesNo + vbCritical, "CMU Database") &lt;&gt; vbYes Then Exit Sub</t>
  </si>
  <si>
    <t xml:space="preserve">    cboActive.Style = fmStyleDropDownList</t>
  </si>
  <si>
    <t xml:space="preserve">    cboRole.AddItem "Admin": cboRole.AddItem "Officer": cboRole.AddItem "Viewer"</t>
  </si>
  <si>
    <t xml:space="preserve">    cboActive.AddItem "Yes": cboActive.AddItem "No"</t>
  </si>
  <si>
    <t xml:space="preserve">        If CStr(sh.Range("G" &amp; r).Value) &lt;&gt; "" Then</t>
  </si>
  <si>
    <t xml:space="preserve">    LoadList</t>
  </si>
  <si>
    <t xml:space="preserve">            idx = FindIdx(lo, "Bill ID", CStr(sh.Range("G" &amp; r).Value))</t>
  </si>
  <si>
    <t xml:space="preserve">    NewMode</t>
  </si>
  <si>
    <t xml:space="preserve">    SetStatus lstU.ListCount &amp; " user account(s).  Select a user to edit, or fill in the form to add one."</t>
  </si>
  <si>
    <t>Private Sub NewMode()</t>
  </si>
  <si>
    <t xml:space="preserve">    txtUser.Enabled = True</t>
  </si>
  <si>
    <t xml:space="preserve">    txtUser.BackColor = RGB(255, 255, 255)</t>
  </si>
  <si>
    <t xml:space="preserve">    txtUser.Value = "": txtName.Value = "": txtPwd.Value = ""</t>
  </si>
  <si>
    <t>Public Sub Bil_Clear()</t>
  </si>
  <si>
    <t xml:space="preserve">    cboRole.Value = "Officer": cboActive.Value = "Yes"</t>
  </si>
  <si>
    <t xml:space="preserve">    Bil_ClearForm ActiveSheet</t>
  </si>
  <si>
    <t xml:space="preserve">    lblEditHdr.Caption = "NEW USER"</t>
  </si>
  <si>
    <t xml:space="preserve">    UI_Enable cmdDel, False</t>
  </si>
  <si>
    <t>Rem ==== END BILL FORM ====</t>
  </si>
  <si>
    <t xml:space="preserve">    UI_Mark txtUser, True: UI_Mark txtPwd, True</t>
  </si>
  <si>
    <t>Rem ==== CREATE BILL FROM RECORD (licence / clearance -&gt; Bill Form) ====</t>
  </si>
  <si>
    <t xml:space="preserve">    RoleInfo</t>
  </si>
  <si>
    <t>Private Function Svc_For(ByVal cat As String, ByVal typ As String) As String</t>
  </si>
  <si>
    <t xml:space="preserve">    If InStr(1, cat, "(CRL)", vbTextCompare) &gt; 0 Then</t>
  </si>
  <si>
    <t xml:space="preserve">        Svc_For = "Annual Chemical Registration License"</t>
  </si>
  <si>
    <t>Private Sub RoleInfo()</t>
  </si>
  <si>
    <t xml:space="preserve">    ElseIf InStr(1, cat, "(CIL)", vbTextCompare) &gt; 0 Then</t>
  </si>
  <si>
    <t xml:space="preserve">    Select Case cboRole.Value</t>
  </si>
  <si>
    <t xml:space="preserve">        Svc_For = "Chemical Importation License"</t>
  </si>
  <si>
    <t xml:space="preserve">        Case "Admin": lblRoleInfo.Caption = "Admin:  full access, including users and settings."</t>
  </si>
  <si>
    <t xml:space="preserve">    ElseIf InStr(1, cat, "Dewatering", vbTextCompare) &gt; 0 Then</t>
  </si>
  <si>
    <t xml:space="preserve">        Case "Officer": lblRoleInfo.Caption = "Officer:  can add, edit and print records."</t>
  </si>
  <si>
    <t xml:space="preserve">        Svc_For = "Underground Mine Dewatering and Retention License"</t>
  </si>
  <si>
    <t xml:space="preserve">        Case "Viewer": lblRoleInfo.Caption = "Viewer:  can view, search and print only."</t>
  </si>
  <si>
    <t xml:space="preserve">    ElseIf InStr(1, cat, "(EDL)", vbTextCompare) &gt; 0 Then</t>
  </si>
  <si>
    <t xml:space="preserve">        Case Else: lblRoleInfo.Caption = ""</t>
  </si>
  <si>
    <t xml:space="preserve">        Svc_For = "Annual Effluent Discharge License"</t>
  </si>
  <si>
    <t xml:space="preserve">    ElseIf InStr(1, cat, "Fumigation", vbTextCompare) &gt; 0 Then</t>
  </si>
  <si>
    <t xml:space="preserve">        If InStr(1, typ, "Accreditation", vbTextCompare) &gt; 0 Then Svc_For = "Fumigation Service Provider Accreditation" Else Svc_For = "Fumigation Certificate"</t>
  </si>
  <si>
    <t xml:space="preserve">    ElseIf InStr(1, cat, "Transport", vbTextCompare) &gt; 0 Then</t>
  </si>
  <si>
    <t>Private Sub cboRole_Change()</t>
  </si>
  <si>
    <t xml:space="preserve">        Svc_For = "Chemical Transportation License"</t>
  </si>
  <si>
    <t xml:space="preserve">        Svc_For = "Other Service"</t>
  </si>
  <si>
    <t xml:space="preserve">    UI_Strength lblStrBar, lblStrTxt, txtPwd.Value, lblStrBg.Width</t>
  </si>
  <si>
    <t>Private Function Fee_For(ByVal svc As String) As Variant</t>
  </si>
  <si>
    <t xml:space="preserve">    Dim lf As ListObject, r As Variant</t>
  </si>
  <si>
    <t xml:space="preserve">    Fee_For = Empty</t>
  </si>
  <si>
    <t>Private Sub txtUser_Change()</t>
  </si>
  <si>
    <t xml:space="preserve">    Set lf = GetLO("tblServices")</t>
  </si>
  <si>
    <t xml:space="preserve">    r = Application.Match(svc, lf.ListColumns("Service").DataBodyRange, 0)</t>
  </si>
  <si>
    <t xml:space="preserve">    If Not IsError(r) Then</t>
  </si>
  <si>
    <t xml:space="preserve">        If IsNumeric(lf.ListColumns("Suggested Fee (USD)").DataBodyRange.Cells(r, 1).Value) And CStr(lf.ListColumns("Suggested Fee (USD)").DataBodyRange.Cells(r, 1).Value) &lt;&gt; "" Then Fee_For = lf.ListColumns("Suggested Fee (USD)").DataBodyRange.Cells(r, 1).Value</t>
  </si>
  <si>
    <t>Private Sub lstU_Click()</t>
  </si>
  <si>
    <t xml:space="preserve">    If lstU.ListIndex &lt; 0 Then Exit Sub</t>
  </si>
  <si>
    <t xml:space="preserve">    txtUser.Value = lstU.List(lstU.ListIndex, 0)</t>
  </si>
  <si>
    <t xml:space="preserve">    txtName.Value = lstU.List(lstU.ListIndex, 1)</t>
  </si>
  <si>
    <t>Public Sub Bill_FromRecord()</t>
  </si>
  <si>
    <t xml:space="preserve">    cboRole.Value = lstU.List(lstU.ListIndex, 2)</t>
  </si>
  <si>
    <t xml:space="preserve">    cboActive.Value = lstU.List(lstU.ListIndex, 3)</t>
  </si>
  <si>
    <t xml:space="preserve">    Dim sh As Worksheet, id As String</t>
  </si>
  <si>
    <t xml:space="preserve">    txtPwd.Value = ""</t>
  </si>
  <si>
    <t xml:space="preserve">    txtUser.Enabled = False</t>
  </si>
  <si>
    <t xml:space="preserve">    txtUser.BackColor = RGB(242, 244, 247)</t>
  </si>
  <si>
    <t xml:space="preserve">        Case "Licence Form", "Clearance Form": id = UCase$(Trim$(CStr(sh.Range("C5").Value)))</t>
  </si>
  <si>
    <t xml:space="preserve">    lblEditHdr.Caption = "EDIT USER:   " &amp; UCase$(lstU.List(lstU.ListIndex, 0))</t>
  </si>
  <si>
    <t xml:space="preserve">        Case "Print CRL", "Print CIL", "Print EDL", "Print EDL RP": id = UCase$(Trim$(CStr(sh.Range("J4").Value)))</t>
  </si>
  <si>
    <t xml:space="preserve">    UI_Enable cmdDel, (LCase$(lstU.List(lstU.ListIndex, 0)) &lt;&gt; LCase$(CMU_User))</t>
  </si>
  <si>
    <t xml:space="preserve">        Case "Print Clearance": id = UCase$(Trim$(CStr(sh.Range("K4").Value)))</t>
  </si>
  <si>
    <t xml:space="preserve">    SetStatus "Editing " &amp; lstU.List(lstU.ListIndex, 0) &amp; ".  Leave the password blank to keep the current one."</t>
  </si>
  <si>
    <t xml:space="preserve">        Case Else: Exit Sub</t>
  </si>
  <si>
    <t>Total Cyanide</t>
  </si>
  <si>
    <t>Private Sub cmdNew_Click()</t>
  </si>
  <si>
    <t xml:space="preserve">        MsgBox "Save the record (or Find it) first, then click Create Bill.", vbInformation, "CMU Database"</t>
  </si>
  <si>
    <t xml:space="preserve">    lstU.ListIndex = -1</t>
  </si>
  <si>
    <t xml:space="preserve">    SetStatus "Adding a new user.  Username and a password of at least 6 characters are required."</t>
  </si>
  <si>
    <t xml:space="preserve">    Bill_FromID id</t>
  </si>
  <si>
    <t>Public Sub Bill_FromID(ByVal id As String)</t>
  </si>
  <si>
    <t xml:space="preserve">    Dim bf As Worksheet, lo As ListObject, lb As ListObject, lc As ListObject</t>
  </si>
  <si>
    <t xml:space="preserve">    Dim lo As ListObject, i As Long, r As Long, un As String</t>
  </si>
  <si>
    <t xml:space="preserve">    Dim co As String, svc As String, det As String, loc As String, bl As String, lic As String</t>
  </si>
  <si>
    <t xml:space="preserve">    Dim idx As Long, i As Long, r As Long, n As Long, fee As Variant, v As Variant, cr As Variant</t>
  </si>
  <si>
    <t xml:space="preserve">    un = LCase$(Trim$(txtUser.Value))</t>
  </si>
  <si>
    <t xml:space="preserve">    id = UCase$(Trim$(id))</t>
  </si>
  <si>
    <t xml:space="preserve">    If un = "" Or InStr(un, " ") &gt; 0 Then UI_Mark txtUser, False: SetStatus "A username is required and cannot contain spaces.", "e": Exit Sub</t>
  </si>
  <si>
    <t xml:space="preserve">    If Left$(id, 4) = "LIC-" Then</t>
  </si>
  <si>
    <t xml:space="preserve">        Set lo = GetLO("tblLicences")</t>
  </si>
  <si>
    <t xml:space="preserve">        If LCase$(CStr(lo.DataBodyRange.Cells(i, 1).Value)) = un Then r = i</t>
  </si>
  <si>
    <t xml:space="preserve">        idx = FindIdx(lo, "Record ID", id)</t>
  </si>
  <si>
    <t xml:space="preserve">        If idx = 0 Then MsgBox id &amp; " was not found.", vbExclamation, "CMU Database": Exit Sub</t>
  </si>
  <si>
    <t xml:space="preserve">    If r &gt; 0 And txtUser.Enabled Then UI_Mark txtUser, False: SetStatus "That username already exists  -  select it in the list to edit it.", "e": Exit Sub</t>
  </si>
  <si>
    <t xml:space="preserve">        co = CStr(lo.DataBodyRange.Cells(idx, ColIdx(lo, "Company Name")).Value)</t>
  </si>
  <si>
    <t xml:space="preserve">    If r = 0 And Len(txtPwd.Value) &lt; 6 Then UI_Mark txtPwd, False: SetStatus "A new user needs a password of at least 6 characters.", "e": Exit Sub</t>
  </si>
  <si>
    <t xml:space="preserve">        loc = CStr(lo.DataBodyRange.Cells(idx, ColIdx(lo, "Location")).Value)</t>
  </si>
  <si>
    <t xml:space="preserve">    If txtPwd.Value &lt;&gt; "" And Len(txtPwd.Value) &lt; 6 Then UI_Mark txtPwd, False: SetStatus "The password must be at least 6 characters.", "e": Exit Sub</t>
  </si>
  <si>
    <t xml:space="preserve">        svc = Svc_For(CStr(lo.DataBodyRange.Cells(idx, ColIdx(lo, "Licence Category")).Value), CStr(lo.DataBodyRange.Cells(idx, ColIdx(lo, "Licence / Certificate Type")).Value))</t>
  </si>
  <si>
    <t xml:space="preserve">    If un = LCase$(CMU_User) And cboRole.Value &lt;&gt; "Admin" Then SetStatus "You cannot remove your own Admin role.", "e": Exit Sub</t>
  </si>
  <si>
    <t xml:space="preserve">        lic = CStr(lo.DataBodyRange.Cells(idx, ColIdx(lo, "Licence / Certificate No.")).Value)</t>
  </si>
  <si>
    <t xml:space="preserve">    If un = LCase$(CMU_User) And cboActive.Value &lt;&gt; "Yes" Then SetStatus "You cannot disable your own account.", "e": Exit Sub</t>
  </si>
  <si>
    <t xml:space="preserve">        If lic &lt;&gt; "" Then det = "Licence No. " &amp; lic</t>
  </si>
  <si>
    <t xml:space="preserve">    If r = 0 Then</t>
  </si>
  <si>
    <t xml:space="preserve">    ElseIf Left$(id, 4) = "CLN-" Then</t>
  </si>
  <si>
    <t xml:space="preserve">        r = lo.ListRows.Add.Index</t>
  </si>
  <si>
    <t xml:space="preserve">        Set lo = GetLO("tblClearances")</t>
  </si>
  <si>
    <t xml:space="preserve">        lo.DataBodyRange.Cells(r, 1).Value = un</t>
  </si>
  <si>
    <t xml:space="preserve">        lo.DataBodyRange.Cells(r, 7).Value = Now</t>
  </si>
  <si>
    <t xml:space="preserve">            If UCase$(CStr(lo.DataBodyRange.Cells(i, ColIdx(lo, "Clearance No.")).Value)) = id Then</t>
  </si>
  <si>
    <t xml:space="preserve">    lo.DataBodyRange.Cells(r, 2).Value = txtName.Value</t>
  </si>
  <si>
    <t xml:space="preserve">                If co = "" Then co = CStr(lo.DataBodyRange.Cells(i, ColIdx(lo, "Company Name")).Value)</t>
  </si>
  <si>
    <t xml:space="preserve">    lo.DataBodyRange.Cells(r, 3).Value = cboRole.Value</t>
  </si>
  <si>
    <t xml:space="preserve">                v = CStr(lo.DataBodyRange.Cells(i, ColIdx(lo, "B/L / Invoice / AWB No.")).Value)</t>
  </si>
  <si>
    <t xml:space="preserve">    lo.DataBodyRange.Cells(r, 4).Value = cboActive.Value</t>
  </si>
  <si>
    <t xml:space="preserve">                If v &lt;&gt; "" And InStr(1, ", " &amp; bl &amp; ",", ", " &amp; v &amp; ",") = 0 Then bl = IIf(bl = "", v, bl &amp; ", " &amp; v)</t>
  </si>
  <si>
    <t xml:space="preserve">    If txtPwd.Value &lt;&gt; "" Then CMU_SetPassword un, txtPwd.Value</t>
  </si>
  <si>
    <t xml:space="preserve">        If n = 0 Then MsgBox id &amp; " was not found.", vbExclamation, "CMU Database": Exit Sub</t>
  </si>
  <si>
    <t xml:space="preserve">        svc = "Chemical Clearance"</t>
  </si>
  <si>
    <t xml:space="preserve">    SetStatus "Saved user " &amp; un &amp; ".", "ok"</t>
  </si>
  <si>
    <t xml:space="preserve">        det = n &amp; " chemical line(s)" &amp; IIf(bl = "", "", " under B/L " &amp; bl)</t>
  </si>
  <si>
    <t xml:space="preserve">        Set lc = GetLO("tblCompanies")</t>
  </si>
  <si>
    <t xml:space="preserve">        cr = Application.Match(co, lc.ListColumns("Company Name").DataBodyRange, 0)</t>
  </si>
  <si>
    <t>Private Sub cmdDel_Click()</t>
  </si>
  <si>
    <t xml:space="preserve">        If Not IsError(cr) Then loc = CStr(lc.ListColumns("Location").DataBodyRange.Cells(cr, 1).Value)</t>
  </si>
  <si>
    <t xml:space="preserve">    Dim lo As ListObject, i As Long, un As String</t>
  </si>
  <si>
    <t xml:space="preserve">    If lstU.ListIndex &lt; 0 Then SetStatus "Select a user first.", "w": Exit Sub</t>
  </si>
  <si>
    <t xml:space="preserve">        MsgBox "Bills can be created from a licence (LIC-###) or a clearance (CLN-###).", vbInformation, "CMU Database"</t>
  </si>
  <si>
    <t xml:space="preserve">    un = lstU.List(lstU.ListIndex, 0)</t>
  </si>
  <si>
    <t xml:space="preserve">    If LCase$(un) = LCase$(CMU_User) Then SetStatus "You cannot delete your own account.", "e": Exit Sub</t>
  </si>
  <si>
    <t xml:space="preserve">    If MsgBox("Delete user " &amp; un &amp; "?" &amp; vbCrLf &amp; "This cannot be undone.", vbYesNo + vbExclamation, "Users &amp; Passwords") &lt;&gt; vbYes Then Exit Sub</t>
  </si>
  <si>
    <t xml:space="preserve">    Set lb = GetLO("tblBills")</t>
  </si>
  <si>
    <t xml:space="preserve">    If lb.ListRows.Count &gt; 0 Then</t>
  </si>
  <si>
    <t xml:space="preserve">    For i = lo.ListRows.Count To 1 Step -1</t>
  </si>
  <si>
    <t xml:space="preserve">        If Application.WorksheetFunction.CountIf(lb.ListColumns("Linked Record").DataBodyRange, "*" &amp; id &amp; "*") &gt; 0 Then</t>
  </si>
  <si>
    <t xml:space="preserve">        If LCase$(CStr(lo.DataBodyRange.Cells(i, 1).Value)) = LCase$(un) Then lo.ListRows(i).Delete</t>
  </si>
  <si>
    <t xml:space="preserve">            If MsgBox(id &amp; " has already been billed. Create another bill line for it?", vbYesNo + vbQuestion, "CMU Database") &lt;&gt; vbYes Then Exit Sub</t>
  </si>
  <si>
    <t xml:space="preserve">    Set bf = ThisWorkbook.Worksheets("Bill Form")</t>
  </si>
  <si>
    <t xml:space="preserve">    Clr_Prot bf</t>
  </si>
  <si>
    <t xml:space="preserve">    SetStatus "Deleted user " &amp; un &amp; ".", "ok"</t>
  </si>
  <si>
    <t xml:space="preserve">    If CStr(bf.Range("C5").Value) = "" And CStr(bf.Range("C6").Value) = co And Application.WorksheetFunction.CountA(bf.Range("C17:C26")) &gt; 0 Then</t>
  </si>
  <si>
    <t xml:space="preserve">        If MsgBox("A new bill for " &amp; co &amp; " is already open on the Bill Form." &amp; vbCrLf &amp; "Add " &amp; id &amp; " to that bill?" &amp; vbCrLf &amp; vbCrLf &amp; "(No = start a new bill)", vbYesNo + vbQuestion, "CMU Database") &lt;&gt; vbYes Then Bil_ClearForm bf</t>
  </si>
  <si>
    <t xml:space="preserve">        Bil_ClearForm bf</t>
  </si>
  <si>
    <t>#END UF_Users</t>
  </si>
  <si>
    <t xml:space="preserve">        If Trim$(CStr(bf.Range("C" &amp; r).Value)) = "" Then Exit For</t>
  </si>
  <si>
    <t xml:space="preserve">    If r &gt; 26 Then MsgBox "The bill already has 10 lines.", vbExclamation, "CMU Database": Exit Sub</t>
  </si>
  <si>
    <t xml:space="preserve">    bf.Range("C6").Value = co</t>
  </si>
  <si>
    <t xml:space="preserve">    If CStr(bf.Range("C8").Value) = "" Then bf.Range("C8").Value = Type_For(svc)</t>
  </si>
  <si>
    <t xml:space="preserve">    If Group_OfType(CStr(bf.Range("C8").Value)) &lt;&gt; Group_OfType(Type_For(svc)) Then</t>
  </si>
  <si>
    <t xml:space="preserve">        MsgBox svc &amp; " cannot go on a " &amp; bf.Range("C8").Value &amp; " bill. Save or clear that bill first, then click Create Bill again.", vbExclamation, "CMU Database"</t>
  </si>
  <si>
    <t xml:space="preserve">    If CStr(bf.Range("C7").Value) = "" Then bf.Range("C7").Value = Date</t>
  </si>
  <si>
    <t xml:space="preserve">    If CStr(bf.Range("C12").Value) = "" And loc &lt;&gt; "" Then bf.Range("C12").Value = loc</t>
  </si>
  <si>
    <t xml:space="preserve">    bf.Range("C" &amp; r).Value = svc</t>
  </si>
  <si>
    <t xml:space="preserve">    bf.Range("D" &amp; r).Value = det</t>
  </si>
  <si>
    <t xml:space="preserve">    fee = Fee_For(svc)</t>
  </si>
  <si>
    <t xml:space="preserve">    If Not IsEmpty(fee) Then bf.Range("E" &amp; r).Value = fee</t>
  </si>
  <si>
    <t xml:space="preserve">    bf.Range("C14").Value = IIf(CStr(bf.Range("C14").Value) = "", id, bf.Range("C14").Value &amp; ", " &amp; id)</t>
  </si>
  <si>
    <t xml:space="preserve">    bf.Activate</t>
  </si>
  <si>
    <t xml:space="preserve">    bf.Range("E" &amp; r).Select</t>
  </si>
  <si>
    <t xml:space="preserve">    MsgBox "Bill line prepared for " &amp; co &amp; " (" &amp; svc &amp; ")." &amp; vbCrLf &amp; vbCrLf &amp; "Check or type the amount in E" &amp; r &amp; ", add the Bill Ref. No., then click Save New." &amp; vbCrLf &amp; "To bill several licences together, go back and click Create Bill on the next record before saving.", vbInformation, "CMU Database"</t>
  </si>
  <si>
    <t>Rem ==== END CREATE BILL ====</t>
  </si>
  <si>
    <t>Rem ==== NEW BILL WIZARD (Main Menu &gt; Create New Bill) ====</t>
  </si>
  <si>
    <t>Public Sub Bill_New()</t>
  </si>
  <si>
    <t xml:space="preserve">    Dim ans As String, k As Long, svc As Variant, lt As String, typ As String, rec As String</t>
  </si>
  <si>
    <t xml:space="preserve">    Dim bf As Worksheet, r As Long, fee As Variant, i As Long, renew As VbMsgBoxResult</t>
  </si>
  <si>
    <t xml:space="preserve">    ans = InputBox("What kind of bill?" &amp; vbCrLf &amp; vbCrLf &amp; _</t>
  </si>
  <si>
    <t xml:space="preserve">        "1  -  Chemical Registration License (CRL)" &amp; vbCrLf &amp; _</t>
  </si>
  <si>
    <t xml:space="preserve">        "2  -  Chemical Importation License (CIL)" &amp; vbCrLf &amp; _</t>
  </si>
  <si>
    <t xml:space="preserve">        "3  -  CRL + CIL together" &amp; vbCrLf &amp; _</t>
  </si>
  <si>
    <t xml:space="preserve">        "4  -  Effluent Discharge License (EDL)" &amp; vbCrLf &amp; _</t>
  </si>
  <si>
    <t xml:space="preserve">        "5  -  Effluent Discharge &amp; Dewatering License" &amp; vbCrLf &amp; _</t>
  </si>
  <si>
    <t xml:space="preserve">        "6  -  Fumigation Certificate" &amp; vbCrLf &amp; _</t>
  </si>
  <si>
    <t xml:space="preserve">        "7  -  Chemical Clearance" &amp; vbCrLf &amp; _</t>
  </si>
  <si>
    <t xml:space="preserve">        "8  -  Chemical Transportation License" &amp; vbCrLf &amp; _</t>
  </si>
  <si>
    <t xml:space="preserve">        "9  -  Others (penalty, accreditation, combined...)" &amp; vbCrLf &amp; vbCrLf &amp; _</t>
  </si>
  <si>
    <t xml:space="preserve">        "Type the number and click OK:", "Create New Bill")</t>
  </si>
  <si>
    <t xml:space="preserve">    ans = Trim$(ans)</t>
  </si>
  <si>
    <t xml:space="preserve">    If ans = "" Then Exit Sub</t>
  </si>
  <si>
    <t xml:space="preserve">    If Not IsNumeric(ans) Then MsgBox "Please type a number from 1 to 9.", vbExclamation, "CMU Database": Exit Sub</t>
  </si>
  <si>
    <t xml:space="preserve">    k = CLng(ans)</t>
  </si>
  <si>
    <t xml:space="preserve">        Case 1: svc = Array("Annual Chemical Registration License"): lt = "Licence – New Application": typ = "CRL"</t>
  </si>
  <si>
    <t xml:space="preserve">        Case 2: svc = Array("Chemical Importation License"): lt = "Licence – New Application": typ = "CIL"</t>
  </si>
  <si>
    <t xml:space="preserve">        Case 3: svc = Array("Annual Chemical Registration License", "Chemical Importation License"): lt = "Licence – New Application": typ = "CRL + CIL"</t>
  </si>
  <si>
    <t xml:space="preserve">        Case 4: svc = Array("Annual Effluent Discharge License"): lt = "Licence – New Application": typ = "EDL"</t>
  </si>
  <si>
    <t xml:space="preserve">        Case 5: svc = Array("Effluent Discharge and Dewatering License"): lt = "Licence – New Application": typ = "Effluent &amp; Dewatering"</t>
  </si>
  <si>
    <t xml:space="preserve">        Case 6: svc = Array("Fumigation Certificate"): lt = "Fumigation": typ = "Fumigation"</t>
  </si>
  <si>
    <t xml:space="preserve">        Case 7: svc = Array("Chemical Clearance"): lt = "Chemical Clearance": typ = "Chemical Clearance"</t>
  </si>
  <si>
    <t xml:space="preserve">        Case 8: svc = Array("Chemical Transportation License"): lt = "Chemical Transportation": typ = "Chemical Transportation"</t>
  </si>
  <si>
    <t xml:space="preserve">        Case 9: svc = Array("Penalty / Fine"): lt = "Penalty / Other": typ = "Other"</t>
  </si>
  <si>
    <t xml:space="preserve">        Case Else: MsgBox "Please type a number from 1 to 9.", vbExclamation, "CMU Database": Exit Sub</t>
  </si>
  <si>
    <t xml:space="preserve">    If k = 1 Or k = 2 Or k = 3 Or k = 4 Or k = 5 Or k = 8 Then</t>
  </si>
  <si>
    <t xml:space="preserve">        renew = MsgBox("Is this a RENEWAL?" &amp; vbCrLf &amp; vbCrLf &amp; "Yes = renewal letter" &amp; vbCrLf &amp; "No = new application letter", vbYesNoCancel + vbQuestion, "Create New Bill - " &amp; typ)</t>
  </si>
  <si>
    <t>Temperature</t>
  </si>
  <si>
    <t xml:space="preserve">        If renew = vbCancel Then Exit Sub</t>
  </si>
  <si>
    <t xml:space="preserve">        If renew = vbYes And k &lt;&gt; 8 Then lt = "Licence – Renewal"</t>
  </si>
  <si>
    <t xml:space="preserve">    Rem optional: bill an existing licence / clearance record</t>
  </si>
  <si>
    <t xml:space="preserve">    If k &lt;= 2 Or k = 4 Or k = 5 Or k = 7 Then</t>
  </si>
  <si>
    <t xml:space="preserve">        rec = UCase$(Trim$(InputBox("Optional: enter the saved " &amp; IIf(k = 7, "Clearance No. (CLN-###)", "Licence Record ID (LIC-###)") &amp; " to link and fill the company automatically." &amp; vbCrLf &amp; vbCrLf &amp; "Leave blank to choose the company yourself.", "Create New Bill - " &amp; typ)))</t>
  </si>
  <si>
    <t xml:space="preserve">    If rec &lt;&gt; "" Then</t>
  </si>
  <si>
    <t xml:space="preserve">        If (Left$(rec, 4) = "LIC-" Or Left$(rec, 4) = "CLN-") Then</t>
  </si>
  <si>
    <t xml:space="preserve">            Set bf = ThisWorkbook.Worksheets("Bill Form")</t>
  </si>
  <si>
    <t xml:space="preserve">            Clr_Prot bf</t>
  </si>
  <si>
    <t xml:space="preserve">            Bil_ClearForm bf</t>
  </si>
  <si>
    <t xml:space="preserve">            Bill_FromID rec</t>
  </si>
  <si>
    <t xml:space="preserve">            bf.Range("C8").Value = lt</t>
  </si>
  <si>
    <t xml:space="preserve">            MsgBox rec &amp; " is not a LIC- or CLN- number. Continuing without a link.", vbInformation, "CMU Database"</t>
  </si>
  <si>
    <t xml:space="preserve">    Bil_ClearForm bf</t>
  </si>
  <si>
    <t xml:space="preserve">    bf.Range("C7").Value = Date</t>
  </si>
  <si>
    <t xml:space="preserve">    bf.Range("C8").Value = lt</t>
  </si>
  <si>
    <t xml:space="preserve">    For i = LBound(svc) To UBound(svc)</t>
  </si>
  <si>
    <t xml:space="preserve">        If CStr(svc(i)) &lt;&gt; "" Then</t>
  </si>
  <si>
    <t xml:space="preserve">            bf.Range("C" &amp; r).Value = svc(i)</t>
  </si>
  <si>
    <t xml:space="preserve">            fee = Fee_For(CStr(svc(i)))</t>
  </si>
  <si>
    <t xml:space="preserve">            If Not IsEmpty(fee) Then bf.Range("E" &amp; r).Value = fee</t>
  </si>
  <si>
    <t xml:space="preserve">    If k = 8 Then bf.Range("D17").Value = "for a total of ___ trucks"</t>
  </si>
  <si>
    <t xml:space="preserve">    bf.Range("C6").Select</t>
  </si>
  <si>
    <t xml:space="preserve">    MsgBox "New " &amp; typ &amp; " bill started on the Bill Form." &amp; vbCrLf &amp; vbCrLf &amp; _</t>
  </si>
  <si>
    <t xml:space="preserve">        "1. Choose the Company (C6)" &amp; vbCrLf &amp; _</t>
  </si>
  <si>
    <t xml:space="preserve">        "2. Check / type the amount(s) in column E" &amp; IIf(k = 9, " and pick the service(s) in column C", "") &amp; vbCrLf &amp; _</t>
  </si>
  <si>
    <t xml:space="preserve">        "3. Add the Bill Ref. No. and contact person" &amp; vbCrLf &amp; _</t>
  </si>
  <si>
    <t xml:space="preserve">        "4. Click Save New - you will be offered the bill letter to print.", vbInformation, "CMU Database"</t>
  </si>
  <si>
    <t>Rem ==== END NEW BILL ====</t>
  </si>
  <si>
    <t>Rem ==== POP-UP USERFORMS (built by Build_UserForms from Macro Setup column C) ====</t>
  </si>
  <si>
    <t>Public Sub Show_BillForm()</t>
  </si>
  <si>
    <t xml:space="preserve">    ShowUF "UF_Bill", "Bill_New", ""</t>
  </si>
  <si>
    <t>Public Sub Show_PayForm()</t>
  </si>
  <si>
    <t xml:space="preserve">    ShowUF "UF_Pay", "", "Payment Form"</t>
  </si>
  <si>
    <t>Public Sub Show_CompanyForm()</t>
  </si>
  <si>
    <t xml:space="preserve">    ShowUF "UF_Company", "", "Company Form"</t>
  </si>
  <si>
    <t>Public Sub Show_FindForm()</t>
  </si>
  <si>
    <t xml:space="preserve">    ShowUF "UF_Find", "", ""</t>
  </si>
  <si>
    <t>Private Sub ShowUF(ByVal nm As String, ByVal fallbackMacro As String, ByVal fallbackSheet As String)</t>
  </si>
  <si>
    <t xml:space="preserve">    Dim f As Object</t>
  </si>
  <si>
    <t xml:space="preserve">    Set f = VBA.UserForms.Add(nm)</t>
  </si>
  <si>
    <t xml:space="preserve">    If Err.Number &lt;&gt; 0 Or f Is Nothing Then</t>
  </si>
  <si>
    <t xml:space="preserve">        Err.Clear</t>
  </si>
  <si>
    <t xml:space="preserve">        On Error GoTo 0</t>
  </si>
  <si>
    <t xml:space="preserve">        MsgBox "The pop-up form " &amp; nm &amp; " is not installed yet." &amp; vbCrLf &amp; "Run the macro Build_UserForms once (see the steps on the Macro Setup sheet).", vbInformation, "CMU Database"</t>
  </si>
  <si>
    <t xml:space="preserve">        If fallbackMacro &lt;&gt; "" Then Application.Run fallbackMacro</t>
  </si>
  <si>
    <t xml:space="preserve">        If fallbackSheet &lt;&gt; "" Then ThisWorkbook.Worksheets(fallbackSheet).Activate</t>
  </si>
  <si>
    <t xml:space="preserve">    f.Show</t>
  </si>
  <si>
    <t>Private Function FormCode(ByVal nm As String) As String</t>
  </si>
  <si>
    <t xml:space="preserve">    Dim v As Variant, i As Long, inside As Boolean, s As String, t As String</t>
  </si>
  <si>
    <t xml:space="preserve">    v = ThisWorkbook.Worksheets("Macro Setup").Range("C1:C3000").Value</t>
  </si>
  <si>
    <t xml:space="preserve">    For i = 1 To UBound(v, 1)</t>
  </si>
  <si>
    <t xml:space="preserve">        t = CStr(v(i, 1))</t>
  </si>
  <si>
    <t xml:space="preserve">        If Not inside Then</t>
  </si>
  <si>
    <t xml:space="preserve">            If t = "#FORM " &amp; nm Then inside = True</t>
  </si>
  <si>
    <t xml:space="preserve">        ElseIf t = "#END " &amp; nm Then</t>
  </si>
  <si>
    <t xml:space="preserve">        ElseIf t = "#COMMON" Then</t>
  </si>
  <si>
    <t xml:space="preserve">            s = s &amp; FormCode("UF_COMMON")</t>
  </si>
  <si>
    <t xml:space="preserve">            s = s &amp; t &amp; vbLf</t>
  </si>
  <si>
    <t xml:space="preserve">    FormCode = s</t>
  </si>
  <si>
    <t>Private Function AddCtl(comp As Object, ByVal prog As String, ByVal nm As String, ByVal l As Single, ByVal t As Single, ByVal w As Single, ByVal h As Single, Optional ByVal cap As String = "") As Object</t>
  </si>
  <si>
    <t xml:space="preserve">    Dim c As Object</t>
  </si>
  <si>
    <t xml:space="preserve">    If nm = "" Then</t>
  </si>
  <si>
    <t xml:space="preserve">        Set c = comp.Designer.Controls.Add(prog)</t>
  </si>
  <si>
    <t xml:space="preserve">        Set c = comp.Designer.Controls.Add(prog, nm)</t>
  </si>
  <si>
    <t xml:space="preserve">    c.Left = l: c.Top = t: c.Width = w: c.Height = h</t>
  </si>
  <si>
    <t xml:space="preserve">    If cap &lt;&gt; "" Then</t>
  </si>
  <si>
    <t xml:space="preserve">        On Error Resume Next</t>
  </si>
  <si>
    <t xml:space="preserve">        c.Caption = cap</t>
  </si>
  <si>
    <t xml:space="preserve">    Set AddCtl = c</t>
  </si>
  <si>
    <t>Private Function NewForm(vbp As Object, ByVal nm As String, ByVal cap As String, ByVal w As Single, ByVal h As Single) As Object</t>
  </si>
  <si>
    <t xml:space="preserve">    Dim comp As Object</t>
  </si>
  <si>
    <t xml:space="preserve">    Set comp = vbp.VBComponents(nm)</t>
  </si>
  <si>
    <t xml:space="preserve">    If Not comp Is Nothing Then vbp.VBComponents.Remove comp</t>
  </si>
  <si>
    <t xml:space="preserve">    Set comp = Nothing</t>
  </si>
  <si>
    <t xml:space="preserve">    Set comp = vbp.VBComponents.Add(3)</t>
  </si>
  <si>
    <t xml:space="preserve">    comp.Name = nm</t>
  </si>
  <si>
    <t xml:space="preserve">    comp.Properties("Caption") = cap</t>
  </si>
  <si>
    <t xml:space="preserve">    comp.Properties("Width") = w</t>
  </si>
  <si>
    <t xml:space="preserve">    comp.Properties("Height") = h</t>
  </si>
  <si>
    <t xml:space="preserve">    Set NewForm = comp</t>
  </si>
  <si>
    <t>Private Sub SetCode(comp As Object, ByVal nm As String)</t>
  </si>
  <si>
    <t xml:space="preserve">    With comp.CodeModule</t>
  </si>
  <si>
    <t xml:space="preserve">        If .CountOfLines &gt; 0 Then .DeleteLines 1, .CountOfLines</t>
  </si>
  <si>
    <t xml:space="preserve">        .AddFromString FormCode(nm)</t>
  </si>
  <si>
    <t>Rem ==== UI THEME (runtime helpers used by the pop-up forms) ====</t>
  </si>
  <si>
    <t>Public Function UI_CapsOn() As Boolean</t>
  </si>
  <si>
    <t xml:space="preserve">    UI_CapsOn = ((UI_GetKeyState(20) And 1) &lt;&gt; 0)</t>
  </si>
  <si>
    <t>Public Sub UI_Unhover()</t>
  </si>
  <si>
    <t xml:space="preserve">    If Not UI_HotBtn Is Nothing Then UI_HotBtn.Cool</t>
  </si>
  <si>
    <t xml:space="preserve">    Set UI_HotBtn = Nothing</t>
  </si>
  <si>
    <t>Public Sub UI_Paint(ByVal b As Object, ByVal hot As Boolean)</t>
  </si>
  <si>
    <t xml:space="preserve">    If Not b.Enabled Then</t>
  </si>
  <si>
    <t xml:space="preserve">        b.BackColor = RGB(214, 218, 224)</t>
  </si>
  <si>
    <t xml:space="preserve">        b.ForeColor = RGB(140, 146, 155)</t>
  </si>
  <si>
    <t xml:space="preserve">    b.ForeColor = RGB(255, 255, 255)</t>
  </si>
  <si>
    <t xml:space="preserve">    Select Case CStr(b.Tag)</t>
  </si>
  <si>
    <t xml:space="preserve">        Case "P": b.BackColor = IIf(hot, RGB(104, 158, 68), RGB(84, 130, 53))</t>
  </si>
  <si>
    <t xml:space="preserve">        Case "D": b.BackColor = IIf(hot, RGB(222, 58, 58), RGB(192, 0, 0))</t>
  </si>
  <si>
    <t xml:space="preserve">        Case "B": b.BackColor = IIf(hot, RGB(70, 140, 205), RGB(47, 117, 181))</t>
  </si>
  <si>
    <t xml:space="preserve">        Case "F"</t>
  </si>
  <si>
    <t xml:space="preserve">            b.BackColor = IIf(hot, RGB(208, 219, 233), RGB(228, 234, 242))</t>
  </si>
  <si>
    <t xml:space="preserve">            b.ForeColor = RGB(31, 78, 120)</t>
  </si>
  <si>
    <t xml:space="preserve">        Case "FA": b.BackColor = RGB(31, 78, 120)</t>
  </si>
  <si>
    <t xml:space="preserve">        Case Else: b.BackColor = IIf(hot, RGB(98, 108, 120), RGB(128, 138, 150))</t>
  </si>
  <si>
    <t>Public Sub UI_Enable(ByVal b As Object, ByVal onOff As Boolean)</t>
  </si>
  <si>
    <t xml:space="preserve">    If b.Enabled &lt;&gt; onOff Then b.Enabled = onOff</t>
  </si>
  <si>
    <t xml:space="preserve">    UI_Paint b, False</t>
  </si>
  <si>
    <t>Public Sub UI_Status(ByVal f As Object, ByVal msg As String, Optional ByVal kind As String = "i")</t>
  </si>
  <si>
    <t xml:space="preserve">    Dim bg As Long, fg As Long</t>
  </si>
  <si>
    <t xml:space="preserve">    Select Case kind</t>
  </si>
  <si>
    <t xml:space="preserve">        Case "ok": bg = RGB(226, 239, 218): fg = RGB(56, 87, 35)</t>
  </si>
  <si>
    <t xml:space="preserve">        Case "w": bg = RGB(255, 242, 204): fg = RGB(128, 96, 0)</t>
  </si>
  <si>
    <t xml:space="preserve">        Case "e": bg = RGB(252, 228, 228): fg = RGB(156, 0, 6)</t>
  </si>
  <si>
    <t xml:space="preserve">        Case Else: bg = RGB(232, 236, 241): fg = RGB(68, 84, 106)</t>
  </si>
  <si>
    <t xml:space="preserve">    f.Controls("lblStatusBg").BackColor = bg</t>
  </si>
  <si>
    <t xml:space="preserve">    f.Controls("lblStatus").ForeColor = fg</t>
  </si>
  <si>
    <t xml:space="preserve">    f.Controls("lblStatus").Caption = msg</t>
  </si>
  <si>
    <t>Public Sub UI_Mark(ByVal c As Object, ByVal ok As Boolean)</t>
  </si>
  <si>
    <t xml:space="preserve">    If ok Then</t>
  </si>
  <si>
    <t xml:space="preserve">        If c.Enabled Then c.BackColor = RGB(255, 255, 255)</t>
  </si>
  <si>
    <t xml:space="preserve">        c.BorderColor = RGB(190, 196, 205)</t>
  </si>
  <si>
    <t xml:space="preserve">        c.BackColor = RGB(253, 237, 237)</t>
  </si>
  <si>
    <t xml:space="preserve">        c.BorderColor = RGB(200, 40, 40)</t>
  </si>
  <si>
    <t>Public Function UI_Score(ByVal p As String) As Long</t>
  </si>
  <si>
    <t xml:space="preserve">    Dim s As Long</t>
  </si>
  <si>
    <t xml:space="preserve">    If Len(p) &lt; 6 Then Exit Function</t>
  </si>
  <si>
    <t xml:space="preserve">    s = 1</t>
  </si>
  <si>
    <t>Conductivity</t>
  </si>
  <si>
    <t xml:space="preserve">    If Len(p) &gt;= 10 Then s = s + 1</t>
  </si>
  <si>
    <t xml:space="preserve">    If p Like "*[A-Z]*" And p Like "*[a-z]*" Then s = s + 1</t>
  </si>
  <si>
    <t xml:space="preserve">    If p Like "*[0-9]*" Then s = s + 1</t>
  </si>
  <si>
    <t xml:space="preserve">    If p Like "*[!A-Za-z0-9]*" Then s = s + 1</t>
  </si>
  <si>
    <t xml:space="preserve">    If s &gt; 4 Then s = 4</t>
  </si>
  <si>
    <t xml:space="preserve">    UI_Score = s</t>
  </si>
  <si>
    <t>Public Sub UI_Strength(ByVal bar As Object, ByVal txt As Object, ByVal p As String, ByVal fullW As Single)</t>
  </si>
  <si>
    <t xml:space="preserve">    Dim f As Single, col As Long, cap As String</t>
  </si>
  <si>
    <t xml:space="preserve">    If Len(p) = 0 Then</t>
  </si>
  <si>
    <t xml:space="preserve">        bar.Visible = False</t>
  </si>
  <si>
    <t xml:space="preserve">        txt.Caption = ""</t>
  </si>
  <si>
    <t xml:space="preserve">    Select Case UI_Score(p)</t>
  </si>
  <si>
    <t xml:space="preserve">        Case 0: f = 0.15: col = RGB(192, 0, 0): cap = "Too short  -  at least 6 characters"</t>
  </si>
  <si>
    <t xml:space="preserve">        Case 1: f = 0.35: col = RGB(237, 125, 49): cap = "Weak  -  add capitals, numbers or symbols"</t>
  </si>
  <si>
    <t xml:space="preserve">        Case 2: f = 0.6: col = RGB(191, 143, 0): cap = "Fair"</t>
  </si>
  <si>
    <t xml:space="preserve">        Case 3: f = 0.8: col = RGB(112, 173, 71): cap = "Good"</t>
  </si>
  <si>
    <t xml:space="preserve">        Case Else: f = 1: col = RGB(56, 142, 60): cap = "Strong"</t>
  </si>
  <si>
    <t xml:space="preserve">    bar.Width = fullW * f</t>
  </si>
  <si>
    <t xml:space="preserve">    bar.BackColor = col</t>
  </si>
  <si>
    <t xml:space="preserve">    bar.Visible = True</t>
  </si>
  <si>
    <t xml:space="preserve">    txt.ForeColor = col</t>
  </si>
  <si>
    <t xml:space="preserve">    txt.Caption = "Strength:  " &amp; cap</t>
  </si>
  <si>
    <t>Public Function UI_Norm(ByVal s As String) As String</t>
  </si>
  <si>
    <t xml:space="preserve">    Dim i As Long, ch As String, t As String, w As Variant, out As String</t>
  </si>
  <si>
    <t xml:space="preserve">    s = LCase$(s)</t>
  </si>
  <si>
    <t xml:space="preserve">    For i = 1 To Len(s)</t>
  </si>
  <si>
    <t xml:space="preserve">        ch = Mid$(s, i, 1)</t>
  </si>
  <si>
    <t xml:space="preserve">        If ch Like "[a-z0-9]" Then t = t &amp; ch Else t = t &amp; " "</t>
  </si>
  <si>
    <t xml:space="preserve">    For Each w In Split(t, " ")</t>
  </si>
  <si>
    <t xml:space="preserve">        Select Case CStr(w)</t>
  </si>
  <si>
    <t xml:space="preserve">            Case "", "inc", "ltd", "llc", "limited", "corp", "corporation", "company", "co", "the", "liberia", "lib", "and", "group", "plc", "sa"</t>
  </si>
  <si>
    <t xml:space="preserve">            Case Else: out = out &amp; CStr(w)</t>
  </si>
  <si>
    <t xml:space="preserve">        End Select</t>
  </si>
  <si>
    <t xml:space="preserve">    UI_Norm = out</t>
  </si>
  <si>
    <t>Rem ==== UI THEME (design-time builders) ====</t>
  </si>
  <si>
    <t>Private Sub UI_Font(ByVal c As Object, ByVal sz As Single, ByVal b As Boolean, ByVal col As Long)</t>
  </si>
  <si>
    <t xml:space="preserve">    c.Font.Name = "Segoe UI"</t>
  </si>
  <si>
    <t xml:space="preserve">    c.Font.Size = sz</t>
  </si>
  <si>
    <t xml:space="preserve">    c.Font.Bold = b</t>
  </si>
  <si>
    <t xml:space="preserve">    c.ForeColor = col</t>
  </si>
  <si>
    <t>Private Function UI_IW(comp As Object) As Single</t>
  </si>
  <si>
    <t xml:space="preserve">    UI_IW = comp.Properties("Width").Value - 6</t>
  </si>
  <si>
    <t xml:space="preserve">    UI_IW = comp.Designer.InsideWidth</t>
  </si>
  <si>
    <t>Private Function UI_IH(comp As Object) As Single</t>
  </si>
  <si>
    <t xml:space="preserve">    UI_IH = comp.Properties("Height").Value - 30</t>
  </si>
  <si>
    <t xml:space="preserve">    UI_IH = comp.Designer.InsideHeight</t>
  </si>
  <si>
    <t>Private Function UI_Box(comp As Object, ByVal nm As String, ByVal l As Single, ByVal t As Single, ByVal w As Single, ByVal h As Single, ByVal col As Long, Optional ByVal border As Boolean = False) As Object</t>
  </si>
  <si>
    <t xml:space="preserve">    Set c = AddCtl(comp, "Forms.Label.1", nm, l, t, w, h)</t>
  </si>
  <si>
    <t xml:space="preserve">    c.Caption = ""</t>
  </si>
  <si>
    <t xml:space="preserve">    c.BackStyle = 1</t>
  </si>
  <si>
    <t xml:space="preserve">    c.BackColor = col</t>
  </si>
  <si>
    <t xml:space="preserve">    If border Then</t>
  </si>
  <si>
    <t xml:space="preserve">        c.BorderStyle = 1</t>
  </si>
  <si>
    <t xml:space="preserve">        c.BorderColor = RGB(214, 219, 226)</t>
  </si>
  <si>
    <t xml:space="preserve">    Set UI_Box = c</t>
  </si>
  <si>
    <t>Private Function UI_Txt(comp As Object, ByVal nm As String, ByVal cap As String, ByVal l As Single, ByVal t As Single, ByVal w As Single, ByVal h As Single, ByVal sz As Single, ByVal b As Boolean, ByVal col As Long) As Object</t>
  </si>
  <si>
    <t xml:space="preserve">    Set c = AddCtl(comp, "Forms.Label.1", nm, l, t, w, h, cap)</t>
  </si>
  <si>
    <t xml:space="preserve">    If cap = "" Then c.Caption = ""</t>
  </si>
  <si>
    <t xml:space="preserve">    c.BackStyle = 0</t>
  </si>
  <si>
    <t xml:space="preserve">    UI_Font c, sz, b, col</t>
  </si>
  <si>
    <t xml:space="preserve">    Set UI_Txt = c</t>
  </si>
  <si>
    <t>Private Function UI_Cap(comp As Object, ByVal txt As String, ByVal l As Single, ByVal t As Single, Optional ByVal req As Boolean = False, Optional ByVal nm As String = "") As Object</t>
  </si>
  <si>
    <t xml:space="preserve">    Dim c As Object, a As Object, x As Single</t>
  </si>
  <si>
    <t xml:space="preserve">    Set c = UI_Txt(comp, nm, txt, l, t, 220, 13, 8.5, True, RGB(68, 84, 106))</t>
  </si>
  <si>
    <t xml:space="preserve">    c.WordWrap = False</t>
  </si>
  <si>
    <t xml:space="preserve">    c.AutoSize = True</t>
  </si>
  <si>
    <t xml:space="preserve">    If req Then</t>
  </si>
  <si>
    <t xml:space="preserve">        x = c.Left + c.Width + 1</t>
  </si>
  <si>
    <t xml:space="preserve">        If c.Width &gt;= 219 Then x = l + Len(txt) * 5 + 2</t>
  </si>
  <si>
    <t xml:space="preserve">        Set a = UI_Txt(comp, "", "*", x, t - 1, 10, 13, 9.5, True, RGB(200, 30, 30))</t>
  </si>
  <si>
    <t xml:space="preserve">    Set UI_Cap = c</t>
  </si>
  <si>
    <t>Private Function UI_In(comp As Object, ByVal prog As String, ByVal nm As String, ByVal l As Single, ByVal t As Single, ByVal w As Single, Optional ByVal h As Single = 20) As Object</t>
  </si>
  <si>
    <t xml:space="preserve">    Set c = AddCtl(comp, prog, nm, l, t, w, h)</t>
  </si>
  <si>
    <t xml:space="preserve">    UI_Font c, 10, False, RGB(33, 37, 41)</t>
  </si>
  <si>
    <t xml:space="preserve">    c.BackColor = RGB(255, 255, 255)</t>
  </si>
  <si>
    <t xml:space="preserve">    c.SpecialEffect = 0</t>
  </si>
  <si>
    <t xml:space="preserve">    c.BorderStyle = 1</t>
  </si>
  <si>
    <t xml:space="preserve">    c.BorderColor = RGB(190, 196, 205)</t>
  </si>
  <si>
    <t xml:space="preserve">    Set UI_In = c</t>
  </si>
  <si>
    <t>Private Function UI_Btn(comp As Object, ByVal nm As String, ByVal cap As String, ByVal l As Single, ByVal t As Single, ByVal w As Single, ByVal h As Single, ByVal kind As String) As Object</t>
  </si>
  <si>
    <t xml:space="preserve">    Set c = AddCtl(comp, "Forms.CommandButton.1", nm, l, t, w, h, cap)</t>
  </si>
  <si>
    <t xml:space="preserve">    c.Tag = kind</t>
  </si>
  <si>
    <t xml:space="preserve">    UI_Font c, 9.5, True, RGB(255, 255, 255)</t>
  </si>
  <si>
    <t xml:space="preserve">    c.TakeFocusOnClick = False</t>
  </si>
  <si>
    <t xml:space="preserve">    UI_Paint c, False</t>
  </si>
  <si>
    <t xml:space="preserve">    Set UI_Btn = c</t>
  </si>
  <si>
    <t>Private Function UI_New(vbp As Object, ByVal nm As String, ByVal title As String, ByVal subTitle As String, ByVal w As Single, ByVal h As Single) As Object</t>
  </si>
  <si>
    <t xml:space="preserve">    Dim comp As Object, iw As Single, ih As Single</t>
  </si>
  <si>
    <t xml:space="preserve">    Set comp = NewForm(vbp, nm, "CMU Database  -  " &amp; title, w, h)</t>
  </si>
  <si>
    <t xml:space="preserve">    comp.Properties("BackColor") = RGB(243, 245, 248)</t>
  </si>
  <si>
    <t xml:space="preserve">    comp.Properties("StartUpPosition") = 1</t>
  </si>
  <si>
    <t xml:space="preserve">    iw = UI_IW(comp): ih = UI_IH(comp)</t>
  </si>
  <si>
    <t xml:space="preserve">    UI_Box comp, "lblBand", 0, 0, iw, 58, RGB(31, 78, 120)</t>
  </si>
  <si>
    <t xml:space="preserve">    UI_Box comp, "lblAccent", 0, 58, iw, 3, RGB(84, 130, 53)</t>
  </si>
  <si>
    <t xml:space="preserve">    UI_Txt comp, "lblBrand", "EPA LIBERIA    |    ERRS - CMU DATABASE", 18, 8, iw - 36, 12, 7.5, True, RGB(155, 194, 230)</t>
  </si>
  <si>
    <t xml:space="preserve">    UI_Txt comp, "lblTitle", title, 18, 19, iw - 36, 22, 14, True, RGB(255, 255, 255)</t>
  </si>
  <si>
    <t xml:space="preserve">    UI_Txt comp, "lblSub", subTitle, 18, 40, iw - 36, 14, 8.5, False, RGB(221, 235, 247)</t>
  </si>
  <si>
    <t xml:space="preserve">    UI_Box comp, "lblStatusLine", 0, ih - 21, iw, 1, RGB(210, 215, 222)</t>
  </si>
  <si>
    <t xml:space="preserve">    UI_Box comp, "lblStatusBg", 0, ih - 20, iw, 20, RGB(232, 236, 241)</t>
  </si>
  <si>
    <t xml:space="preserve">    UI_Txt comp, "lblStatus", "Ready", 14, ih - 16, iw - 28, 14, 8.5, False, RGB(68, 84, 106)</t>
  </si>
  <si>
    <t xml:space="preserve">    Set UI_New = comp</t>
  </si>
  <si>
    <t>Private Sub UI_Footer(comp As Object, ByVal okName As String, ByVal okCap As String, ByVal okW As Single, ByVal cancelName As String, ByVal cancelCap As String)</t>
  </si>
  <si>
    <t xml:space="preserve">    Dim iw As Single, ih As Single, c As Object</t>
  </si>
  <si>
    <t xml:space="preserve">    Set c = UI_Btn(comp, cancelName, cancelCap, iw - 112, ih - 62, 96, 30, "S")</t>
  </si>
  <si>
    <t xml:space="preserve">    c.Cancel = True</t>
  </si>
  <si>
    <t xml:space="preserve">    If okName &lt;&gt; "" Then</t>
  </si>
  <si>
    <t xml:space="preserve">        Set c = UI_Btn(comp, okName, okCap, iw - 120 - okW, ih - 62, okW, 30, "P")</t>
  </si>
  <si>
    <t xml:space="preserve">        c.Default = True</t>
  </si>
  <si>
    <t>Private Sub UI_BuildClass(vbp As Object)</t>
  </si>
  <si>
    <t xml:space="preserve">    Set comp = vbp.VBComponents("CMU_UIBtn")</t>
  </si>
  <si>
    <t xml:space="preserve">    If comp Is Nothing Then</t>
  </si>
  <si>
    <t xml:space="preserve">        Set comp = vbp.VBComponents.Add(2)</t>
  </si>
  <si>
    <t xml:space="preserve">        comp.Name = "CMU_UIBtn"</t>
  </si>
  <si>
    <t xml:space="preserve">    SetCode comp, "CMU_UIBtn"</t>
  </si>
  <si>
    <t>Private Function UI_Project() As Object</t>
  </si>
  <si>
    <t xml:space="preserve">    Dim vbp As Object, n As Long</t>
  </si>
  <si>
    <t xml:space="preserve">    Set vbp = ThisWorkbook.VBProject</t>
  </si>
  <si>
    <t xml:space="preserve">    n = vbp.VBComponents.Count</t>
  </si>
  <si>
    <t xml:space="preserve">    If Err.Number &lt;&gt; 0 Or vbp Is Nothing Then</t>
  </si>
  <si>
    <t xml:space="preserve">        MsgBox "Excel is blocking this step." &amp; vbCrLf &amp; vbCrLf &amp; "Go to File &gt; Options &gt; Trust Center &gt; Trust Center Settings &gt; Macro Settings and tick 'Trust access to the VBA project object model'. Then run this macro again.", vbExclamation, "CMU Database"</t>
  </si>
  <si>
    <t xml:space="preserve">        Exit Function</t>
  </si>
  <si>
    <t xml:space="preserve">    Set UI_Project = vbp</t>
  </si>
  <si>
    <t>Public Sub Build_UserForms()</t>
  </si>
  <si>
    <t xml:space="preserve">    Dim vbp As Object, f As Object, c As Object, i As Long</t>
  </si>
  <si>
    <t xml:space="preserve">    Dim iw As Single, ih As Single, x As Single, y As Single, fw As Single, hw As Single, ax As Single, tw As Single, w1 As Single</t>
  </si>
  <si>
    <t xml:space="preserve">    Set vbp = UI_Project()</t>
  </si>
  <si>
    <t xml:space="preserve">    If vbp Is Nothing Then Exit Sub</t>
  </si>
  <si>
    <t xml:space="preserve">    UI_BuildClass vbp</t>
  </si>
  <si>
    <t xml:space="preserve">    Rem --- CREATE NEW BILL ---</t>
  </si>
  <si>
    <t xml:space="preserve">    Set f = UI_New(vbp, "UF_Bill", "Create New Bill", "Choose the bill type and the company, then add up to 5 services.", 660, 560)</t>
  </si>
  <si>
    <t xml:space="preserve">    iw = UI_IW(f): ih = UI_IH(f)</t>
  </si>
  <si>
    <t xml:space="preserve">    UI_Box f, "", 16, 74, 190, 180, RGB(255, 255, 255), True</t>
  </si>
  <si>
    <t xml:space="preserve">    UI_Txt f, "", "BILL TYPE", 28, 82, 166, 12, 8, True, RGB(31, 78, 120)</t>
  </si>
  <si>
    <t xml:space="preserve">    UI_In f, "Forms.ListBox.1", "lstType", 28, 98, 166, 110</t>
  </si>
  <si>
    <t xml:space="preserve">    UI_Txt f, "lblHint", "", 28, 214, 166, 36, 8, False, RGB(68, 84, 106)</t>
  </si>
  <si>
    <t xml:space="preserve">    x = 232: fw = iw - x - 30: hw = (fw - 12) / 2</t>
  </si>
  <si>
    <t xml:space="preserve">    UI_Box f, "", 218, 74, iw - 234, 180, RGB(255, 255, 255), True</t>
  </si>
  <si>
    <t xml:space="preserve">    UI_Cap f, "Company", x, 84, True</t>
  </si>
  <si>
    <t>Arsenic (As)</t>
  </si>
  <si>
    <t xml:space="preserve">    UI_In f, "Forms.ComboBox.1", "cboCompany", x, 98, fw</t>
  </si>
  <si>
    <t xml:space="preserve">    UI_Txt f, "lblCoInfo", "", x, 121, fw, 26, 8, False, RGB(47, 117, 181)</t>
  </si>
  <si>
    <t xml:space="preserve">    UI_Cap f, "Bill date", x, 150, True</t>
  </si>
  <si>
    <t xml:space="preserve">    UI_In f, "Forms.TextBox.1", "txtDate", x, 164, 120</t>
  </si>
  <si>
    <t xml:space="preserve">    UI_Cap f, "Bill Ref. No.", x + 132, 150</t>
  </si>
  <si>
    <t xml:space="preserve">    UI_In f, "Forms.TextBox.1", "txtRef", x + 132, 164, fw - 132</t>
  </si>
  <si>
    <t xml:space="preserve">    UI_Cap f, "Contact person", x, 194</t>
  </si>
  <si>
    <t xml:space="preserve">    UI_In f, "Forms.TextBox.1", "txtContact", x, 208, hw</t>
  </si>
  <si>
    <t xml:space="preserve">    UI_Cap f, "Position / Title", x + hw + 12, 194</t>
  </si>
  <si>
    <t xml:space="preserve">    UI_In f, "Forms.TextBox.1", "txtTitle", x + hw + 12, 208, hw</t>
  </si>
  <si>
    <t xml:space="preserve">    ax = iw - 150</t>
  </si>
  <si>
    <t xml:space="preserve">    UI_Box f, "", 16, 266, iw - 32, 160, RGB(255, 255, 255), True</t>
  </si>
  <si>
    <t xml:space="preserve">    UI_Box f, "", 16, 266, iw - 32, 20, RGB(221, 228, 237)</t>
  </si>
  <si>
    <t xml:space="preserve">    UI_Txt f, "", "#", 26, 270, 14, 12, 8, True, RGB(68, 84, 106)</t>
  </si>
  <si>
    <t xml:space="preserve">    UI_Txt f, "", "SERVICE", 44, 270, 200, 12, 8, True, RGB(68, 84, 106)</t>
  </si>
  <si>
    <t xml:space="preserve">    UI_Txt f, "", "DETAILS  (chemicals, trucks, B/L No. ...)", 258, 270, ax - 266, 12, 8, True, RGB(68, 84, 106)</t>
  </si>
  <si>
    <t xml:space="preserve">    UI_Txt f, "", "AMOUNT (US$)", ax, 270, 118, 12, 8, True, RGB(68, 84, 106)</t>
  </si>
  <si>
    <t xml:space="preserve">        y = 292 + (i - 1) * 26</t>
  </si>
  <si>
    <t xml:space="preserve">        UI_Txt f, "", CStr(i), 27, y + 4, 14, 12, 9, True, RGB(128, 138, 150)</t>
  </si>
  <si>
    <t xml:space="preserve">        UI_In f, "Forms.ComboBox.1", "cboSvc" &amp; i, 44, y, 206</t>
  </si>
  <si>
    <t xml:space="preserve">        UI_In f, "Forms.TextBox.1", "txtDet" &amp; i, 258, y, ax - 266</t>
  </si>
  <si>
    <t xml:space="preserve">        UI_In f, "Forms.TextBox.1", "txtAmt" &amp; i, ax, y, 118</t>
  </si>
  <si>
    <t xml:space="preserve">    Set c = UI_Txt(f, "lblWords", "", 16, 438, iw - 250, 28, 8, False, RGB(89, 89, 89))</t>
  </si>
  <si>
    <t xml:space="preserve">    c.Font.Italic = True</t>
  </si>
  <si>
    <t xml:space="preserve">    Set c = UI_Txt(f, "lblTotal", "US$ 0.00", iw - 226, 434, 210, 24, 15, True, RGB(31, 78, 120))</t>
  </si>
  <si>
    <t xml:space="preserve">    c.TextAlign = 3</t>
  </si>
  <si>
    <t xml:space="preserve">    UI_Footer f, "cmdSave", "Save Bill", 130, "cmdCancel", "Cancel"</t>
  </si>
  <si>
    <t xml:space="preserve">    SetCode f, "UF_Bill"</t>
  </si>
  <si>
    <t xml:space="preserve">    Rem --- RECORD PAYMENT ---</t>
  </si>
  <si>
    <t xml:space="preserve">    Set f = UI_New(vbp, "UF_Pay", "Record Payment", "Record a payment or receipt against an existing bill.", 520, 430)</t>
  </si>
  <si>
    <t xml:space="preserve">    iw = UI_IW(f): ih = UI_IH(f): fw = iw - 36</t>
  </si>
  <si>
    <t xml:space="preserve">    UI_Cap f, "Bill being paid", 18, 72, True</t>
  </si>
  <si>
    <t xml:space="preserve">    UI_In f, "Forms.ComboBox.1", "cboBill", 18, 86, fw</t>
  </si>
  <si>
    <t xml:space="preserve">    UI_Box f, "", 18, 116, fw, 70, RGB(255, 255, 255), True</t>
  </si>
  <si>
    <t xml:space="preserve">    UI_Txt f, "lblCo", "No bill selected", 30, 122, fw - 24, 16, 10, True, RGB(31, 78, 120)</t>
  </si>
  <si>
    <t xml:space="preserve">    tw = (fw - 24) / 3</t>
  </si>
  <si>
    <t xml:space="preserve">    For i = 0 To 2</t>
  </si>
  <si>
    <t xml:space="preserve">        UI_Txt f, "", Array("BILLED", "PAID", "BALANCE")(i), 30 + i * tw, 142, tw - 8, 11, 7.5, True, RGB(128, 138, 150)</t>
  </si>
  <si>
    <t xml:space="preserve">        UI_Txt f, Array("lblBilled", "lblPaid", "lblBal")(i), "-", 30 + i * tw, 154, tw - 8, 24, 14, True, RGB(33, 37, 41)</t>
  </si>
  <si>
    <t xml:space="preserve">    UI_Cap f, "Amount paid (US$)", 18, 198, True</t>
  </si>
  <si>
    <t xml:space="preserve">    UI_In f, "Forms.TextBox.1", "txtAmt", 18, 212, 150</t>
  </si>
  <si>
    <t xml:space="preserve">    Set c = UI_Btn(f, "cmdFull", "Pay full balance", 174, 212, 110, 20, "B")</t>
  </si>
  <si>
    <t xml:space="preserve">    c.Font.Size = 8.5</t>
  </si>
  <si>
    <t xml:space="preserve">    UI_Cap f, "Payment date", 302, 198, True</t>
  </si>
  <si>
    <t xml:space="preserve">    UI_In f, "Forms.TextBox.1", "txtDate", 302, 212, iw - 320</t>
  </si>
  <si>
    <t xml:space="preserve">    UI_Cap f, "Receipt No.", 18, 242</t>
  </si>
  <si>
    <t xml:space="preserve">    UI_In f, "Forms.TextBox.1", "txtReceipt", 18, 256, 266</t>
  </si>
  <si>
    <t xml:space="preserve">    UI_Cap f, "Remarks", 18, 286</t>
  </si>
  <si>
    <t xml:space="preserve">    UI_In f, "Forms.TextBox.1", "txtRemarks", 18, 300, fw</t>
  </si>
  <si>
    <t xml:space="preserve">    UI_Footer f, "cmdSave", "Save Payment", 130, "cmdCancel", "Cancel"</t>
  </si>
  <si>
    <t xml:space="preserve">    SetCode f, "UF_Pay"</t>
  </si>
  <si>
    <t xml:space="preserve">    Rem --- REGISTER COMPANY ---</t>
  </si>
  <si>
    <t xml:space="preserve">    Set f = UI_New(vbp, "UF_Company", "Register Company", "Add a new company to the register. Duplicates are checked as you type.", 480, 322)</t>
  </si>
  <si>
    <t xml:space="preserve">    iw = UI_IW(f): ih = UI_IH(f): fw = iw - 36: hw = (fw - 12) / 2</t>
  </si>
  <si>
    <t xml:space="preserve">    UI_Cap f, "Company name", 18, 72, True</t>
  </si>
  <si>
    <t xml:space="preserve">    UI_In f, "Forms.TextBox.1", "txtName", 18, 86, fw</t>
  </si>
  <si>
    <t xml:space="preserve">    UI_Box f, "lblCheckBg", 18, 110, fw, 18, RGB(232, 236, 241)</t>
  </si>
  <si>
    <t xml:space="preserve">    UI_Txt f, "lblCheck", "", 26, 112, fw - 16, 14, 8.5, True, RGB(68, 84, 106)</t>
  </si>
  <si>
    <t xml:space="preserve">    UI_Cap f, "Sector / Activity", 18, 138</t>
  </si>
  <si>
    <t xml:space="preserve">    UI_In f, "Forms.ComboBox.1", "cboSector", 18, 152, hw</t>
  </si>
  <si>
    <t xml:space="preserve">    UI_Cap f, "Location", 18 + hw + 12, 138</t>
  </si>
  <si>
    <t xml:space="preserve">    UI_In f, "Forms.TextBox.1", "txtLoc", 18 + hw + 12, 152, hw</t>
  </si>
  <si>
    <t xml:space="preserve">    UI_Cap f, "Other names recorded", 18, 182</t>
  </si>
  <si>
    <t xml:space="preserve">    UI_In f, "Forms.TextBox.1", "txtOther", 18, 196, fw</t>
  </si>
  <si>
    <t xml:space="preserve">    UI_Footer f, "cmdSave", "Save Company", 130, "cmdCancel", "Cancel"</t>
  </si>
  <si>
    <t xml:space="preserve">    SetCode f, "UF_Company"</t>
  </si>
  <si>
    <t xml:space="preserve">    Rem --- FIND / PRINT ---</t>
  </si>
  <si>
    <t xml:space="preserve">    Set f = UI_New(vbp, "UF_Find", "Find / Print a Record", "Search companies, licences, clearances, bills and payments  -  results appear as you type.", 720, 504)</t>
  </si>
  <si>
    <t xml:space="preserve">    UI_Cap f, "Search", 18, 70</t>
  </si>
  <si>
    <t xml:space="preserve">    Set c = UI_In(f, "Forms.TextBox.1", "txtQ", 18, 84, fw, 24)</t>
  </si>
  <si>
    <t xml:space="preserve">    c.Font.Size = 11</t>
  </si>
  <si>
    <t xml:space="preserve">    x = 18</t>
  </si>
  <si>
    <t xml:space="preserve">        w1 = Array(56, 84, 76, 84, 60, 76)(i)</t>
  </si>
  <si>
    <t xml:space="preserve">        Set c = UI_Btn(f, "tab" &amp; i, Array("All", "Companies", "Licences", "Clearances", "Bills", "Payments")(i), x, 116, w1, 22, IIf(i = 0, "FA", "F"))</t>
  </si>
  <si>
    <t xml:space="preserve">        c.Font.Size = 9</t>
  </si>
  <si>
    <t xml:space="preserve">        x = x + w1 + 6</t>
  </si>
  <si>
    <t xml:space="preserve">    UI_Box f, "", 18, 146, fw, 20, RGB(221, 228, 237)</t>
  </si>
  <si>
    <t xml:space="preserve">    x = 22</t>
  </si>
  <si>
    <t xml:space="preserve">    For i = 0 To 4</t>
  </si>
  <si>
    <t xml:space="preserve">        w1 = Array(72, 82, 222, 192, 80)(i)</t>
  </si>
  <si>
    <t xml:space="preserve">        UI_Txt f, "", Array("TYPE", "ID", "COMPANY", "REFERENCE / DETAILS", "DATE")(i), x, 150, w1 - 4, 12, 8, True, RGB(68, 84, 106)</t>
  </si>
  <si>
    <t xml:space="preserve">        x = x + w1</t>
  </si>
  <si>
    <t xml:space="preserve">    Set c = UI_In(f, "Forms.ListBox.1", "lstRes", 18, 166, fw, 232)</t>
  </si>
  <si>
    <t xml:space="preserve">    c.Font.Size = 9.5</t>
  </si>
  <si>
    <t xml:space="preserve">    UI_Txt f, "", "Tip:  double-click a result to open it   |   Down arrow moves into the list   |   Esc closes", 18, ih - 53, iw - 400, 24, 8, False, RGB(128, 138, 150)</t>
  </si>
  <si>
    <t xml:space="preserve">    Set c = UI_Btn(f, "cmdClose", "Close", iw - 112, ih - 62, 96, 30, "S")</t>
  </si>
  <si>
    <t xml:space="preserve">    UI_Btn f, "cmdPrint", "Print Page", iw - 230, ih - 62, 110, 30, "B"</t>
  </si>
  <si>
    <t xml:space="preserve">    UI_Btn f, "cmdOpen", "Open Record", iw - 348, ih - 62, 110, 30, "P"</t>
  </si>
  <si>
    <t xml:space="preserve">    SetCode f, "UF_Find"</t>
  </si>
  <si>
    <t xml:space="preserve">    MsgBox "The pop-up forms were rebuilt with the new design:" &amp; vbCrLf &amp; "Create New Bill, Record Payment, Register Company and Find / Print." &amp; vbCrLf &amp; vbCrLf &amp; "Next run Build_LoginForms, then Setup_Buttons, then save the file.", vbInformation, "CMU Database"</t>
  </si>
  <si>
    <t>Rem ==== END POP-UP USERFORMS ====</t>
  </si>
  <si>
    <t>Rem ==== SAVE AS WORD (print pages -&gt; editable .docx) ====</t>
  </si>
  <si>
    <t>Private Function Prn_FileName(sh As Worksheet) As String</t>
  </si>
  <si>
    <t xml:space="preserve">    Dim nm As String, ch As Variant</t>
  </si>
  <si>
    <t xml:space="preserve">    Prn_FileName = Trim$(nm)</t>
  </si>
  <si>
    <t>Public Sub Print_Word()</t>
  </si>
  <si>
    <t xml:space="preserve">    Rem Saves the print page as PDF first (exact layout, logos, bold text), then lets Word convert that PDF into an editable .docx</t>
  </si>
  <si>
    <t xml:space="preserve">    Dim sh As Worksheet, wd As Object, doc As Object, f As String, tmp As String, created As Boolean</t>
  </si>
  <si>
    <t xml:space="preserve">    f = ThisWorkbook.Path &amp; Application.PathSeparator &amp; Prn_FileName(sh) &amp; ".docx"</t>
  </si>
  <si>
    <t xml:space="preserve">    tmp = Environ$("TEMP") &amp; Application.PathSeparator &amp; "CMU_" &amp; Format(Now, "yyyymmddhhnnss") &amp; ".pdf"</t>
  </si>
  <si>
    <t xml:space="preserve">    sh.ExportAsFixedFormat Type:=xlTypePDF, Filename:=tmp, Quality:=xlQualityStandard, IgnorePrintAreas:=False, OpenAfterPublish:=False</t>
  </si>
  <si>
    <t xml:space="preserve">    Set wd = GetObject(, "Word.Application")</t>
  </si>
  <si>
    <t xml:space="preserve">    If wd Is Nothing Then Set wd = CreateObject("Word.Application"): created = True</t>
  </si>
  <si>
    <t xml:space="preserve">    If wd Is Nothing Then MsgBox "Microsoft Word could not be started on this computer.", vbCritical, "CMU Database": Exit Sub</t>
  </si>
  <si>
    <t xml:space="preserve">    wd.DisplayAlerts = 0</t>
  </si>
  <si>
    <t xml:space="preserve">    Set doc = wd.Documents.Open(Filename:=tmp, ConfirmConversions:=False, ReadOnly:=False, AddToRecentFiles:=False)</t>
  </si>
  <si>
    <t xml:space="preserve">    If doc Is Nothing Then</t>
  </si>
  <si>
    <t xml:space="preserve">        MsgBox "Word could not open the page. Make sure Word 2013 or newer is installed.", vbCritical, "CMU Database"</t>
  </si>
  <si>
    <t xml:space="preserve">    Err.Clear</t>
  </si>
  <si>
    <t xml:space="preserve">    doc.SaveAs2 Filename:=f, FileFormat:=16</t>
  </si>
  <si>
    <t xml:space="preserve">    If Err.Number &lt;&gt; 0 Then</t>
  </si>
  <si>
    <t xml:space="preserve">        MsgBox "The document opened in Word but could not be saved to:" &amp; vbCrLf &amp; f &amp; vbCrLf &amp; "Use File &gt; Save As in Word.", vbExclamation, "CMU Database"</t>
  </si>
  <si>
    <t xml:space="preserve">        MsgBox "Saved as Word: " &amp; f &amp; vbCrLf &amp; vbCrLf &amp; "It is open in Word - you can edit it before printing.", vbInformation, "CMU Database"</t>
  </si>
  <si>
    <t xml:space="preserve">    Kill tmp</t>
  </si>
  <si>
    <t xml:space="preserve">    wd.DisplayAlerts = -1</t>
  </si>
  <si>
    <t>Cadmium (Cd)</t>
  </si>
  <si>
    <t xml:space="preserve">    wd.Visible = True</t>
  </si>
  <si>
    <t xml:space="preserve">    wd.Activate</t>
  </si>
  <si>
    <t>Rem ==== END SAVE AS WORD ====</t>
  </si>
  <si>
    <t>Rem ==== USER LOGIN (Login sheet, Users sheet = very hidden) ====</t>
  </si>
  <si>
    <t>Public Function CMU_Hash(ByVal salt As String, ByVal pwd As String) As String</t>
  </si>
  <si>
    <t xml:space="preserve">    Dim s As String, i As Long, j As Long, h1 As Double, h2 As Double, c As Long, out As String</t>
  </si>
  <si>
    <t xml:space="preserve">    s = salt &amp; "|CMU-ERRS|" &amp; pwd</t>
  </si>
  <si>
    <t xml:space="preserve">    h1 = 5381: h2 = 52711</t>
  </si>
  <si>
    <t xml:space="preserve">    For j = 1 To 64</t>
  </si>
  <si>
    <t xml:space="preserve">        For i = 1 To Len(s)</t>
  </si>
  <si>
    <t xml:space="preserve">            c = AscW(Mid$(s, i, 1)) And &amp;HFFFF&amp;</t>
  </si>
  <si>
    <t xml:space="preserve">            h1 = h1 * 33 + c + j: h1 = h1 - Int(h1 / 4294967291#) * 4294967291#</t>
  </si>
  <si>
    <t xml:space="preserve">            h2 = h2 * 31 + c * 7 + j: h2 = h2 - Int(h2 / 4294967279#) * 4294967279#</t>
  </si>
  <si>
    <t xml:space="preserve">    Next j</t>
  </si>
  <si>
    <t xml:space="preserve">    out = Right$("0000000000" &amp; CStr(h1), 10) &amp; Right$("0000000000" &amp; CStr(h2), 10)</t>
  </si>
  <si>
    <t xml:space="preserve">    CMU_Hash = out</t>
  </si>
  <si>
    <t>Private Function UserRow(ByVal un As String) As Long</t>
  </si>
  <si>
    <t xml:space="preserve">    Dim lo As ListObject, i As Long</t>
  </si>
  <si>
    <t xml:space="preserve">    Set lo = GetLO("tblUsers")</t>
  </si>
  <si>
    <t xml:space="preserve">        If LCase$(Trim$(CStr(lo.DataBodyRange.Cells(i, 1).Value))) = LCase$(Trim$(un)) Then UserRow = i: Exit Function</t>
  </si>
  <si>
    <t>Public Function CMU_CheckLogin(ByVal un As String, ByVal pwd As String) As String</t>
  </si>
  <si>
    <t xml:space="preserve">    Dim lo As ListObject, r As Long</t>
  </si>
  <si>
    <t xml:space="preserve">    r = UserRow(un)</t>
  </si>
  <si>
    <t xml:space="preserve">    If r = 0 Then CMU_CheckLogin = "Unknown username.": Exit Function</t>
  </si>
  <si>
    <t xml:space="preserve">    If UCase$(CStr(lo.DataBodyRange.Cells(r, 4).Value)) &lt;&gt; "YES" Then CMU_CheckLogin = "This account is disabled. Ask the administrator.": Exit Function</t>
  </si>
  <si>
    <t xml:space="preserve">    If CStr(lo.DataBodyRange.Cells(r, 6).Value) = "" Then</t>
  </si>
  <si>
    <t xml:space="preserve">        If LCase$(un) = "admin" And pwd = "admin123" Then</t>
  </si>
  <si>
    <t xml:space="preserve">            CMU_CheckLogin = "FIRST"</t>
  </si>
  <si>
    <t xml:space="preserve">            CMU_CheckLogin = "Wrong password."</t>
  </si>
  <si>
    <t xml:space="preserve">    ElseIf CMU_Hash(CStr(lo.DataBodyRange.Cells(r, 5).Value), pwd) &lt;&gt; CStr(lo.DataBodyRange.Cells(r, 6).Value) Then</t>
  </si>
  <si>
    <t xml:space="preserve">        CMU_CheckLogin = "Wrong password."</t>
  </si>
  <si>
    <t xml:space="preserve">        CMU_CheckLogin = "OK"</t>
  </si>
  <si>
    <t>Public Sub CMU_SetPassword(ByVal un As String, ByVal pwd As String)</t>
  </si>
  <si>
    <t xml:space="preserve">    Dim lo As ListObject, r As Long, salt As String</t>
  </si>
  <si>
    <t xml:space="preserve">    If r = 0 Then Exit Sub</t>
  </si>
  <si>
    <t xml:space="preserve">    Randomize</t>
  </si>
  <si>
    <t xml:space="preserve">    salt = Format(Now, "yymmddhhnnss") &amp; CStr(Int(Rnd * 1000000))</t>
  </si>
  <si>
    <t xml:space="preserve">    lo.DataBodyRange.Cells(r, 5).Value = "'" &amp; salt</t>
  </si>
  <si>
    <t xml:space="preserve">    lo.DataBodyRange.Cells(r, 6).Value = "'" &amp; CMU_Hash(salt, pwd)</t>
  </si>
  <si>
    <t>Public Sub CMU_AfterLogin(ByVal un As String)</t>
  </si>
  <si>
    <t xml:space="preserve">    Dim lo As ListObject, r As Long, ws As Worksheet</t>
  </si>
  <si>
    <t xml:space="preserve">    CMU_User = CStr(lo.DataBodyRange.Cells(r, 1).Value)</t>
  </si>
  <si>
    <t xml:space="preserve">    CMU_Role = CStr(lo.DataBodyRange.Cells(r, 3).Value)</t>
  </si>
  <si>
    <t xml:space="preserve">    lo.DataBodyRange.Cells(r, 8).Value = Now</t>
  </si>
  <si>
    <t xml:space="preserve">    ThisWorkbook.Unprotect CMU_LOCKPWD</t>
  </si>
  <si>
    <t xml:space="preserve">    ThisWorkbook.Worksheets("Users").Range("J1").Value = CMU_Role</t>
  </si>
  <si>
    <t xml:space="preserve">        If ws.Name &lt;&gt; "Users" Then ws.Visible = xlSheetVisible</t>
  </si>
  <si>
    <t xml:space="preserve">    If CMU_Role &lt;&gt; "Admin" Then</t>
  </si>
  <si>
    <t xml:space="preserve">        For Each ws In ThisWorkbook.Worksheets</t>
  </si>
  <si>
    <t xml:space="preserve">            If ws.Name = "Macro Setup" Or ws.Name = "Lists" Or ws.Name = "Fee Schedule" Then ws.Visible = xlSheetHidden</t>
  </si>
  <si>
    <t xml:space="preserve">        Next ws</t>
  </si>
  <si>
    <t xml:space="preserve">    ThisWorkbook.Worksheets("Main Menu").Range("F3").Value = "Signed in: " &amp; lo.DataBodyRange.Cells(r, 2).Value &amp; " (" &amp; CMU_Role &amp; ")"</t>
  </si>
  <si>
    <t xml:space="preserve">    ThisWorkbook.Worksheets("Login").Visible = xlSheetHidden</t>
  </si>
  <si>
    <t xml:space="preserve">    CMU_ApplyRights</t>
  </si>
  <si>
    <t>Public Sub CMU_LockAll()</t>
  </si>
  <si>
    <t xml:space="preserve">    ThisWorkbook.Worksheets("Users").Range("J1").Value = ""</t>
  </si>
  <si>
    <t xml:space="preserve">    With ThisWorkbook.Worksheets("Login")</t>
  </si>
  <si>
    <t xml:space="preserve">        .Visible = xlSheetVisible</t>
  </si>
  <si>
    <t xml:space="preserve">        If ws.Name &lt;&gt; "Login" Then</t>
  </si>
  <si>
    <t xml:space="preserve">            If ws.Name = "Users" Then ws.Visible = xlSheetVeryHidden Else ws.Visible = xlSheetVeryHidden</t>
  </si>
  <si>
    <t xml:space="preserve">    CMU_User = "": CMU_Role = ""</t>
  </si>
  <si>
    <t xml:space="preserve">    ThisWorkbook.Worksheets("Main Menu").Range("F3").Value = "Not signed in"</t>
  </si>
  <si>
    <t>Public Sub CMU_Logout()</t>
  </si>
  <si>
    <t xml:space="preserve">    If MsgBox("Log out of the CMU Database?", vbYesNo + vbQuestion, "CMU Database") &lt;&gt; vbYes Then Exit Sub</t>
  </si>
  <si>
    <t>Public Sub Show_LoginForm()</t>
  </si>
  <si>
    <t xml:space="preserve">    ShowUF "UF_Login", "", ""</t>
  </si>
  <si>
    <t>Public Sub Show_UsersForm()</t>
  </si>
  <si>
    <t xml:space="preserve">    If SessRole() &lt;&gt; "Admin" Then MsgBox "Only an Admin can manage users.", vbExclamation, "CMU Database": Exit Sub</t>
  </si>
  <si>
    <t xml:space="preserve">    ShowUF "UF_Users", "", ""</t>
  </si>
  <si>
    <t>Public Sub Show_MyPwdForm()</t>
  </si>
  <si>
    <t xml:space="preserve">    If CMU_User = "" Then MsgBox "Please sign in first.", vbExclamation, "CMU Database": Exit Sub</t>
  </si>
  <si>
    <t xml:space="preserve">    ShowUF "UF_MyPwd", "", ""</t>
  </si>
  <si>
    <t>Public Sub Build_LoginForms()</t>
  </si>
  <si>
    <t xml:space="preserve">    Dim iw As Single, ih As Single, fw As Single, hw As Single, qw As Single, x As Single, x2 As Single, w1 As Single</t>
  </si>
  <si>
    <t xml:space="preserve">    Rem --- SIGN IN ---</t>
  </si>
  <si>
    <t xml:space="preserve">    Set f = UI_New(vbp, "UF_Login", "Sign In", "Enter your username and password to continue.", 360, 350)</t>
  </si>
  <si>
    <t xml:space="preserve">    iw = UI_IW(f): ih = UI_IH(f): fw = iw - 68</t>
  </si>
  <si>
    <t xml:space="preserve">    UI_Box f, "", 18, 74, iw - 36, 170, RGB(255, 255, 255), True</t>
  </si>
  <si>
    <t xml:space="preserve">    UI_Cap f, "Username", 34, 86, False, "capUser"</t>
  </si>
  <si>
    <t xml:space="preserve">    UI_In f, "Forms.TextBox.1", "txtUser", 34, 100, fw, 22</t>
  </si>
  <si>
    <t xml:space="preserve">    UI_Cap f, "Password", 34, 130, False, "capPwd"</t>
  </si>
  <si>
    <t xml:space="preserve">    Set c = UI_In(f, "Forms.TextBox.1", "txtPwd", 34, 144, fw, 22)</t>
  </si>
  <si>
    <t xml:space="preserve">    c.PasswordChar = "*"</t>
  </si>
  <si>
    <t xml:space="preserve">    UI_Txt f, "lblCaps", "Caps Lock is ON", 34, 168, fw, 12, 8, True, RGB(191, 143, 0)</t>
  </si>
  <si>
    <t xml:space="preserve">    UI_Cap f, "New password", 34, 86, False, "capNew1"</t>
  </si>
  <si>
    <t xml:space="preserve">    Set c = UI_In(f, "Forms.TextBox.1", "txtNew1", 34, 100, fw, 22)</t>
  </si>
  <si>
    <t xml:space="preserve">    UI_Box f, "lblStrBg", 34, 124, fw, 4, RGB(225, 229, 235)</t>
  </si>
  <si>
    <t xml:space="preserve">    UI_Box f, "lblStrBar", 34, 124, fw, 4, RGB(192, 0, 0)</t>
  </si>
  <si>
    <t xml:space="preserve">    UI_Txt f, "lblStrTxt", "", 34, 129, fw, 12, 7.5, True, RGB(128, 138, 150)</t>
  </si>
  <si>
    <t xml:space="preserve">    UI_Cap f, "Confirm new password", 34, 144, False, "capNew2"</t>
  </si>
  <si>
    <t xml:space="preserve">    Set c = UI_In(f, "Forms.TextBox.1", "txtNew2", 34, 158, fw, 22)</t>
  </si>
  <si>
    <t xml:space="preserve">    UI_Txt f, "lblMsg", "", 34, 186, fw, 28, 8.5, True, RGB(192, 0, 0)</t>
  </si>
  <si>
    <t xml:space="preserve">    UI_Footer f, "cmdOK", "Sign In", 120, "cmdCancel", "Cancel"</t>
  </si>
  <si>
    <t xml:space="preserve">    SetCode f, "UF_Login"</t>
  </si>
  <si>
    <t xml:space="preserve">    Rem --- CHANGE MY PASSWORD ---</t>
  </si>
  <si>
    <t xml:space="preserve">    Set f = UI_New(vbp, "UF_MyPwd", "Change My Password", "", 360, 352)</t>
  </si>
  <si>
    <t xml:space="preserve">    UI_Box f, "", 18, 74, iw - 36, 172, RGB(255, 255, 255), True</t>
  </si>
  <si>
    <t xml:space="preserve">    UI_Cap f, "Current password", 34, 84, True</t>
  </si>
  <si>
    <t xml:space="preserve">    Set c = UI_In(f, "Forms.TextBox.1", "txtOld", 34, 98, fw, 22)</t>
  </si>
  <si>
    <t xml:space="preserve">    UI_Cap f, "New password", 34, 126, True</t>
  </si>
  <si>
    <t xml:space="preserve">    Set c = UI_In(f, "Forms.TextBox.1", "txtNew", 34, 140, fw, 22)</t>
  </si>
  <si>
    <t xml:space="preserve">    UI_Box f, "lblStrBg", 34, 164, fw, 4, RGB(225, 229, 235)</t>
  </si>
  <si>
    <t xml:space="preserve">    Set c = UI_Box(f, "lblStrBar", 34, 164, fw, 4, RGB(192, 0, 0))</t>
  </si>
  <si>
    <t xml:space="preserve">    c.Visible = False</t>
  </si>
  <si>
    <t xml:space="preserve">    UI_Txt f, "lblStrTxt", "", 34, 169, fw, 12, 7.5, True, RGB(128, 138, 150)</t>
  </si>
  <si>
    <t xml:space="preserve">    UI_Cap f, "Confirm new password", 34, 184, True</t>
  </si>
  <si>
    <t xml:space="preserve">    Set c = UI_In(f, "Forms.TextBox.1", "txtNew2", 34, 198, fw, 22)</t>
  </si>
  <si>
    <t>Chromium (Cr)</t>
  </si>
  <si>
    <t xml:space="preserve">    UI_Txt f, "lblMsg", "", 34, 224, fw, 14, 8.5, True, RGB(192, 0, 0)</t>
  </si>
  <si>
    <t xml:space="preserve">    UI_Footer f, "cmdOK", "Save Password", 130, "cmdCancel", "Cancel"</t>
  </si>
  <si>
    <t xml:space="preserve">    SetCode f, "UF_MyPwd"</t>
  </si>
  <si>
    <t xml:space="preserve">    Rem --- USERS &amp; PASSWORDS ---</t>
  </si>
  <si>
    <t xml:space="preserve">    Set f = UI_New(vbp, "UF_Users", "Users &amp; Passwords", "Admin only  -  add staff, set roles and reset passwords.", 580, 460)</t>
  </si>
  <si>
    <t xml:space="preserve">    UI_Txt f, "", "USER ACCOUNTS", 18, 69, 200, 12, 8, True, RGB(31, 78, 120)</t>
  </si>
  <si>
    <t xml:space="preserve">    UI_Box f, "", 18, 84, fw, 18, RGB(221, 228, 237)</t>
  </si>
  <si>
    <t xml:space="preserve">        w1 = Array(92, 172, 72, 52, 120)(i)</t>
  </si>
  <si>
    <t xml:space="preserve">        UI_Txt f, "", Array("USERNAME", "FULL NAME", "ROLE", "ACTIVE", "LAST SIGN-IN")(i), x, 87, w1 - 4, 12, 8, True, RGB(68, 84, 106)</t>
  </si>
  <si>
    <t xml:space="preserve">    Set c = UI_In(f, "Forms.ListBox.1", "lstU", 18, 102, fw, 112)</t>
  </si>
  <si>
    <t xml:space="preserve">    UI_Box f, "", 18, 224, fw, 128, RGB(255, 255, 255), True</t>
  </si>
  <si>
    <t xml:space="preserve">    UI_Txt f, "lblEditHdr", "NEW USER", 30, 230, fw - 24, 12, 8, True, RGB(31, 78, 120)</t>
  </si>
  <si>
    <t xml:space="preserve">    hw = (fw - 36) / 2: x2 = 30 + hw + 12: qw = (hw - 8) / 2</t>
  </si>
  <si>
    <t xml:space="preserve">    UI_Cap f, "Username", 30, 246, True</t>
  </si>
  <si>
    <t xml:space="preserve">    UI_In f, "Forms.TextBox.1", "txtUser", 30, 260, hw</t>
  </si>
  <si>
    <t xml:space="preserve">    UI_Cap f, "Full name", x2, 246</t>
  </si>
  <si>
    <t xml:space="preserve">    UI_In f, "Forms.TextBox.1", "txtName", x2, 260, hw</t>
  </si>
  <si>
    <t xml:space="preserve">    UI_Cap f, "Role", 30, 286, True</t>
  </si>
  <si>
    <t xml:space="preserve">    UI_In f, "Forms.ComboBox.1", "cboRole", 30, 300, qw</t>
  </si>
  <si>
    <t xml:space="preserve">    UI_Cap f, "Active", 30 + qw + 8, 286</t>
  </si>
  <si>
    <t xml:space="preserve">    UI_In f, "Forms.ComboBox.1", "cboActive", 30 + qw + 8, 300, qw</t>
  </si>
  <si>
    <t xml:space="preserve">    UI_Cap f, "Password", x2, 286</t>
  </si>
  <si>
    <t xml:space="preserve">    Set c = UI_In(f, "Forms.TextBox.1", "txtPwd", x2, 300, hw)</t>
  </si>
  <si>
    <t xml:space="preserve">    UI_Box f, "lblStrBg", x2, 322, hw, 4, RGB(225, 229, 235)</t>
  </si>
  <si>
    <t xml:space="preserve">    Set c = UI_Box(f, "lblStrBar", x2, 322, hw, 4, RGB(192, 0, 0))</t>
  </si>
  <si>
    <t xml:space="preserve">    UI_Txt f, "lblStrTxt", "", x2, 327, hw, 12, 7.5, True, RGB(128, 138, 150)</t>
  </si>
  <si>
    <t xml:space="preserve">    UI_Txt f, "lblRoleInfo", "", 30, 324, hw, 24, 7.5, False, RGB(128, 138, 150)</t>
  </si>
  <si>
    <t xml:space="preserve">    UI_Btn f, "cmdNew", "New User", 18, ih - 62, 96, 30, "B"</t>
  </si>
  <si>
    <t xml:space="preserve">    Set c = UI_Btn(f, "cmdSave", "Save User", 122, ih - 62, 104, 30, "P")</t>
  </si>
  <si>
    <t xml:space="preserve">    c.Default = True</t>
  </si>
  <si>
    <t xml:space="preserve">    UI_Btn f, "cmdDel", "Delete", 234, ih - 62, 84, 30, "D"</t>
  </si>
  <si>
    <t xml:space="preserve">    SetCode f, "UF_Users"</t>
  </si>
  <si>
    <t xml:space="preserve">    MsgBox "Sign-in forms rebuilt with the new design." &amp; vbCrLf &amp; vbCrLf &amp; "First sign-in: username  admin   password  admin123" &amp; vbCrLf &amp; "You will be asked to choose a new password straight away.", vbInformation, "CMU Database"</t>
  </si>
  <si>
    <t>Rem ==== END USER LOGIN ====</t>
  </si>
  <si>
    <t>Rem ==== ACCESS RIGHTS (Viewer = read-only) ====</t>
  </si>
  <si>
    <t>Public Function SessRole() As String</t>
  </si>
  <si>
    <t xml:space="preserve">    SessRole = CStr(ThisWorkbook.Worksheets("Users").Range("J1").Value)</t>
  </si>
  <si>
    <t xml:space="preserve">    If SessRole = "" Then SessRole = CMU_Role</t>
  </si>
  <si>
    <t>Public Function CMU_CanEdit() As Boolean</t>
  </si>
  <si>
    <t xml:space="preserve">    r = SessRole()</t>
  </si>
  <si>
    <t xml:space="preserve">    If r = "" Then</t>
  </si>
  <si>
    <t xml:space="preserve">        MsgBox "Please sign in first.", vbExclamation, "CMU Database"</t>
  </si>
  <si>
    <t xml:space="preserve">        CMU_CanEdit = False</t>
  </si>
  <si>
    <t xml:space="preserve">    ElseIf r = "Viewer" Then</t>
  </si>
  <si>
    <t xml:space="preserve">        MsgBox "Your account is VIEW ONLY." &amp; vbCrLf &amp; vbCrLf &amp; "You can search, view and print records, but you cannot add, change or delete anything.", vbExclamation, "CMU Database"</t>
  </si>
  <si>
    <t xml:space="preserve">        CMU_CanEdit = True</t>
  </si>
  <si>
    <t>Public Sub CMU_ApplyRights()</t>
  </si>
  <si>
    <t xml:space="preserve">    Dim ws As Worksheet, f As Variant, isViewer As Boolean</t>
  </si>
  <si>
    <t xml:space="preserve">    isViewer = (SessRole() = "Viewer")</t>
  </si>
  <si>
    <t xml:space="preserve">        ws.Unprotect CMU_LOCKPWD</t>
  </si>
  <si>
    <t xml:space="preserve">        ws.Unprotect</t>
  </si>
  <si>
    <t xml:space="preserve">    If isViewer Then</t>
  </si>
  <si>
    <t xml:space="preserve">            If ws.Visible = xlSheetVisible Then</t>
  </si>
  <si>
    <t xml:space="preserve">                ws.Protect Password:=CMU_LOCKPWD, DrawingObjects:=True, Contents:=True, Scenarios:=True, UserInterfaceOnly:=True</t>
  </si>
  <si>
    <t xml:space="preserve">                If Left$(ws.Name, 6) = "Print " Then</t>
  </si>
  <si>
    <t xml:space="preserve">                    ws.EnableSelection = xlUnlockedCells</t>
  </si>
  <si>
    <t xml:space="preserve">                Else</t>
  </si>
  <si>
    <t xml:space="preserve">                    ws.EnableSelection = xlNoSelection</t>
  </si>
  <si>
    <t xml:space="preserve">        ThisWorkbook.Protect Password:=CMU_LOCKPWD, Structure:=True</t>
  </si>
  <si>
    <t xml:space="preserve">        For Each f In Array("Company Form", "Licence Form", "Clearance Form", "Bill Form", "Payment Form")</t>
  </si>
  <si>
    <t xml:space="preserve">            Set ws = ThisWorkbook.Worksheets(f)</t>
  </si>
  <si>
    <t xml:space="preserve">            ws.Protect DrawingObjects:=True, Contents:=True, UserInterfaceOnly:=True</t>
  </si>
  <si>
    <t xml:space="preserve">            ws.EnableSelection = xlUnlockedCells</t>
  </si>
  <si>
    <t xml:space="preserve">        Next f</t>
  </si>
  <si>
    <t>Rem ==== END ACCESS RIGHTS ====</t>
  </si>
  <si>
    <t>Rem ==== LICENCE FORM - CHEMICAL LINES (Licence Form rows 20-34 &lt;-&gt; tblLicenceChemicals) ====</t>
  </si>
  <si>
    <t>Private Function Lic_ChemCols() As Variant</t>
  </si>
  <si>
    <t xml:space="preserve">    Lic_ChemCols = Array("Trade or IUPAC Name", "EPA Registration No.", "Type", "Stipulated Qty", "Unit", "Consignment Ref. (BL/IPD No.)")</t>
  </si>
  <si>
    <t>Private Sub Lic_ClearChems(sh As Worksheet)</t>
  </si>
  <si>
    <t xml:space="preserve">    sh.Range("C20:H34").ClearContents: Eff_Clear sh</t>
  </si>
  <si>
    <t>Private Function Lic_CountFor(ByVal licID As String) As Long</t>
  </si>
  <si>
    <t xml:space="preserve">    Set lo = GetLO("tblLicenceChemicals")</t>
  </si>
  <si>
    <t xml:space="preserve">        If UCase$(Trim$(CStr(lo.DataBodyRange.Cells(i, 1).Value))) = UCase$(licID) Then Lic_CountFor = Lic_CountFor + 1</t>
  </si>
  <si>
    <t>Private Function Lic_ChemsOK(sh As Worksheet) As Boolean</t>
  </si>
  <si>
    <t xml:space="preserve">    Dim r As Long, bad As String, n As Long, cat As String</t>
  </si>
  <si>
    <t xml:space="preserve">    Lic_ChemsOK = True</t>
  </si>
  <si>
    <t xml:space="preserve">    If sh.Name &lt;&gt; "Licence Form" Then Exit Function</t>
  </si>
  <si>
    <t xml:space="preserve">    For r = 20 To 34</t>
  </si>
  <si>
    <t xml:space="preserve">        If Trim$(CStr(sh.Cells(r, 3).Value)) = "" Then</t>
  </si>
  <si>
    <t xml:space="preserve">            If Application.WorksheetFunction.CountA(sh.Range("D" &amp; r &amp; ":H" &amp; r)) &gt; 0 Then bad = bad &amp; " " &amp; (r - 19)</t>
  </si>
  <si>
    <t xml:space="preserve">    If bad &lt;&gt; "" Then</t>
  </si>
  <si>
    <t xml:space="preserve">        MsgBox "Chemical line(s)" &amp; bad &amp; " have details but no Trade or IUPAC Name." &amp; vbCrLf &amp; "Type the name or clear the line, then try again.", vbExclamation, "CMU Database"</t>
  </si>
  <si>
    <t xml:space="preserve">        Lic_ChemsOK = False</t>
  </si>
  <si>
    <t xml:space="preserve">    If Not Eff_OK(sh) Then Lic_ChemsOK = False: Exit Function</t>
  </si>
  <si>
    <t xml:space="preserve">    cat = CStr(sh.Range("C7").Value)</t>
  </si>
  <si>
    <t xml:space="preserve">    If n &gt; 0 And InStr(1, cat, "(CRL)", vbTextCompare) = 0 And InStr(1, cat, "(CIL)", vbTextCompare) = 0 Then</t>
  </si>
  <si>
    <t xml:space="preserve">        Lic_ChemsOK = (MsgBox(n &amp; " chemical line(s) are entered but the category is not CRL or CIL." &amp; vbCrLf &amp; "Save them anyway?", vbYesNo + vbQuestion, "CMU Database") = vbYes)</t>
  </si>
  <si>
    <t>Private Sub Lic_DeleteChems(ByVal licID As String)</t>
  </si>
  <si>
    <t xml:space="preserve">    Dim lo As ListObject, i As Long, c As Long</t>
  </si>
  <si>
    <t xml:space="preserve">        If UCase$(Trim$(CStr(lo.DataBodyRange.Cells(i, 1).Value))) = UCase$(licID) Then</t>
  </si>
  <si>
    <t xml:space="preserve">            If lo.ListRows.Count = 1 Then</t>
  </si>
  <si>
    <t xml:space="preserve">                lo.DataBodyRange.Cells(1, 1).ClearContents</t>
  </si>
  <si>
    <t xml:space="preserve">                For c = 4 To lo.ListColumns.Count</t>
  </si>
  <si>
    <t xml:space="preserve">                    lo.DataBodyRange.Cells(1, c).ClearContents</t>
  </si>
  <si>
    <t xml:space="preserve">                lo.ListRows(i).Delete</t>
  </si>
  <si>
    <t>Private Sub Lic_SaveChems(sh As Worksheet, ByVal licID As String)</t>
  </si>
  <si>
    <t>Copper (Cu)</t>
  </si>
  <si>
    <t xml:space="preserve">    Dim lo As ListObject, r As Long, idx As Long, k As Long, cols As Variant, fB As String, fC As String</t>
  </si>
  <si>
    <t xml:space="preserve">    If sh.Name &lt;&gt; "Licence Form" Then Exit Sub</t>
  </si>
  <si>
    <t xml:space="preserve">    Eff_Save sh, licID</t>
  </si>
  <si>
    <t xml:space="preserve">    licID = UCase$(Trim$(licID))</t>
  </si>
  <si>
    <t xml:space="preserve">    If Lic_CountFor(licID) &gt; 15 Then</t>
  </si>
  <si>
    <t xml:space="preserve">        MsgBox licID &amp; " has more than 15 chemical lines, so its chemicals were NOT changed from the form." &amp; vbCrLf &amp; "Edit them on the Licence Chemicals sheet.", vbInformation, "CMU Database"</t>
  </si>
  <si>
    <t xml:space="preserve">    fB = "=IF([@[Licence Record ID]]="""","""",IFERROR(INDEX(tblLicences[Licence / Certificate No.],MATCH([@[Licence Record ID]],tblLicences[Record ID],0))&amp;"""",""Unknown ID""))"</t>
  </si>
  <si>
    <t xml:space="preserve">    fC = "=IF([@[Licence Record ID]]="""","""",IFERROR(INDEX(tblLicences[Company Name],MATCH([@[Licence Record ID]],tblLicences[Record ID],0)),""Unknown ID""))"</t>
  </si>
  <si>
    <t xml:space="preserve">    cols = Lic_ChemCols()</t>
  </si>
  <si>
    <t xml:space="preserve">    Lic_DeleteChems licID</t>
  </si>
  <si>
    <t xml:space="preserve">        If Trim$(CStr(sh.Cells(r, 3).Value)) &lt;&gt; "" Then</t>
  </si>
  <si>
    <t xml:space="preserve">            idx = 0</t>
  </si>
  <si>
    <t xml:space="preserve">                If CStr(lo.DataBodyRange.Cells(1, 1).Value) = "" And CStr(lo.DataBodyRange.Cells(1, 4).Value) = "" Then idx = 1</t>
  </si>
  <si>
    <t xml:space="preserve">            If idx = 0 Then idx = lo.ListRows.Add(AlwaysInsert:=True).Index</t>
  </si>
  <si>
    <t xml:space="preserve">            lo.DataBodyRange.Cells(idx, 1).Value = licID</t>
  </si>
  <si>
    <t xml:space="preserve">            lo.DataBodyRange.Cells(idx, ColIdx(lo, "Licence No.")).Formula = fB</t>
  </si>
  <si>
    <t xml:space="preserve">            lo.DataBodyRange.Cells(idx, ColIdx(lo, "Company")).Formula = fC</t>
  </si>
  <si>
    <t xml:space="preserve">            For k = 0 To 5</t>
  </si>
  <si>
    <t xml:space="preserve">                If CStr(sh.Cells(r, 3 + k).Value) = "" Then</t>
  </si>
  <si>
    <t xml:space="preserve">                    lo.DataBodyRange.Cells(idx, ColIdx(lo, CStr(cols(k)))).ClearContents</t>
  </si>
  <si>
    <t xml:space="preserve">                    lo.DataBodyRange.Cells(idx, ColIdx(lo, CStr(cols(k)))).Value = sh.Cells(r, 3 + k).Value</t>
  </si>
  <si>
    <t xml:space="preserve">            Next k</t>
  </si>
  <si>
    <t>Private Sub Lic_LoadChems(sh As Worksheet, ByVal licID As String)</t>
  </si>
  <si>
    <t xml:space="preserve">    Dim lo As ListObject, i As Long, r As Long, k As Long, more As Long, cols As Variant</t>
  </si>
  <si>
    <t xml:space="preserve">    Lic_ClearChems sh</t>
  </si>
  <si>
    <t xml:space="preserve">    Eff_Load sh, licID</t>
  </si>
  <si>
    <t xml:space="preserve">    r = 20</t>
  </si>
  <si>
    <t xml:space="preserve">            If r &gt; 34 Then</t>
  </si>
  <si>
    <t xml:space="preserve">                more = more + 1</t>
  </si>
  <si>
    <t xml:space="preserve">                For k = 0 To 5</t>
  </si>
  <si>
    <t xml:space="preserve">                    sh.Cells(r, 3 + k).Value = lo.DataBodyRange.Cells(i, ColIdx(lo, CStr(cols(k)))).Value</t>
  </si>
  <si>
    <t xml:space="preserve">                Next k</t>
  </si>
  <si>
    <t xml:space="preserve">                r = r + 1</t>
  </si>
  <si>
    <t xml:space="preserve">    If more &gt; 0 Then MsgBox licID &amp; " has " &amp; (15 + more) &amp; " chemical lines; only the first 15 are shown." &amp; vbCrLf &amp; "Change its chemicals on the Licence Chemicals sheet.", vbInformation, "CMU Database"</t>
  </si>
  <si>
    <t>Rem ==== END LICENCE CHEMICAL LINES ====</t>
  </si>
  <si>
    <t>Rem ==== LICENCE FORM - EFFLUENT DETAILS (Licence Form rows 39-97 &lt;-&gt; tblLicenceEffluent) ====</t>
  </si>
  <si>
    <t>Rem Settings C39:C41 | Limits C45:H64 | Coordinates C69:F88 | Sources C92:D97</t>
  </si>
  <si>
    <t>Private Sub Eff_Clear(sh As Worksheet)</t>
  </si>
  <si>
    <t xml:space="preserve">    sh.Range("C39:D41").ClearContents</t>
  </si>
  <si>
    <t xml:space="preserve">    sh.Range("C45:H64").ClearContents</t>
  </si>
  <si>
    <t xml:space="preserve">    sh.Range("C69:F88").ClearContents</t>
  </si>
  <si>
    <t xml:space="preserve">    sh.Range("C92:F97").ClearContents</t>
  </si>
  <si>
    <t>Private Function Eff_OK(sh As Worksheet) As Boolean</t>
  </si>
  <si>
    <t xml:space="preserve">    Dim r As Long, bad As String</t>
  </si>
  <si>
    <t xml:space="preserve">    Eff_OK = True</t>
  </si>
  <si>
    <t xml:space="preserve">    For r = 45 To 64</t>
  </si>
  <si>
    <t xml:space="preserve">        If Trim$(CStr(sh.Cells(r, 3).Value)) = "" And Application.WorksheetFunction.CountA(sh.Range("D" &amp; r &amp; ":H" &amp; r)) &gt; 0 Then bad = bad &amp; " " &amp; (r - 44)</t>
  </si>
  <si>
    <t xml:space="preserve">        MsgBox "Discharge limit line(s)" &amp; bad &amp; " have details but no Parameter." &amp; vbCrLf &amp; "Type the parameter or clear the line, then try again.", vbExclamation, "CMU Database"</t>
  </si>
  <si>
    <t xml:space="preserve">        Eff_OK = False: Exit Function</t>
  </si>
  <si>
    <t xml:space="preserve">    For r = 92 To 97</t>
  </si>
  <si>
    <t xml:space="preserve">        If Trim$(CStr(sh.Cells(r, 3).Value)) = "" And Trim$(CStr(sh.Cells(r, 4).Value)) &lt;&gt; "" Then bad = bad &amp; " " &amp; (r - 91)</t>
  </si>
  <si>
    <t xml:space="preserve">        MsgBox "Discharge source line(s)" &amp; bad &amp; " have a receiving unit but no discharge source.", vbExclamation, "CMU Database"</t>
  </si>
  <si>
    <t xml:space="preserve">        Eff_OK = False</t>
  </si>
  <si>
    <t>Private Sub Eff_Delete(ByVal licID As String)</t>
  </si>
  <si>
    <t xml:space="preserve">    Set lo = GetLO("tblLicenceEffluent")</t>
  </si>
  <si>
    <t xml:space="preserve">        If UCase$(Trim$(CStr(lo.DataBodyRange.Cells(i, 1).Value))) = licID Then</t>
  </si>
  <si>
    <t xml:space="preserve">                For c = 4 To 11</t>
  </si>
  <si>
    <t>Private Sub Eff_AddRow(lo As ListObject, ByVal licID As String, ByVal sect As String, ByVal ln As Long, vals As Variant)</t>
  </si>
  <si>
    <t xml:space="preserve">    Dim idx As Long, k As Long, fB As String, fC As String, fK As String</t>
  </si>
  <si>
    <t xml:space="preserve">    fK = "=IF([@[Licence Record ID]]="""","""",UPPER(TRIM([@[Licence Record ID]]))&amp;""|""&amp;[@Section]&amp;""|""&amp;[@Line])"</t>
  </si>
  <si>
    <t xml:space="preserve">    If lo.ListRows.Count = 1 Then</t>
  </si>
  <si>
    <t xml:space="preserve">        If CStr(lo.DataBodyRange.Cells(1, 1).Value) = "" And CStr(lo.DataBodyRange.Cells(1, 4).Value) = "" Then idx = 1</t>
  </si>
  <si>
    <t xml:space="preserve">    If idx = 0 Then idx = lo.ListRows.Add(AlwaysInsert:=True).Index</t>
  </si>
  <si>
    <t xml:space="preserve">    lo.DataBodyRange.Cells(idx, 1).Value = licID</t>
  </si>
  <si>
    <t xml:space="preserve">    lo.DataBodyRange.Cells(idx, 2).Formula = fB</t>
  </si>
  <si>
    <t xml:space="preserve">    lo.DataBodyRange.Cells(idx, 3).Formula = fC</t>
  </si>
  <si>
    <t xml:space="preserve">    lo.DataBodyRange.Cells(idx, 4).Value = sect</t>
  </si>
  <si>
    <t xml:space="preserve">    lo.DataBodyRange.Cells(idx, 5).Value = ln</t>
  </si>
  <si>
    <t xml:space="preserve">    For k = 0 To 5</t>
  </si>
  <si>
    <t xml:space="preserve">        With lo.DataBodyRange.Cells(idx, 6 + k)</t>
  </si>
  <si>
    <t xml:space="preserve">            .NumberFormat = "@"</t>
  </si>
  <si>
    <t xml:space="preserve">            If k &lt;= UBound(vals) Then</t>
  </si>
  <si>
    <t xml:space="preserve">                If Trim$(CStr(vals(k))) = "" Then .ClearContents Else .Value = Trim$(CStr(vals(k)))</t>
  </si>
  <si>
    <t xml:space="preserve">                .ClearContents</t>
  </si>
  <si>
    <t xml:space="preserve">        End With</t>
  </si>
  <si>
    <t xml:space="preserve">    Next k</t>
  </si>
  <si>
    <t xml:space="preserve">    lo.DataBodyRange.Cells(idx, 12).Formula = fK</t>
  </si>
  <si>
    <t>Private Sub Eff_Save(sh As Worksheet, ByVal licID As String)</t>
  </si>
  <si>
    <t xml:space="preserve">    Dim lo As ListObject, r As Long, n As Long</t>
  </si>
  <si>
    <t xml:space="preserve">    If licID = "" Then Exit Sub</t>
  </si>
  <si>
    <t xml:space="preserve">    Eff_Delete licID</t>
  </si>
  <si>
    <t xml:space="preserve">    For r = 39 To 41</t>
  </si>
  <si>
    <t xml:space="preserve">        If Trim$(CStr(sh.Cells(r, 3).Value)) &lt;&gt; "" Then Eff_AddRow lo, licID, "Setting", r - 38, Array(sh.Cells(r, 2).Value, sh.Cells(r, 3).Value)</t>
  </si>
  <si>
    <t xml:space="preserve">    n = 0</t>
  </si>
  <si>
    <t xml:space="preserve">            Eff_AddRow lo, licID, "Limit", n, Array(sh.Cells(r, 3).Value, sh.Cells(r, 4).Value, sh.Cells(r, 5).Value, sh.Cells(r, 6).Value, sh.Cells(r, 7).Value, sh.Cells(r, 8).Value)</t>
  </si>
  <si>
    <t xml:space="preserve">    For r = 69 To 88</t>
  </si>
  <si>
    <t xml:space="preserve">        If Application.WorksheetFunction.CountA(sh.Range("C" &amp; r &amp; ":F" &amp; r)) &gt; 0 Then</t>
  </si>
  <si>
    <t xml:space="preserve">            Eff_AddRow lo, licID, "Coordinate", n, Array(sh.Cells(r, 3).Value, sh.Cells(r, 4).Value, sh.Cells(r, 5).Value, sh.Cells(r, 6).Value)</t>
  </si>
  <si>
    <t xml:space="preserve">            Eff_AddRow lo, licID, "Source", n, Array(sh.Cells(r, 3).Value, sh.Cells(r, 4).Value, sh.Cells(r, 5).Value, sh.Cells(r, 6).Value)</t>
  </si>
  <si>
    <t>Private Sub Eff_Load(sh As Worksheet, ByVal licID As String)</t>
  </si>
  <si>
    <t xml:space="preserve">    Dim lo As ListObject, i As Long, k As Long, ln As Long, sect As String, more As Long</t>
  </si>
  <si>
    <t xml:space="preserve">    Eff_Clear sh</t>
  </si>
  <si>
    <t xml:space="preserve">            sect = CStr(lo.DataBodyRange.Cells(i, 4).Value)</t>
  </si>
  <si>
    <t xml:space="preserve">            ln = Val(CStr(lo.DataBodyRange.Cells(i, 5).Value))</t>
  </si>
  <si>
    <t xml:space="preserve">            Select Case sect</t>
  </si>
  <si>
    <t xml:space="preserve">                Case "Setting"</t>
  </si>
  <si>
    <t xml:space="preserve">                    If ln &gt;= 1 And ln &lt;= 3 Then sh.Cells(38 + ln, 3).Value = lo.DataBodyRange.Cells(i, 7).Value</t>
  </si>
  <si>
    <t xml:space="preserve">                Case "Limit"</t>
  </si>
  <si>
    <t xml:space="preserve">                    If ln &gt;= 1 And ln &lt;= 20 Then</t>
  </si>
  <si>
    <t xml:space="preserve">                        For k = 0 To 5: sh.Cells(44 + ln, 3 + k).Value = lo.DataBodyRange.Cells(i, 6 + k).Value: Next k</t>
  </si>
  <si>
    <t xml:space="preserve">                    Else</t>
  </si>
  <si>
    <t xml:space="preserve">                        more = more + 1</t>
  </si>
  <si>
    <t xml:space="preserve">                    End If</t>
  </si>
  <si>
    <t xml:space="preserve">                Case "Coordinate"</t>
  </si>
  <si>
    <t>Iron (Fe)</t>
  </si>
  <si>
    <t xml:space="preserve">                        For k = 0 To 3: sh.Cells(68 + ln, 3 + k).Value = lo.DataBodyRange.Cells(i, 6 + k).Value: Next k</t>
  </si>
  <si>
    <t xml:space="preserve">                Case "Source"</t>
  </si>
  <si>
    <t xml:space="preserve">                    If ln &gt;= 1 And ln &lt;= 6 Then</t>
  </si>
  <si>
    <t xml:space="preserve">                        For k = 0 To 3: sh.Cells(91 + ln, 3 + k).Value = lo.DataBodyRange.Cells(i, 6 + k).Value: Next k</t>
  </si>
  <si>
    <t xml:space="preserve">    If more &gt; 0 Then MsgBox licID &amp; " has " &amp; more &amp; " effluent line(s) that do not fit on the form." &amp; vbCrLf &amp; "See the Licence Effluent sheet.", vbInformation, "CMU Database"</t>
  </si>
  <si>
    <t>Rem ==== END LICENCE EFFLUENT DETAILS ====</t>
  </si>
  <si>
    <t>Lead (Pb)</t>
  </si>
  <si>
    <t>Manganese (Mn)</t>
  </si>
  <si>
    <t>Mercury (Hg)</t>
  </si>
  <si>
    <t>Nickel (Ni)</t>
  </si>
  <si>
    <t>Zinc (Zn)</t>
  </si>
  <si>
    <t>Sulphate</t>
  </si>
  <si>
    <t>Total Coliform</t>
  </si>
  <si>
    <t>Faecal Coliform</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</si>
</sst>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0.0"/>
    <numFmt numFmtId="165" formatCode="&quot;$&quot;#,##0"/>
    <numFmt numFmtId="166" formatCode="mmm\-yyyy"/>
    <numFmt numFmtId="167" formatCode="#,##0;\(#,##0\);\-"/>
    <numFmt numFmtId="168" formatCode="#,##0.0;\(#,##0.0\);\-"/>
    <numFmt numFmtId="169" formatCode="&quot;$&quot;#,##0;\(&quot;$&quot;#,##0\);\-"/>
    <numFmt numFmtId="170" formatCode="dd\-mmm\-yyyy"/>
    <numFmt numFmtId="171" formatCode="#,##0.###"/>
    <numFmt numFmtId="172" formatCode="#,##0.00;\(#,##0.00\);\-"/>
    <numFmt numFmtId="173" formatCode="#,##0.000;\(#,##0.000\);\-"/>
    <numFmt numFmtId="174" formatCode="0.0%;\(0.0%\);\-"/>
    <numFmt numFmtId="175" formatCode="&quot;$&quot;#,##0.00"/>
    <numFmt numFmtId="176" formatCode="#,##0.000"/>
    <numFmt numFmtId="177" formatCode="0&quot;.&quot;"/>
    <numFmt numFmtId="178" formatCode="0;\-0;\-"/>
    <numFmt numFmtId="179" formatCode="&quot;$&quot;#,##0.00;\(&quot;$&quot;#,##0.00\);\-"/>
    <numFmt numFmtId="180" formatCode="#,##0.##"/>
    <numFmt numFmtId="181" formatCode="dd\-mmm\-yyyy\ hh:mm"/>
    <numFmt numFmtId="182" formatCode="yyyy-mm-dd"/>
    <numFmt numFmtId="183" formatCode="[$-409]mmmm\ d\,\ yyyy"/>
  </numFmts>
  <fonts count="72">
    <font>
      <sz val="11.0"/>
      <color theme="1"/>
      <name val="Calibri"/>
      <scheme val="minor"/>
    </font>
    <font>
      <b/>
      <color rgb="FFFFFFFF"/>
      <name val="Calibri"/>
      <scheme val="minor"/>
    </font>
    <font>
      <color theme="1"/>
      <name val="Calibri"/>
      <scheme val="minor"/>
    </font>
    <font>
      <b/>
      <color rgb="FF92400E"/>
      <name val="Calibri"/>
      <scheme val="minor"/>
    </font>
    <font>
      <b/>
      <color rgb="FF166534"/>
      <name val="Calibri"/>
      <scheme val="minor"/>
    </font>
    <font>
      <b/>
      <color rgb="FF9C0006"/>
      <name val="Calibri"/>
      <scheme val="minor"/>
    </font>
    <font>
      <b/>
      <sz val="18.0"/>
      <color rgb="FFFFFFFF"/>
      <name val="Calibri"/>
    </font>
    <font>
      <b/>
      <i/>
      <sz val="11.0"/>
      <color rgb="FFFFFFFF"/>
      <name val="Calibri"/>
    </font>
    <font>
      <sz val="11.0"/>
      <color theme="1"/>
      <name val="Calibri"/>
    </font>
    <font>
      <b/>
      <sz val="24.0"/>
      <color rgb="FFFFFFFF"/>
      <name val="Calibri"/>
    </font>
    <font/>
    <font>
      <i/>
      <sz val="11.0"/>
      <color rgb="FF1F4E78"/>
      <name val="Calibri"/>
    </font>
    <font>
      <u/>
      <sz val="11.0"/>
      <color rgb="FF0563C1"/>
      <name val="Calibri"/>
    </font>
    <font>
      <b/>
      <sz val="13.0"/>
      <color rgb="FF1F4E78"/>
      <name val="Calibri"/>
    </font>
    <font>
      <u/>
      <sz val="11.0"/>
      <color rgb="FF0563C1"/>
      <name val="Calibri"/>
    </font>
    <font>
      <b/>
      <sz val="11.0"/>
      <color rgb="FFFFFFFF"/>
      <name val="Calibri"/>
    </font>
    <font>
      <b/>
      <sz val="11.0"/>
      <color rgb="FF1F4E78"/>
      <name val="Calibri"/>
    </font>
    <font>
      <b/>
      <sz val="12.0"/>
      <color rgb="FF1F4E78"/>
      <name val="Calibri"/>
    </font>
    <font>
      <b/>
      <sz val="14.0"/>
      <color rgb="FFFFFFFF"/>
      <name val="Calibri"/>
    </font>
    <font>
      <i/>
      <sz val="9.0"/>
      <color rgb="FF595959"/>
      <name val="Calibri"/>
    </font>
    <font>
      <sz val="10.0"/>
      <color theme="1"/>
      <name val="Calibri"/>
    </font>
    <font>
      <b/>
      <u/>
      <sz val="11.0"/>
      <color rgb="FF7030A0"/>
      <name val="Calibri"/>
    </font>
    <font>
      <b/>
      <i/>
      <sz val="10.0"/>
      <color rgb="FFFFFFFF"/>
      <name val="Calibri"/>
    </font>
    <font>
      <i/>
      <sz val="10.0"/>
      <color rgb="FF595959"/>
      <name val="Calibri"/>
    </font>
    <font>
      <b/>
      <sz val="10.0"/>
      <color theme="1"/>
      <name val="Calibri"/>
    </font>
    <font>
      <b/>
      <sz val="15.0"/>
      <color rgb="FFFFFFFF"/>
      <name val="Calibri"/>
    </font>
    <font>
      <b/>
      <sz val="13.0"/>
      <color theme="1"/>
      <name val="Calibri"/>
    </font>
    <font>
      <b/>
      <sz val="16.0"/>
      <color rgb="FF1F4E78"/>
      <name val="Calibri"/>
    </font>
    <font>
      <b/>
      <sz val="11.0"/>
      <color theme="1"/>
      <name val="Calibri"/>
    </font>
    <font>
      <b/>
      <sz val="10.0"/>
      <color rgb="FFFFFFFF"/>
      <name val="Calibri"/>
    </font>
    <font>
      <i/>
      <sz val="10.0"/>
      <color rgb="FF7F7F7F"/>
      <name val="Calibri"/>
    </font>
    <font>
      <b/>
      <sz val="10.0"/>
      <color rgb="FF1F4E78"/>
      <name val="Calibri"/>
    </font>
    <font>
      <b/>
      <sz val="12.0"/>
      <color rgb="FFFFFFFF"/>
      <name val="Calibri"/>
    </font>
    <font>
      <sz val="11.0"/>
      <color rgb="FF000000"/>
      <name val="Calibri"/>
    </font>
    <font>
      <sz val="10.0"/>
      <color rgb="FF7F7F7F"/>
      <name val="Calibri"/>
    </font>
    <font>
      <b/>
      <sz val="10.0"/>
      <color rgb="FFC55A11"/>
      <name val="Calibri"/>
    </font>
    <font>
      <sz val="11.0"/>
      <color rgb="FF7F7F7F"/>
      <name val="Calibri"/>
    </font>
    <font>
      <i/>
      <sz val="10.0"/>
      <color rgb="FF808080"/>
      <name val="Calibri"/>
    </font>
    <font>
      <sz val="11.0"/>
      <color theme="1"/>
      <name val="Times New Roman"/>
    </font>
    <font>
      <b/>
      <sz val="12.0"/>
      <color theme="1"/>
      <name val="Times New Roman"/>
    </font>
    <font>
      <b/>
      <sz val="17.0"/>
      <color rgb="FF00703C"/>
      <name val="Times New Roman"/>
    </font>
    <font>
      <sz val="12.0"/>
      <color theme="1"/>
      <name val="Times New Roman"/>
    </font>
    <font>
      <b/>
      <sz val="12.0"/>
      <color theme="1"/>
      <name val="Calibri"/>
    </font>
    <font>
      <b/>
      <sz val="18.0"/>
      <color theme="1"/>
      <name val="Times New Roman"/>
    </font>
    <font>
      <i/>
      <sz val="11.0"/>
      <color theme="1"/>
      <name val="Times New Roman"/>
    </font>
    <font>
      <i/>
      <sz val="11.0"/>
      <color rgb="FF595959"/>
      <name val="Calibri"/>
    </font>
    <font>
      <b/>
      <sz val="11.0"/>
      <color theme="1"/>
      <name val="Times New Roman"/>
    </font>
    <font>
      <sz val="10.0"/>
      <color rgb="FFBFBFBF"/>
      <name val="Calibri"/>
    </font>
    <font>
      <sz val="10.0"/>
      <color rgb="FF0000FF"/>
      <name val="Calibri"/>
    </font>
    <font>
      <sz val="10.0"/>
      <color rgb="FF000000"/>
      <name val="Calibri"/>
    </font>
    <font>
      <sz val="11.0"/>
      <color rgb="FFBFBFBF"/>
      <name val="Calibri"/>
    </font>
    <font>
      <u/>
      <sz val="10.0"/>
      <color rgb="FF0563C1"/>
      <name val="Calibri"/>
    </font>
    <font>
      <sz val="10.0"/>
      <color rgb="FF595959"/>
      <name val="Calibri"/>
    </font>
    <font>
      <b/>
      <sz val="10.0"/>
      <color theme="1"/>
      <name val="Times New Roman"/>
    </font>
    <font>
      <sz val="10.0"/>
      <color theme="1"/>
      <name val="Times New Roman"/>
    </font>
    <font>
      <sz val="11.0"/>
      <color rgb="FFFFFFFF"/>
      <name val="Calibri"/>
    </font>
    <font>
      <i/>
      <sz val="8.0"/>
      <color theme="1"/>
      <name val="Times New Roman"/>
    </font>
    <font>
      <b/>
      <u/>
      <sz val="11.0"/>
      <color theme="1"/>
      <name val="Times New Roman"/>
    </font>
    <font>
      <sz val="8.0"/>
      <color rgb="FFA6A6A6"/>
      <name val="Calibri"/>
    </font>
    <font>
      <b/>
      <sz val="16.0"/>
      <color rgb="FF00703C"/>
      <name val="Times New Roman"/>
    </font>
    <font>
      <i/>
      <sz val="10.0"/>
      <color rgb="FF00703C"/>
      <name val="Times New Roman"/>
    </font>
    <font>
      <b/>
      <sz val="11.0"/>
      <color theme="0"/>
      <name val="Calibri"/>
    </font>
    <font>
      <sz val="11.0"/>
      <color rgb="FF0000FF"/>
      <name val="Calibri"/>
    </font>
    <font>
      <sz val="11.0"/>
      <color rgb="FF595959"/>
      <name val="Calibri"/>
    </font>
    <font>
      <sz val="9.0"/>
      <color rgb="FF595959"/>
      <name val="Consolas"/>
    </font>
    <font>
      <sz val="11.0"/>
      <color theme="1"/>
      <name val="Consolas"/>
    </font>
    <font>
      <sz val="10.0"/>
      <color theme="1"/>
      <name val="Consolas"/>
    </font>
    <font>
      <b/>
      <sz val="14.0"/>
      <color rgb="FF000000"/>
      <name val="Times New Roman"/>
    </font>
    <font>
      <b/>
      <sz val="12.0"/>
      <color rgb="FF000000"/>
      <name val="Times New Roman"/>
    </font>
    <font>
      <sz val="12.0"/>
      <color rgb="FF000000"/>
      <name val="Times New Roman"/>
    </font>
    <font>
      <b/>
      <sz val="11.0"/>
      <color rgb="FF000000"/>
      <name val="Calibri"/>
    </font>
    <font>
      <b/>
      <sz val="12.0"/>
      <color rgb="FF000000"/>
      <name val="Calibri"/>
    </font>
  </fonts>
  <fills count="23">
    <fill>
      <patternFill patternType="none"/>
    </fill>
    <fill>
      <patternFill patternType="lightGray"/>
    </fill>
    <fill>
      <patternFill patternType="solid">
        <fgColor rgb="FF1F4E78"/>
        <bgColor rgb="FF1F4E78"/>
      </patternFill>
    </fill>
    <fill>
      <patternFill patternType="solid">
        <fgColor rgb="FF123765"/>
        <bgColor rgb="FF123765"/>
      </patternFill>
    </fill>
    <fill>
      <patternFill patternType="solid">
        <fgColor rgb="FFFFF2CC"/>
        <bgColor rgb="FFFFF2CC"/>
      </patternFill>
    </fill>
    <fill>
      <patternFill patternType="solid">
        <fgColor rgb="FFE2EFDA"/>
        <bgColor rgb="FFE2EFDA"/>
      </patternFill>
    </fill>
    <fill>
      <patternFill patternType="solid">
        <fgColor rgb="FFFCE4E4"/>
        <bgColor rgb="FFFCE4E4"/>
      </patternFill>
    </fill>
    <fill>
      <patternFill patternType="solid">
        <fgColor rgb="FFDDEBF7"/>
        <bgColor rgb="FFDDEBF7"/>
      </patternFill>
    </fill>
    <fill>
      <patternFill patternType="solid">
        <fgColor rgb="FFF2F2F2"/>
        <bgColor rgb="FFF2F2F2"/>
      </patternFill>
    </fill>
    <fill>
      <patternFill patternType="solid">
        <fgColor rgb="FF548235"/>
        <bgColor rgb="FF548235"/>
      </patternFill>
    </fill>
    <fill>
      <patternFill patternType="solid">
        <fgColor rgb="FFF2F8EE"/>
        <bgColor rgb="FFF2F8EE"/>
      </patternFill>
    </fill>
    <fill>
      <patternFill patternType="solid">
        <fgColor rgb="FFEAF7EF"/>
        <bgColor rgb="FFEAF7EF"/>
      </patternFill>
    </fill>
    <fill>
      <patternFill patternType="solid">
        <fgColor rgb="FF2F75B5"/>
        <bgColor rgb="FF2F75B5"/>
      </patternFill>
    </fill>
    <fill>
      <patternFill patternType="solid">
        <fgColor rgb="FFC65911"/>
        <bgColor rgb="FFC65911"/>
      </patternFill>
    </fill>
    <fill>
      <patternFill patternType="solid">
        <fgColor rgb="FF7F7F7F"/>
        <bgColor rgb="FF7F7F7F"/>
      </patternFill>
    </fill>
    <fill>
      <patternFill patternType="solid">
        <fgColor rgb="FFFFFFFF"/>
        <bgColor rgb="FFFFFFFF"/>
      </patternFill>
    </fill>
    <fill>
      <patternFill patternType="solid">
        <fgColor rgb="FFEDEDED"/>
        <bgColor rgb="FFEDEDED"/>
      </patternFill>
    </fill>
    <fill>
      <patternFill patternType="solid">
        <fgColor rgb="FFFCE4D6"/>
        <bgColor rgb="FFFCE4D6"/>
      </patternFill>
    </fill>
    <fill>
      <patternFill patternType="solid">
        <fgColor rgb="FFD9D9D9"/>
        <bgColor rgb="FFD9D9D9"/>
      </patternFill>
    </fill>
    <fill>
      <patternFill patternType="solid">
        <fgColor theme="4"/>
        <bgColor theme="4"/>
      </patternFill>
    </fill>
    <fill>
      <patternFill patternType="solid">
        <fgColor rgb="FFF7F7F7"/>
        <bgColor rgb="FFF7F7F7"/>
      </patternFill>
    </fill>
    <fill>
      <patternFill patternType="solid">
        <fgColor rgb="FFFF0000"/>
        <bgColor rgb="FFFF0000"/>
      </patternFill>
    </fill>
    <fill>
      <patternFill patternType="solid">
        <fgColor rgb="FF00B050"/>
        <bgColor rgb="FF00B050"/>
      </patternFill>
    </fill>
  </fills>
  <borders count="50">
    <border/>
    <border>
      <left/>
      <right/>
      <top/>
      <bottom/>
    </border>
    <border>
      <left/>
      <top/>
      <bottom/>
    </border>
    <border>
      <top/>
      <bottom/>
    </border>
    <border>
      <right/>
      <top/>
      <bottom/>
    </border>
    <border>
      <bottom style="thin">
        <color rgb="FF9BC2E6"/>
      </bottom>
    </border>
    <border>
      <left style="thin">
        <color rgb="FF9BC2E6"/>
      </left>
      <right style="thin">
        <color rgb="FF9BC2E6"/>
      </right>
      <top style="thin">
        <color rgb="FF9BC2E6"/>
      </top>
      <bottom/>
    </border>
    <border>
      <left style="thin">
        <color rgb="FFBFBFBF"/>
      </left>
      <right/>
      <top style="thin">
        <color rgb="FFBFBFBF"/>
      </top>
      <bottom/>
    </border>
    <border>
      <left style="thin">
        <color rgb="FFBFBFBF"/>
      </left>
      <top style="thin">
        <color rgb="FFBFBFBF"/>
      </top>
      <bottom/>
    </border>
    <border>
      <top style="thin">
        <color rgb="FFBFBFBF"/>
      </top>
      <bottom/>
    </border>
    <border>
      <right/>
      <top style="thin">
        <color rgb="FFBFBFBF"/>
      </top>
      <bottom/>
    </border>
    <border>
      <left style="thin">
        <color rgb="FFBFBFBF"/>
      </left>
      <right style="thin">
        <color rgb="FFBFBFBF"/>
      </right>
      <top style="thin">
        <color rgb="FFBFBFBF"/>
      </top>
      <bottom/>
    </border>
    <border>
      <left style="thin">
        <color rgb="FFBFBFBF"/>
      </left>
      <top style="thin">
        <color rgb="FFBFBFBF"/>
      </top>
    </border>
    <border>
      <left style="thin">
        <color rgb="FF9BC2E6"/>
      </left>
      <right style="thin">
        <color rgb="FF9BC2E6"/>
      </right>
      <bottom style="thin">
        <color rgb="FF9BC2E6"/>
      </bottom>
    </border>
    <border>
      <top style="thin">
        <color rgb="FFBFBFBF"/>
      </top>
    </border>
    <border>
      <left style="thin">
        <color rgb="FFBFBFBF"/>
      </left>
      <right style="thin">
        <color rgb="FFBFBFBF"/>
      </right>
      <top style="thin">
        <color rgb="FFBFBFBF"/>
      </top>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
      <left/>
      <top/>
    </border>
    <border>
      <right/>
      <top/>
    </border>
    <border>
      <left style="thin">
        <color rgb="FFBFBFBF"/>
      </left>
      <right/>
      <top style="thin">
        <color rgb="FFBFBFBF"/>
      </top>
      <bottom style="thin">
        <color rgb="FFBFBFBF"/>
      </bottom>
    </border>
    <border>
      <left/>
      <right/>
      <top style="thin">
        <color rgb="FFBFBFBF"/>
      </top>
      <bottom style="thin">
        <color rgb="FFBFBFBF"/>
      </bottom>
    </border>
    <border>
      <left style="thick">
        <color rgb="FFC00000"/>
      </left>
      <top/>
      <bottom/>
    </border>
    <border>
      <left style="thin">
        <color rgb="FFA7D7BE"/>
      </left>
      <right style="thin">
        <color rgb="FFA7D7BE"/>
      </right>
      <top style="thin">
        <color rgb="FFA7D7BE"/>
      </top>
      <bottom style="thin">
        <color rgb="FFA7D7BE"/>
      </bottom>
    </border>
    <border>
      <left/>
      <right style="thin">
        <color rgb="FFBFBFBF"/>
      </right>
      <top style="thin">
        <color rgb="FFBFBFBF"/>
      </top>
      <bottom style="thin">
        <color rgb="FFBFBFBF"/>
      </bottom>
    </border>
    <border>
      <left style="thin">
        <color rgb="FFBFBFBF"/>
      </left>
      <top/>
      <bottom style="thin">
        <color rgb="FFBFBFBF"/>
      </bottom>
    </border>
    <border>
      <top/>
      <bottom style="thin">
        <color rgb="FFBFBFBF"/>
      </bottom>
    </border>
    <border>
      <right/>
      <top/>
      <bottom style="thin">
        <color rgb="FFBFBFBF"/>
      </bottom>
    </border>
    <border>
      <right style="thin">
        <color rgb="FFBFBFBF"/>
      </right>
      <top style="thin">
        <color rgb="FFBFBFBF"/>
      </top>
      <bottom style="thin">
        <color rgb="FFBFBFBF"/>
      </bottom>
    </border>
    <border>
      <right style="thin">
        <color rgb="FFBFBFBF"/>
      </right>
      <top style="thin">
        <color rgb="FFBFBFBF"/>
      </top>
      <bottom/>
    </border>
    <border>
      <right style="thin">
        <color rgb="FFBFBFBF"/>
      </right>
      <top style="thin">
        <color rgb="FFBFBFBF"/>
      </top>
    </border>
    <border>
      <left style="thick">
        <color rgb="FFC65911"/>
      </left>
      <top/>
      <bottom/>
    </border>
    <border>
      <left style="thin">
        <color rgb="FFA7D7BE"/>
      </left>
      <right style="thin">
        <color rgb="FFBFBFBF"/>
      </right>
      <top style="thin">
        <color rgb="FFA7D7BE"/>
      </top>
      <bottom style="thin">
        <color rgb="FFA7D7BE"/>
      </bottom>
    </border>
    <border>
      <left style="thin">
        <color rgb="FFBFBFBF"/>
      </left>
      <right style="thin">
        <color rgb="FFBFBFBF"/>
      </right>
      <top style="thin">
        <color rgb="FFA7D7BE"/>
      </top>
      <bottom style="thin">
        <color rgb="FFA7D7BE"/>
      </bottom>
    </border>
    <border>
      <left style="thin">
        <color rgb="FFBFBFBF"/>
      </left>
      <right style="thin">
        <color rgb="FFA7D7BE"/>
      </right>
      <top style="thin">
        <color rgb="FFA7D7BE"/>
      </top>
      <bottom style="thin">
        <color rgb="FFA7D7BE"/>
      </bottom>
    </border>
    <border>
      <left style="thin">
        <color rgb="FFA7D7BE"/>
      </left>
      <top style="thin">
        <color rgb="FFA7D7BE"/>
      </top>
      <bottom style="thin">
        <color rgb="FFA7D7BE"/>
      </bottom>
    </border>
    <border>
      <right style="thin">
        <color rgb="FFA7D7BE"/>
      </right>
      <top style="thin">
        <color rgb="FFA7D7BE"/>
      </top>
      <bottom style="thin">
        <color rgb="FFA7D7BE"/>
      </bottom>
    </border>
    <border>
      <top/>
    </border>
    <border>
      <left style="thin">
        <color rgb="FFBFBFBF"/>
      </left>
      <right style="thin">
        <color rgb="FFBFBFBF"/>
      </right>
    </border>
    <border>
      <left/>
      <right/>
      <bottom/>
    </border>
    <border>
      <left/>
      <bottom/>
    </border>
    <border>
      <right/>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top style="thin">
        <color rgb="FF000000"/>
      </top>
      <bottom style="thin">
        <color rgb="FF000000"/>
      </bottom>
    </border>
    <border>
      <top style="double">
        <color rgb="FF4472C4"/>
      </top>
    </border>
    <border>
      <left style="thin">
        <color theme="4"/>
      </left>
      <right style="thin">
        <color theme="4"/>
      </right>
      <top style="thin">
        <color theme="4"/>
      </top>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4" fontId="3" numFmtId="0" xfId="0" applyAlignment="1" applyFill="1" applyFont="1">
      <alignment readingOrder="0"/>
    </xf>
    <xf borderId="0" fillId="5" fontId="4" numFmtId="0" xfId="0" applyAlignment="1" applyFill="1" applyFont="1">
      <alignment readingOrder="0"/>
    </xf>
    <xf borderId="0" fillId="6" fontId="5" numFmtId="0" xfId="0" applyAlignment="1" applyFill="1" applyFont="1">
      <alignment readingOrder="0"/>
    </xf>
    <xf borderId="1" fillId="3" fontId="6" numFmtId="0" xfId="0" applyAlignment="1" applyBorder="1" applyFill="1" applyFont="1">
      <alignment vertical="center"/>
    </xf>
    <xf borderId="0" fillId="3" fontId="7" numFmtId="0" xfId="0" applyFill="1" applyFont="1"/>
    <xf borderId="0" fillId="3" fontId="1" numFmtId="0" xfId="0" applyFill="1" applyFont="1"/>
    <xf borderId="0" fillId="0" fontId="8" numFmtId="0" xfId="0" applyFont="1"/>
    <xf borderId="2" fillId="2" fontId="9" numFmtId="0" xfId="0" applyAlignment="1" applyBorder="1" applyFill="1" applyFont="1">
      <alignment horizontal="center" shrinkToFit="0" vertical="center" wrapText="1"/>
    </xf>
    <xf borderId="3" fillId="0" fontId="10" numFmtId="0" xfId="0" applyBorder="1" applyFont="1"/>
    <xf borderId="4" fillId="0" fontId="10" numFmtId="0" xfId="0" applyBorder="1" applyFont="1"/>
    <xf borderId="2" fillId="7" fontId="11" numFmtId="0" xfId="0" applyAlignment="1" applyBorder="1" applyFill="1" applyFont="1">
      <alignment horizontal="center" shrinkToFit="0" vertical="center" wrapText="1"/>
    </xf>
    <xf borderId="0" fillId="0" fontId="12" numFmtId="0" xfId="0" applyAlignment="1" applyFont="1">
      <alignment horizontal="right"/>
    </xf>
    <xf borderId="5" fillId="0" fontId="13" numFmtId="0" xfId="0" applyAlignment="1" applyBorder="1" applyFont="1">
      <alignment shrinkToFit="0" vertical="center" wrapText="1"/>
    </xf>
    <xf borderId="5" fillId="0" fontId="10" numFmtId="0" xfId="0" applyBorder="1" applyFont="1"/>
    <xf borderId="0" fillId="0" fontId="14" numFmtId="0" xfId="0" applyFont="1"/>
    <xf borderId="0" fillId="3" fontId="15" numFmtId="0" xfId="0" applyAlignment="1" applyFill="1" applyFont="1">
      <alignment horizontal="right"/>
    </xf>
    <xf borderId="0" fillId="0" fontId="16" numFmtId="0" xfId="0" applyAlignment="1" applyFont="1">
      <alignment horizontal="right" readingOrder="0"/>
    </xf>
    <xf borderId="0" fillId="0" fontId="17" numFmtId="0" xfId="0" applyFont="1"/>
    <xf borderId="1" fillId="3" fontId="18" numFmtId="0" xfId="0" applyAlignment="1" applyBorder="1" applyFill="1" applyFont="1">
      <alignment vertical="center"/>
    </xf>
    <xf borderId="0" fillId="0" fontId="19" numFmtId="0" xfId="0" applyFont="1"/>
    <xf borderId="0" fillId="0" fontId="2" numFmtId="0" xfId="0" applyFont="1"/>
    <xf borderId="1" fillId="2" fontId="18" numFmtId="0" xfId="0" applyAlignment="1" applyBorder="1" applyFill="1" applyFont="1">
      <alignment vertical="center"/>
    </xf>
    <xf borderId="0" fillId="0" fontId="20" numFmtId="0" xfId="0" applyFont="1"/>
    <xf borderId="0" fillId="0" fontId="21" numFmtId="0" xfId="0" applyFont="1"/>
    <xf borderId="0" fillId="3" fontId="22" numFmtId="0" xfId="0" applyFill="1" applyFont="1"/>
    <xf borderId="1" fillId="7" fontId="8" numFmtId="0" xfId="0" applyAlignment="1" applyBorder="1" applyFill="1" applyFont="1">
      <alignment vertical="center"/>
    </xf>
    <xf borderId="0" fillId="0" fontId="23" numFmtId="0" xfId="0" applyFont="1"/>
    <xf borderId="6" fillId="7" fontId="24" numFmtId="0" xfId="0" applyAlignment="1" applyBorder="1" applyFill="1" applyFont="1">
      <alignment horizontal="center" shrinkToFit="0" wrapText="1"/>
    </xf>
    <xf borderId="2" fillId="2" fontId="25" numFmtId="0" xfId="0" applyAlignment="1" applyBorder="1" applyFill="1" applyFont="1">
      <alignment shrinkToFit="0" vertical="center" wrapText="1"/>
    </xf>
    <xf borderId="1" fillId="7" fontId="26" numFmtId="0" xfId="0" applyAlignment="1" applyBorder="1" applyFill="1" applyFont="1">
      <alignment horizontal="left" vertical="center"/>
    </xf>
    <xf borderId="0" fillId="0" fontId="8" numFmtId="0" xfId="0" applyAlignment="1" applyFont="1">
      <alignment shrinkToFit="0" vertical="top" wrapText="1"/>
    </xf>
    <xf borderId="7" fillId="2" fontId="15" numFmtId="0" xfId="0" applyAlignment="1" applyBorder="1" applyFill="1" applyFont="1">
      <alignment shrinkToFit="0" vertical="center" wrapText="1"/>
    </xf>
    <xf borderId="8" fillId="2" fontId="15" numFmtId="0" xfId="0" applyAlignment="1" applyBorder="1" applyFill="1" applyFont="1">
      <alignment shrinkToFit="0" vertical="center" wrapText="1"/>
    </xf>
    <xf borderId="9" fillId="0" fontId="10" numFmtId="0" xfId="0" applyBorder="1" applyFont="1"/>
    <xf borderId="10" fillId="0" fontId="10" numFmtId="0" xfId="0" applyBorder="1" applyFont="1"/>
    <xf borderId="11" fillId="2" fontId="15" numFmtId="0" xfId="0" applyAlignment="1" applyBorder="1" applyFill="1" applyFont="1">
      <alignment shrinkToFit="0" vertical="center" wrapText="1"/>
    </xf>
    <xf borderId="12" fillId="0" fontId="8" numFmtId="0" xfId="0" applyAlignment="1" applyBorder="1" applyFont="1">
      <alignment shrinkToFit="0" vertical="center" wrapText="1"/>
    </xf>
    <xf borderId="14" fillId="0" fontId="10" numFmtId="0" xfId="0" applyBorder="1" applyFont="1"/>
    <xf borderId="13" fillId="0" fontId="27" numFmtId="3" xfId="0" applyAlignment="1" applyBorder="1" applyFont="1" applyNumberFormat="1">
      <alignment horizontal="center"/>
    </xf>
    <xf borderId="15" fillId="0" fontId="8" numFmtId="0" xfId="0" applyAlignment="1" applyBorder="1" applyFont="1">
      <alignment shrinkToFit="0" vertical="center" wrapText="1"/>
    </xf>
    <xf borderId="7" fillId="8" fontId="8" numFmtId="0" xfId="0" applyAlignment="1" applyBorder="1" applyFill="1" applyFont="1">
      <alignment shrinkToFit="0" vertical="center" wrapText="1"/>
    </xf>
    <xf borderId="8" fillId="8" fontId="8" numFmtId="0" xfId="0" applyAlignment="1" applyBorder="1" applyFill="1" applyFont="1">
      <alignment shrinkToFit="0" vertical="center" wrapText="1"/>
    </xf>
    <xf borderId="11" fillId="8" fontId="8" numFmtId="0" xfId="0" applyAlignment="1" applyBorder="1" applyFill="1" applyFont="1">
      <alignment shrinkToFit="0" vertical="center" wrapText="1"/>
    </xf>
    <xf borderId="16" fillId="0" fontId="8" numFmtId="0" xfId="0" applyAlignment="1" applyBorder="1" applyFont="1">
      <alignment shrinkToFit="0" vertical="center" wrapText="1"/>
    </xf>
    <xf borderId="17" fillId="0" fontId="10" numFmtId="0" xfId="0" applyBorder="1" applyFont="1"/>
    <xf borderId="18" fillId="0" fontId="8" numFmtId="0" xfId="0" applyAlignment="1" applyBorder="1" applyFont="1">
      <alignment shrinkToFit="0" vertical="center" wrapText="1"/>
    </xf>
    <xf borderId="13" fillId="0" fontId="27" numFmtId="164" xfId="0" applyAlignment="1" applyBorder="1" applyFont="1" applyNumberFormat="1">
      <alignment horizontal="center"/>
    </xf>
    <xf borderId="1" fillId="9" fontId="15" numFmtId="0" xfId="0" applyAlignment="1" applyBorder="1" applyFill="1" applyFont="1">
      <alignment horizontal="center" vertical="center"/>
    </xf>
    <xf borderId="2" fillId="10" fontId="8" numFmtId="0" xfId="0" applyAlignment="1" applyBorder="1" applyFill="1" applyFont="1">
      <alignment shrinkToFit="0" vertical="center" wrapText="1"/>
    </xf>
    <xf borderId="13" fillId="0" fontId="27" numFmtId="165" xfId="0" applyAlignment="1" applyBorder="1" applyFont="1" applyNumberFormat="1">
      <alignment horizontal="center"/>
    </xf>
    <xf borderId="1" fillId="7" fontId="28" numFmtId="0" xfId="0" applyAlignment="1" applyBorder="1" applyFill="1" applyFont="1">
      <alignment vertical="center"/>
    </xf>
    <xf borderId="19" fillId="7" fontId="28" numFmtId="0" xfId="0" applyAlignment="1" applyBorder="1" applyFill="1" applyFont="1">
      <alignment vertical="center"/>
    </xf>
    <xf borderId="20" fillId="0" fontId="10" numFmtId="0" xfId="0" applyBorder="1" applyFont="1"/>
    <xf borderId="21" fillId="2" fontId="29" numFmtId="0" xfId="0" applyAlignment="1" applyBorder="1" applyFill="1" applyFont="1">
      <alignment shrinkToFit="0" vertical="center" wrapText="1"/>
    </xf>
    <xf borderId="0" fillId="0" fontId="16" numFmtId="0" xfId="0" applyFont="1"/>
    <xf borderId="0" fillId="0" fontId="8" numFmtId="0" xfId="0" applyAlignment="1" applyFont="1">
      <alignment vertical="center"/>
    </xf>
    <xf borderId="22" fillId="2" fontId="29" numFmtId="0" xfId="0" applyAlignment="1" applyBorder="1" applyFill="1" applyFont="1">
      <alignment shrinkToFit="0" vertical="center" wrapText="1"/>
    </xf>
    <xf borderId="0" fillId="0" fontId="16" numFmtId="0" xfId="0" applyAlignment="1" applyFont="1">
      <alignment horizontal="right" vertical="center"/>
    </xf>
    <xf borderId="23" fillId="6" fontId="8" numFmtId="0" xfId="0" applyAlignment="1" applyBorder="1" applyFill="1" applyFont="1">
      <alignment shrinkToFit="0" vertical="center" wrapText="1"/>
    </xf>
    <xf borderId="24" fillId="11" fontId="8" numFmtId="0" xfId="0" applyAlignment="1" applyBorder="1" applyFill="1" applyFont="1">
      <alignment horizontal="left" readingOrder="0" vertical="center"/>
    </xf>
    <xf borderId="25" fillId="2" fontId="29" numFmtId="0" xfId="0" applyAlignment="1" applyBorder="1" applyFill="1" applyFont="1">
      <alignment shrinkToFit="0" vertical="center" wrapText="1"/>
    </xf>
    <xf borderId="26" fillId="2" fontId="29" numFmtId="0" xfId="0" applyAlignment="1" applyBorder="1" applyFill="1" applyFont="1">
      <alignment horizontal="left" vertical="center"/>
    </xf>
    <xf borderId="27" fillId="0" fontId="10" numFmtId="0" xfId="0" applyBorder="1" applyFont="1"/>
    <xf borderId="28" fillId="0" fontId="10" numFmtId="0" xfId="0" applyBorder="1" applyFont="1"/>
    <xf borderId="16" fillId="0" fontId="20" numFmtId="166" xfId="0" applyAlignment="1" applyBorder="1" applyFont="1" applyNumberFormat="1">
      <alignment horizontal="left"/>
    </xf>
    <xf borderId="7" fillId="9" fontId="8" numFmtId="0" xfId="0" applyAlignment="1" applyBorder="1" applyFill="1" applyFont="1">
      <alignment shrinkToFit="0" vertical="center" wrapText="1"/>
    </xf>
    <xf borderId="7" fillId="12" fontId="8" numFmtId="0" xfId="0" applyAlignment="1" applyBorder="1" applyFill="1" applyFont="1">
      <alignment shrinkToFit="0" vertical="center" wrapText="1"/>
    </xf>
    <xf borderId="17" fillId="0" fontId="20" numFmtId="167" xfId="0" applyBorder="1" applyFont="1" applyNumberFormat="1"/>
    <xf borderId="7" fillId="13" fontId="8" numFmtId="0" xfId="0" applyAlignment="1" applyBorder="1" applyFill="1" applyFont="1">
      <alignment shrinkToFit="0" vertical="center" wrapText="1"/>
    </xf>
    <xf borderId="7" fillId="2" fontId="8" numFmtId="0" xfId="0" applyAlignment="1" applyBorder="1" applyFill="1" applyFont="1">
      <alignment shrinkToFit="0" vertical="center" wrapText="1"/>
    </xf>
    <xf borderId="17" fillId="0" fontId="20" numFmtId="168" xfId="0" applyBorder="1" applyFont="1" applyNumberFormat="1"/>
    <xf borderId="21" fillId="14" fontId="8" numFmtId="0" xfId="0" applyAlignment="1" applyBorder="1" applyFill="1" applyFont="1">
      <alignment shrinkToFit="0" vertical="center" wrapText="1"/>
    </xf>
    <xf borderId="0" fillId="0" fontId="30" numFmtId="0" xfId="0" applyAlignment="1" applyFont="1">
      <alignment shrinkToFit="0" vertical="center" wrapText="1"/>
    </xf>
    <xf borderId="0" fillId="0" fontId="23" numFmtId="0" xfId="0" applyAlignment="1" applyFont="1">
      <alignment horizontal="center" shrinkToFit="0" vertical="center" wrapText="1"/>
    </xf>
    <xf borderId="17" fillId="0" fontId="20" numFmtId="169" xfId="0" applyBorder="1" applyFont="1" applyNumberFormat="1"/>
    <xf borderId="29" fillId="0" fontId="20" numFmtId="167" xfId="0" applyBorder="1" applyFont="1" applyNumberFormat="1"/>
    <xf borderId="16" fillId="0" fontId="20" numFmtId="0" xfId="0" applyBorder="1" applyFont="1"/>
    <xf borderId="30" fillId="0" fontId="10" numFmtId="0" xfId="0" applyBorder="1" applyFont="1"/>
    <xf borderId="12" fillId="0" fontId="8" numFmtId="0" xfId="0" applyAlignment="1" applyBorder="1" applyFont="1">
      <alignment horizontal="center" shrinkToFit="0" vertical="center" wrapText="1"/>
    </xf>
    <xf borderId="21" fillId="7" fontId="31" numFmtId="0" xfId="0" applyAlignment="1" applyBorder="1" applyFill="1" applyFont="1">
      <alignment horizontal="center"/>
    </xf>
    <xf borderId="31" fillId="0" fontId="10" numFmtId="0" xfId="0" applyBorder="1" applyFont="1"/>
    <xf borderId="22" fillId="7" fontId="31" numFmtId="167" xfId="0" applyAlignment="1" applyBorder="1" applyFill="1" applyFont="1" applyNumberFormat="1">
      <alignment horizontal="center"/>
    </xf>
    <xf borderId="7" fillId="8" fontId="8" numFmtId="0" xfId="0" applyAlignment="1" applyBorder="1" applyFill="1" applyFont="1">
      <alignment horizontal="center" shrinkToFit="0" vertical="center" wrapText="1"/>
    </xf>
    <xf borderId="16" fillId="0" fontId="8" numFmtId="0" xfId="0" applyAlignment="1" applyBorder="1" applyFont="1">
      <alignment horizontal="center" shrinkToFit="0" vertical="center" wrapText="1"/>
    </xf>
    <xf borderId="29" fillId="0" fontId="10" numFmtId="0" xfId="0" applyBorder="1" applyFont="1"/>
    <xf borderId="32" fillId="4" fontId="8" numFmtId="0" xfId="0" applyAlignment="1" applyBorder="1" applyFill="1" applyFont="1">
      <alignment shrinkToFit="0" vertical="center" wrapText="1"/>
    </xf>
    <xf borderId="21" fillId="8" fontId="8" numFmtId="0" xfId="0" applyAlignment="1" applyBorder="1" applyFill="1" applyFont="1">
      <alignment shrinkToFit="0" vertical="center" wrapText="1"/>
    </xf>
    <xf borderId="18" fillId="8" fontId="8" numFmtId="0" xfId="0" applyAlignment="1" applyBorder="1" applyFill="1" applyFont="1">
      <alignment shrinkToFit="0" vertical="center" wrapText="1"/>
    </xf>
    <xf borderId="7" fillId="4" fontId="8" numFmtId="0" xfId="0" applyAlignment="1" applyBorder="1" applyFill="1" applyFont="1">
      <alignment shrinkToFit="0" vertical="center" wrapText="1"/>
    </xf>
    <xf borderId="7" fillId="5" fontId="8" numFmtId="0" xfId="0" applyAlignment="1" applyBorder="1" applyFill="1" applyFont="1">
      <alignment shrinkToFit="0" vertical="center" wrapText="1"/>
    </xf>
    <xf borderId="0" fillId="0" fontId="20" numFmtId="0" xfId="0" applyAlignment="1" applyFont="1">
      <alignment horizontal="center"/>
    </xf>
    <xf borderId="7" fillId="15" fontId="8" numFmtId="0" xfId="0" applyAlignment="1" applyBorder="1" applyFill="1" applyFont="1">
      <alignment shrinkToFit="0" vertical="center" wrapText="1"/>
    </xf>
    <xf borderId="0" fillId="0" fontId="20" numFmtId="170" xfId="0" applyFont="1" applyNumberFormat="1"/>
    <xf borderId="0" fillId="0" fontId="20" numFmtId="165" xfId="0" applyFont="1" applyNumberFormat="1"/>
    <xf borderId="7" fillId="7" fontId="8" numFmtId="0" xfId="0" applyAlignment="1" applyBorder="1" applyFill="1" applyFont="1">
      <alignment shrinkToFit="0" vertical="center" wrapText="1"/>
    </xf>
    <xf borderId="21" fillId="16" fontId="8" numFmtId="0" xfId="0" applyAlignment="1" applyBorder="1" applyFill="1" applyFont="1">
      <alignment shrinkToFit="0" vertical="center" wrapText="1"/>
    </xf>
    <xf borderId="24" fillId="11" fontId="8" numFmtId="170" xfId="0" applyAlignment="1" applyBorder="1" applyFill="1" applyFont="1" applyNumberFormat="1">
      <alignment horizontal="left" readingOrder="0" vertical="center"/>
    </xf>
    <xf borderId="24" fillId="11" fontId="8" numFmtId="0" xfId="0" applyAlignment="1" applyBorder="1" applyFill="1" applyFont="1">
      <alignment horizontal="left" vertical="center"/>
    </xf>
    <xf borderId="1" fillId="2" fontId="32" numFmtId="0" xfId="0" applyBorder="1" applyFill="1" applyFont="1"/>
    <xf borderId="18" fillId="7" fontId="16" numFmtId="0" xfId="0" applyAlignment="1" applyBorder="1" applyFill="1" applyFont="1">
      <alignment shrinkToFit="0" vertical="center" wrapText="1"/>
    </xf>
    <xf borderId="15" fillId="7" fontId="16" numFmtId="0" xfId="0" applyAlignment="1" applyBorder="1" applyFill="1" applyFont="1">
      <alignment shrinkToFit="0" vertical="center" wrapText="1"/>
    </xf>
    <xf borderId="16" fillId="0" fontId="16" numFmtId="0" xfId="0" applyAlignment="1" applyBorder="1" applyFont="1">
      <alignment horizontal="right"/>
    </xf>
    <xf borderId="33" fillId="11" fontId="33" numFmtId="0" xfId="0" applyAlignment="1" applyBorder="1" applyFill="1" applyFont="1">
      <alignment horizontal="left"/>
    </xf>
    <xf borderId="34" fillId="11" fontId="33" numFmtId="0" xfId="0" applyAlignment="1" applyBorder="1" applyFill="1" applyFont="1">
      <alignment horizontal="left"/>
    </xf>
    <xf borderId="34" fillId="11" fontId="33" numFmtId="171" xfId="0" applyAlignment="1" applyBorder="1" applyFill="1" applyFont="1" applyNumberFormat="1">
      <alignment horizontal="left"/>
    </xf>
    <xf borderId="35" fillId="11" fontId="33" numFmtId="0" xfId="0" applyAlignment="1" applyBorder="1" applyFill="1" applyFont="1">
      <alignment horizontal="left"/>
    </xf>
    <xf borderId="0" fillId="0" fontId="16" numFmtId="0" xfId="0" applyAlignment="1" applyFont="1">
      <alignment horizontal="right"/>
    </xf>
    <xf borderId="0" fillId="0" fontId="34" numFmtId="0" xfId="0" applyFont="1"/>
    <xf quotePrefix="1" borderId="12" fillId="0" fontId="8" numFmtId="0" xfId="0" applyAlignment="1" applyBorder="1" applyFont="1">
      <alignment shrinkToFit="0" vertical="center" wrapText="1"/>
    </xf>
    <xf borderId="16" fillId="8" fontId="8" numFmtId="0" xfId="0" applyAlignment="1" applyBorder="1" applyFill="1" applyFont="1">
      <alignment shrinkToFit="0" vertical="center" wrapText="1"/>
    </xf>
    <xf borderId="2" fillId="17" fontId="35" numFmtId="0" xfId="0" applyAlignment="1" applyBorder="1" applyFill="1" applyFont="1">
      <alignment vertical="center"/>
    </xf>
    <xf borderId="21" fillId="7" fontId="24" numFmtId="0" xfId="0" applyBorder="1" applyFill="1" applyFont="1"/>
    <xf borderId="2" fillId="2" fontId="32" numFmtId="0" xfId="0" applyAlignment="1" applyBorder="1" applyFill="1" applyFont="1">
      <alignment vertical="center"/>
    </xf>
    <xf borderId="36" fillId="11" fontId="8" numFmtId="49" xfId="0" applyAlignment="1" applyBorder="1" applyFill="1" applyFont="1" applyNumberFormat="1">
      <alignment horizontal="left" readingOrder="0"/>
    </xf>
    <xf borderId="22" fillId="7" fontId="24" numFmtId="167" xfId="0" applyBorder="1" applyFill="1" applyFont="1" applyNumberFormat="1"/>
    <xf borderId="37" fillId="0" fontId="10" numFmtId="0" xfId="0" applyBorder="1" applyFont="1"/>
    <xf borderId="25" fillId="7" fontId="24" numFmtId="167" xfId="0" applyBorder="1" applyFill="1" applyFont="1" applyNumberFormat="1"/>
    <xf borderId="2" fillId="12" fontId="15" numFmtId="0" xfId="0" applyAlignment="1" applyBorder="1" applyFill="1" applyFont="1">
      <alignment vertical="center"/>
    </xf>
    <xf borderId="18" fillId="7" fontId="16" numFmtId="0" xfId="0" applyAlignment="1" applyBorder="1" applyFill="1" applyFont="1">
      <alignment horizontal="right" shrinkToFit="0" vertical="center" wrapText="1"/>
    </xf>
    <xf borderId="33" fillId="11" fontId="33" numFmtId="49" xfId="0" applyAlignment="1" applyBorder="1" applyFill="1" applyFont="1" applyNumberFormat="1">
      <alignment horizontal="left" readingOrder="0"/>
    </xf>
    <xf borderId="34" fillId="11" fontId="33" numFmtId="49" xfId="0" applyAlignment="1" applyBorder="1" applyFill="1" applyFont="1" applyNumberFormat="1">
      <alignment horizontal="left" readingOrder="0"/>
    </xf>
    <xf borderId="35" fillId="11" fontId="33" numFmtId="49" xfId="0" applyAlignment="1" applyBorder="1" applyFill="1" applyFont="1" applyNumberFormat="1">
      <alignment horizontal="left"/>
    </xf>
    <xf borderId="33" fillId="11" fontId="33" numFmtId="49" xfId="0" applyAlignment="1" applyBorder="1" applyFill="1" applyFont="1" applyNumberFormat="1">
      <alignment horizontal="left"/>
    </xf>
    <xf borderId="34" fillId="11" fontId="33" numFmtId="49" xfId="0" applyAlignment="1" applyBorder="1" applyFill="1" applyFont="1" applyNumberFormat="1">
      <alignment horizontal="left"/>
    </xf>
    <xf borderId="38" fillId="0" fontId="10" numFmtId="0" xfId="0" applyBorder="1" applyFont="1"/>
    <xf borderId="24" fillId="11" fontId="8" numFmtId="0" xfId="0" applyAlignment="1" applyBorder="1" applyFill="1" applyFont="1">
      <alignment readingOrder="0" vertical="center"/>
    </xf>
    <xf borderId="24" fillId="11" fontId="8" numFmtId="170" xfId="0" applyAlignment="1" applyBorder="1" applyFill="1" applyFont="1" applyNumberFormat="1">
      <alignment readingOrder="0" vertical="center"/>
    </xf>
    <xf borderId="15" fillId="7" fontId="16" numFmtId="0" xfId="0" applyAlignment="1" applyBorder="1" applyFill="1" applyFont="1">
      <alignment shrinkToFit="0" wrapText="1"/>
    </xf>
    <xf borderId="34" fillId="11" fontId="8" numFmtId="49" xfId="0" applyAlignment="1" applyBorder="1" applyFill="1" applyFont="1" applyNumberFormat="1">
      <alignment horizontal="left"/>
    </xf>
    <xf borderId="35" fillId="11" fontId="8" numFmtId="49" xfId="0" applyAlignment="1" applyBorder="1" applyFill="1" applyFont="1" applyNumberFormat="1">
      <alignment horizontal="left"/>
    </xf>
    <xf borderId="18" fillId="2" fontId="15" numFmtId="0" xfId="0" applyAlignment="1" applyBorder="1" applyFill="1" applyFont="1">
      <alignment horizontal="center" shrinkToFit="0" vertical="center" wrapText="1"/>
    </xf>
    <xf borderId="39" fillId="2" fontId="15" numFmtId="0" xfId="0" applyAlignment="1" applyBorder="1" applyFill="1" applyFont="1">
      <alignment horizontal="center" shrinkToFit="0" vertical="center" wrapText="1"/>
    </xf>
    <xf borderId="15" fillId="2" fontId="15" numFmtId="0" xfId="0" applyAlignment="1" applyBorder="1" applyFill="1" applyFont="1">
      <alignment horizontal="center" shrinkToFit="0" vertical="center" wrapText="1"/>
    </xf>
    <xf borderId="29" fillId="0" fontId="20" numFmtId="169" xfId="0" applyBorder="1" applyFont="1" applyNumberFormat="1"/>
    <xf borderId="16" fillId="0" fontId="36" numFmtId="0" xfId="0" applyAlignment="1" applyBorder="1" applyFont="1">
      <alignment horizontal="center" vertical="center"/>
    </xf>
    <xf borderId="33" fillId="11" fontId="8" numFmtId="0" xfId="0" applyAlignment="1" applyBorder="1" applyFill="1" applyFont="1">
      <alignment readingOrder="0" vertical="center"/>
    </xf>
    <xf borderId="34" fillId="11" fontId="8" numFmtId="0" xfId="0" applyAlignment="1" applyBorder="1" applyFill="1" applyFont="1">
      <alignment readingOrder="0" vertical="center"/>
    </xf>
    <xf borderId="34" fillId="11" fontId="8" numFmtId="4" xfId="0" applyAlignment="1" applyBorder="1" applyFill="1" applyFont="1" applyNumberFormat="1">
      <alignment readingOrder="0" vertical="center"/>
    </xf>
    <xf borderId="34" fillId="11" fontId="8" numFmtId="0" xfId="0" applyAlignment="1" applyBorder="1" applyFill="1" applyFont="1">
      <alignment horizontal="center" readingOrder="0" vertical="center"/>
    </xf>
    <xf borderId="35" fillId="11" fontId="33" numFmtId="49" xfId="0" applyAlignment="1" applyBorder="1" applyFill="1" applyFont="1" applyNumberFormat="1">
      <alignment horizontal="left" readingOrder="0" vertical="center"/>
    </xf>
    <xf borderId="29" fillId="8" fontId="36" numFmtId="0" xfId="0" applyAlignment="1" applyBorder="1" applyFill="1" applyFont="1">
      <alignment horizontal="center" readingOrder="0" vertical="center"/>
    </xf>
    <xf borderId="33" fillId="11" fontId="8" numFmtId="0" xfId="0" applyAlignment="1" applyBorder="1" applyFill="1" applyFont="1">
      <alignment vertical="center"/>
    </xf>
    <xf borderId="34" fillId="11" fontId="8" numFmtId="0" xfId="0" applyAlignment="1" applyBorder="1" applyFill="1" applyFont="1">
      <alignment vertical="center"/>
    </xf>
    <xf borderId="34" fillId="11" fontId="8" numFmtId="4" xfId="0" applyAlignment="1" applyBorder="1" applyFill="1" applyFont="1" applyNumberFormat="1">
      <alignment vertical="center"/>
    </xf>
    <xf borderId="34" fillId="11" fontId="8" numFmtId="0" xfId="0" applyAlignment="1" applyBorder="1" applyFill="1" applyFont="1">
      <alignment horizontal="center" vertical="center"/>
    </xf>
    <xf borderId="35" fillId="11" fontId="33" numFmtId="49" xfId="0" applyAlignment="1" applyBorder="1" applyFill="1" applyFont="1" applyNumberFormat="1">
      <alignment horizontal="left" vertical="center"/>
    </xf>
    <xf borderId="29" fillId="8" fontId="36" numFmtId="0" xfId="0" applyAlignment="1" applyBorder="1" applyFill="1" applyFont="1">
      <alignment horizontal="center" vertical="center"/>
    </xf>
    <xf borderId="40" fillId="7" fontId="28" numFmtId="0" xfId="0" applyAlignment="1" applyBorder="1" applyFill="1" applyFont="1">
      <alignment vertical="center"/>
    </xf>
    <xf borderId="40" fillId="7" fontId="28" numFmtId="0" xfId="0" applyAlignment="1" applyBorder="1" applyFill="1" applyFont="1">
      <alignment horizontal="right" vertical="center"/>
    </xf>
    <xf borderId="22" fillId="7" fontId="24" numFmtId="168" xfId="0" applyBorder="1" applyFill="1" applyFont="1" applyNumberFormat="1"/>
    <xf borderId="22" fillId="7" fontId="24" numFmtId="169" xfId="0" applyBorder="1" applyFill="1" applyFont="1" applyNumberFormat="1"/>
    <xf borderId="25" fillId="7" fontId="24" numFmtId="169" xfId="0" applyBorder="1" applyFill="1" applyFont="1" applyNumberFormat="1"/>
    <xf borderId="16" fillId="0" fontId="37" numFmtId="0" xfId="0" applyBorder="1" applyFont="1"/>
    <xf borderId="40" fillId="7" fontId="28" numFmtId="4" xfId="0" applyAlignment="1" applyBorder="1" applyFill="1" applyFont="1" applyNumberFormat="1">
      <alignment horizontal="right" vertical="center"/>
    </xf>
    <xf borderId="1" fillId="7" fontId="28" numFmtId="0" xfId="0" applyAlignment="1" applyBorder="1" applyFill="1" applyFont="1">
      <alignment horizontal="center" vertical="center"/>
    </xf>
    <xf borderId="17" fillId="0" fontId="37" numFmtId="167" xfId="0" applyBorder="1" applyFont="1" applyNumberFormat="1"/>
    <xf borderId="0" fillId="0" fontId="30" numFmtId="0" xfId="0" applyFont="1"/>
    <xf borderId="17" fillId="0" fontId="37" numFmtId="168" xfId="0" applyBorder="1" applyFont="1" applyNumberFormat="1"/>
    <xf borderId="17" fillId="0" fontId="37" numFmtId="169" xfId="0" applyBorder="1" applyFont="1" applyNumberFormat="1"/>
    <xf borderId="29" fillId="0" fontId="37" numFmtId="167" xfId="0" applyBorder="1" applyFont="1" applyNumberFormat="1"/>
    <xf borderId="17" fillId="0" fontId="20" numFmtId="172" xfId="0" applyBorder="1" applyFont="1" applyNumberFormat="1"/>
    <xf borderId="17" fillId="0" fontId="20" numFmtId="173" xfId="0" applyBorder="1" applyFont="1" applyNumberFormat="1"/>
    <xf borderId="29" fillId="0" fontId="20" numFmtId="174" xfId="0" applyBorder="1" applyFont="1" applyNumberFormat="1"/>
    <xf borderId="0" fillId="0" fontId="23" numFmtId="0" xfId="0" applyAlignment="1" applyFont="1">
      <alignment vertical="center"/>
    </xf>
    <xf borderId="0" fillId="0" fontId="38" numFmtId="0" xfId="0" applyAlignment="1" applyFont="1">
      <alignment vertical="center"/>
    </xf>
    <xf borderId="0" fillId="0" fontId="39" numFmtId="49" xfId="0" applyAlignment="1" applyFont="1" applyNumberFormat="1">
      <alignment horizontal="center"/>
    </xf>
    <xf borderId="2" fillId="2" fontId="29" numFmtId="0" xfId="0" applyBorder="1" applyFill="1" applyFont="1"/>
    <xf borderId="0" fillId="0" fontId="40" numFmtId="49" xfId="0" applyAlignment="1" applyFont="1" applyNumberFormat="1">
      <alignment horizontal="center"/>
    </xf>
    <xf borderId="0" fillId="0" fontId="31" numFmtId="0" xfId="0" applyAlignment="1" applyFont="1">
      <alignment vertical="center"/>
    </xf>
    <xf borderId="24" fillId="11" fontId="20" numFmtId="0" xfId="0" applyAlignment="1" applyBorder="1" applyFill="1" applyFont="1">
      <alignment horizontal="left" vertical="center"/>
    </xf>
    <xf borderId="0" fillId="0" fontId="41" numFmtId="49" xfId="0" applyAlignment="1" applyFont="1" applyNumberFormat="1">
      <alignment horizontal="center"/>
    </xf>
    <xf borderId="0" fillId="0" fontId="31" numFmtId="0" xfId="0" applyFont="1"/>
    <xf borderId="24" fillId="11" fontId="42" numFmtId="0" xfId="0" applyBorder="1" applyFill="1" applyFont="1"/>
    <xf borderId="24" fillId="11" fontId="8" numFmtId="175" xfId="0" applyAlignment="1" applyBorder="1" applyFill="1" applyFont="1" applyNumberFormat="1">
      <alignment horizontal="left" vertical="center"/>
    </xf>
    <xf borderId="24" fillId="11" fontId="8" numFmtId="170" xfId="0" applyAlignment="1" applyBorder="1" applyFill="1" applyFont="1" applyNumberFormat="1">
      <alignment horizontal="left" vertical="center"/>
    </xf>
    <xf borderId="0" fillId="0" fontId="20" numFmtId="0" xfId="0" applyAlignment="1" applyFont="1">
      <alignment horizontal="left"/>
    </xf>
    <xf borderId="1" fillId="8" fontId="16" numFmtId="0" xfId="0" applyAlignment="1" applyBorder="1" applyFill="1" applyFont="1">
      <alignment horizontal="right" vertical="center"/>
    </xf>
    <xf borderId="41" fillId="8" fontId="28" numFmtId="0" xfId="0" applyAlignment="1" applyBorder="1" applyFill="1" applyFont="1">
      <alignment vertical="center"/>
    </xf>
    <xf borderId="42" fillId="0" fontId="10" numFmtId="0" xfId="0" applyBorder="1" applyFont="1"/>
    <xf borderId="0" fillId="0" fontId="38" numFmtId="0" xfId="0" applyAlignment="1" applyFont="1">
      <alignment horizontal="center"/>
    </xf>
    <xf borderId="0" fillId="0" fontId="20" numFmtId="170" xfId="0" applyAlignment="1" applyFont="1" applyNumberFormat="1">
      <alignment horizontal="left"/>
    </xf>
    <xf borderId="0" fillId="0" fontId="43" numFmtId="0" xfId="0" applyAlignment="1" applyFont="1">
      <alignment horizontal="center"/>
    </xf>
    <xf borderId="0" fillId="0" fontId="44" numFmtId="0" xfId="0" applyAlignment="1" applyFont="1">
      <alignment horizontal="center"/>
    </xf>
    <xf borderId="24" fillId="11" fontId="20" numFmtId="0" xfId="0" applyAlignment="1" applyBorder="1" applyFill="1" applyFont="1">
      <alignment horizontal="left"/>
    </xf>
    <xf borderId="0" fillId="0" fontId="45" numFmtId="0" xfId="0" applyAlignment="1" applyFont="1">
      <alignment shrinkToFit="0" vertical="top" wrapText="1"/>
    </xf>
    <xf borderId="0" fillId="0" fontId="38" numFmtId="0" xfId="0" applyAlignment="1" applyFont="1">
      <alignment horizontal="left" shrinkToFit="0" wrapText="1"/>
    </xf>
    <xf borderId="0" fillId="0" fontId="39" numFmtId="0" xfId="0" applyAlignment="1" applyFont="1">
      <alignment horizontal="center"/>
    </xf>
    <xf borderId="43" fillId="18" fontId="46" numFmtId="0" xfId="0" applyAlignment="1" applyBorder="1" applyFill="1" applyFont="1">
      <alignment horizontal="center" shrinkToFit="0" vertical="center" wrapText="1"/>
    </xf>
    <xf borderId="44" fillId="18" fontId="46" numFmtId="0" xfId="0" applyAlignment="1" applyBorder="1" applyFill="1" applyFont="1">
      <alignment horizontal="center" shrinkToFit="0" vertical="center" wrapText="1"/>
    </xf>
    <xf borderId="45" fillId="0" fontId="10" numFmtId="0" xfId="0" applyBorder="1" applyFont="1"/>
    <xf borderId="0" fillId="0" fontId="47" numFmtId="0" xfId="0" applyFont="1"/>
    <xf borderId="43" fillId="0" fontId="38" numFmtId="0" xfId="0" applyAlignment="1" applyBorder="1" applyFont="1">
      <alignment horizontal="center" shrinkToFit="0" vertical="center" wrapText="1"/>
    </xf>
    <xf borderId="43" fillId="0" fontId="38" numFmtId="0" xfId="0" applyAlignment="1" applyBorder="1" applyFont="1">
      <alignment shrinkToFit="0" vertical="center" wrapText="1"/>
    </xf>
    <xf borderId="0" fillId="0" fontId="16" numFmtId="0" xfId="0" applyAlignment="1" applyFont="1">
      <alignment vertical="center"/>
    </xf>
    <xf borderId="24" fillId="11" fontId="8" numFmtId="0" xfId="0" applyAlignment="1" applyBorder="1" applyFill="1" applyFont="1">
      <alignment vertical="center"/>
    </xf>
    <xf borderId="24" fillId="11" fontId="20" numFmtId="0" xfId="0" applyAlignment="1" applyBorder="1" applyFill="1" applyFont="1">
      <alignment horizontal="left" readingOrder="0" vertical="center"/>
    </xf>
    <xf borderId="44" fillId="0" fontId="38" numFmtId="0" xfId="0" applyAlignment="1" applyBorder="1" applyFont="1">
      <alignment horizontal="center" shrinkToFit="0" vertical="center" wrapText="1"/>
    </xf>
    <xf borderId="24" fillId="11" fontId="42" numFmtId="0" xfId="0" applyAlignment="1" applyBorder="1" applyFill="1" applyFont="1">
      <alignment readingOrder="0"/>
    </xf>
    <xf borderId="24" fillId="11" fontId="8" numFmtId="170" xfId="0" applyAlignment="1" applyBorder="1" applyFill="1" applyFont="1" applyNumberFormat="1">
      <alignment vertical="center"/>
    </xf>
    <xf borderId="0" fillId="0" fontId="43" numFmtId="0" xfId="0" applyAlignment="1" applyFont="1">
      <alignment horizontal="center" readingOrder="0"/>
    </xf>
    <xf borderId="0" fillId="0" fontId="30" numFmtId="0" xfId="0" applyAlignment="1" applyFont="1">
      <alignment shrinkToFit="0" wrapText="1"/>
    </xf>
    <xf borderId="0" fillId="0" fontId="17" numFmtId="0" xfId="0" applyAlignment="1" applyFont="1">
      <alignment vertical="center"/>
    </xf>
    <xf borderId="18" fillId="2" fontId="15" numFmtId="0" xfId="0" applyAlignment="1" applyBorder="1" applyFill="1" applyFont="1">
      <alignment horizontal="center" vertical="center"/>
    </xf>
    <xf borderId="15" fillId="2" fontId="15" numFmtId="0" xfId="0" applyAlignment="1" applyBorder="1" applyFill="1" applyFont="1">
      <alignment horizontal="center" vertical="center"/>
    </xf>
    <xf borderId="0" fillId="0" fontId="38" numFmtId="0" xfId="0" applyAlignment="1" applyFont="1">
      <alignment horizontal="left" readingOrder="0" shrinkToFit="0" wrapText="1"/>
    </xf>
    <xf borderId="35" fillId="11" fontId="8" numFmtId="175" xfId="0" applyAlignment="1" applyBorder="1" applyFill="1" applyFont="1" applyNumberFormat="1">
      <alignment vertical="center"/>
    </xf>
    <xf borderId="29" fillId="8" fontId="36" numFmtId="175" xfId="0" applyAlignment="1" applyBorder="1" applyFill="1" applyFont="1" applyNumberFormat="1">
      <alignment horizontal="center" vertical="center"/>
    </xf>
    <xf borderId="18" fillId="8" fontId="36" numFmtId="0" xfId="0" applyAlignment="1" applyBorder="1" applyFill="1" applyFont="1">
      <alignment horizontal="center" vertical="center"/>
    </xf>
    <xf borderId="22" fillId="7" fontId="24" numFmtId="172" xfId="0" applyBorder="1" applyFill="1" applyFont="1" applyNumberFormat="1"/>
    <xf borderId="22" fillId="7" fontId="24" numFmtId="173" xfId="0" applyBorder="1" applyFill="1" applyFont="1" applyNumberFormat="1"/>
    <xf borderId="25" fillId="7" fontId="24" numFmtId="174" xfId="0" applyBorder="1" applyFill="1" applyFont="1" applyNumberFormat="1"/>
    <xf borderId="40" fillId="7" fontId="28" numFmtId="175" xfId="0" applyAlignment="1" applyBorder="1" applyFill="1" applyFont="1" applyNumberFormat="1">
      <alignment vertical="center"/>
    </xf>
    <xf borderId="1" fillId="8" fontId="28" numFmtId="0" xfId="0" applyAlignment="1" applyBorder="1" applyFill="1" applyFont="1">
      <alignment horizontal="right" vertical="center"/>
    </xf>
    <xf borderId="2" fillId="8" fontId="28" numFmtId="0" xfId="0" applyAlignment="1" applyBorder="1" applyFill="1" applyFont="1">
      <alignment vertical="center"/>
    </xf>
    <xf borderId="0" fillId="0" fontId="30" numFmtId="0" xfId="0" applyAlignment="1" applyFont="1">
      <alignment vertical="center"/>
    </xf>
    <xf borderId="0" fillId="0" fontId="46" numFmtId="0" xfId="0" applyAlignment="1" applyFont="1">
      <alignment horizontal="center" shrinkToFit="0" vertical="center" wrapText="1"/>
    </xf>
    <xf borderId="0" fillId="0" fontId="43" numFmtId="0" xfId="0" applyAlignment="1" applyFont="1">
      <alignment horizontal="center" shrinkToFit="0" vertical="center" wrapText="1"/>
    </xf>
    <xf borderId="0" fillId="0" fontId="38" numFmtId="0" xfId="0" applyAlignment="1" applyFont="1">
      <alignment horizontal="center" shrinkToFit="0" vertical="center" wrapText="1"/>
    </xf>
    <xf borderId="1" fillId="4" fontId="48" numFmtId="0" xfId="0" applyAlignment="1" applyBorder="1" applyFill="1" applyFont="1">
      <alignment horizontal="left"/>
    </xf>
    <xf borderId="0" fillId="0" fontId="39" numFmtId="0" xfId="0" applyAlignment="1" applyFont="1">
      <alignment horizontal="center" shrinkToFit="0" vertical="center" wrapText="1"/>
    </xf>
    <xf borderId="0" fillId="0" fontId="49" numFmtId="0" xfId="0" applyAlignment="1" applyFont="1">
      <alignment horizontal="left"/>
    </xf>
    <xf borderId="0" fillId="0" fontId="50" numFmtId="0" xfId="0" applyFont="1"/>
    <xf borderId="0" fillId="0" fontId="51" numFmtId="0" xfId="0" applyFont="1"/>
    <xf borderId="0" fillId="0" fontId="41" numFmtId="0" xfId="0" applyAlignment="1" applyFont="1">
      <alignment horizontal="center" shrinkToFit="0" vertical="center" wrapText="1"/>
    </xf>
    <xf borderId="0" fillId="0" fontId="52" numFmtId="0" xfId="0" applyAlignment="1" applyFont="1">
      <alignment shrinkToFit="0" vertical="top" wrapText="1"/>
    </xf>
    <xf borderId="0" fillId="0" fontId="38" numFmtId="0" xfId="0" applyAlignment="1" applyFont="1">
      <alignment horizontal="left" shrinkToFit="0" vertical="center" wrapText="1"/>
    </xf>
    <xf borderId="0" fillId="0" fontId="38" numFmtId="49" xfId="0" applyAlignment="1" applyFont="1" applyNumberFormat="1">
      <alignment horizontal="right" vertical="top"/>
    </xf>
    <xf borderId="0" fillId="0" fontId="38" numFmtId="0" xfId="0" applyAlignment="1" applyFont="1">
      <alignment horizontal="left" shrinkToFit="0" vertical="top" wrapText="1"/>
    </xf>
    <xf borderId="43" fillId="18" fontId="53" numFmtId="49" xfId="0" applyAlignment="1" applyBorder="1" applyFill="1" applyFont="1" applyNumberFormat="1">
      <alignment vertical="center"/>
    </xf>
    <xf borderId="43" fillId="18" fontId="53" numFmtId="49" xfId="0" applyAlignment="1" applyBorder="1" applyFill="1" applyFont="1" applyNumberFormat="1">
      <alignment horizontal="center" vertical="center"/>
    </xf>
    <xf borderId="43" fillId="0" fontId="54" numFmtId="0" xfId="0" applyAlignment="1" applyBorder="1" applyFont="1">
      <alignment horizontal="left" vertical="center"/>
    </xf>
    <xf borderId="43" fillId="0" fontId="54" numFmtId="0" xfId="0" applyAlignment="1" applyBorder="1" applyFont="1">
      <alignment horizontal="center" vertical="center"/>
    </xf>
    <xf borderId="0" fillId="0" fontId="8" numFmtId="0" xfId="0" applyAlignment="1" applyFont="1">
      <alignment vertical="top"/>
    </xf>
    <xf borderId="0" fillId="0" fontId="46" numFmtId="0" xfId="0" applyFont="1"/>
    <xf borderId="0" fillId="0" fontId="46" numFmtId="0" xfId="0" applyAlignment="1" applyFont="1">
      <alignment horizontal="right"/>
    </xf>
    <xf borderId="0" fillId="0" fontId="46" numFmtId="0" xfId="0" applyAlignment="1" applyFont="1">
      <alignment horizontal="center"/>
    </xf>
    <xf borderId="0" fillId="0" fontId="41" numFmtId="0" xfId="0" applyAlignment="1" applyFont="1">
      <alignment vertical="center"/>
    </xf>
    <xf borderId="0" fillId="0" fontId="20" numFmtId="0" xfId="0" applyAlignment="1" applyFont="1">
      <alignment vertical="center"/>
    </xf>
    <xf borderId="2" fillId="2" fontId="29" numFmtId="0" xfId="0" applyAlignment="1" applyBorder="1" applyFill="1" applyFont="1">
      <alignment vertical="center"/>
    </xf>
    <xf borderId="0" fillId="0" fontId="40" numFmtId="0" xfId="0" applyAlignment="1" applyFont="1">
      <alignment horizontal="center"/>
    </xf>
    <xf borderId="24" fillId="11" fontId="42" numFmtId="0" xfId="0" applyAlignment="1" applyBorder="1" applyFill="1" applyFont="1">
      <alignment horizontal="left" readingOrder="0" vertical="center"/>
    </xf>
    <xf borderId="0" fillId="0" fontId="55" numFmtId="0" xfId="0" applyFont="1"/>
    <xf borderId="0" fillId="0" fontId="20" numFmtId="0" xfId="0" applyAlignment="1" applyFont="1">
      <alignment horizontal="left" vertical="center"/>
    </xf>
    <xf borderId="0" fillId="0" fontId="56" numFmtId="0" xfId="0" applyAlignment="1" applyFont="1">
      <alignment horizontal="center"/>
    </xf>
    <xf borderId="0" fillId="0" fontId="46" numFmtId="0" xfId="0" applyAlignment="1" applyFont="1">
      <alignment horizontal="left"/>
    </xf>
    <xf borderId="0" fillId="0" fontId="20" numFmtId="170" xfId="0" applyAlignment="1" applyFont="1" applyNumberFormat="1">
      <alignment horizontal="left" vertical="center"/>
    </xf>
    <xf borderId="0" fillId="0" fontId="20" numFmtId="176" xfId="0" applyAlignment="1" applyFont="1" applyNumberFormat="1">
      <alignment horizontal="left" vertical="center"/>
    </xf>
    <xf borderId="0" fillId="0" fontId="57" numFmtId="0" xfId="0" applyAlignment="1" applyFont="1">
      <alignment horizontal="center"/>
    </xf>
    <xf borderId="0" fillId="0" fontId="38" numFmtId="0" xfId="0" applyAlignment="1" applyFont="1">
      <alignment horizontal="left" readingOrder="0" shrinkToFit="0" wrapText="1"/>
    </xf>
    <xf borderId="44" fillId="0" fontId="39" numFmtId="0" xfId="0" applyAlignment="1" applyBorder="1" applyFont="1">
      <alignment horizontal="center" shrinkToFit="0" vertical="center" wrapText="1"/>
    </xf>
    <xf borderId="45" fillId="0" fontId="39" numFmtId="0" xfId="0" applyAlignment="1" applyBorder="1" applyFont="1">
      <alignment horizontal="center" shrinkToFit="0" vertical="center" wrapText="1"/>
    </xf>
    <xf borderId="43" fillId="0" fontId="39" numFmtId="0" xfId="0" applyAlignment="1" applyBorder="1" applyFont="1">
      <alignment horizontal="center" shrinkToFit="0" vertical="center" wrapText="1"/>
    </xf>
    <xf borderId="44" fillId="0" fontId="41" numFmtId="0" xfId="0" applyAlignment="1" applyBorder="1" applyFont="1">
      <alignment horizontal="center" shrinkToFit="0" vertical="center" wrapText="1"/>
    </xf>
    <xf borderId="45" fillId="0" fontId="41" numFmtId="0" xfId="0" applyAlignment="1" applyBorder="1" applyFont="1">
      <alignment shrinkToFit="0" vertical="center" wrapText="1"/>
    </xf>
    <xf borderId="0" fillId="0" fontId="58" numFmtId="0" xfId="0" applyFont="1"/>
    <xf borderId="0" fillId="0" fontId="39" numFmtId="0" xfId="0" applyAlignment="1" applyFont="1">
      <alignment vertical="center"/>
    </xf>
    <xf borderId="0" fillId="0" fontId="58" numFmtId="0" xfId="0" applyAlignment="1" applyFont="1">
      <alignment vertical="center"/>
    </xf>
    <xf borderId="45" fillId="0" fontId="41" numFmtId="0" xfId="0" applyAlignment="1" applyBorder="1" applyFont="1">
      <alignment horizontal="center" shrinkToFit="0" vertical="center" wrapText="1"/>
    </xf>
    <xf borderId="43" fillId="0" fontId="41" numFmtId="0" xfId="0" applyAlignment="1" applyBorder="1" applyFont="1">
      <alignment horizontal="center" shrinkToFit="0" vertical="center" wrapText="1"/>
    </xf>
    <xf borderId="0" fillId="0" fontId="46" numFmtId="0" xfId="0" applyAlignment="1" applyFont="1">
      <alignment horizontal="left" shrinkToFit="0" vertical="top" wrapText="1"/>
    </xf>
    <xf borderId="44" fillId="18" fontId="53" numFmtId="0" xfId="0" applyAlignment="1" applyBorder="1" applyFill="1" applyFont="1">
      <alignment horizontal="center" shrinkToFit="0" wrapText="1"/>
    </xf>
    <xf borderId="43" fillId="18" fontId="53" numFmtId="0" xfId="0" applyAlignment="1" applyBorder="1" applyFill="1" applyFont="1">
      <alignment horizontal="center" shrinkToFit="0" vertical="center" wrapText="1"/>
    </xf>
    <xf borderId="44" fillId="0" fontId="54" numFmtId="0" xfId="0" applyAlignment="1" applyBorder="1" applyFont="1">
      <alignment horizontal="center" shrinkToFit="0" wrapText="1"/>
    </xf>
    <xf borderId="43" fillId="0" fontId="54" numFmtId="0" xfId="0" applyAlignment="1" applyBorder="1" applyFont="1">
      <alignment horizontal="center" shrinkToFit="0" vertical="center" wrapText="1"/>
    </xf>
    <xf borderId="0" fillId="0" fontId="38" numFmtId="177" xfId="0" applyAlignment="1" applyFont="1" applyNumberFormat="1">
      <alignment horizontal="right" vertical="top"/>
    </xf>
    <xf borderId="0" fillId="0" fontId="38" numFmtId="0" xfId="0" applyAlignment="1" applyFont="1">
      <alignment horizontal="left" readingOrder="0" shrinkToFit="0" vertical="top" wrapText="1"/>
    </xf>
    <xf borderId="0" fillId="0" fontId="46" numFmtId="0" xfId="0" applyAlignment="1" applyFont="1">
      <alignment horizontal="left" readingOrder="0" shrinkToFit="0" vertical="top" wrapText="1"/>
    </xf>
    <xf borderId="0" fillId="0" fontId="41" numFmtId="0" xfId="0" applyAlignment="1" applyFont="1">
      <alignment vertical="top"/>
    </xf>
    <xf borderId="0" fillId="0" fontId="46" numFmtId="49" xfId="0" applyAlignment="1" applyFont="1" applyNumberFormat="1">
      <alignment horizontal="center"/>
    </xf>
    <xf borderId="0" fillId="0" fontId="59" numFmtId="49" xfId="0" applyAlignment="1" applyFont="1" applyNumberFormat="1">
      <alignment horizontal="center"/>
    </xf>
    <xf borderId="0" fillId="0" fontId="38" numFmtId="49" xfId="0" applyAlignment="1" applyFont="1" applyNumberFormat="1">
      <alignment horizontal="center"/>
    </xf>
    <xf borderId="24" fillId="11" fontId="28" numFmtId="0" xfId="0" applyAlignment="1" applyBorder="1" applyFill="1" applyFont="1">
      <alignment horizontal="left" readingOrder="0" vertical="center"/>
    </xf>
    <xf borderId="0" fillId="0" fontId="56" numFmtId="0" xfId="0" applyAlignment="1" applyFont="1">
      <alignment horizontal="center" shrinkToFit="0" vertical="top" wrapText="1"/>
    </xf>
    <xf borderId="0" fillId="0" fontId="38" numFmtId="0" xfId="0" applyAlignment="1" applyFont="1">
      <alignment horizontal="left"/>
    </xf>
    <xf borderId="46" fillId="0" fontId="46" numFmtId="0" xfId="0" applyAlignment="1" applyBorder="1" applyFont="1">
      <alignment horizontal="left" shrinkToFit="0" vertical="top" wrapText="1"/>
    </xf>
    <xf borderId="46" fillId="0" fontId="10" numFmtId="0" xfId="0" applyBorder="1" applyFont="1"/>
    <xf borderId="0" fillId="3" fontId="29" numFmtId="0" xfId="0" applyAlignment="1" applyFill="1" applyFont="1">
      <alignment shrinkToFit="0" vertical="center" wrapText="1"/>
    </xf>
    <xf borderId="0" fillId="0" fontId="20" numFmtId="0" xfId="0" applyAlignment="1" applyFont="1">
      <alignment shrinkToFit="0" vertical="center" wrapText="1"/>
    </xf>
    <xf borderId="0" fillId="0" fontId="20" numFmtId="0" xfId="0" applyFont="1"/>
    <xf borderId="0" fillId="0" fontId="20" numFmtId="178" xfId="0" applyFont="1" applyNumberFormat="1"/>
    <xf borderId="0" fillId="0" fontId="20" numFmtId="172" xfId="0" applyFont="1" applyNumberFormat="1"/>
    <xf borderId="0" fillId="0" fontId="20" numFmtId="179" xfId="0" applyFont="1" applyNumberFormat="1"/>
    <xf borderId="0" fillId="0" fontId="41" numFmtId="0" xfId="0" applyAlignment="1" applyFont="1">
      <alignment horizontal="left" shrinkToFit="0" vertical="top" wrapText="1"/>
    </xf>
    <xf borderId="0" fillId="0" fontId="20" numFmtId="175" xfId="0" applyAlignment="1" applyFont="1" applyNumberFormat="1">
      <alignment horizontal="left" vertical="center"/>
    </xf>
    <xf borderId="0" fillId="0" fontId="39" numFmtId="0" xfId="0" applyAlignment="1" applyFont="1">
      <alignment horizontal="center" vertical="center"/>
    </xf>
    <xf borderId="0" fillId="0" fontId="38" numFmtId="0" xfId="0" applyAlignment="1" applyFont="1">
      <alignment shrinkToFit="0" vertical="center" wrapText="1"/>
    </xf>
    <xf borderId="0" fillId="0" fontId="38" numFmtId="175" xfId="0" applyAlignment="1" applyFont="1" applyNumberFormat="1">
      <alignment horizontal="right" shrinkToFit="0" vertical="center" wrapText="1"/>
    </xf>
    <xf borderId="24" fillId="11" fontId="20" numFmtId="0" xfId="0" applyAlignment="1" applyBorder="1" applyFill="1" applyFont="1">
      <alignment vertical="center"/>
    </xf>
    <xf borderId="46" fillId="0" fontId="38" numFmtId="0" xfId="0" applyAlignment="1" applyBorder="1" applyFont="1">
      <alignment horizontal="left" shrinkToFit="0" vertical="top" wrapText="1"/>
    </xf>
    <xf borderId="47" fillId="0" fontId="10" numFmtId="0" xfId="0" applyBorder="1" applyFont="1"/>
    <xf borderId="0" fillId="0" fontId="41" numFmtId="0" xfId="0" applyAlignment="1" applyFont="1">
      <alignment horizontal="center" vertical="top"/>
    </xf>
    <xf borderId="0" fillId="0" fontId="39" numFmtId="0" xfId="0" applyAlignment="1" applyFont="1">
      <alignment horizontal="center" vertical="top"/>
    </xf>
    <xf borderId="0" fillId="0" fontId="38" numFmtId="0" xfId="0" applyAlignment="1" applyFont="1">
      <alignment horizontal="left" vertical="top"/>
    </xf>
    <xf borderId="0" fillId="0" fontId="60" numFmtId="0" xfId="0" applyAlignment="1" applyFont="1">
      <alignment horizontal="center" vertical="top"/>
    </xf>
    <xf borderId="0" fillId="0" fontId="46" numFmtId="0" xfId="0" applyAlignment="1" applyFont="1">
      <alignment vertical="center"/>
    </xf>
    <xf borderId="43" fillId="0" fontId="54" numFmtId="0" xfId="0" applyAlignment="1" applyBorder="1" applyFont="1">
      <alignment horizontal="left" shrinkToFit="0" vertical="center" wrapText="1"/>
    </xf>
    <xf borderId="0" fillId="0" fontId="20" numFmtId="170" xfId="0" applyFont="1" applyNumberFormat="1"/>
    <xf borderId="0" fillId="0" fontId="20" numFmtId="0" xfId="0" applyAlignment="1" applyFont="1">
      <alignment horizontal="center"/>
    </xf>
    <xf borderId="0" fillId="0" fontId="20" numFmtId="0" xfId="0" applyAlignment="1" applyFont="1">
      <alignment readingOrder="0"/>
    </xf>
    <xf borderId="48" fillId="0" fontId="24" numFmtId="0" xfId="0" applyBorder="1" applyFont="1"/>
    <xf borderId="48" fillId="0" fontId="24" numFmtId="4" xfId="0" applyBorder="1" applyFont="1" applyNumberFormat="1"/>
    <xf borderId="48" fillId="0" fontId="24" numFmtId="175" xfId="0" applyBorder="1" applyFont="1" applyNumberFormat="1"/>
    <xf borderId="0" fillId="0" fontId="60" numFmtId="0" xfId="0" applyAlignment="1" applyFont="1">
      <alignment horizontal="center"/>
    </xf>
    <xf borderId="1" fillId="2" fontId="18" numFmtId="0" xfId="0" applyBorder="1" applyFill="1" applyFont="1"/>
    <xf borderId="0" fillId="0" fontId="20" numFmtId="180" xfId="0" applyFont="1" applyNumberFormat="1"/>
    <xf borderId="0" fillId="3" fontId="29" numFmtId="0" xfId="0" applyAlignment="1" applyFill="1" applyFont="1">
      <alignment vertical="center"/>
    </xf>
    <xf borderId="0" fillId="0" fontId="20" numFmtId="49" xfId="0" applyFont="1" applyNumberFormat="1"/>
    <xf borderId="0" fillId="0" fontId="2" numFmtId="0" xfId="0" applyAlignment="1" applyFont="1">
      <alignment readingOrder="0"/>
    </xf>
    <xf borderId="0" fillId="0" fontId="2" numFmtId="0" xfId="0" applyFont="1"/>
    <xf borderId="0" fillId="0" fontId="2" numFmtId="0" xfId="0" applyAlignment="1" applyFont="1">
      <alignment readingOrder="0"/>
    </xf>
    <xf borderId="0" fillId="0" fontId="2" numFmtId="49" xfId="0" applyAlignment="1" applyFont="1" applyNumberFormat="1">
      <alignment readingOrder="0"/>
    </xf>
    <xf borderId="0" fillId="0" fontId="2" numFmtId="49" xfId="0" applyFont="1" applyNumberFormat="1"/>
    <xf borderId="0" fillId="0" fontId="20" numFmtId="4" xfId="0" applyAlignment="1" applyFont="1" applyNumberFormat="1">
      <alignment horizontal="right"/>
    </xf>
    <xf borderId="0" fillId="0" fontId="20" numFmtId="4" xfId="0" applyFont="1" applyNumberFormat="1"/>
    <xf borderId="0" fillId="0" fontId="20" numFmtId="176" xfId="0" applyFont="1" applyNumberFormat="1"/>
    <xf borderId="0" fillId="0" fontId="20" numFmtId="175" xfId="0" applyFont="1" applyNumberFormat="1"/>
    <xf borderId="1" fillId="2" fontId="18" numFmtId="0" xfId="0" applyAlignment="1" applyBorder="1" applyFill="1" applyFont="1">
      <alignment shrinkToFit="0" vertical="center" wrapText="1"/>
    </xf>
    <xf borderId="0" fillId="0" fontId="23" numFmtId="0" xfId="0" applyAlignment="1" applyFont="1">
      <alignment shrinkToFit="0" wrapText="1"/>
    </xf>
    <xf borderId="0" fillId="0" fontId="20" numFmtId="0" xfId="0" applyAlignment="1" applyFont="1">
      <alignment shrinkToFit="0" wrapText="1"/>
    </xf>
    <xf borderId="0" fillId="0" fontId="20" numFmtId="0" xfId="0" applyAlignment="1" applyFont="1">
      <alignment shrinkToFit="0" wrapText="1"/>
    </xf>
    <xf borderId="0" fillId="0" fontId="45" numFmtId="0" xfId="0" applyFont="1"/>
    <xf borderId="0" fillId="3" fontId="1" numFmtId="0" xfId="0" applyAlignment="1" applyFill="1" applyFont="1">
      <alignment vertical="center"/>
    </xf>
    <xf borderId="0" fillId="0" fontId="8" numFmtId="175" xfId="0" applyFont="1" applyNumberFormat="1"/>
    <xf borderId="0" fillId="0" fontId="8" numFmtId="0" xfId="0" applyAlignment="1" applyFont="1">
      <alignment shrinkToFit="0" vertical="top" wrapText="1"/>
    </xf>
    <xf borderId="16" fillId="2" fontId="15" numFmtId="0" xfId="0" applyBorder="1" applyFill="1" applyFont="1"/>
    <xf borderId="49" fillId="19" fontId="61" numFmtId="0" xfId="0" applyBorder="1" applyFill="1" applyFont="1"/>
    <xf borderId="0" fillId="0" fontId="28" numFmtId="0" xfId="0" applyFont="1"/>
    <xf borderId="18" fillId="0" fontId="28" numFmtId="0" xfId="0" applyBorder="1" applyFont="1"/>
    <xf borderId="18" fillId="4" fontId="62" numFmtId="49" xfId="0" applyBorder="1" applyFill="1" applyFont="1" applyNumberFormat="1"/>
    <xf borderId="0" fillId="0" fontId="63" numFmtId="0" xfId="0" applyFont="1"/>
    <xf borderId="0" fillId="0" fontId="63" numFmtId="170" xfId="0" applyFont="1" applyNumberFormat="1"/>
    <xf borderId="0" fillId="0" fontId="63" numFmtId="165" xfId="0" applyFont="1" applyNumberFormat="1"/>
    <xf borderId="0" fillId="0" fontId="64" numFmtId="49" xfId="0" applyFont="1" applyNumberFormat="1"/>
    <xf borderId="1" fillId="4" fontId="65" numFmtId="49" xfId="0" applyBorder="1" applyFill="1" applyFont="1" applyNumberFormat="1"/>
    <xf borderId="1" fillId="7" fontId="16" numFmtId="0" xfId="0" applyBorder="1" applyFill="1" applyFont="1"/>
    <xf borderId="1" fillId="20" fontId="66" numFmtId="49" xfId="0" applyBorder="1" applyFill="1" applyFont="1" applyNumberFormat="1"/>
    <xf borderId="0" fillId="0" fontId="8" numFmtId="49" xfId="0" applyFont="1" applyNumberFormat="1"/>
    <xf borderId="0" fillId="0" fontId="8" numFmtId="181" xfId="0" applyFont="1" applyNumberFormat="1"/>
    <xf borderId="0" fillId="0" fontId="8" numFmtId="181" xfId="0" applyAlignment="1" applyFont="1" applyNumberFormat="1">
      <alignment readingOrder="0"/>
    </xf>
    <xf borderId="0" fillId="0" fontId="8" numFmtId="182" xfId="0" applyAlignment="1" applyFont="1" applyNumberFormat="1">
      <alignment readingOrder="0"/>
    </xf>
    <xf borderId="0" fillId="0" fontId="8" numFmtId="181" xfId="0" applyFont="1" applyNumberFormat="1"/>
    <xf borderId="0" fillId="0" fontId="28" numFmtId="0" xfId="0" applyAlignment="1" applyFont="1">
      <alignment horizontal="center"/>
    </xf>
    <xf borderId="0" fillId="0" fontId="8" numFmtId="4" xfId="0" applyFont="1" applyNumberFormat="1"/>
    <xf borderId="0" fillId="0" fontId="8" numFmtId="183" xfId="0" applyFont="1" applyNumberFormat="1"/>
    <xf borderId="0" fillId="0" fontId="49" numFmtId="0" xfId="0" applyFont="1"/>
    <xf borderId="0" fillId="0" fontId="8" numFmtId="14" xfId="0" applyFont="1" applyNumberFormat="1"/>
    <xf borderId="0" fillId="0" fontId="49" numFmtId="4" xfId="0" applyFont="1" applyNumberFormat="1"/>
    <xf borderId="0" fillId="0" fontId="8" numFmtId="3" xfId="0" applyFont="1" applyNumberFormat="1"/>
    <xf borderId="0" fillId="0" fontId="8" numFmtId="15" xfId="0" applyFont="1" applyNumberFormat="1"/>
    <xf borderId="0" fillId="0" fontId="8" numFmtId="49" xfId="0" applyFont="1" applyNumberFormat="1"/>
    <xf borderId="0" fillId="0" fontId="67" numFmtId="0" xfId="0" applyAlignment="1" applyFont="1">
      <alignment horizontal="center" shrinkToFit="0" vertical="top" wrapText="1"/>
    </xf>
    <xf borderId="0" fillId="0" fontId="68" numFmtId="0" xfId="0" applyAlignment="1" applyFont="1">
      <alignment horizontal="left" shrinkToFit="0" wrapText="1"/>
    </xf>
    <xf borderId="0" fillId="0" fontId="67" numFmtId="0" xfId="0" applyAlignment="1" applyFont="1">
      <alignment horizontal="center" shrinkToFit="0" wrapText="1"/>
    </xf>
    <xf borderId="0" fillId="0" fontId="67" numFmtId="0" xfId="0" applyFont="1"/>
    <xf borderId="0" fillId="0" fontId="69" numFmtId="0" xfId="0" applyAlignment="1" applyFont="1">
      <alignment horizontal="left" shrinkToFit="0" wrapText="1"/>
    </xf>
    <xf borderId="0" fillId="0" fontId="69" numFmtId="4" xfId="0" applyAlignment="1" applyFont="1" applyNumberFormat="1">
      <alignment horizontal="center" shrinkToFit="0" wrapText="1"/>
    </xf>
    <xf borderId="0" fillId="0" fontId="41" numFmtId="0" xfId="0" applyAlignment="1" applyFont="1">
      <alignment horizontal="center" shrinkToFit="0" wrapText="1"/>
    </xf>
    <xf borderId="0" fillId="0" fontId="41" numFmtId="15" xfId="0" applyFont="1" applyNumberFormat="1"/>
    <xf borderId="0" fillId="0" fontId="41" numFmtId="0" xfId="0" applyFont="1"/>
    <xf borderId="0" fillId="0" fontId="41" numFmtId="183" xfId="0" applyFont="1" applyNumberFormat="1"/>
    <xf borderId="1" fillId="21" fontId="69" numFmtId="4" xfId="0" applyAlignment="1" applyBorder="1" applyFill="1" applyFont="1" applyNumberFormat="1">
      <alignment horizontal="center" shrinkToFit="0" wrapText="1"/>
    </xf>
    <xf borderId="0" fillId="0" fontId="69" numFmtId="0" xfId="0" applyAlignment="1" applyFont="1">
      <alignment horizontal="center" shrinkToFit="0" wrapText="1"/>
    </xf>
    <xf borderId="1" fillId="21" fontId="8" numFmtId="4" xfId="0" applyBorder="1" applyFill="1" applyFont="1" applyNumberFormat="1"/>
    <xf borderId="0" fillId="0" fontId="70" numFmtId="0" xfId="0" applyFont="1"/>
    <xf borderId="1" fillId="22" fontId="28" numFmtId="4" xfId="0" applyBorder="1" applyFill="1" applyFont="1" applyNumberFormat="1"/>
    <xf borderId="0" fillId="0" fontId="71" numFmtId="0" xfId="0" applyAlignment="1" applyFont="1">
      <alignment horizontal="center"/>
    </xf>
    <xf borderId="0" fillId="0" fontId="41" numFmtId="4" xfId="0" applyFont="1" applyNumberFormat="1"/>
    <xf borderId="0" fillId="0" fontId="41" numFmtId="3" xfId="0" applyFont="1" applyNumberFormat="1"/>
    <xf borderId="0" fillId="0" fontId="38" numFmtId="3" xfId="0" applyFont="1" applyNumberFormat="1"/>
    <xf borderId="0" fillId="0" fontId="38" numFmtId="15" xfId="0" applyFont="1" applyNumberFormat="1"/>
    <xf borderId="1" fillId="20" fontId="65" numFmtId="49" xfId="0" applyBorder="1" applyFill="1" applyFont="1" applyNumberFormat="1"/>
  </cellXfs>
  <cellStyles count="1">
    <cellStyle xfId="0" name="Normal" builtinId="0"/>
  </cellStyles>
  <dxfs count="13">
    <dxf>
      <font>
        <color rgb="FFC00000"/>
      </font>
      <fill>
        <patternFill patternType="none"/>
      </fill>
      <border/>
    </dxf>
    <dxf>
      <font>
        <color rgb="FF00703C"/>
      </font>
      <fill>
        <patternFill patternType="none"/>
      </fill>
      <border/>
    </dxf>
    <dxf>
      <font>
        <color rgb="FFA6A6A6"/>
      </font>
      <fill>
        <patternFill patternType="solid">
          <fgColor rgb="FFEDEDED"/>
          <bgColor rgb="FFEDEDED"/>
        </patternFill>
      </fill>
      <border/>
    </dxf>
    <dxf>
      <font/>
      <fill>
        <patternFill patternType="none"/>
      </fill>
      <border/>
    </dxf>
    <dxf>
      <font/>
      <fill>
        <patternFill patternType="solid">
          <fgColor rgb="FF4472C4"/>
          <bgColor rgb="FF4472C4"/>
        </patternFill>
      </fill>
      <border/>
    </dxf>
    <dxf>
      <font/>
      <fill>
        <patternFill patternType="solid">
          <fgColor rgb="FFD9E1F2"/>
          <bgColor rgb="FFD9E1F2"/>
        </patternFill>
      </fill>
      <border/>
    </dxf>
    <dxf>
      <font/>
      <fill>
        <patternFill patternType="solid">
          <fgColor rgb="FFFFFFFF"/>
          <bgColor rgb="FFFFFFFF"/>
        </patternFill>
      </fill>
      <border/>
    </dxf>
    <dxf>
      <font/>
      <fill>
        <patternFill patternType="solid">
          <fgColor rgb="FFD9D9D9"/>
          <bgColor rgb="FFD9D9D9"/>
        </patternFill>
      </fill>
      <border>
        <left style="thin">
          <color rgb="FF000000"/>
        </left>
        <right style="thin">
          <color rgb="FF000000"/>
        </right>
        <top style="thin">
          <color rgb="FF000000"/>
        </top>
        <bottom style="thin">
          <color rgb="FF000000"/>
        </bottom>
      </border>
    </dxf>
    <dxf>
      <font/>
      <fill>
        <patternFill patternType="none"/>
      </fill>
      <border>
        <left style="thin">
          <color rgb="FF000000"/>
        </left>
        <right style="thin">
          <color rgb="FF000000"/>
        </right>
        <top style="thin">
          <color rgb="FF000000"/>
        </top>
        <bottom style="thin">
          <color rgb="FF000000"/>
        </bottom>
      </border>
    </dxf>
    <dxf>
      <font>
        <b/>
      </font>
      <fill>
        <patternFill patternType="none"/>
      </fill>
      <border>
        <top style="thin">
          <color rgb="FF000000"/>
        </top>
        <bottom style="thin">
          <color rgb="FF000000"/>
        </bottom>
      </border>
    </dxf>
    <dxf>
      <font/>
      <fill>
        <patternFill patternType="none"/>
      </fill>
      <border>
        <left style="thin">
          <color rgb="FF000000"/>
        </left>
      </border>
    </dxf>
    <dxf>
      <font/>
      <fill>
        <patternFill patternType="none"/>
      </fill>
      <border>
        <left style="thin">
          <color rgb="FF000000"/>
        </left>
        <right style="thin">
          <color rgb="FF000000"/>
        </right>
      </border>
    </dxf>
    <dxf>
      <font/>
      <fill>
        <patternFill patternType="none"/>
      </fill>
      <border/>
    </dxf>
  </dxfs>
  <tableStyles count="25">
    <tableStyle count="3" pivot="0" name="Companies-style">
      <tableStyleElement dxfId="4" type="headerRow"/>
      <tableStyleElement dxfId="5" type="firstRowStripe"/>
      <tableStyleElement dxfId="6" type="secondRowStripe"/>
    </tableStyle>
    <tableStyle count="3" pivot="0" name="Licences &amp; Certificates-style">
      <tableStyleElement dxfId="4" type="headerRow"/>
      <tableStyleElement dxfId="5" type="firstRowStripe"/>
      <tableStyleElement dxfId="6" type="secondRowStripe"/>
    </tableStyle>
    <tableStyle count="3" pivot="0" name="Licence Chemicals-style">
      <tableStyleElement dxfId="4" type="headerRow"/>
      <tableStyleElement dxfId="5" type="firstRowStripe"/>
      <tableStyleElement dxfId="6" type="secondRowStripe"/>
    </tableStyle>
    <tableStyle count="3" pivot="0" name="Licence Vehicles-style">
      <tableStyleElement dxfId="4" type="headerRow"/>
      <tableStyleElement dxfId="5" type="firstRowStripe"/>
      <tableStyleElement dxfId="6" type="secondRowStripe"/>
    </tableStyle>
    <tableStyle count="3" pivot="0" name="Licence Effluent-style">
      <tableStyleElement dxfId="4" type="headerRow"/>
      <tableStyleElement dxfId="5" type="firstRowStripe"/>
      <tableStyleElement dxfId="6" type="secondRowStripe"/>
    </tableStyle>
    <tableStyle count="3" pivot="0" name="Chemical Clearances-style">
      <tableStyleElement dxfId="4" type="headerRow"/>
      <tableStyleElement dxfId="5" type="firstRowStripe"/>
      <tableStyleElement dxfId="6" type="secondRowStripe"/>
    </tableStyle>
    <tableStyle count="3" pivot="0" name="Bills &amp; Invoices-style">
      <tableStyleElement dxfId="4" type="headerRow"/>
      <tableStyleElement dxfId="5" type="firstRowStripe"/>
      <tableStyleElement dxfId="6" type="secondRowStripe"/>
    </tableStyle>
    <tableStyle count="3" pivot="0" name="Payments &amp; Receipts-style">
      <tableStyleElement dxfId="4" type="headerRow"/>
      <tableStyleElement dxfId="5" type="firstRowStripe"/>
      <tableStyleElement dxfId="6" type="secondRowStripe"/>
    </tableStyle>
    <tableStyle count="3" pivot="0" name="Notes &amp; Issues-style">
      <tableStyleElement dxfId="4" type="headerRow"/>
      <tableStyleElement dxfId="5" type="firstRowStripe"/>
      <tableStyleElement dxfId="6" type="secondRowStripe"/>
    </tableStyle>
    <tableStyle count="3" pivot="0" name="Notes &amp; Issues-style 2">
      <tableStyleElement dxfId="4" type="headerRow"/>
      <tableStyleElement dxfId="5" type="firstRowStripe"/>
      <tableStyleElement dxfId="6" type="secondRowStripe"/>
    </tableStyle>
    <tableStyle count="3" pivot="0" name="Fee Schedule-style">
      <tableStyleElement dxfId="4" type="headerRow"/>
      <tableStyleElement dxfId="5" type="firstRowStripe"/>
      <tableStyleElement dxfId="6" type="secondRowStripe"/>
    </tableStyle>
    <tableStyle count="3" pivot="0" name="Fee Schedule-style 2">
      <tableStyleElement dxfId="4" type="headerRow"/>
      <tableStyleElement dxfId="5" type="firstRowStripe"/>
      <tableStyleElement dxfId="6" type="secondRowStripe"/>
    </tableStyle>
    <tableStyle count="3" pivot="0" name="Lists-style">
      <tableStyleElement dxfId="4" type="headerRow"/>
      <tableStyleElement dxfId="6" type="firstRowStripe"/>
      <tableStyleElement dxfId="6" type="secondRowStripe"/>
    </tableStyle>
    <tableStyle count="3" pivot="0" name="Lists-style 2">
      <tableStyleElement dxfId="4" type="headerRow"/>
      <tableStyleElement dxfId="6" type="firstRowStripe"/>
      <tableStyleElement dxfId="6" type="secondRowStripe"/>
    </tableStyle>
    <tableStyle count="3" pivot="0" name="Lists-style 3">
      <tableStyleElement dxfId="4" type="headerRow"/>
      <tableStyleElement dxfId="6" type="firstRowStripe"/>
      <tableStyleElement dxfId="6" type="secondRowStripe"/>
    </tableStyle>
    <tableStyle count="3" pivot="0" name="Lists-style 4">
      <tableStyleElement dxfId="4" type="headerRow"/>
      <tableStyleElement dxfId="6" type="firstRowStripe"/>
      <tableStyleElement dxfId="6" type="secondRowStripe"/>
    </tableStyle>
    <tableStyle count="3" pivot="0" name="Lists-style 5">
      <tableStyleElement dxfId="4" type="headerRow"/>
      <tableStyleElement dxfId="6" type="firstRowStripe"/>
      <tableStyleElement dxfId="6" type="secondRowStripe"/>
    </tableStyle>
    <tableStyle count="3" pivot="0" name="Lists-style 6">
      <tableStyleElement dxfId="4" type="headerRow"/>
      <tableStyleElement dxfId="6" type="firstRowStripe"/>
      <tableStyleElement dxfId="6" type="secondRowStripe"/>
    </tableStyle>
    <tableStyle count="3" pivot="0" name="Lists-style 7">
      <tableStyleElement dxfId="4" type="headerRow"/>
      <tableStyleElement dxfId="6" type="firstRowStripe"/>
      <tableStyleElement dxfId="6" type="secondRowStripe"/>
    </tableStyle>
    <tableStyle count="3" pivot="0" name="Lists-style 8">
      <tableStyleElement dxfId="4" type="headerRow"/>
      <tableStyleElement dxfId="6" type="firstRowStripe"/>
      <tableStyleElement dxfId="6" type="secondRowStripe"/>
    </tableStyle>
    <tableStyle count="3" pivot="0" name="Lists-style 9">
      <tableStyleElement dxfId="4" type="headerRow"/>
      <tableStyleElement dxfId="6" type="firstRowStripe"/>
      <tableStyleElement dxfId="6" type="secondRowStripe"/>
    </tableStyle>
    <tableStyle count="3" pivot="0" name="Lists-style 10">
      <tableStyleElement dxfId="4" type="headerRow"/>
      <tableStyleElement dxfId="6" type="firstRowStripe"/>
      <tableStyleElement dxfId="6" type="secondRowStripe"/>
    </tableStyle>
    <tableStyle count="3" pivot="0" name="Lists-style 11">
      <tableStyleElement dxfId="4" type="headerRow"/>
      <tableStyleElement dxfId="6" type="firstRowStripe"/>
      <tableStyleElement dxfId="6" type="secondRowStripe"/>
    </tableStyle>
    <tableStyle count="3" pivot="0" name="Lists-style 12">
      <tableStyleElement dxfId="4" type="headerRow"/>
      <tableStyleElement dxfId="6" type="firstRowStripe"/>
      <tableStyleElement dxfId="6" type="secondRowStripe"/>
    </tableStyle>
    <tableStyle count="3" pivot="0" name="Users-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1.xml.rels><?xml version="1.0" encoding="UTF-8" standalone="yes"?><Relationships xmlns="http://schemas.openxmlformats.org/package/2006/relationships"><Relationship Id="rId20" Type="http://schemas.openxmlformats.org/officeDocument/2006/relationships/image" Target="../media/image36.png"/><Relationship Id="rId22" Type="http://schemas.openxmlformats.org/officeDocument/2006/relationships/image" Target="../media/image40.png"/><Relationship Id="rId21" Type="http://schemas.openxmlformats.org/officeDocument/2006/relationships/image" Target="../media/image1.png"/><Relationship Id="rId24" Type="http://schemas.openxmlformats.org/officeDocument/2006/relationships/image" Target="../media/image26.png"/><Relationship Id="rId23" Type="http://schemas.openxmlformats.org/officeDocument/2006/relationships/image" Target="../media/image33.png"/><Relationship Id="rId1" Type="http://schemas.openxmlformats.org/officeDocument/2006/relationships/image" Target="../media/image12.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35.png"/><Relationship Id="rId9" Type="http://schemas.openxmlformats.org/officeDocument/2006/relationships/image" Target="../media/image17.png"/><Relationship Id="rId26" Type="http://schemas.openxmlformats.org/officeDocument/2006/relationships/image" Target="../media/image16.png"/><Relationship Id="rId25" Type="http://schemas.openxmlformats.org/officeDocument/2006/relationships/image" Target="../media/image18.png"/><Relationship Id="rId28" Type="http://schemas.openxmlformats.org/officeDocument/2006/relationships/image" Target="../media/image6.png"/><Relationship Id="rId27" Type="http://schemas.openxmlformats.org/officeDocument/2006/relationships/image" Target="../media/image15.png"/><Relationship Id="rId5" Type="http://schemas.openxmlformats.org/officeDocument/2006/relationships/image" Target="../media/image25.png"/><Relationship Id="rId6" Type="http://schemas.openxmlformats.org/officeDocument/2006/relationships/image" Target="../media/image30.png"/><Relationship Id="rId29" Type="http://schemas.openxmlformats.org/officeDocument/2006/relationships/image" Target="../media/image29.png"/><Relationship Id="rId7" Type="http://schemas.openxmlformats.org/officeDocument/2006/relationships/image" Target="../media/image34.png"/><Relationship Id="rId8" Type="http://schemas.openxmlformats.org/officeDocument/2006/relationships/image" Target="../media/image23.png"/><Relationship Id="rId31" Type="http://schemas.openxmlformats.org/officeDocument/2006/relationships/image" Target="../media/image21.png"/><Relationship Id="rId30" Type="http://schemas.openxmlformats.org/officeDocument/2006/relationships/image" Target="../media/image27.png"/><Relationship Id="rId11" Type="http://schemas.openxmlformats.org/officeDocument/2006/relationships/image" Target="../media/image3.png"/><Relationship Id="rId33" Type="http://schemas.openxmlformats.org/officeDocument/2006/relationships/image" Target="../media/image22.png"/><Relationship Id="rId10" Type="http://schemas.openxmlformats.org/officeDocument/2006/relationships/image" Target="../media/image14.png"/><Relationship Id="rId32" Type="http://schemas.openxmlformats.org/officeDocument/2006/relationships/image" Target="../media/image19.png"/><Relationship Id="rId13" Type="http://schemas.openxmlformats.org/officeDocument/2006/relationships/image" Target="../media/image9.png"/><Relationship Id="rId35" Type="http://schemas.openxmlformats.org/officeDocument/2006/relationships/image" Target="../media/image11.png"/><Relationship Id="rId12" Type="http://schemas.openxmlformats.org/officeDocument/2006/relationships/image" Target="../media/image37.png"/><Relationship Id="rId34" Type="http://schemas.openxmlformats.org/officeDocument/2006/relationships/image" Target="../media/image20.png"/><Relationship Id="rId15" Type="http://schemas.openxmlformats.org/officeDocument/2006/relationships/image" Target="../media/image7.png"/><Relationship Id="rId37" Type="http://schemas.openxmlformats.org/officeDocument/2006/relationships/image" Target="../media/image13.png"/><Relationship Id="rId14" Type="http://schemas.openxmlformats.org/officeDocument/2006/relationships/image" Target="../media/image8.png"/><Relationship Id="rId36" Type="http://schemas.openxmlformats.org/officeDocument/2006/relationships/image" Target="../media/image10.png"/><Relationship Id="rId17" Type="http://schemas.openxmlformats.org/officeDocument/2006/relationships/image" Target="../media/image2.png"/><Relationship Id="rId16" Type="http://schemas.openxmlformats.org/officeDocument/2006/relationships/image" Target="../media/image28.png"/><Relationship Id="rId19" Type="http://schemas.openxmlformats.org/officeDocument/2006/relationships/image" Target="../media/image31.png"/><Relationship Id="rId18" Type="http://schemas.openxmlformats.org/officeDocument/2006/relationships/image" Target="../media/image2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4.png"/><Relationship Id="rId3" Type="http://schemas.openxmlformats.org/officeDocument/2006/relationships/image" Target="../media/image38.png"/><Relationship Id="rId4" Type="http://schemas.openxmlformats.org/officeDocument/2006/relationships/image" Target="../media/image41.png"/><Relationship Id="rId9" Type="http://schemas.openxmlformats.org/officeDocument/2006/relationships/image" Target="../media/image49.png"/><Relationship Id="rId5" Type="http://schemas.openxmlformats.org/officeDocument/2006/relationships/image" Target="../media/image62.png"/><Relationship Id="rId6" Type="http://schemas.openxmlformats.org/officeDocument/2006/relationships/image" Target="../media/image32.png"/><Relationship Id="rId7" Type="http://schemas.openxmlformats.org/officeDocument/2006/relationships/image" Target="../media/image50.png"/><Relationship Id="rId8" Type="http://schemas.openxmlformats.org/officeDocument/2006/relationships/image" Target="../media/image43.png"/><Relationship Id="rId11" Type="http://schemas.openxmlformats.org/officeDocument/2006/relationships/image" Target="../media/image46.png"/><Relationship Id="rId10" Type="http://schemas.openxmlformats.org/officeDocument/2006/relationships/image" Target="../media/image39.png"/><Relationship Id="rId13" Type="http://schemas.openxmlformats.org/officeDocument/2006/relationships/image" Target="../media/image65.png"/><Relationship Id="rId12" Type="http://schemas.openxmlformats.org/officeDocument/2006/relationships/image" Target="../media/image5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7.png"/></Relationships>
</file>

<file path=xl/drawings/_rels/drawing6.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9.png"/><Relationship Id="rId3" Type="http://schemas.openxmlformats.org/officeDocument/2006/relationships/image" Target="../media/image51.png"/><Relationship Id="rId4" Type="http://schemas.openxmlformats.org/officeDocument/2006/relationships/image" Target="../media/image55.png"/><Relationship Id="rId9" Type="http://schemas.openxmlformats.org/officeDocument/2006/relationships/image" Target="../media/image45.png"/><Relationship Id="rId5" Type="http://schemas.openxmlformats.org/officeDocument/2006/relationships/image" Target="../media/image42.png"/><Relationship Id="rId6" Type="http://schemas.openxmlformats.org/officeDocument/2006/relationships/image" Target="../media/image47.png"/><Relationship Id="rId7" Type="http://schemas.openxmlformats.org/officeDocument/2006/relationships/image" Target="../media/image52.png"/><Relationship Id="rId8" Type="http://schemas.openxmlformats.org/officeDocument/2006/relationships/image" Target="../media/image48.png"/></Relationships>
</file>

<file path=xl/drawings/_rels/drawing7.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9.png"/><Relationship Id="rId3" Type="http://schemas.openxmlformats.org/officeDocument/2006/relationships/image" Target="../media/image51.png"/><Relationship Id="rId4" Type="http://schemas.openxmlformats.org/officeDocument/2006/relationships/image" Target="../media/image55.png"/><Relationship Id="rId9" Type="http://schemas.openxmlformats.org/officeDocument/2006/relationships/image" Target="../media/image58.png"/><Relationship Id="rId5" Type="http://schemas.openxmlformats.org/officeDocument/2006/relationships/image" Target="../media/image42.png"/><Relationship Id="rId6" Type="http://schemas.openxmlformats.org/officeDocument/2006/relationships/image" Target="../media/image47.png"/><Relationship Id="rId7" Type="http://schemas.openxmlformats.org/officeDocument/2006/relationships/image" Target="../media/image52.png"/><Relationship Id="rId8" Type="http://schemas.openxmlformats.org/officeDocument/2006/relationships/image" Target="../media/image61.png"/><Relationship Id="rId11" Type="http://schemas.openxmlformats.org/officeDocument/2006/relationships/image" Target="../media/image44.png"/><Relationship Id="rId10" Type="http://schemas.openxmlformats.org/officeDocument/2006/relationships/image" Target="../media/image48.png"/><Relationship Id="rId12" Type="http://schemas.openxmlformats.org/officeDocument/2006/relationships/image" Target="../media/image4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9.png"/><Relationship Id="rId3" Type="http://schemas.openxmlformats.org/officeDocument/2006/relationships/image" Target="../media/image51.png"/><Relationship Id="rId4" Type="http://schemas.openxmlformats.org/officeDocument/2006/relationships/image" Target="../media/image55.png"/><Relationship Id="rId9" Type="http://schemas.openxmlformats.org/officeDocument/2006/relationships/image" Target="../media/image58.png"/><Relationship Id="rId5" Type="http://schemas.openxmlformats.org/officeDocument/2006/relationships/image" Target="../media/image42.png"/><Relationship Id="rId6" Type="http://schemas.openxmlformats.org/officeDocument/2006/relationships/image" Target="../media/image47.png"/><Relationship Id="rId7" Type="http://schemas.openxmlformats.org/officeDocument/2006/relationships/image" Target="../media/image52.png"/><Relationship Id="rId8" Type="http://schemas.openxmlformats.org/officeDocument/2006/relationships/image" Target="../media/image61.png"/><Relationship Id="rId11" Type="http://schemas.openxmlformats.org/officeDocument/2006/relationships/image" Target="../media/image44.png"/><Relationship Id="rId10" Type="http://schemas.openxmlformats.org/officeDocument/2006/relationships/image" Target="../media/image48.png"/><Relationship Id="rId12"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9.png"/><Relationship Id="rId3" Type="http://schemas.openxmlformats.org/officeDocument/2006/relationships/image" Target="../media/image51.png"/><Relationship Id="rId4" Type="http://schemas.openxmlformats.org/officeDocument/2006/relationships/image" Target="../media/image55.png"/><Relationship Id="rId9" Type="http://schemas.openxmlformats.org/officeDocument/2006/relationships/image" Target="../media/image48.png"/><Relationship Id="rId5" Type="http://schemas.openxmlformats.org/officeDocument/2006/relationships/image" Target="../media/image42.png"/><Relationship Id="rId6" Type="http://schemas.openxmlformats.org/officeDocument/2006/relationships/image" Target="../media/image47.png"/><Relationship Id="rId7" Type="http://schemas.openxmlformats.org/officeDocument/2006/relationships/image" Target="../media/image52.png"/><Relationship Id="rId8" Type="http://schemas.openxmlformats.org/officeDocument/2006/relationships/image" Target="../media/image61.png"/><Relationship Id="rId11" Type="http://schemas.openxmlformats.org/officeDocument/2006/relationships/image" Target="../media/image45.png"/><Relationship Id="rId10" Type="http://schemas.openxmlformats.org/officeDocument/2006/relationships/image" Target="../media/image4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9.png"/><Relationship Id="rId3" Type="http://schemas.openxmlformats.org/officeDocument/2006/relationships/image" Target="../media/image51.png"/><Relationship Id="rId4" Type="http://schemas.openxmlformats.org/officeDocument/2006/relationships/image" Target="../media/image55.png"/><Relationship Id="rId9" Type="http://schemas.openxmlformats.org/officeDocument/2006/relationships/image" Target="../media/image45.png"/><Relationship Id="rId5" Type="http://schemas.openxmlformats.org/officeDocument/2006/relationships/image" Target="../media/image42.png"/><Relationship Id="rId6" Type="http://schemas.openxmlformats.org/officeDocument/2006/relationships/image" Target="../media/image47.png"/><Relationship Id="rId7" Type="http://schemas.openxmlformats.org/officeDocument/2006/relationships/image" Target="../media/image52.png"/><Relationship Id="rId8" Type="http://schemas.openxmlformats.org/officeDocument/2006/relationships/image" Target="../media/image4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57.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44.png"/><Relationship Id="rId5" Type="http://schemas.openxmlformats.org/officeDocument/2006/relationships/image" Target="../media/image73.png"/><Relationship Id="rId6" Type="http://schemas.openxmlformats.org/officeDocument/2006/relationships/image" Target="../media/image63.jpg"/><Relationship Id="rId7" Type="http://schemas.openxmlformats.org/officeDocument/2006/relationships/image" Target="../media/image58.png"/><Relationship Id="rId8" Type="http://schemas.openxmlformats.org/officeDocument/2006/relationships/image" Target="../media/image60.png"/><Relationship Id="rId11" Type="http://schemas.openxmlformats.org/officeDocument/2006/relationships/image" Target="../media/image45.png"/><Relationship Id="rId10" Type="http://schemas.openxmlformats.org/officeDocument/2006/relationships/image" Target="../media/image7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57.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44.png"/><Relationship Id="rId5" Type="http://schemas.openxmlformats.org/officeDocument/2006/relationships/image" Target="../media/image73.png"/><Relationship Id="rId6" Type="http://schemas.openxmlformats.org/officeDocument/2006/relationships/image" Target="../media/image63.jpg"/><Relationship Id="rId7" Type="http://schemas.openxmlformats.org/officeDocument/2006/relationships/image" Target="../media/image58.png"/><Relationship Id="rId8" Type="http://schemas.openxmlformats.org/officeDocument/2006/relationships/image" Target="../media/image60.png"/><Relationship Id="rId11" Type="http://schemas.openxmlformats.org/officeDocument/2006/relationships/image" Target="../media/image45.png"/><Relationship Id="rId10" Type="http://schemas.openxmlformats.org/officeDocument/2006/relationships/image" Target="../media/image7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57.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44.png"/><Relationship Id="rId5" Type="http://schemas.openxmlformats.org/officeDocument/2006/relationships/image" Target="../media/image73.png"/><Relationship Id="rId6" Type="http://schemas.openxmlformats.org/officeDocument/2006/relationships/image" Target="../media/image63.jpg"/><Relationship Id="rId7" Type="http://schemas.openxmlformats.org/officeDocument/2006/relationships/image" Target="../media/image58.png"/><Relationship Id="rId8" Type="http://schemas.openxmlformats.org/officeDocument/2006/relationships/image" Target="../media/image60.png"/><Relationship Id="rId11" Type="http://schemas.openxmlformats.org/officeDocument/2006/relationships/image" Target="../media/image45.png"/><Relationship Id="rId10" Type="http://schemas.openxmlformats.org/officeDocument/2006/relationships/image" Target="../media/image7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57.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44.png"/><Relationship Id="rId5" Type="http://schemas.openxmlformats.org/officeDocument/2006/relationships/image" Target="../media/image73.png"/><Relationship Id="rId6" Type="http://schemas.openxmlformats.org/officeDocument/2006/relationships/image" Target="../media/image63.jpg"/><Relationship Id="rId7" Type="http://schemas.openxmlformats.org/officeDocument/2006/relationships/image" Target="../media/image58.png"/><Relationship Id="rId8" Type="http://schemas.openxmlformats.org/officeDocument/2006/relationships/image" Target="../media/image60.png"/><Relationship Id="rId11" Type="http://schemas.openxmlformats.org/officeDocument/2006/relationships/image" Target="../media/image45.png"/><Relationship Id="rId10" Type="http://schemas.openxmlformats.org/officeDocument/2006/relationships/image" Target="../media/image7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63.jpg"/><Relationship Id="rId3" Type="http://schemas.openxmlformats.org/officeDocument/2006/relationships/image" Target="../media/image71.png"/><Relationship Id="rId4" Type="http://schemas.openxmlformats.org/officeDocument/2006/relationships/image" Target="../media/image57.png"/><Relationship Id="rId9" Type="http://schemas.openxmlformats.org/officeDocument/2006/relationships/image" Target="../media/image44.png"/><Relationship Id="rId5" Type="http://schemas.openxmlformats.org/officeDocument/2006/relationships/image" Target="../media/image64.png"/><Relationship Id="rId6" Type="http://schemas.openxmlformats.org/officeDocument/2006/relationships/image" Target="../media/image52.png"/><Relationship Id="rId7" Type="http://schemas.openxmlformats.org/officeDocument/2006/relationships/image" Target="../media/image58.png"/><Relationship Id="rId8" Type="http://schemas.openxmlformats.org/officeDocument/2006/relationships/image" Target="../media/image60.png"/><Relationship Id="rId11" Type="http://schemas.openxmlformats.org/officeDocument/2006/relationships/image" Target="../media/image45.png"/><Relationship Id="rId10" Type="http://schemas.openxmlformats.org/officeDocument/2006/relationships/image" Target="../media/image7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1.png"/><Relationship Id="rId2" Type="http://schemas.openxmlformats.org/officeDocument/2006/relationships/image" Target="../media/image57.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45.png"/><Relationship Id="rId5" Type="http://schemas.openxmlformats.org/officeDocument/2006/relationships/image" Target="../media/image73.png"/><Relationship Id="rId6" Type="http://schemas.openxmlformats.org/officeDocument/2006/relationships/image" Target="../media/image63.jpg"/><Relationship Id="rId7" Type="http://schemas.openxmlformats.org/officeDocument/2006/relationships/image" Target="../media/image60.png"/><Relationship Id="rId8" Type="http://schemas.openxmlformats.org/officeDocument/2006/relationships/image" Target="../media/image4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6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7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14</xdr:row>
      <xdr:rowOff>95250</xdr:rowOff>
    </xdr:from>
    <xdr:ext cx="3305175" cy="428625"/>
    <xdr:pic>
      <xdr:nvPicPr>
        <xdr:cNvPr id="0" name="image12.png" title="nav_F1"/>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257175</xdr:colOff>
      <xdr:row>17</xdr:row>
      <xdr:rowOff>57150</xdr:rowOff>
    </xdr:from>
    <xdr:ext cx="3305175" cy="428625"/>
    <xdr:pic>
      <xdr:nvPicPr>
        <xdr:cNvPr descr="Licence Form" id="0" name="image5.png" title="nav_F2"/>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257175</xdr:colOff>
      <xdr:row>20</xdr:row>
      <xdr:rowOff>28575</xdr:rowOff>
    </xdr:from>
    <xdr:ext cx="3305175" cy="428625"/>
    <xdr:pic>
      <xdr:nvPicPr>
        <xdr:cNvPr descr="Clearance Form" id="0" name="image4.png" title="nav_F3"/>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22</xdr:row>
      <xdr:rowOff>19050</xdr:rowOff>
    </xdr:from>
    <xdr:ext cx="3305175" cy="428625"/>
    <xdr:pic>
      <xdr:nvPicPr>
        <xdr:cNvPr descr="Bill Form" id="0" name="image35.png" title="nav_F4"/>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257175</xdr:colOff>
      <xdr:row>24</xdr:row>
      <xdr:rowOff>161925</xdr:rowOff>
    </xdr:from>
    <xdr:ext cx="3305175" cy="428625"/>
    <xdr:pic>
      <xdr:nvPicPr>
        <xdr:cNvPr id="0" name="image25.png" title="nav_F5"/>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971550</xdr:colOff>
      <xdr:row>4</xdr:row>
      <xdr:rowOff>180975</xdr:rowOff>
    </xdr:from>
    <xdr:ext cx="3305175" cy="428625"/>
    <xdr:pic>
      <xdr:nvPicPr>
        <xdr:cNvPr descr="Companies" id="0" name="image30.png" title="nav_R1"/>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971550</xdr:colOff>
      <xdr:row>7</xdr:row>
      <xdr:rowOff>142875</xdr:rowOff>
    </xdr:from>
    <xdr:ext cx="3305175" cy="428625"/>
    <xdr:pic>
      <xdr:nvPicPr>
        <xdr:cNvPr descr="Licences &amp; Certificates" id="0" name="image34.png" title="nav_R2"/>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971550</xdr:colOff>
      <xdr:row>16</xdr:row>
      <xdr:rowOff>38100</xdr:rowOff>
    </xdr:from>
    <xdr:ext cx="3305175" cy="428625"/>
    <xdr:pic>
      <xdr:nvPicPr>
        <xdr:cNvPr descr="Chemical Clearances" id="0" name="image23.png" title="nav_R3"/>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971550</xdr:colOff>
      <xdr:row>19</xdr:row>
      <xdr:rowOff>0</xdr:rowOff>
    </xdr:from>
    <xdr:ext cx="3305175" cy="428625"/>
    <xdr:pic>
      <xdr:nvPicPr>
        <xdr:cNvPr descr="Bills &amp; Invoices" id="0" name="image17.png" title="nav_R4"/>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971550</xdr:colOff>
      <xdr:row>21</xdr:row>
      <xdr:rowOff>152400</xdr:rowOff>
    </xdr:from>
    <xdr:ext cx="3305175" cy="428625"/>
    <xdr:pic>
      <xdr:nvPicPr>
        <xdr:cNvPr descr="Payments &amp; Receipts" id="0" name="image14.png" title="nav_R5"/>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971550</xdr:colOff>
      <xdr:row>23</xdr:row>
      <xdr:rowOff>142875</xdr:rowOff>
    </xdr:from>
    <xdr:ext cx="3305175" cy="428625"/>
    <xdr:pic>
      <xdr:nvPicPr>
        <xdr:cNvPr descr="Notes &amp; Issues" id="0" name="image3.png" title="nav_R6"/>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581025</xdr:colOff>
      <xdr:row>24</xdr:row>
      <xdr:rowOff>9525</xdr:rowOff>
    </xdr:from>
    <xdr:ext cx="3305175" cy="428625"/>
    <xdr:pic>
      <xdr:nvPicPr>
        <xdr:cNvPr descr="Dashboard" id="0" name="image37.png" title="nav_A1"/>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581025</xdr:colOff>
      <xdr:row>29</xdr:row>
      <xdr:rowOff>123825</xdr:rowOff>
    </xdr:from>
    <xdr:ext cx="3305175" cy="428625"/>
    <xdr:pic>
      <xdr:nvPicPr>
        <xdr:cNvPr descr="Lists" id="0" name="image9.png" title="nav_A2"/>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257175</xdr:colOff>
      <xdr:row>30</xdr:row>
      <xdr:rowOff>142875</xdr:rowOff>
    </xdr:from>
    <xdr:ext cx="3305175" cy="428625"/>
    <xdr:pic>
      <xdr:nvPicPr>
        <xdr:cNvPr descr="SRC BMMC Log" id="0" name="image8.png" title="nav_A3"/>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257175</xdr:colOff>
      <xdr:row>33</xdr:row>
      <xdr:rowOff>114300</xdr:rowOff>
    </xdr:from>
    <xdr:ext cx="3305175" cy="428625"/>
    <xdr:pic>
      <xdr:nvPicPr>
        <xdr:cNvPr descr="SRC CMU Receipts" id="0" name="image7.png" title="nav_A4"/>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581025</xdr:colOff>
      <xdr:row>32</xdr:row>
      <xdr:rowOff>85725</xdr:rowOff>
    </xdr:from>
    <xdr:ext cx="3305175" cy="428625"/>
    <xdr:pic>
      <xdr:nvPicPr>
        <xdr:cNvPr descr="Macro Setup" id="0" name="image28.png" title="nav_A5"/>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581025</xdr:colOff>
      <xdr:row>4</xdr:row>
      <xdr:rowOff>180975</xdr:rowOff>
    </xdr:from>
    <xdr:ext cx="3305175" cy="428625"/>
    <xdr:pic>
      <xdr:nvPicPr>
        <xdr:cNvPr descr="Print CRL" id="0" name="image2.png" title="nav_A6"/>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581025</xdr:colOff>
      <xdr:row>7</xdr:row>
      <xdr:rowOff>142875</xdr:rowOff>
    </xdr:from>
    <xdr:ext cx="3305175" cy="428625"/>
    <xdr:pic>
      <xdr:nvPicPr>
        <xdr:cNvPr descr="Print CIL" id="0" name="image24.png" title="nav_A7"/>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581025</xdr:colOff>
      <xdr:row>19</xdr:row>
      <xdr:rowOff>0</xdr:rowOff>
    </xdr:from>
    <xdr:ext cx="3305175" cy="428625"/>
    <xdr:pic>
      <xdr:nvPicPr>
        <xdr:cNvPr descr="Print Bill" id="0" name="image31.png" title="nav_A8"/>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971550</xdr:colOff>
      <xdr:row>10</xdr:row>
      <xdr:rowOff>104775</xdr:rowOff>
    </xdr:from>
    <xdr:ext cx="3305175" cy="428625"/>
    <xdr:pic>
      <xdr:nvPicPr>
        <xdr:cNvPr descr="Licence Chemicals" id="0" name="image36.png" title="nav_R8"/>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581025</xdr:colOff>
      <xdr:row>16</xdr:row>
      <xdr:rowOff>38100</xdr:rowOff>
    </xdr:from>
    <xdr:ext cx="3305175" cy="428625"/>
    <xdr:pic>
      <xdr:nvPicPr>
        <xdr:cNvPr descr="Print Clearance" id="0" name="image1.png" title="nav_A9"/>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581025</xdr:colOff>
      <xdr:row>26</xdr:row>
      <xdr:rowOff>161925</xdr:rowOff>
    </xdr:from>
    <xdr:ext cx="3305175" cy="428625"/>
    <xdr:pic>
      <xdr:nvPicPr>
        <xdr:cNvPr descr="Fee Schedule" id="0" name="image40.png" title="nav_R9"/>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257175</xdr:colOff>
      <xdr:row>4</xdr:row>
      <xdr:rowOff>180975</xdr:rowOff>
    </xdr:from>
    <xdr:ext cx="3305175" cy="581025"/>
    <xdr:pic>
      <xdr:nvPicPr>
        <xdr:cNvPr id="0" name="image33.png" title="btnNewBill"/>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257175</xdr:colOff>
      <xdr:row>8</xdr:row>
      <xdr:rowOff>114300</xdr:rowOff>
    </xdr:from>
    <xdr:ext cx="3305175" cy="428625"/>
    <xdr:pic>
      <xdr:nvPicPr>
        <xdr:cNvPr id="0" name="image26.png" title="btnFindAny"/>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257175</xdr:colOff>
      <xdr:row>2</xdr:row>
      <xdr:rowOff>180975</xdr:rowOff>
    </xdr:from>
    <xdr:ext cx="3305175" cy="276225"/>
    <xdr:pic>
      <xdr:nvPicPr>
        <xdr:cNvPr id="0" name="image18.png" title="hdr_0_0"/>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257175</xdr:colOff>
      <xdr:row>12</xdr:row>
      <xdr:rowOff>76200</xdr:rowOff>
    </xdr:from>
    <xdr:ext cx="3305175" cy="276225"/>
    <xdr:pic>
      <xdr:nvPicPr>
        <xdr:cNvPr id="0" name="image16.png" title="hdr_0_1"/>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971550</xdr:colOff>
      <xdr:row>2</xdr:row>
      <xdr:rowOff>180975</xdr:rowOff>
    </xdr:from>
    <xdr:ext cx="3305175" cy="276225"/>
    <xdr:pic>
      <xdr:nvPicPr>
        <xdr:cNvPr id="0" name="image15.png" title="hdr_1_0"/>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581025</xdr:colOff>
      <xdr:row>2</xdr:row>
      <xdr:rowOff>180975</xdr:rowOff>
    </xdr:from>
    <xdr:ext cx="3305175" cy="276225"/>
    <xdr:pic>
      <xdr:nvPicPr>
        <xdr:cNvPr id="0" name="image6.png" title="hdr_2_0"/>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581025</xdr:colOff>
      <xdr:row>21</xdr:row>
      <xdr:rowOff>323850</xdr:rowOff>
    </xdr:from>
    <xdr:ext cx="3305175" cy="276225"/>
    <xdr:pic>
      <xdr:nvPicPr>
        <xdr:cNvPr id="0" name="image29.png" title="hdr_2_1"/>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971550</xdr:colOff>
      <xdr:row>27</xdr:row>
      <xdr:rowOff>104775</xdr:rowOff>
    </xdr:from>
    <xdr:ext cx="3305175" cy="276225"/>
    <xdr:pic>
      <xdr:nvPicPr>
        <xdr:cNvPr id="0" name="image27.png" title="hdr_acct"/>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971550</xdr:colOff>
      <xdr:row>29</xdr:row>
      <xdr:rowOff>123825</xdr:rowOff>
    </xdr:from>
    <xdr:ext cx="3305175" cy="428625"/>
    <xdr:pic>
      <xdr:nvPicPr>
        <xdr:cNvPr id="0" name="image21.png" title="btnUsers"/>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971550</xdr:colOff>
      <xdr:row>32</xdr:row>
      <xdr:rowOff>85725</xdr:rowOff>
    </xdr:from>
    <xdr:ext cx="3305175" cy="428625"/>
    <xdr:pic>
      <xdr:nvPicPr>
        <xdr:cNvPr id="0" name="image19.png" title="btnMyPwd"/>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971550</xdr:colOff>
      <xdr:row>35</xdr:row>
      <xdr:rowOff>57150</xdr:rowOff>
    </xdr:from>
    <xdr:ext cx="3305175" cy="428625"/>
    <xdr:pic>
      <xdr:nvPicPr>
        <xdr:cNvPr id="0" name="image22.png" title="btnLogout"/>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971550</xdr:colOff>
      <xdr:row>13</xdr:row>
      <xdr:rowOff>76200</xdr:rowOff>
    </xdr:from>
    <xdr:ext cx="3305175" cy="428625"/>
    <xdr:pic>
      <xdr:nvPicPr>
        <xdr:cNvPr descr="Licence Effluent" id="0" name="image20.png" title="nav_R10"/>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581025</xdr:colOff>
      <xdr:row>10</xdr:row>
      <xdr:rowOff>104775</xdr:rowOff>
    </xdr:from>
    <xdr:ext cx="3305175" cy="428625"/>
    <xdr:pic>
      <xdr:nvPicPr>
        <xdr:cNvPr descr="Print EDL" id="0" name="image11.png" title="nav_A10"/>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581025</xdr:colOff>
      <xdr:row>13</xdr:row>
      <xdr:rowOff>76200</xdr:rowOff>
    </xdr:from>
    <xdr:ext cx="3305175" cy="428625"/>
    <xdr:pic>
      <xdr:nvPicPr>
        <xdr:cNvPr descr="Print EDL RP" id="0" name="image10.png" title="nav_A11"/>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257175</xdr:colOff>
      <xdr:row>28</xdr:row>
      <xdr:rowOff>123825</xdr:rowOff>
    </xdr:from>
    <xdr:ext cx="3305175" cy="276225"/>
    <xdr:pic>
      <xdr:nvPicPr>
        <xdr:cNvPr id="0" name="image13.png" title="hdr_src"/>
        <xdr:cNvPicPr preferRelativeResize="0"/>
      </xdr:nvPicPr>
      <xdr:blipFill>
        <a:blip cstate="print" r:embed="rId3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71</xdr:row>
      <xdr:rowOff>95250</xdr:rowOff>
    </xdr:from>
    <xdr:ext cx="9658350" cy="6372225"/>
    <xdr:pic>
      <xdr:nvPicPr>
        <xdr:cNvPr id="0" name="image53.png" title="fig_img_m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381000</xdr:colOff>
      <xdr:row>150</xdr:row>
      <xdr:rowOff>133350</xdr:rowOff>
    </xdr:from>
    <xdr:ext cx="8896350" cy="2124075"/>
    <xdr:pic>
      <xdr:nvPicPr>
        <xdr:cNvPr id="0" name="image54.png" title="fig_img_cf"/>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381000</xdr:colOff>
      <xdr:row>177</xdr:row>
      <xdr:rowOff>104775</xdr:rowOff>
    </xdr:from>
    <xdr:ext cx="8896350" cy="5200650"/>
    <xdr:pic>
      <xdr:nvPicPr>
        <xdr:cNvPr id="0" name="image38.png" title="fig_img_lf"/>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220</xdr:row>
      <xdr:rowOff>133350</xdr:rowOff>
    </xdr:from>
    <xdr:ext cx="9658350" cy="5572125"/>
    <xdr:pic>
      <xdr:nvPicPr>
        <xdr:cNvPr id="0" name="image41.png" title="fig_img_clf"/>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381000</xdr:colOff>
      <xdr:row>272</xdr:row>
      <xdr:rowOff>180975</xdr:rowOff>
    </xdr:from>
    <xdr:ext cx="8896350" cy="4591050"/>
    <xdr:pic>
      <xdr:nvPicPr>
        <xdr:cNvPr id="0" name="image62.png" title="fig_img_bf"/>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381000</xdr:colOff>
      <xdr:row>304</xdr:row>
      <xdr:rowOff>76200</xdr:rowOff>
    </xdr:from>
    <xdr:ext cx="8896350" cy="2590800"/>
    <xdr:pic>
      <xdr:nvPicPr>
        <xdr:cNvPr id="0" name="image32.png" title="fig_img_pf"/>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338</xdr:row>
      <xdr:rowOff>9525</xdr:rowOff>
    </xdr:from>
    <xdr:ext cx="9658350" cy="7048500"/>
    <xdr:pic>
      <xdr:nvPicPr>
        <xdr:cNvPr id="0" name="image50.png" title="fig_img_pc"/>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381000</xdr:colOff>
      <xdr:row>394</xdr:row>
      <xdr:rowOff>47625</xdr:rowOff>
    </xdr:from>
    <xdr:ext cx="8896350" cy="6448425"/>
    <xdr:pic>
      <xdr:nvPicPr>
        <xdr:cNvPr id="0" name="image43.png" title="fig_img_pb"/>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435</xdr:row>
      <xdr:rowOff>28575</xdr:rowOff>
    </xdr:from>
    <xdr:ext cx="9658350" cy="1323975"/>
    <xdr:pic>
      <xdr:nvPicPr>
        <xdr:cNvPr id="0" name="image49.png" title="fig_img_clr"/>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461</xdr:row>
      <xdr:rowOff>47625</xdr:rowOff>
    </xdr:from>
    <xdr:ext cx="9658350" cy="2819400"/>
    <xdr:pic>
      <xdr:nvPicPr>
        <xdr:cNvPr id="0" name="image39.png" title="fig_img_dash"/>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488</xdr:row>
      <xdr:rowOff>133350</xdr:rowOff>
    </xdr:from>
    <xdr:ext cx="9658350" cy="2543175"/>
    <xdr:pic>
      <xdr:nvPicPr>
        <xdr:cNvPr id="0" name="image46.png" title="fig_img_ni"/>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381000</xdr:colOff>
      <xdr:row>508</xdr:row>
      <xdr:rowOff>142875</xdr:rowOff>
    </xdr:from>
    <xdr:ext cx="8896350" cy="4238625"/>
    <xdr:pic>
      <xdr:nvPicPr>
        <xdr:cNvPr id="0" name="image56.png" title="fig_img_fe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56</xdr:row>
      <xdr:rowOff>95250</xdr:rowOff>
    </xdr:from>
    <xdr:ext cx="9610725" cy="1524000"/>
    <xdr:pic>
      <xdr:nvPicPr>
        <xdr:cNvPr id="0" name="image65.png" title="flow_diagram"/>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4</xdr:row>
      <xdr:rowOff>19050</xdr:rowOff>
    </xdr:from>
    <xdr:ext cx="2095500" cy="381000"/>
    <xdr:pic>
      <xdr:nvPicPr>
        <xdr:cNvPr id="0" name="image68.png" title="btnSav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xdr:colOff>
      <xdr:row>5</xdr:row>
      <xdr:rowOff>171450</xdr:rowOff>
    </xdr:from>
    <xdr:ext cx="2095500" cy="381000"/>
    <xdr:pic>
      <xdr:nvPicPr>
        <xdr:cNvPr id="0" name="image59.png" title="btnFind"/>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xdr:colOff>
      <xdr:row>7</xdr:row>
      <xdr:rowOff>19050</xdr:rowOff>
    </xdr:from>
    <xdr:ext cx="2095500" cy="381000"/>
    <xdr:pic>
      <xdr:nvPicPr>
        <xdr:cNvPr id="0" name="image51.png" title="btnUpdat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xdr:colOff>
      <xdr:row>8</xdr:row>
      <xdr:rowOff>171450</xdr:rowOff>
    </xdr:from>
    <xdr:ext cx="2095500" cy="381000"/>
    <xdr:pic>
      <xdr:nvPicPr>
        <xdr:cNvPr id="0" name="image55.png" title="btnDelet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95250</xdr:colOff>
      <xdr:row>10</xdr:row>
      <xdr:rowOff>142875</xdr:rowOff>
    </xdr:from>
    <xdr:ext cx="2095500" cy="381000"/>
    <xdr:pic>
      <xdr:nvPicPr>
        <xdr:cNvPr id="0" name="image42.png" title="btnCle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57150</xdr:colOff>
      <xdr:row>4</xdr:row>
      <xdr:rowOff>19050</xdr:rowOff>
    </xdr:from>
    <xdr:ext cx="2095500" cy="381000"/>
    <xdr:pic>
      <xdr:nvPicPr>
        <xdr:cNvPr id="0" name="image47.png" title="btnRegiste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57150</xdr:colOff>
      <xdr:row>5</xdr:row>
      <xdr:rowOff>171450</xdr:rowOff>
    </xdr:from>
    <xdr:ext cx="2095500" cy="381000"/>
    <xdr:pic>
      <xdr:nvPicPr>
        <xdr:cNvPr id="0" name="image52.png" title="btnMenu"/>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2</xdr:row>
      <xdr:rowOff>180975</xdr:rowOff>
    </xdr:from>
    <xdr:ext cx="2095500" cy="257175"/>
    <xdr:pic>
      <xdr:nvPicPr>
        <xdr:cNvPr id="0" name="image48.png" title="hdr_RECORD"/>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57150</xdr:colOff>
      <xdr:row>2</xdr:row>
      <xdr:rowOff>180975</xdr:rowOff>
    </xdr:from>
    <xdr:ext cx="2095500" cy="257175"/>
    <xdr:pic>
      <xdr:nvPicPr>
        <xdr:cNvPr id="0" name="image45.png" title="hdr_GO TO"/>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4</xdr:row>
      <xdr:rowOff>19050</xdr:rowOff>
    </xdr:from>
    <xdr:ext cx="2095500" cy="381000"/>
    <xdr:pic>
      <xdr:nvPicPr>
        <xdr:cNvPr id="0" name="image68.png" title="btnSav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390525</xdr:colOff>
      <xdr:row>5</xdr:row>
      <xdr:rowOff>171450</xdr:rowOff>
    </xdr:from>
    <xdr:ext cx="2095500" cy="381000"/>
    <xdr:pic>
      <xdr:nvPicPr>
        <xdr:cNvPr id="0" name="image59.png" title="btnFind"/>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390525</xdr:colOff>
      <xdr:row>7</xdr:row>
      <xdr:rowOff>19050</xdr:rowOff>
    </xdr:from>
    <xdr:ext cx="2095500" cy="381000"/>
    <xdr:pic>
      <xdr:nvPicPr>
        <xdr:cNvPr id="0" name="image51.png" title="btnUpdat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390525</xdr:colOff>
      <xdr:row>8</xdr:row>
      <xdr:rowOff>171450</xdr:rowOff>
    </xdr:from>
    <xdr:ext cx="2095500" cy="381000"/>
    <xdr:pic>
      <xdr:nvPicPr>
        <xdr:cNvPr id="0" name="image55.png" title="btnDelet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390525</xdr:colOff>
      <xdr:row>10</xdr:row>
      <xdr:rowOff>19050</xdr:rowOff>
    </xdr:from>
    <xdr:ext cx="2095500" cy="381000"/>
    <xdr:pic>
      <xdr:nvPicPr>
        <xdr:cNvPr id="0" name="image42.png" title="btnClea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981075</xdr:colOff>
      <xdr:row>8</xdr:row>
      <xdr:rowOff>171450</xdr:rowOff>
    </xdr:from>
    <xdr:ext cx="2095500" cy="381000"/>
    <xdr:pic>
      <xdr:nvPicPr>
        <xdr:cNvPr id="0" name="image47.png" title="btnRegiste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981075</xdr:colOff>
      <xdr:row>10</xdr:row>
      <xdr:rowOff>19050</xdr:rowOff>
    </xdr:from>
    <xdr:ext cx="2095500" cy="381000"/>
    <xdr:pic>
      <xdr:nvPicPr>
        <xdr:cNvPr id="0" name="image52.png" title="btnMenu"/>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981075</xdr:colOff>
      <xdr:row>4</xdr:row>
      <xdr:rowOff>19050</xdr:rowOff>
    </xdr:from>
    <xdr:ext cx="2095500" cy="381000"/>
    <xdr:pic>
      <xdr:nvPicPr>
        <xdr:cNvPr id="0" name="image61.png" title="btnPrintP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981075</xdr:colOff>
      <xdr:row>5</xdr:row>
      <xdr:rowOff>171450</xdr:rowOff>
    </xdr:from>
    <xdr:ext cx="2095500" cy="381000"/>
    <xdr:pic>
      <xdr:nvPicPr>
        <xdr:cNvPr id="0" name="image58.png" title="btnMakeBill"/>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390525</xdr:colOff>
      <xdr:row>2</xdr:row>
      <xdr:rowOff>180975</xdr:rowOff>
    </xdr:from>
    <xdr:ext cx="2095500" cy="257175"/>
    <xdr:pic>
      <xdr:nvPicPr>
        <xdr:cNvPr id="0" name="image48.png" title="hdr_RECORD"/>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981075</xdr:colOff>
      <xdr:row>2</xdr:row>
      <xdr:rowOff>180975</xdr:rowOff>
    </xdr:from>
    <xdr:ext cx="2095500" cy="257175"/>
    <xdr:pic>
      <xdr:nvPicPr>
        <xdr:cNvPr id="0" name="image44.png" title="hdr_OUTPUT"/>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981075</xdr:colOff>
      <xdr:row>7</xdr:row>
      <xdr:rowOff>152400</xdr:rowOff>
    </xdr:from>
    <xdr:ext cx="2095500" cy="257175"/>
    <xdr:pic>
      <xdr:nvPicPr>
        <xdr:cNvPr id="0" name="image45.png" title="hdr_GO TO"/>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285750</xdr:colOff>
      <xdr:row>3</xdr:row>
      <xdr:rowOff>171450</xdr:rowOff>
    </xdr:from>
    <xdr:ext cx="2095500" cy="381000"/>
    <xdr:pic>
      <xdr:nvPicPr>
        <xdr:cNvPr id="0" name="image68.png" title="btnSav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285750</xdr:colOff>
      <xdr:row>4</xdr:row>
      <xdr:rowOff>323850</xdr:rowOff>
    </xdr:from>
    <xdr:ext cx="2095500" cy="381000"/>
    <xdr:pic>
      <xdr:nvPicPr>
        <xdr:cNvPr id="0" name="image59.png" title="btnFind"/>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285750</xdr:colOff>
      <xdr:row>6</xdr:row>
      <xdr:rowOff>95250</xdr:rowOff>
    </xdr:from>
    <xdr:ext cx="2095500" cy="381000"/>
    <xdr:pic>
      <xdr:nvPicPr>
        <xdr:cNvPr id="0" name="image51.png" title="btnUpdat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285750</xdr:colOff>
      <xdr:row>7</xdr:row>
      <xdr:rowOff>247650</xdr:rowOff>
    </xdr:from>
    <xdr:ext cx="2095500" cy="381000"/>
    <xdr:pic>
      <xdr:nvPicPr>
        <xdr:cNvPr id="0" name="image55.png" title="btnDelet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285750</xdr:colOff>
      <xdr:row>9</xdr:row>
      <xdr:rowOff>95250</xdr:rowOff>
    </xdr:from>
    <xdr:ext cx="2095500" cy="381000"/>
    <xdr:pic>
      <xdr:nvPicPr>
        <xdr:cNvPr id="0" name="image42.png" title="btnClea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342900</xdr:colOff>
      <xdr:row>7</xdr:row>
      <xdr:rowOff>247650</xdr:rowOff>
    </xdr:from>
    <xdr:ext cx="2095500" cy="381000"/>
    <xdr:pic>
      <xdr:nvPicPr>
        <xdr:cNvPr id="0" name="image47.png" title="btnRegiste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342900</xdr:colOff>
      <xdr:row>9</xdr:row>
      <xdr:rowOff>95250</xdr:rowOff>
    </xdr:from>
    <xdr:ext cx="2095500" cy="381000"/>
    <xdr:pic>
      <xdr:nvPicPr>
        <xdr:cNvPr id="0" name="image52.png" title="btnMenu"/>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342900</xdr:colOff>
      <xdr:row>3</xdr:row>
      <xdr:rowOff>171450</xdr:rowOff>
    </xdr:from>
    <xdr:ext cx="2095500" cy="381000"/>
    <xdr:pic>
      <xdr:nvPicPr>
        <xdr:cNvPr id="0" name="image61.png" title="btnPrintPage"/>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342900</xdr:colOff>
      <xdr:row>4</xdr:row>
      <xdr:rowOff>323850</xdr:rowOff>
    </xdr:from>
    <xdr:ext cx="2095500" cy="381000"/>
    <xdr:pic>
      <xdr:nvPicPr>
        <xdr:cNvPr id="0" name="image58.png" title="btnMakeBill"/>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285750</xdr:colOff>
      <xdr:row>2</xdr:row>
      <xdr:rowOff>104775</xdr:rowOff>
    </xdr:from>
    <xdr:ext cx="2095500" cy="257175"/>
    <xdr:pic>
      <xdr:nvPicPr>
        <xdr:cNvPr id="0" name="image48.png" title="hdr_RECORD"/>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342900</xdr:colOff>
      <xdr:row>2</xdr:row>
      <xdr:rowOff>104775</xdr:rowOff>
    </xdr:from>
    <xdr:ext cx="2095500" cy="257175"/>
    <xdr:pic>
      <xdr:nvPicPr>
        <xdr:cNvPr id="0" name="image44.png" title="hdr_OUTPUT"/>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342900</xdr:colOff>
      <xdr:row>6</xdr:row>
      <xdr:rowOff>228600</xdr:rowOff>
    </xdr:from>
    <xdr:ext cx="2095500" cy="257175"/>
    <xdr:pic>
      <xdr:nvPicPr>
        <xdr:cNvPr id="0" name="image45.png" title="hdr_GO TO"/>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3</xdr:row>
      <xdr:rowOff>171450</xdr:rowOff>
    </xdr:from>
    <xdr:ext cx="2095500" cy="381000"/>
    <xdr:pic>
      <xdr:nvPicPr>
        <xdr:cNvPr id="0" name="image68.png" title="btnSav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xdr:colOff>
      <xdr:row>5</xdr:row>
      <xdr:rowOff>19050</xdr:rowOff>
    </xdr:from>
    <xdr:ext cx="2095500" cy="381000"/>
    <xdr:pic>
      <xdr:nvPicPr>
        <xdr:cNvPr id="0" name="image59.png" title="btnFind"/>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28575</xdr:colOff>
      <xdr:row>6</xdr:row>
      <xdr:rowOff>171450</xdr:rowOff>
    </xdr:from>
    <xdr:ext cx="2095500" cy="381000"/>
    <xdr:pic>
      <xdr:nvPicPr>
        <xdr:cNvPr id="0" name="image51.png" title="btnUpdat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28575</xdr:colOff>
      <xdr:row>8</xdr:row>
      <xdr:rowOff>19050</xdr:rowOff>
    </xdr:from>
    <xdr:ext cx="2095500" cy="381000"/>
    <xdr:pic>
      <xdr:nvPicPr>
        <xdr:cNvPr id="0" name="image55.png" title="btnDelet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28575</xdr:colOff>
      <xdr:row>9</xdr:row>
      <xdr:rowOff>171450</xdr:rowOff>
    </xdr:from>
    <xdr:ext cx="2095500" cy="381000"/>
    <xdr:pic>
      <xdr:nvPicPr>
        <xdr:cNvPr id="0" name="image42.png" title="btnClea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381000</xdr:colOff>
      <xdr:row>6</xdr:row>
      <xdr:rowOff>171450</xdr:rowOff>
    </xdr:from>
    <xdr:ext cx="2095500" cy="381000"/>
    <xdr:pic>
      <xdr:nvPicPr>
        <xdr:cNvPr id="0" name="image47.png" title="btnRegiste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381000</xdr:colOff>
      <xdr:row>8</xdr:row>
      <xdr:rowOff>19050</xdr:rowOff>
    </xdr:from>
    <xdr:ext cx="2095500" cy="381000"/>
    <xdr:pic>
      <xdr:nvPicPr>
        <xdr:cNvPr id="0" name="image52.png" title="btnMenu"/>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381000</xdr:colOff>
      <xdr:row>3</xdr:row>
      <xdr:rowOff>171450</xdr:rowOff>
    </xdr:from>
    <xdr:ext cx="2095500" cy="381000"/>
    <xdr:pic>
      <xdr:nvPicPr>
        <xdr:cNvPr id="0" name="image61.png" title="btnPrintPage"/>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28575</xdr:colOff>
      <xdr:row>2</xdr:row>
      <xdr:rowOff>104775</xdr:rowOff>
    </xdr:from>
    <xdr:ext cx="2095500" cy="257175"/>
    <xdr:pic>
      <xdr:nvPicPr>
        <xdr:cNvPr id="0" name="image48.png" title="hdr_RECORD"/>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381000</xdr:colOff>
      <xdr:row>2</xdr:row>
      <xdr:rowOff>104775</xdr:rowOff>
    </xdr:from>
    <xdr:ext cx="2095500" cy="257175"/>
    <xdr:pic>
      <xdr:nvPicPr>
        <xdr:cNvPr id="0" name="image44.png" title="hdr_OUTPUT"/>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381000</xdr:colOff>
      <xdr:row>5</xdr:row>
      <xdr:rowOff>152400</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4</xdr:row>
      <xdr:rowOff>19050</xdr:rowOff>
    </xdr:from>
    <xdr:ext cx="2095500" cy="381000"/>
    <xdr:pic>
      <xdr:nvPicPr>
        <xdr:cNvPr id="0" name="image68.png" title="btnSav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xdr:colOff>
      <xdr:row>5</xdr:row>
      <xdr:rowOff>171450</xdr:rowOff>
    </xdr:from>
    <xdr:ext cx="2095500" cy="381000"/>
    <xdr:pic>
      <xdr:nvPicPr>
        <xdr:cNvPr id="0" name="image59.png" title="btnFind"/>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xdr:colOff>
      <xdr:row>7</xdr:row>
      <xdr:rowOff>19050</xdr:rowOff>
    </xdr:from>
    <xdr:ext cx="2095500" cy="381000"/>
    <xdr:pic>
      <xdr:nvPicPr>
        <xdr:cNvPr id="0" name="image51.png" title="btnUpdat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xdr:colOff>
      <xdr:row>8</xdr:row>
      <xdr:rowOff>171450</xdr:rowOff>
    </xdr:from>
    <xdr:ext cx="2095500" cy="381000"/>
    <xdr:pic>
      <xdr:nvPicPr>
        <xdr:cNvPr id="0" name="image55.png" title="btnDelet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95250</xdr:colOff>
      <xdr:row>10</xdr:row>
      <xdr:rowOff>19050</xdr:rowOff>
    </xdr:from>
    <xdr:ext cx="2095500" cy="381000"/>
    <xdr:pic>
      <xdr:nvPicPr>
        <xdr:cNvPr id="0" name="image42.png" title="btnCle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57150</xdr:colOff>
      <xdr:row>4</xdr:row>
      <xdr:rowOff>19050</xdr:rowOff>
    </xdr:from>
    <xdr:ext cx="2095500" cy="381000"/>
    <xdr:pic>
      <xdr:nvPicPr>
        <xdr:cNvPr id="0" name="image47.png" title="btnRegiste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57150</xdr:colOff>
      <xdr:row>5</xdr:row>
      <xdr:rowOff>171450</xdr:rowOff>
    </xdr:from>
    <xdr:ext cx="2095500" cy="381000"/>
    <xdr:pic>
      <xdr:nvPicPr>
        <xdr:cNvPr id="0" name="image52.png" title="btnMenu"/>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xdr:colOff>
      <xdr:row>2</xdr:row>
      <xdr:rowOff>180975</xdr:rowOff>
    </xdr:from>
    <xdr:ext cx="2095500" cy="257175"/>
    <xdr:pic>
      <xdr:nvPicPr>
        <xdr:cNvPr id="0" name="image48.png" title="hdr_RECORD"/>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57150</xdr:colOff>
      <xdr:row>2</xdr:row>
      <xdr:rowOff>180975</xdr:rowOff>
    </xdr:from>
    <xdr:ext cx="2095500" cy="257175"/>
    <xdr:pic>
      <xdr:nvPicPr>
        <xdr:cNvPr id="0" name="image45.png" title="hdr_GO TO"/>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4</xdr:row>
      <xdr:rowOff>152400</xdr:rowOff>
    </xdr:from>
    <xdr:ext cx="2095500" cy="381000"/>
    <xdr:pic>
      <xdr:nvPicPr>
        <xdr:cNvPr id="0" name="image71.png" title="btnPrintPreview"/>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19050</xdr:rowOff>
    </xdr:from>
    <xdr:ext cx="2095500" cy="381000"/>
    <xdr:pic>
      <xdr:nvPicPr>
        <xdr:cNvPr id="0" name="image57.png" title="btnPrint"/>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104775</xdr:rowOff>
    </xdr:from>
    <xdr:ext cx="2095500" cy="381000"/>
    <xdr:pic>
      <xdr:nvPicPr>
        <xdr:cNvPr id="0" name="image64.png" title="btnPDF"/>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17</xdr:row>
      <xdr:rowOff>638175</xdr:rowOff>
    </xdr:from>
    <xdr:ext cx="2095500" cy="381000"/>
    <xdr:pic>
      <xdr:nvPicPr>
        <xdr:cNvPr id="0" name="image52.png" title="btnMenu"/>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1</xdr:row>
      <xdr:rowOff>114300</xdr:rowOff>
    </xdr:from>
    <xdr:ext cx="819150" cy="914400"/>
    <xdr:pic>
      <xdr:nvPicPr>
        <xdr:cNvPr id="0" name="image73.png" title="logoArms"/>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638175</xdr:colOff>
      <xdr:row>1</xdr:row>
      <xdr:rowOff>114300</xdr:rowOff>
    </xdr:from>
    <xdr:ext cx="657225" cy="914400"/>
    <xdr:pic>
      <xdr:nvPicPr>
        <xdr:cNvPr id="0" name="image63.jpg" title="logoEPA"/>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15</xdr:row>
      <xdr:rowOff>85725</xdr:rowOff>
    </xdr:from>
    <xdr:ext cx="2095500" cy="381000"/>
    <xdr:pic>
      <xdr:nvPicPr>
        <xdr:cNvPr id="0" name="image58.png" title="btnMakeBill"/>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11</xdr:row>
      <xdr:rowOff>47625</xdr:rowOff>
    </xdr:from>
    <xdr:ext cx="2095500" cy="381000"/>
    <xdr:pic>
      <xdr:nvPicPr>
        <xdr:cNvPr id="0" name="image60.png" title="btnWord"/>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3</xdr:row>
      <xdr:rowOff>28575</xdr:rowOff>
    </xdr:from>
    <xdr:ext cx="2095500" cy="257175"/>
    <xdr:pic>
      <xdr:nvPicPr>
        <xdr:cNvPr id="0" name="image44.png" title="hdr_OUTPUT"/>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14</xdr:row>
      <xdr:rowOff>95250</xdr:rowOff>
    </xdr:from>
    <xdr:ext cx="2095500" cy="257175"/>
    <xdr:pic>
      <xdr:nvPicPr>
        <xdr:cNvPr id="0" name="image74.png" title="hdr_ACTIONS"/>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17</xdr:row>
      <xdr:rowOff>314325</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4</xdr:row>
      <xdr:rowOff>152400</xdr:rowOff>
    </xdr:from>
    <xdr:ext cx="2095500" cy="381000"/>
    <xdr:pic>
      <xdr:nvPicPr>
        <xdr:cNvPr id="0" name="image71.png" title="btnPrintPreview"/>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19050</xdr:rowOff>
    </xdr:from>
    <xdr:ext cx="2095500" cy="381000"/>
    <xdr:pic>
      <xdr:nvPicPr>
        <xdr:cNvPr id="0" name="image57.png" title="btnPrint"/>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104775</xdr:rowOff>
    </xdr:from>
    <xdr:ext cx="2095500" cy="381000"/>
    <xdr:pic>
      <xdr:nvPicPr>
        <xdr:cNvPr id="0" name="image64.png" title="btnPDF"/>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17</xdr:row>
      <xdr:rowOff>638175</xdr:rowOff>
    </xdr:from>
    <xdr:ext cx="2095500" cy="381000"/>
    <xdr:pic>
      <xdr:nvPicPr>
        <xdr:cNvPr id="0" name="image52.png" title="btnMenu"/>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1</xdr:row>
      <xdr:rowOff>114300</xdr:rowOff>
    </xdr:from>
    <xdr:ext cx="819150" cy="914400"/>
    <xdr:pic>
      <xdr:nvPicPr>
        <xdr:cNvPr id="0" name="image73.png" title="logoArms"/>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638175</xdr:colOff>
      <xdr:row>1</xdr:row>
      <xdr:rowOff>114300</xdr:rowOff>
    </xdr:from>
    <xdr:ext cx="657225" cy="914400"/>
    <xdr:pic>
      <xdr:nvPicPr>
        <xdr:cNvPr id="0" name="image63.jpg" title="logoEPA"/>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15</xdr:row>
      <xdr:rowOff>85725</xdr:rowOff>
    </xdr:from>
    <xdr:ext cx="2095500" cy="381000"/>
    <xdr:pic>
      <xdr:nvPicPr>
        <xdr:cNvPr id="0" name="image58.png" title="btnMakeBill"/>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11</xdr:row>
      <xdr:rowOff>47625</xdr:rowOff>
    </xdr:from>
    <xdr:ext cx="2095500" cy="381000"/>
    <xdr:pic>
      <xdr:nvPicPr>
        <xdr:cNvPr id="0" name="image60.png" title="btnWord"/>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3</xdr:row>
      <xdr:rowOff>28575</xdr:rowOff>
    </xdr:from>
    <xdr:ext cx="2095500" cy="257175"/>
    <xdr:pic>
      <xdr:nvPicPr>
        <xdr:cNvPr id="0" name="image44.png" title="hdr_OUTPUT"/>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14</xdr:row>
      <xdr:rowOff>95250</xdr:rowOff>
    </xdr:from>
    <xdr:ext cx="2095500" cy="257175"/>
    <xdr:pic>
      <xdr:nvPicPr>
        <xdr:cNvPr id="0" name="image74.png" title="hdr_ACTIONS"/>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17</xdr:row>
      <xdr:rowOff>314325</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4</xdr:row>
      <xdr:rowOff>152400</xdr:rowOff>
    </xdr:from>
    <xdr:ext cx="2095500" cy="381000"/>
    <xdr:pic>
      <xdr:nvPicPr>
        <xdr:cNvPr id="0" name="image71.png" title="btnPrintPreview"/>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19050</xdr:rowOff>
    </xdr:from>
    <xdr:ext cx="2095500" cy="381000"/>
    <xdr:pic>
      <xdr:nvPicPr>
        <xdr:cNvPr id="0" name="image57.png" title="btnPrint"/>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114300</xdr:rowOff>
    </xdr:from>
    <xdr:ext cx="2095500" cy="381000"/>
    <xdr:pic>
      <xdr:nvPicPr>
        <xdr:cNvPr id="0" name="image64.png" title="btnPDF"/>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18</xdr:row>
      <xdr:rowOff>523875</xdr:rowOff>
    </xdr:from>
    <xdr:ext cx="2095500" cy="381000"/>
    <xdr:pic>
      <xdr:nvPicPr>
        <xdr:cNvPr id="0" name="image52.png" title="btnMenu"/>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1</xdr:row>
      <xdr:rowOff>114300</xdr:rowOff>
    </xdr:from>
    <xdr:ext cx="819150" cy="914400"/>
    <xdr:pic>
      <xdr:nvPicPr>
        <xdr:cNvPr id="0" name="image73.png" title="logoArms"/>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638175</xdr:colOff>
      <xdr:row>1</xdr:row>
      <xdr:rowOff>114300</xdr:rowOff>
    </xdr:from>
    <xdr:ext cx="657225" cy="914400"/>
    <xdr:pic>
      <xdr:nvPicPr>
        <xdr:cNvPr id="0" name="image63.jpg" title="logoEPA"/>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15</xdr:row>
      <xdr:rowOff>114300</xdr:rowOff>
    </xdr:from>
    <xdr:ext cx="2095500" cy="381000"/>
    <xdr:pic>
      <xdr:nvPicPr>
        <xdr:cNvPr id="0" name="image58.png" title="btnMakeBill"/>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11</xdr:row>
      <xdr:rowOff>47625</xdr:rowOff>
    </xdr:from>
    <xdr:ext cx="2095500" cy="381000"/>
    <xdr:pic>
      <xdr:nvPicPr>
        <xdr:cNvPr id="0" name="image60.png" title="btnWord"/>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3</xdr:row>
      <xdr:rowOff>28575</xdr:rowOff>
    </xdr:from>
    <xdr:ext cx="2095500" cy="257175"/>
    <xdr:pic>
      <xdr:nvPicPr>
        <xdr:cNvPr id="0" name="image44.png" title="hdr_OUTPUT"/>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13</xdr:row>
      <xdr:rowOff>257175</xdr:rowOff>
    </xdr:from>
    <xdr:ext cx="2095500" cy="257175"/>
    <xdr:pic>
      <xdr:nvPicPr>
        <xdr:cNvPr id="0" name="image74.png" title="hdr_ACTIONS"/>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18</xdr:row>
      <xdr:rowOff>200025</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4</xdr:row>
      <xdr:rowOff>152400</xdr:rowOff>
    </xdr:from>
    <xdr:ext cx="2095500" cy="381000"/>
    <xdr:pic>
      <xdr:nvPicPr>
        <xdr:cNvPr id="0" name="image71.png" title="btnPrintPreview"/>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152400</xdr:colOff>
      <xdr:row>7</xdr:row>
      <xdr:rowOff>19050</xdr:rowOff>
    </xdr:from>
    <xdr:ext cx="2095500" cy="381000"/>
    <xdr:pic>
      <xdr:nvPicPr>
        <xdr:cNvPr id="0" name="image57.png" title="btnPrint"/>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152400</xdr:colOff>
      <xdr:row>9</xdr:row>
      <xdr:rowOff>114300</xdr:rowOff>
    </xdr:from>
    <xdr:ext cx="2095500" cy="381000"/>
    <xdr:pic>
      <xdr:nvPicPr>
        <xdr:cNvPr id="0" name="image64.png" title="btnPDF"/>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152400</xdr:colOff>
      <xdr:row>18</xdr:row>
      <xdr:rowOff>523875</xdr:rowOff>
    </xdr:from>
    <xdr:ext cx="2095500" cy="381000"/>
    <xdr:pic>
      <xdr:nvPicPr>
        <xdr:cNvPr id="0" name="image52.png" title="btnMenu"/>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1</xdr:row>
      <xdr:rowOff>114300</xdr:rowOff>
    </xdr:from>
    <xdr:ext cx="819150" cy="914400"/>
    <xdr:pic>
      <xdr:nvPicPr>
        <xdr:cNvPr id="0" name="image73.png" title="logoArms"/>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523875</xdr:colOff>
      <xdr:row>1</xdr:row>
      <xdr:rowOff>114300</xdr:rowOff>
    </xdr:from>
    <xdr:ext cx="657225" cy="914400"/>
    <xdr:pic>
      <xdr:nvPicPr>
        <xdr:cNvPr id="0" name="image63.jpg" title="logoEPA"/>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152400</xdr:colOff>
      <xdr:row>15</xdr:row>
      <xdr:rowOff>114300</xdr:rowOff>
    </xdr:from>
    <xdr:ext cx="2095500" cy="381000"/>
    <xdr:pic>
      <xdr:nvPicPr>
        <xdr:cNvPr id="0" name="image58.png" title="btnMakeBill"/>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152400</xdr:colOff>
      <xdr:row>11</xdr:row>
      <xdr:rowOff>47625</xdr:rowOff>
    </xdr:from>
    <xdr:ext cx="2095500" cy="381000"/>
    <xdr:pic>
      <xdr:nvPicPr>
        <xdr:cNvPr id="0" name="image60.png" title="btnWord"/>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152400</xdr:colOff>
      <xdr:row>3</xdr:row>
      <xdr:rowOff>28575</xdr:rowOff>
    </xdr:from>
    <xdr:ext cx="2095500" cy="257175"/>
    <xdr:pic>
      <xdr:nvPicPr>
        <xdr:cNvPr id="0" name="image44.png" title="hdr_OUTPUT"/>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152400</xdr:colOff>
      <xdr:row>13</xdr:row>
      <xdr:rowOff>257175</xdr:rowOff>
    </xdr:from>
    <xdr:ext cx="2095500" cy="257175"/>
    <xdr:pic>
      <xdr:nvPicPr>
        <xdr:cNvPr id="0" name="image74.png" title="hdr_ACTIONS"/>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152400</xdr:colOff>
      <xdr:row>18</xdr:row>
      <xdr:rowOff>200025</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161925</xdr:rowOff>
    </xdr:from>
    <xdr:ext cx="685800" cy="819150"/>
    <xdr:pic>
      <xdr:nvPicPr>
        <xdr:cNvPr id="0" name="image73.png" title="logoArms"/>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381000</xdr:colOff>
      <xdr:row>1</xdr:row>
      <xdr:rowOff>161925</xdr:rowOff>
    </xdr:from>
    <xdr:ext cx="552450" cy="819150"/>
    <xdr:pic>
      <xdr:nvPicPr>
        <xdr:cNvPr id="0" name="image63.jpg" title="logoEPA"/>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161925</xdr:colOff>
      <xdr:row>4</xdr:row>
      <xdr:rowOff>171450</xdr:rowOff>
    </xdr:from>
    <xdr:ext cx="2095500" cy="381000"/>
    <xdr:pic>
      <xdr:nvPicPr>
        <xdr:cNvPr id="0" name="image71.png" title="btnPrintPreview"/>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161925</xdr:colOff>
      <xdr:row>7</xdr:row>
      <xdr:rowOff>66675</xdr:rowOff>
    </xdr:from>
    <xdr:ext cx="2095500" cy="381000"/>
    <xdr:pic>
      <xdr:nvPicPr>
        <xdr:cNvPr id="0" name="image57.png" title="btnPrint"/>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161925</xdr:colOff>
      <xdr:row>9</xdr:row>
      <xdr:rowOff>133350</xdr:rowOff>
    </xdr:from>
    <xdr:ext cx="2095500" cy="381000"/>
    <xdr:pic>
      <xdr:nvPicPr>
        <xdr:cNvPr id="0" name="image64.png" title="btnPDF"/>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161925</xdr:colOff>
      <xdr:row>18</xdr:row>
      <xdr:rowOff>85725</xdr:rowOff>
    </xdr:from>
    <xdr:ext cx="2095500" cy="381000"/>
    <xdr:pic>
      <xdr:nvPicPr>
        <xdr:cNvPr id="0" name="image52.png" title="btnMenu"/>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161925</xdr:colOff>
      <xdr:row>14</xdr:row>
      <xdr:rowOff>504825</xdr:rowOff>
    </xdr:from>
    <xdr:ext cx="2095500" cy="381000"/>
    <xdr:pic>
      <xdr:nvPicPr>
        <xdr:cNvPr id="0" name="image58.png" title="btnMakeBill"/>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161925</xdr:colOff>
      <xdr:row>11</xdr:row>
      <xdr:rowOff>190500</xdr:rowOff>
    </xdr:from>
    <xdr:ext cx="2095500" cy="381000"/>
    <xdr:pic>
      <xdr:nvPicPr>
        <xdr:cNvPr id="0" name="image60.png" title="btnWord"/>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161925</xdr:colOff>
      <xdr:row>3</xdr:row>
      <xdr:rowOff>47625</xdr:rowOff>
    </xdr:from>
    <xdr:ext cx="2095500" cy="257175"/>
    <xdr:pic>
      <xdr:nvPicPr>
        <xdr:cNvPr id="0" name="image44.png" title="hdr_OUTPUT"/>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161925</xdr:colOff>
      <xdr:row>14</xdr:row>
      <xdr:rowOff>180975</xdr:rowOff>
    </xdr:from>
    <xdr:ext cx="2095500" cy="257175"/>
    <xdr:pic>
      <xdr:nvPicPr>
        <xdr:cNvPr id="0" name="image74.png" title="hdr_ACTIONS"/>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161925</xdr:colOff>
      <xdr:row>16</xdr:row>
      <xdr:rowOff>238125</xdr:rowOff>
    </xdr:from>
    <xdr:ext cx="2095500" cy="257175"/>
    <xdr:pic>
      <xdr:nvPicPr>
        <xdr:cNvPr id="0" name="image45.png" title="hdr_GO TO"/>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4</xdr:row>
      <xdr:rowOff>180975</xdr:rowOff>
    </xdr:from>
    <xdr:ext cx="2095500" cy="381000"/>
    <xdr:pic>
      <xdr:nvPicPr>
        <xdr:cNvPr id="0" name="image71.png" title="btnPrintPreview"/>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171450</xdr:colOff>
      <xdr:row>7</xdr:row>
      <xdr:rowOff>76200</xdr:rowOff>
    </xdr:from>
    <xdr:ext cx="2095500" cy="381000"/>
    <xdr:pic>
      <xdr:nvPicPr>
        <xdr:cNvPr id="0" name="image57.png" title="btnPrint"/>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171450</xdr:colOff>
      <xdr:row>9</xdr:row>
      <xdr:rowOff>180975</xdr:rowOff>
    </xdr:from>
    <xdr:ext cx="2095500" cy="381000"/>
    <xdr:pic>
      <xdr:nvPicPr>
        <xdr:cNvPr id="0" name="image64.png" title="btnPDF"/>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171450</xdr:colOff>
      <xdr:row>16</xdr:row>
      <xdr:rowOff>152400</xdr:rowOff>
    </xdr:from>
    <xdr:ext cx="2095500" cy="381000"/>
    <xdr:pic>
      <xdr:nvPicPr>
        <xdr:cNvPr id="0" name="image52.png" title="btnMenu"/>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1</xdr:row>
      <xdr:rowOff>152400</xdr:rowOff>
    </xdr:from>
    <xdr:ext cx="695325" cy="828675"/>
    <xdr:pic>
      <xdr:nvPicPr>
        <xdr:cNvPr id="0" name="image73.png" title="logoArms"/>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485775</xdr:colOff>
      <xdr:row>1</xdr:row>
      <xdr:rowOff>152400</xdr:rowOff>
    </xdr:from>
    <xdr:ext cx="561975" cy="828675"/>
    <xdr:pic>
      <xdr:nvPicPr>
        <xdr:cNvPr id="0" name="image63.jpg" title="logoEPA"/>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171450</xdr:colOff>
      <xdr:row>12</xdr:row>
      <xdr:rowOff>38100</xdr:rowOff>
    </xdr:from>
    <xdr:ext cx="2095500" cy="381000"/>
    <xdr:pic>
      <xdr:nvPicPr>
        <xdr:cNvPr id="0" name="image60.png" title="btnWord"/>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171450</xdr:colOff>
      <xdr:row>3</xdr:row>
      <xdr:rowOff>57150</xdr:rowOff>
    </xdr:from>
    <xdr:ext cx="2095500" cy="257175"/>
    <xdr:pic>
      <xdr:nvPicPr>
        <xdr:cNvPr id="0" name="image44.png" title="hdr_OUTPUT"/>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171450</xdr:colOff>
      <xdr:row>15</xdr:row>
      <xdr:rowOff>28575</xdr:rowOff>
    </xdr:from>
    <xdr:ext cx="2095500" cy="257175"/>
    <xdr:pic>
      <xdr:nvPicPr>
        <xdr:cNvPr id="0" name="image45.png" title="hdr_GO TO"/>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2428875</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1704975</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2371725</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476250</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752475</xdr:colOff>
      <xdr:row>0</xdr:row>
      <xdr:rowOff>19050</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1390650</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161925</xdr:colOff>
      <xdr:row>0</xdr:row>
      <xdr:rowOff>28575</xdr:rowOff>
    </xdr:from>
    <xdr:ext cx="1524000" cy="276225"/>
    <xdr:pic>
      <xdr:nvPicPr>
        <xdr:cNvPr id="0" name="image66.png" title="btnMenu"/>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1781175" cy="323850"/>
    <xdr:pic>
      <xdr:nvPicPr>
        <xdr:cNvPr id="0" name="image6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1447800</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28575</xdr:rowOff>
    </xdr:from>
    <xdr:ext cx="1524000" cy="276225"/>
    <xdr:pic>
      <xdr:nvPicPr>
        <xdr:cNvPr id="0" name="image69.png" title="btnMenu"/>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1781175" cy="323850"/>
    <xdr:pic>
      <xdr:nvPicPr>
        <xdr:cNvPr id="0" name="image6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4019550</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0</xdr:row>
      <xdr:rowOff>28575</xdr:rowOff>
    </xdr:from>
    <xdr:ext cx="1524000" cy="276225"/>
    <xdr:pic>
      <xdr:nvPicPr>
        <xdr:cNvPr id="0" name="image70.png" title="btnMenu"/>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0</xdr:rowOff>
    </xdr:from>
    <xdr:ext cx="1781175" cy="323850"/>
    <xdr:pic>
      <xdr:nvPicPr>
        <xdr:cNvPr id="0" name="image6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8124825</xdr:colOff>
      <xdr:row>0</xdr:row>
      <xdr:rowOff>28575</xdr:rowOff>
    </xdr:from>
    <xdr:ext cx="1524000" cy="276225"/>
    <xdr:pic>
      <xdr:nvPicPr>
        <xdr:cNvPr id="0" name="image67.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0</xdr:row>
      <xdr:rowOff>28575</xdr:rowOff>
    </xdr:from>
    <xdr:ext cx="1524000" cy="228600"/>
    <xdr:pic>
      <xdr:nvPicPr>
        <xdr:cNvPr id="0" name="image72.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0</xdr:row>
      <xdr:rowOff>28575</xdr:rowOff>
    </xdr:from>
    <xdr:ext cx="1524000" cy="228600"/>
    <xdr:pic>
      <xdr:nvPicPr>
        <xdr:cNvPr id="0" name="image72.png" title="btnMenu"/>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ahr Emmanuel" id="{a79a7b90-f1e0-4807-971f-4f1d2ae73fd0}" providerId="google-sheets"/>
</x18tc:personList>
</file>

<file path=xl/tables/table1.xml><?xml version="1.0" encoding="utf-8"?>
<table xmlns="http://schemas.openxmlformats.org/spreadsheetml/2006/main" ref="A4:J74" displayName="Table_1" name="Table_1" id="1">
  <tableColumns count="10">
    <tableColumn name="Company ID" id="1"/>
    <tableColumn name="Company Name" id="2"/>
    <tableColumn name="Sector / Activity" id="3"/>
    <tableColumn name="Location" id="4"/>
    <tableColumn name="Other Names Recorded" id="5"/>
    <tableColumn name="Licences (No.)" id="6"/>
    <tableColumn name="Clearances (No.)" id="7"/>
    <tableColumn name="Total Cleared (kg)" id="8"/>
    <tableColumn name="Total Billed (USD)" id="9"/>
    <tableColumn name="Total Paid (USD)" id="10"/>
  </tableColumns>
  <tableStyleInfo name="Companies-style" showColumnStripes="0" showFirstColumn="1" showLastColumn="1" showRowStripes="1"/>
</table>
</file>

<file path=xl/tables/table2.xml><?xml version="1.0" encoding="utf-8"?>
<table xmlns="http://schemas.openxmlformats.org/spreadsheetml/2006/main" ref="A4:Q73" displayName="Table_2" name="Table_2" id="2">
  <tableColumns count="17">
    <tableColumn name="Record ID" id="1"/>
    <tableColumn name="Company ID" id="2"/>
    <tableColumn name="Company Name" id="3"/>
    <tableColumn name="Name as Recorded" id="4"/>
    <tableColumn name="Licence Category" id="5"/>
    <tableColumn name="Licence / Certificate Type" id="6"/>
    <tableColumn name="Location" id="7"/>
    <tableColumn name="Application Date" id="8"/>
    <tableColumn name="Response Date" id="9"/>
    <tableColumn name="Reference Code" id="10"/>
    <tableColumn name="Licence / Certificate No." id="11"/>
    <tableColumn name="Date Issued" id="12"/>
    <tableColumn name="Expiry Date" id="13"/>
    <tableColumn name="Status" id="14"/>
    <tableColumn name="Remarks" id="15"/>
    <tableColumn name="Source" id="16"/>
    <tableColumn name="Bill No." id="17"/>
  </tableColumns>
  <tableStyleInfo name="Licences &amp; Certificates-style" showColumnStripes="0" showFirstColumn="1" showLastColumn="1" showRowStripes="1"/>
</table>
</file>

<file path=xl/tables/table3.xml><?xml version="1.0" encoding="utf-8"?>
<table xmlns="http://schemas.openxmlformats.org/spreadsheetml/2006/main" ref="A4:I167" displayName="Table_3" name="Table_3" id="3">
  <tableColumns count="9">
    <tableColumn name="Licence Record ID" id="1"/>
    <tableColumn name="Licence No." id="2"/>
    <tableColumn name="Company" id="3"/>
    <tableColumn name="Trade or IUPAC Name" id="4"/>
    <tableColumn name="EPA Registration No." id="5"/>
    <tableColumn name="Type" id="6"/>
    <tableColumn name="Stipulated Qty" id="7"/>
    <tableColumn name="Unit" id="8"/>
    <tableColumn name="Consignment Ref. (BL/IPD No.)" id="9"/>
  </tableColumns>
  <tableStyleInfo name="Licence Chemicals-style" showColumnStripes="0" showFirstColumn="1" showLastColumn="1" showRowStripes="1"/>
</table>
</file>

<file path=xl/tables/table4.xml><?xml version="1.0" encoding="utf-8"?>
<table xmlns="http://schemas.openxmlformats.org/spreadsheetml/2006/main" ref="A4:F67" displayName="Table_4" name="Table_4" id="4">
  <tableColumns count="6">
    <tableColumn name="Licence Record ID" id="1"/>
    <tableColumn name="Licence No." id="2"/>
    <tableColumn name="Company" id="3"/>
    <tableColumn name="Vehicle Type" id="4"/>
    <tableColumn name="Vehicle Registration No." id="5"/>
    <tableColumn name="EPA Registration No." id="6"/>
  </tableColumns>
  <tableStyleInfo name="Licence Vehicles-style" showColumnStripes="0" showFirstColumn="1" showLastColumn="1" showRowStripes="1"/>
</table>
</file>

<file path=xl/tables/table5.xml><?xml version="1.0" encoding="utf-8"?>
<table xmlns="http://schemas.openxmlformats.org/spreadsheetml/2006/main" ref="A4:L6" displayName="Table_5" name="Table_5" id="5">
  <tableColumns count="12">
    <tableColumn name="Licence Record ID" id="1"/>
    <tableColumn name="Licence No." id="2"/>
    <tableColumn name="Company" id="3"/>
    <tableColumn name="Section" id="4"/>
    <tableColumn name="Line" id="5"/>
    <tableColumn name="Field 1" id="6"/>
    <tableColumn name="Field 2" id="7"/>
    <tableColumn name="Field 3" id="8"/>
    <tableColumn name="Field 4" id="9"/>
    <tableColumn name="Field 5" id="10"/>
    <tableColumn name="Field 6" id="11"/>
    <tableColumn name="Key" id="12"/>
  </tableColumns>
  <tableStyleInfo name="Licence Effluent-style" showColumnStripes="0" showFirstColumn="1" showLastColumn="1" showRowStripes="1"/>
</table>
</file>

<file path=xl/tables/table6.xml><?xml version="1.0" encoding="utf-8"?>
<table xmlns="http://schemas.openxmlformats.org/spreadsheetml/2006/main" ref="A4:Q169" displayName="Table_6" name="Table_6" id="6">
  <tableColumns count="17">
    <tableColumn name="Record ID" id="1"/>
    <tableColumn name="Clearance No." id="2"/>
    <tableColumn name="Company ID" id="3"/>
    <tableColumn name="Company Name" id="4"/>
    <tableColumn name="Chemical as Recorded" id="5"/>
    <tableColumn name="Chemical (Standard)" id="6"/>
    <tableColumn name="Qty as Recorded" id="7"/>
    <tableColumn name="Unit" id="8"/>
    <tableColumn name="Qty (kg)" id="9"/>
    <tableColumn name="Qty (MT)" id="10"/>
    <tableColumn name="B/L / Invoice / AWB No." id="11"/>
    <tableColumn name="Clearance Ref. No." id="12"/>
    <tableColumn name="Clearance Date" id="13"/>
    <tableColumn name="Remarks" id="14"/>
    <tableColumn name="Source" id="15"/>
    <tableColumn name="ETA" id="16"/>
    <tableColumn name="Bill No." id="17"/>
  </tableColumns>
  <tableStyleInfo name="Chemical Clearances-style" showColumnStripes="0" showFirstColumn="1" showLastColumn="1" showRowStripes="1"/>
</table>
</file>

<file path=xl/tables/table7.xml><?xml version="1.0" encoding="utf-8"?>
<table xmlns="http://schemas.openxmlformats.org/spreadsheetml/2006/main" ref="A4:V32" displayName="Table_7" name="Table_7" id="7">
  <tableColumns count="22">
    <tableColumn name="Bill ID" id="1"/>
    <tableColumn name="Bill No." id="2"/>
    <tableColumn name="Company ID" id="3"/>
    <tableColumn name="Company Name" id="4"/>
    <tableColumn name="Name as Recorded" id="5"/>
    <tableColumn name="Activity" id="6"/>
    <tableColumn name="Location" id="7"/>
    <tableColumn name="Purpose / Licence Billed" id="8"/>
    <tableColumn name="Chemical" id="9"/>
    <tableColumn name="Amount Billed (USD)" id="10"/>
    <tableColumn name="Bill Date" id="11"/>
    <tableColumn name="Company Total Billed (USD)" id="12"/>
    <tableColumn name="Company Total Paid (USD)" id="13"/>
    <tableColumn name="Payment Status" id="14"/>
    <tableColumn name="Source" id="15"/>
    <tableColumn name="Bill Ref. No." id="16"/>
    <tableColumn name="Contact Person" id="17"/>
    <tableColumn name="Contact Title" id="18"/>
    <tableColumn name="Bill Type" id="19"/>
    <tableColumn name="Paid on this Bill (USD)" id="20"/>
    <tableColumn name="Bill Status" id="21"/>
    <tableColumn name="Linked Record" id="22"/>
  </tableColumns>
  <tableStyleInfo name="Bills &amp; Invoices-style" showColumnStripes="0" showFirstColumn="1" showLastColumn="1" showRowStripes="1"/>
</table>
</file>

<file path=xl/tables/table8.xml><?xml version="1.0" encoding="utf-8"?>
<table xmlns="http://schemas.openxmlformats.org/spreadsheetml/2006/main" ref="A4:L58" displayName="Table_8" name="Table_8" id="8">
  <tableColumns count="12">
    <tableColumn name="Record ID" id="1"/>
    <tableColumn name="Company ID" id="2"/>
    <tableColumn name="Company Name" id="3"/>
    <tableColumn name="Name as Recorded" id="4"/>
    <tableColumn name="Purpose / Services" id="5"/>
    <tableColumn name="Amount (USD)" id="6"/>
    <tableColumn name="Payment Date" id="7"/>
    <tableColumn name="Receipt No." id="8"/>
    <tableColumn name="Record Group" id="9"/>
    <tableColumn name="Remarks" id="10"/>
    <tableColumn name="Source" id="11"/>
    <tableColumn name="Bill No." id="12"/>
  </tableColumns>
  <tableStyleInfo name="Payments &amp; Receipts-style" showColumnStripes="0" showFirstColumn="1" showLastColumn="1" showRowStripes="1"/>
</table>
</file>

<file path=xl/tables/table9.xml><?xml version="1.0" encoding="utf-8"?>
<table xmlns="http://schemas.openxmlformats.org/spreadsheetml/2006/main" ref="A4:G26" displayName="Table_9" name="Table_9" id="9">
  <tableColumns count="7">
    <tableColumn name="Issue #" id="1"/>
    <tableColumn name="Register" id="2"/>
    <tableColumn name="Record" id="3"/>
    <tableColumn name="Source" id="4"/>
    <tableColumn name="Issue Found" id="5"/>
    <tableColumn name="Action Taken" id="6"/>
    <tableColumn name="Follow-up Status" id="7"/>
  </tableColumns>
  <tableStyleInfo name="Notes &amp; Issues-style" showColumnStripes="0" showFirstColumn="1" showLastColumn="1" showRowStripes="1"/>
</table>
</file>

<file path=xl/tables/table10.xml><?xml version="1.0" encoding="utf-8"?>
<table xmlns="http://schemas.openxmlformats.org/spreadsheetml/2006/main" ref="A30:I31" displayName="Table_10" name="Table_10" id="10">
  <tableColumns count="9">
    <tableColumn name="Record ID" id="1"/>
    <tableColumn name="Company ID" id="2"/>
    <tableColumn name="Company Name" id="3"/>
    <tableColumn name="Name as Recorded" id="4"/>
    <tableColumn name="Type" id="5"/>
    <tableColumn name="Activity" id="6"/>
    <tableColumn name="Description" id="7"/>
    <tableColumn name="EPA Reference No." id="8"/>
    <tableColumn name="Date Issued" id="9"/>
  </tableColumns>
  <tableStyleInfo name="Notes &amp; Issues-style 2" showColumnStripes="0" showFirstColumn="1" showLastColumn="1" showRowStripes="1"/>
</table>
</file>

<file path=xl/tables/table11.xml><?xml version="1.0" encoding="utf-8"?>
<table xmlns="http://schemas.openxmlformats.org/spreadsheetml/2006/main" ref="A5:D16" displayName="Table_11" name="Table_11" id="11">
  <tableColumns count="4">
    <tableColumn name="Service" id="1"/>
    <tableColumn name="Bill Group" id="2"/>
    <tableColumn name="Suggested Fee (USD)" id="3"/>
    <tableColumn name="Notes" id="4"/>
  </tableColumns>
  <tableStyleInfo name="Fee Schedule-style" showColumnStripes="0" showFirstColumn="1" showLastColumn="1" showRowStripes="1"/>
</table>
</file>

<file path=xl/tables/table12.xml><?xml version="1.0" encoding="utf-8"?>
<table xmlns="http://schemas.openxmlformats.org/spreadsheetml/2006/main" ref="A19:G26" displayName="Table_12" name="Table_12" id="12">
  <tableColumns count="7">
    <tableColumn name="Bill Type" id="1"/>
    <tableColumn name="Bill Group" id="2"/>
    <tableColumn name="Opening Paragraph" id="3"/>
    <tableColumn name="Extra Paragraph" id="4"/>
    <tableColumn name="Bill Sentence (starts)" id="5"/>
    <tableColumn name="Collection Paragraph" id="6"/>
    <tableColumn name="Show Fee Table" id="7"/>
  </tableColumns>
  <tableStyleInfo name="Fee Schedule-style 2" showColumnStripes="0" showFirstColumn="1" showLastColumn="1" showRowStripes="1"/>
</table>
</file>

<file path=xl/tables/table13.xml><?xml version="1.0" encoding="utf-8"?>
<table xmlns="http://schemas.openxmlformats.org/spreadsheetml/2006/main" ref="A4:A10" displayName="Table_13" name="Table_13" id="13">
  <tableColumns count="1">
    <tableColumn name="Licence Category" id="1"/>
  </tableColumns>
  <tableStyleInfo name="Lists-style" showColumnStripes="0" showFirstColumn="1" showLastColumn="1" showRowStripes="1"/>
</table>
</file>

<file path=xl/tables/table14.xml><?xml version="1.0" encoding="utf-8"?>
<table xmlns="http://schemas.openxmlformats.org/spreadsheetml/2006/main" ref="C4:C12" displayName="Table_14" name="Table_14" id="14">
  <tableColumns count="1">
    <tableColumn name="Licence / Certificate Type" id="1"/>
  </tableColumns>
  <tableStyleInfo name="Lists-style 2" showColumnStripes="0" showFirstColumn="1" showLastColumn="1" showRowStripes="1"/>
</table>
</file>

<file path=xl/tables/table15.xml><?xml version="1.0" encoding="utf-8"?>
<table xmlns="http://schemas.openxmlformats.org/spreadsheetml/2006/main" ref="E4:E8" displayName="Table_15" name="Table_15" id="15">
  <tableColumns count="1">
    <tableColumn name="Unit" id="1"/>
  </tableColumns>
  <tableStyleInfo name="Lists-style 3" showColumnStripes="0" showFirstColumn="1" showLastColumn="1" showRowStripes="1"/>
</table>
</file>

<file path=xl/tables/table16.xml><?xml version="1.0" encoding="utf-8"?>
<table xmlns="http://schemas.openxmlformats.org/spreadsheetml/2006/main" ref="G4:G56" displayName="Table_16" name="Table_16" id="16">
  <tableColumns count="1">
    <tableColumn name="Chemical (Standard)" id="1"/>
  </tableColumns>
  <tableStyleInfo name="Lists-style 4" showColumnStripes="0" showFirstColumn="1" showLastColumn="1" showRowStripes="1"/>
</table>
</file>

<file path=xl/tables/table17.xml><?xml version="1.0" encoding="utf-8"?>
<table xmlns="http://schemas.openxmlformats.org/spreadsheetml/2006/main" ref="I4:I27" displayName="Table_17" name="Table_17" id="17">
  <tableColumns count="1">
    <tableColumn name="Sector / Activity" id="1"/>
  </tableColumns>
  <tableStyleInfo name="Lists-style 5" showColumnStripes="0" showFirstColumn="1" showLastColumn="1" showRowStripes="1"/>
</table>
</file>

<file path=xl/tables/table18.xml><?xml version="1.0" encoding="utf-8"?>
<table xmlns="http://schemas.openxmlformats.org/spreadsheetml/2006/main" ref="K4:K18" displayName="Table_18" name="Table_18" id="18">
  <tableColumns count="1">
    <tableColumn name="Service / Purpose" id="1"/>
  </tableColumns>
  <tableStyleInfo name="Lists-style 6" showColumnStripes="0" showFirstColumn="1" showLastColumn="1" showRowStripes="1"/>
</table>
</file>

<file path=xl/tables/table19.xml><?xml version="1.0" encoding="utf-8"?>
<table xmlns="http://schemas.openxmlformats.org/spreadsheetml/2006/main" ref="M4:M8" displayName="Table_19" name="Table_19" id="19">
  <tableColumns count="1">
    <tableColumn name="Record Group" id="1"/>
  </tableColumns>
  <tableStyleInfo name="Lists-style 7" showColumnStripes="0" showFirstColumn="1" showLastColumn="1" showRowStripes="1"/>
</table>
</file>

<file path=xl/tables/table20.xml><?xml version="1.0" encoding="utf-8"?>
<table xmlns="http://schemas.openxmlformats.org/spreadsheetml/2006/main" ref="T4:V7" displayName="Table_20" name="Table_20" id="20">
  <tableColumns count="3">
    <tableColumn name="Signatory" id="1"/>
    <tableColumn name="Name" id="2"/>
    <tableColumn name="Title" id="3"/>
  </tableColumns>
  <tableStyleInfo name="Lists-style 8" showColumnStripes="0" showFirstColumn="1" showLastColumn="1" showRowStripes="1"/>
</table>
</file>

<file path=xl/tables/table21.xml><?xml version="1.0" encoding="utf-8"?>
<table xmlns="http://schemas.openxmlformats.org/spreadsheetml/2006/main" ref="AF4:AI7" displayName="Table_21" name="Table_21" id="21">
  <tableColumns count="4">
    <tableColumn name="Signatory" id="1"/>
    <tableColumn name="Office Line" id="2"/>
    <tableColumn name="Contact Line" id="3"/>
    <tableColumn name="Ref. Prefix" id="4"/>
  </tableColumns>
  <tableStyleInfo name="Lists-style 9" showColumnStripes="0" showFirstColumn="1" showLastColumn="1" showRowStripes="1"/>
</table>
</file>

<file path=xl/tables/table22.xml><?xml version="1.0" encoding="utf-8"?>
<table xmlns="http://schemas.openxmlformats.org/spreadsheetml/2006/main" ref="AM4:AM37" displayName="Table_22" name="Table_22" id="22">
  <tableColumns count="1">
    <tableColumn name="Parameter" id="1"/>
  </tableColumns>
  <tableStyleInfo name="Lists-style 10" showColumnStripes="0" showFirstColumn="1" showLastColumn="1" showRowStripes="1"/>
</table>
</file>

<file path=xl/tables/table23.xml><?xml version="1.0" encoding="utf-8"?>
<table xmlns="http://schemas.openxmlformats.org/spreadsheetml/2006/main" ref="AO4:AO13" displayName="Table_23" name="Table_23" id="23">
  <tableColumns count="1">
    <tableColumn name="Effluent Unit" id="1"/>
  </tableColumns>
  <tableStyleInfo name="Lists-style 11" showColumnStripes="0" showFirstColumn="1" showLastColumn="1" showRowStripes="1"/>
</table>
</file>

<file path=xl/tables/table24.xml><?xml version="1.0" encoding="utf-8"?>
<table xmlns="http://schemas.openxmlformats.org/spreadsheetml/2006/main" ref="AQ4:AQ10" displayName="Table_24" name="Table_24" id="24">
  <tableColumns count="1">
    <tableColumn name="Testing Schedule" id="1"/>
  </tableColumns>
  <tableStyleInfo name="Lists-style 12" showColumnStripes="0" showFirstColumn="1" showLastColumn="1" showRowStripes="1"/>
</table>
</file>

<file path=xl/tables/table25.xml><?xml version="1.0" encoding="utf-8"?>
<table xmlns="http://schemas.openxmlformats.org/spreadsheetml/2006/main" ref="A3:H5" displayName="Table_25" name="Table_25" id="25">
  <tableColumns count="8">
    <tableColumn name="Username" id="1"/>
    <tableColumn name="Full Name" id="2"/>
    <tableColumn name="Role" id="3"/>
    <tableColumn name="Active" id="4"/>
    <tableColumn name="Salt" id="5"/>
    <tableColumn name="Password Hash" id="6"/>
    <tableColumn name="Created" id="7"/>
    <tableColumn name="Last Login" id="8"/>
  </tableColumns>
  <tableStyleInfo name="Us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4T11:58:51.00" personId="{a79a7b90-f1e0-4807-971f-4f1d2ae73fd0}" id="{dcfc6420-7bd0-4044-a9b9-d25afcf3e5eb}" done="0">
    <x18tc:text xml:space="preserve">Source: 2026 CHEMICAL MANAGEMENT UNIT DATABASE.xlsx (all tabs), uploaded 24-Sep-2026, plus Sheet1 &amp; Sheet2 of this workbook. Uploaded file. Names standardised; original spellings in 'Other Names Recorded'.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4T11:58:51.00" personId="{a79a7b90-f1e0-4807-971f-4f1d2ae73fd0}" id="{07e7b3ab-0e22-4574-a2df-9ad4cee79381}" done="0">
    <x18tc:text xml:space="preserve">Source: 2026 CHEMICAL MANAGEMENT UNIT DATABASE.xlsx – Chem. Reg. &amp; Imp Licenses 2026, Effluent Discharge License 2026, 2026 fumigation responses, Dangerous Goods Transport, TRANSPORTATION tabs; uploaded 24-Sep-2026. Uploaded file. 2025 records excluded.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6T15:51:24.00" personId="{a79a7b90-f1e0-4807-971f-4f1d2ae73fd0}" id="{a80e9281-214b-4326-b352-62d1869a68fd}" done="0">
    <x18tc:text xml:space="preserve">Source: CHEMICAL IMPORTATION LICENSES.pdf, uploaded 26-Sep-2026 (31 scanned pages read by OCR). Uploaded file. Unclear names/quantities are flagged in Notes &amp; Issues.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6T15:51:24.00" personId="{a79a7b90-f1e0-4807-971f-4f1d2ae73fd0}" id="{e5ae27a6-626f-4944-9dd5-cdf0c3f4cc82}" done="0">
    <x18tc:text xml:space="preserve">Source: Chemical Transport Licenses.pdf, uploaded 26-Sep-2026 (12 scanned pages read by OCR). Uploaded file. Unclear registrations flagged in Notes &amp; Issues.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4T11:58:51.00" personId="{a79a7b90-f1e0-4807-971f-4f1d2ae73fd0}" id="{2d46d7a4-8f7b-4a10-847e-ac6a5c6fe52a}" done="1">
    <x18tc:text xml:space="preserve">Source: Sheet1 (BMMC Clearance Log, linked live) + 2026 CHEMICAL MANAGEMENT UNIT DATABASE.xlsx – BMMC Clearances 2026 &amp; Other Chemical Clearances 2026 tabs; uploaded 24-Sep-2026. Uploaded file. 2025 records excluded.</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4T11:58:51.00" personId="{a79a7b90-f1e0-4807-971f-4f1d2ae73fd0}" id="{28d44603-49db-4dc5-8f4f-bd5e0908900f}" done="0">
    <x18tc:text xml:space="preserve">Source: 2026 CHEMICAL MANAGEMENT UNIT DATABASE.xlsx – BILLS tab, uploaded 24-Sep-2026. Uploaded file. 2025 bills excluded.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9-24T11:58:51.00" personId="{a79a7b90-f1e0-4807-971f-4f1d2ae73fd0}" id="{e4bc1b4c-6806-404a-bf06-f0bbc7f3b289}" done="0">
    <x18tc:text xml:space="preserve">Source: Sheet2 (CMU Companies Audit Record, linked live) + 2026 CHEMICAL MANAGEMENT UNIT DATABASE.xlsx – RECEIPTS tab; uploaded 24-Sep-2026. Uploaded file. 2025 records excluded.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7.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8.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9.xml"/><Relationship Id="rId5" Type="http://schemas.openxmlformats.org/officeDocument/2006/relationships/vmlDrawing" Target="../drawings/vmlDrawing3.vml"/><Relationship Id="rId7"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20.xml"/><Relationship Id="rId5" Type="http://schemas.openxmlformats.org/officeDocument/2006/relationships/vmlDrawing" Target="../drawings/vmlDrawing4.vml"/><Relationship Id="rId7"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22.xml"/><Relationship Id="rId5" Type="http://schemas.openxmlformats.org/officeDocument/2006/relationships/vmlDrawing" Target="../drawings/vmlDrawing5.vml"/><Relationship Id="rId7" Type="http://schemas.openxmlformats.org/officeDocument/2006/relationships/table" Target="../tables/table6.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3.xml"/><Relationship Id="rId5" Type="http://schemas.openxmlformats.org/officeDocument/2006/relationships/vmlDrawing" Target="../drawings/vmlDrawing6.vml"/><Relationship Id="rId7"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4.xml"/><Relationship Id="rId5" Type="http://schemas.openxmlformats.org/officeDocument/2006/relationships/vmlDrawing" Target="../drawings/vmlDrawing7.vml"/><Relationship Id="rId7" Type="http://schemas.openxmlformats.org/officeDocument/2006/relationships/table" Target="../tables/table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4" Type="http://schemas.openxmlformats.org/officeDocument/2006/relationships/table" Target="../tables/table9.xml"/><Relationship Id="rId5" Type="http://schemas.openxmlformats.org/officeDocument/2006/relationships/table" Target="../tables/table1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11.xml"/><Relationship Id="rId5" Type="http://schemas.openxmlformats.org/officeDocument/2006/relationships/table" Target="../tables/table12.xml"/></Relationships>
</file>

<file path=xl/worksheets/_rels/sheet27.xml.rels><?xml version="1.0" encoding="UTF-8" standalone="yes"?><Relationships xmlns="http://schemas.openxmlformats.org/package/2006/relationships"><Relationship Id="rId20" Type="http://schemas.openxmlformats.org/officeDocument/2006/relationships/table" Target="../tables/table19.xml"/><Relationship Id="rId22" Type="http://schemas.openxmlformats.org/officeDocument/2006/relationships/table" Target="../tables/table21.xml"/><Relationship Id="rId21" Type="http://schemas.openxmlformats.org/officeDocument/2006/relationships/table" Target="../tables/table20.xml"/><Relationship Id="rId24" Type="http://schemas.openxmlformats.org/officeDocument/2006/relationships/table" Target="../tables/table23.xml"/><Relationship Id="rId23" Type="http://schemas.openxmlformats.org/officeDocument/2006/relationships/table" Target="../tables/table22.xml"/><Relationship Id="rId1" Type="http://schemas.openxmlformats.org/officeDocument/2006/relationships/drawing" Target="../drawings/drawing27.xml"/><Relationship Id="rId25" Type="http://schemas.openxmlformats.org/officeDocument/2006/relationships/table" Target="../tables/table24.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 Id="rId19" Type="http://schemas.openxmlformats.org/officeDocument/2006/relationships/table" Target="../tables/table18.xml"/><Relationship Id="rId18" Type="http://schemas.openxmlformats.org/officeDocument/2006/relationships/table" Target="../tables/table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1827"/>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71"/>
    <col customWidth="1" min="2" max="9" width="20.29"/>
    <col customWidth="1" min="10" max="26" width="8.71"/>
  </cols>
  <sheetData>
    <row r="1" ht="39.75" customHeight="1">
      <c r="A1" s="7" t="s">
        <v>34</v>
      </c>
      <c r="B1" s="7"/>
      <c r="C1" s="7"/>
      <c r="D1" s="7"/>
      <c r="E1" s="7"/>
      <c r="F1" s="7"/>
      <c r="G1" s="7"/>
      <c r="H1" s="7"/>
      <c r="I1" s="7"/>
      <c r="J1" s="7"/>
    </row>
    <row r="2" ht="14.25" customHeight="1">
      <c r="A2" s="8" t="s">
        <v>59</v>
      </c>
      <c r="B2" s="9"/>
      <c r="C2" s="9"/>
      <c r="D2" s="9"/>
      <c r="E2" s="9"/>
      <c r="F2" s="19" t="str">
        <f t="array" ref="F2">IFERROR(IF(CMU_CodeVersion()="2026.09.26-R","✔ Macros up to date","⚠ Old macros – paste the new code from Macro Setup"),"⚠ Macros not installed – follow the steps on Macro Setup")</f>
        <v>⚠ Old macros – paste the new code from Macro Setup</v>
      </c>
      <c r="J2" s="9"/>
    </row>
    <row r="3" ht="14.25" customHeight="1">
      <c r="F3" s="20" t="s">
        <v>115</v>
      </c>
    </row>
    <row r="4" ht="14.25" customHeight="1">
      <c r="B4" s="21"/>
      <c r="E4" s="21"/>
      <c r="H4" s="21"/>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c r="B18" s="23"/>
    </row>
    <row r="19" ht="14.25" customHeight="1"/>
    <row r="20" ht="14.25" customHeight="1"/>
    <row r="21" ht="14.25" customHeight="1"/>
    <row r="22" ht="25.5" customHeight="1"/>
    <row r="23" ht="14.25" customHeight="1"/>
    <row r="24" ht="14.25" customHeight="1"/>
    <row r="25" ht="14.25" customHeight="1">
      <c r="B25" s="23"/>
      <c r="J25" s="24" t="s">
        <v>119</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36.0" customHeight="1">
      <c r="B37" s="27" t="s">
        <v>122</v>
      </c>
    </row>
    <row r="38" ht="14.25" customHeight="1">
      <c r="B38" s="21" t="s">
        <v>125</v>
      </c>
    </row>
    <row r="39" ht="14.25" customHeight="1">
      <c r="B39" s="29" t="s">
        <v>39</v>
      </c>
      <c r="C39" s="33">
        <f>ROWS(Companies!$A$5:$A$74)</f>
        <v>70</v>
      </c>
      <c r="D39" s="29" t="s">
        <v>138</v>
      </c>
      <c r="E39" s="33">
        <f>ROWS('Licences &amp; Certificates'!$A$5:$A$73)</f>
        <v>69</v>
      </c>
      <c r="F39" s="29" t="s">
        <v>142</v>
      </c>
      <c r="G39" s="33">
        <f>ROWS('Chemical Clearances'!$A$5:$A$169)</f>
        <v>165</v>
      </c>
      <c r="H39" s="29" t="s">
        <v>145</v>
      </c>
      <c r="I39" s="33" t="str">
        <f>TEXT(SUM('Bills &amp; Invoices'!$J$5:$J$32),"$#,##0")&amp;" / "&amp;TEXT(SUM('Payments &amp; Receipts'!$F$5:$F$58),"$#,##0")</f>
        <v>$279,151 / $434,983</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F2:I2"/>
    <mergeCell ref="F3:I3"/>
  </mergeCells>
  <conditionalFormatting sqref="F2">
    <cfRule type="containsText" dxfId="0" priority="1" operator="containsText" text="⚠">
      <formula>NOT(ISERROR(SEARCH(("⚠"),(F2))))</formula>
    </cfRule>
  </conditionalFormatting>
  <conditionalFormatting sqref="F2">
    <cfRule type="containsText" dxfId="1" priority="2" operator="containsText" text="✔">
      <formula>NOT(ISERROR(SEARCH(("✔"),(F2))))</formula>
    </cfRule>
  </conditionalFormatting>
  <hyperlinks>
    <hyperlink display="📘  Open the User Manual" location="'User Manual'!A1" ref="B37"/>
  </hyperlinks>
  <printOptions horizontalCentered="1"/>
  <pageMargins bottom="0.5555555555555556" footer="0.0" header="0.0" left="0.5" right="0.5" top="0.5555555555555556"/>
  <pageSetup paperSize="9" orientation="landscape"/>
  <headerFooter>
    <oddFooter>&amp;LERRS – CMU Database 2026 | &amp;A&amp;CPage &amp;P of &amp;RPrinted &amp;D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outlinePr summaryBelow="0" summaryRight="0"/>
  </sheetPr>
  <sheetViews>
    <sheetView showGridLines="0" workbookViewId="0"/>
  </sheetViews>
  <sheetFormatPr customHeight="1" defaultColWidth="14.43" defaultRowHeight="15.0"/>
  <cols>
    <col customWidth="1" min="1" max="1" width="27.29"/>
    <col customWidth="1" min="2" max="2" width="18.71"/>
    <col customWidth="1" min="3" max="3" width="91.57"/>
  </cols>
  <sheetData>
    <row r="1">
      <c r="A1" s="2" t="s">
        <v>0</v>
      </c>
      <c r="B1" s="2" t="s">
        <v>3</v>
      </c>
      <c r="C1" s="2" t="s">
        <v>5</v>
      </c>
    </row>
    <row r="2">
      <c r="A2" s="3" t="s">
        <v>6</v>
      </c>
      <c r="B2" s="4" t="s">
        <v>9</v>
      </c>
      <c r="C2" s="3" t="s">
        <v>12</v>
      </c>
    </row>
    <row r="3">
      <c r="A3" s="3" t="s">
        <v>14</v>
      </c>
      <c r="B3" s="5" t="s">
        <v>16</v>
      </c>
      <c r="C3" s="3" t="s">
        <v>18</v>
      </c>
    </row>
    <row r="4">
      <c r="A4" s="3" t="s">
        <v>20</v>
      </c>
      <c r="B4" s="4" t="s">
        <v>21</v>
      </c>
      <c r="C4" s="3" t="s">
        <v>22</v>
      </c>
    </row>
    <row r="5">
      <c r="A5" s="3" t="s">
        <v>24</v>
      </c>
      <c r="B5" s="5" t="s">
        <v>10</v>
      </c>
      <c r="C5" s="3" t="s">
        <v>26</v>
      </c>
    </row>
    <row r="6">
      <c r="A6" s="3" t="s">
        <v>27</v>
      </c>
      <c r="B6" s="4" t="s">
        <v>21</v>
      </c>
      <c r="C6" s="3"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outlinePr summaryBelow="0" summaryRight="0"/>
  </sheetPr>
  <sheetViews>
    <sheetView showGridLines="0" workbookViewId="0"/>
  </sheetViews>
  <sheetFormatPr customHeight="1" defaultColWidth="14.43" defaultRowHeight="15.0"/>
  <cols>
    <col customWidth="1" min="1" max="1" width="15.86"/>
    <col customWidth="1" min="2" max="2" width="27.29"/>
    <col customWidth="1" min="3" max="3" width="18.71"/>
    <col customWidth="1" min="4" max="4" width="100.14"/>
  </cols>
  <sheetData>
    <row r="1">
      <c r="A1" s="1" t="s">
        <v>1</v>
      </c>
      <c r="B1" s="1" t="s">
        <v>2</v>
      </c>
      <c r="C1" s="1" t="s">
        <v>4</v>
      </c>
      <c r="D1" s="1" t="s">
        <v>5</v>
      </c>
    </row>
    <row r="2">
      <c r="A2" s="3" t="s">
        <v>7</v>
      </c>
      <c r="B2" s="3" t="s">
        <v>8</v>
      </c>
      <c r="C2" s="3" t="s">
        <v>10</v>
      </c>
    </row>
    <row r="3">
      <c r="A3" s="3" t="s">
        <v>7</v>
      </c>
      <c r="B3" s="3" t="s">
        <v>11</v>
      </c>
      <c r="C3" s="3" t="s">
        <v>10</v>
      </c>
    </row>
    <row r="4">
      <c r="A4" s="3" t="s">
        <v>7</v>
      </c>
      <c r="B4" s="3" t="s">
        <v>13</v>
      </c>
      <c r="C4" s="3" t="s">
        <v>10</v>
      </c>
    </row>
    <row r="5">
      <c r="A5" s="3" t="s">
        <v>7</v>
      </c>
      <c r="B5" s="3" t="s">
        <v>15</v>
      </c>
      <c r="C5" s="3" t="s">
        <v>10</v>
      </c>
    </row>
    <row r="6">
      <c r="A6" s="3" t="s">
        <v>7</v>
      </c>
      <c r="B6" s="3" t="s">
        <v>17</v>
      </c>
      <c r="C6" s="3" t="s">
        <v>10</v>
      </c>
    </row>
    <row r="7">
      <c r="A7" s="3" t="s">
        <v>7</v>
      </c>
      <c r="B7" s="3" t="s">
        <v>19</v>
      </c>
      <c r="C7" s="3" t="s">
        <v>10</v>
      </c>
    </row>
    <row r="8">
      <c r="A8" s="3" t="s">
        <v>7</v>
      </c>
      <c r="B8" s="3" t="s">
        <v>23</v>
      </c>
      <c r="C8" s="3" t="s">
        <v>10</v>
      </c>
    </row>
    <row r="9">
      <c r="A9" s="3" t="s">
        <v>7</v>
      </c>
      <c r="B9" s="3" t="s">
        <v>25</v>
      </c>
      <c r="C9" s="3" t="s">
        <v>10</v>
      </c>
    </row>
    <row r="10">
      <c r="A10" s="3" t="s">
        <v>7</v>
      </c>
      <c r="B10" s="3" t="s">
        <v>28</v>
      </c>
      <c r="C10" s="3" t="s">
        <v>10</v>
      </c>
    </row>
    <row r="11">
      <c r="A11" s="3" t="s">
        <v>7</v>
      </c>
      <c r="B11" s="3" t="s">
        <v>30</v>
      </c>
      <c r="C11" s="3" t="s">
        <v>10</v>
      </c>
    </row>
    <row r="12">
      <c r="A12" s="3" t="s">
        <v>7</v>
      </c>
      <c r="B12" s="3" t="s">
        <v>31</v>
      </c>
      <c r="C12" s="3" t="s">
        <v>10</v>
      </c>
    </row>
    <row r="13">
      <c r="A13" s="3" t="s">
        <v>7</v>
      </c>
      <c r="B13" s="3" t="s">
        <v>32</v>
      </c>
      <c r="C13" s="3" t="s">
        <v>10</v>
      </c>
    </row>
    <row r="14">
      <c r="A14" s="3" t="s">
        <v>7</v>
      </c>
      <c r="B14" s="3" t="s">
        <v>33</v>
      </c>
      <c r="C14" s="6" t="s">
        <v>35</v>
      </c>
      <c r="D14" s="3" t="s">
        <v>36</v>
      </c>
    </row>
    <row r="15">
      <c r="A15" s="3" t="s">
        <v>7</v>
      </c>
      <c r="B15" s="3" t="s">
        <v>37</v>
      </c>
      <c r="C15" s="3" t="s">
        <v>10</v>
      </c>
    </row>
    <row r="16">
      <c r="A16" s="3" t="s">
        <v>7</v>
      </c>
      <c r="B16" s="3" t="s">
        <v>38</v>
      </c>
      <c r="C16" s="3" t="s">
        <v>10</v>
      </c>
    </row>
    <row r="17">
      <c r="A17" s="3" t="s">
        <v>7</v>
      </c>
      <c r="B17" s="3" t="s">
        <v>39</v>
      </c>
      <c r="C17" s="3" t="s">
        <v>10</v>
      </c>
    </row>
    <row r="18">
      <c r="A18" s="3" t="s">
        <v>7</v>
      </c>
      <c r="B18" s="3" t="s">
        <v>40</v>
      </c>
      <c r="C18" s="3" t="s">
        <v>10</v>
      </c>
    </row>
    <row r="19">
      <c r="A19" s="3" t="s">
        <v>7</v>
      </c>
      <c r="B19" s="3" t="s">
        <v>41</v>
      </c>
      <c r="C19" s="3" t="s">
        <v>10</v>
      </c>
    </row>
    <row r="20">
      <c r="A20" s="3" t="s">
        <v>7</v>
      </c>
      <c r="B20" s="3" t="s">
        <v>42</v>
      </c>
      <c r="C20" s="3" t="s">
        <v>10</v>
      </c>
    </row>
    <row r="21">
      <c r="A21" s="3" t="s">
        <v>7</v>
      </c>
      <c r="B21" s="3" t="s">
        <v>43</v>
      </c>
      <c r="C21" s="3" t="s">
        <v>10</v>
      </c>
    </row>
    <row r="22">
      <c r="A22" s="3" t="s">
        <v>7</v>
      </c>
      <c r="B22" s="3" t="s">
        <v>44</v>
      </c>
      <c r="C22" s="3" t="s">
        <v>10</v>
      </c>
    </row>
    <row r="23">
      <c r="A23" s="3" t="s">
        <v>7</v>
      </c>
      <c r="B23" s="3" t="s">
        <v>45</v>
      </c>
      <c r="C23" s="3" t="s">
        <v>10</v>
      </c>
    </row>
    <row r="24">
      <c r="A24" s="3" t="s">
        <v>7</v>
      </c>
      <c r="B24" s="3" t="s">
        <v>46</v>
      </c>
      <c r="C24" s="3" t="s">
        <v>10</v>
      </c>
    </row>
    <row r="25">
      <c r="A25" s="3" t="s">
        <v>7</v>
      </c>
      <c r="B25" s="3" t="s">
        <v>47</v>
      </c>
      <c r="C25" s="3" t="s">
        <v>10</v>
      </c>
    </row>
    <row r="26">
      <c r="A26" s="3" t="s">
        <v>7</v>
      </c>
      <c r="B26" s="3" t="s">
        <v>48</v>
      </c>
      <c r="C26" s="3" t="s">
        <v>10</v>
      </c>
    </row>
    <row r="27">
      <c r="A27" s="3" t="s">
        <v>7</v>
      </c>
      <c r="B27" s="3" t="s">
        <v>49</v>
      </c>
      <c r="C27" s="3" t="s">
        <v>10</v>
      </c>
    </row>
    <row r="28">
      <c r="A28" s="3" t="s">
        <v>7</v>
      </c>
      <c r="B28" s="3" t="s">
        <v>50</v>
      </c>
      <c r="C28" s="3" t="s">
        <v>10</v>
      </c>
    </row>
    <row r="29">
      <c r="A29" s="3" t="s">
        <v>7</v>
      </c>
      <c r="B29" s="3" t="s">
        <v>51</v>
      </c>
      <c r="C29" s="3" t="s">
        <v>10</v>
      </c>
    </row>
    <row r="30">
      <c r="A30" s="3" t="s">
        <v>7</v>
      </c>
      <c r="B30" s="3" t="s">
        <v>52</v>
      </c>
      <c r="C30" s="3" t="s">
        <v>10</v>
      </c>
    </row>
    <row r="31">
      <c r="A31" s="3" t="s">
        <v>7</v>
      </c>
      <c r="B31" s="3" t="s">
        <v>53</v>
      </c>
      <c r="C31" s="3" t="s">
        <v>10</v>
      </c>
    </row>
    <row r="32">
      <c r="A32" s="3" t="s">
        <v>54</v>
      </c>
      <c r="B32" s="3" t="s">
        <v>8</v>
      </c>
      <c r="C32" s="3" t="s">
        <v>55</v>
      </c>
    </row>
    <row r="33">
      <c r="A33" s="3" t="s">
        <v>54</v>
      </c>
      <c r="B33" s="3" t="s">
        <v>11</v>
      </c>
      <c r="C33" s="3" t="s">
        <v>56</v>
      </c>
    </row>
    <row r="34">
      <c r="A34" s="3" t="s">
        <v>54</v>
      </c>
      <c r="B34" s="3" t="s">
        <v>15</v>
      </c>
      <c r="C34" s="3" t="s">
        <v>55</v>
      </c>
    </row>
    <row r="35">
      <c r="A35" s="3" t="s">
        <v>54</v>
      </c>
      <c r="B35" s="3" t="s">
        <v>17</v>
      </c>
      <c r="C35" s="3" t="s">
        <v>57</v>
      </c>
    </row>
    <row r="36">
      <c r="A36" s="3" t="s">
        <v>54</v>
      </c>
      <c r="B36" s="3" t="s">
        <v>19</v>
      </c>
      <c r="C36" s="3" t="s">
        <v>58</v>
      </c>
    </row>
    <row r="37">
      <c r="A37" s="3" t="s">
        <v>54</v>
      </c>
      <c r="B37" s="3" t="s">
        <v>23</v>
      </c>
      <c r="C37" s="3" t="s">
        <v>58</v>
      </c>
    </row>
    <row r="38">
      <c r="A38" s="3" t="s">
        <v>54</v>
      </c>
      <c r="B38" s="3" t="s">
        <v>25</v>
      </c>
      <c r="C38" s="3" t="s">
        <v>60</v>
      </c>
    </row>
    <row r="39">
      <c r="A39" s="3" t="s">
        <v>54</v>
      </c>
      <c r="B39" s="3" t="s">
        <v>28</v>
      </c>
      <c r="C39" s="3" t="s">
        <v>57</v>
      </c>
    </row>
    <row r="40">
      <c r="A40" s="3" t="s">
        <v>54</v>
      </c>
      <c r="B40" s="3" t="s">
        <v>30</v>
      </c>
      <c r="C40" s="3" t="s">
        <v>61</v>
      </c>
    </row>
    <row r="41">
      <c r="A41" s="3" t="s">
        <v>54</v>
      </c>
      <c r="B41" s="3" t="s">
        <v>31</v>
      </c>
      <c r="C41" s="3" t="s">
        <v>61</v>
      </c>
    </row>
    <row r="42">
      <c r="A42" s="3" t="s">
        <v>54</v>
      </c>
      <c r="B42" s="3" t="s">
        <v>32</v>
      </c>
      <c r="C42" s="3" t="s">
        <v>61</v>
      </c>
    </row>
    <row r="43">
      <c r="A43" s="3" t="s">
        <v>54</v>
      </c>
      <c r="B43" s="3" t="s">
        <v>33</v>
      </c>
      <c r="C43" s="3" t="s">
        <v>61</v>
      </c>
    </row>
    <row r="44">
      <c r="A44" s="3" t="s">
        <v>54</v>
      </c>
      <c r="B44" s="3" t="s">
        <v>37</v>
      </c>
      <c r="C44" s="3" t="s">
        <v>61</v>
      </c>
    </row>
    <row r="45">
      <c r="A45" s="3" t="s">
        <v>54</v>
      </c>
      <c r="B45" s="3" t="s">
        <v>38</v>
      </c>
      <c r="C45" s="3" t="s">
        <v>62</v>
      </c>
    </row>
    <row r="46">
      <c r="A46" s="3" t="s">
        <v>54</v>
      </c>
      <c r="B46" s="3" t="s">
        <v>39</v>
      </c>
      <c r="C46" s="3" t="s">
        <v>55</v>
      </c>
    </row>
    <row r="47">
      <c r="A47" s="3" t="s">
        <v>54</v>
      </c>
      <c r="B47" s="3" t="s">
        <v>40</v>
      </c>
      <c r="C47" s="3" t="s">
        <v>55</v>
      </c>
    </row>
    <row r="48">
      <c r="A48" s="3" t="s">
        <v>54</v>
      </c>
      <c r="B48" s="3" t="s">
        <v>41</v>
      </c>
      <c r="C48" s="3" t="s">
        <v>55</v>
      </c>
    </row>
    <row r="49">
      <c r="A49" s="3" t="s">
        <v>54</v>
      </c>
      <c r="B49" s="3" t="s">
        <v>42</v>
      </c>
      <c r="C49" s="3" t="s">
        <v>55</v>
      </c>
    </row>
    <row r="50">
      <c r="A50" s="3" t="s">
        <v>54</v>
      </c>
      <c r="B50" s="3" t="s">
        <v>43</v>
      </c>
      <c r="C50" s="3" t="s">
        <v>55</v>
      </c>
    </row>
    <row r="51">
      <c r="A51" s="3" t="s">
        <v>54</v>
      </c>
      <c r="B51" s="3" t="s">
        <v>44</v>
      </c>
      <c r="C51" s="3" t="s">
        <v>55</v>
      </c>
    </row>
    <row r="52">
      <c r="A52" s="3" t="s">
        <v>54</v>
      </c>
      <c r="B52" s="3" t="s">
        <v>45</v>
      </c>
      <c r="C52" s="3" t="s">
        <v>55</v>
      </c>
    </row>
    <row r="53">
      <c r="A53" s="3" t="s">
        <v>54</v>
      </c>
      <c r="B53" s="3" t="s">
        <v>46</v>
      </c>
      <c r="C53" s="3" t="s">
        <v>55</v>
      </c>
    </row>
    <row r="54">
      <c r="A54" s="3" t="s">
        <v>54</v>
      </c>
      <c r="B54" s="3" t="s">
        <v>47</v>
      </c>
      <c r="C54" s="3" t="s">
        <v>55</v>
      </c>
    </row>
    <row r="55">
      <c r="A55" s="3" t="s">
        <v>54</v>
      </c>
      <c r="B55" s="3" t="s">
        <v>48</v>
      </c>
      <c r="C55" s="3" t="s">
        <v>55</v>
      </c>
    </row>
    <row r="56">
      <c r="A56" s="3" t="s">
        <v>54</v>
      </c>
      <c r="B56" s="3" t="s">
        <v>49</v>
      </c>
      <c r="C56" s="3" t="s">
        <v>55</v>
      </c>
    </row>
    <row r="57">
      <c r="A57" s="3" t="s">
        <v>54</v>
      </c>
      <c r="B57" s="3" t="s">
        <v>50</v>
      </c>
      <c r="C57" s="3" t="s">
        <v>55</v>
      </c>
    </row>
    <row r="58">
      <c r="A58" s="3" t="s">
        <v>54</v>
      </c>
      <c r="B58" s="3" t="s">
        <v>52</v>
      </c>
      <c r="C58" s="3" t="s">
        <v>55</v>
      </c>
    </row>
    <row r="59">
      <c r="A59" s="3" t="s">
        <v>54</v>
      </c>
      <c r="B59" s="3" t="s">
        <v>53</v>
      </c>
      <c r="C59" s="3" t="s">
        <v>55</v>
      </c>
    </row>
    <row r="60">
      <c r="A60" s="3" t="s">
        <v>63</v>
      </c>
      <c r="B60" s="3" t="s">
        <v>17</v>
      </c>
      <c r="C60" s="3" t="s">
        <v>64</v>
      </c>
      <c r="D60" s="3" t="s">
        <v>65</v>
      </c>
    </row>
    <row r="61">
      <c r="A61" s="3" t="s">
        <v>63</v>
      </c>
      <c r="B61" s="3" t="s">
        <v>19</v>
      </c>
      <c r="C61" s="3" t="s">
        <v>66</v>
      </c>
      <c r="D61" s="3" t="s">
        <v>67</v>
      </c>
    </row>
    <row r="62">
      <c r="A62" s="3" t="s">
        <v>63</v>
      </c>
      <c r="B62" s="3" t="s">
        <v>19</v>
      </c>
      <c r="C62" s="3" t="s">
        <v>68</v>
      </c>
      <c r="D62" s="3" t="s">
        <v>69</v>
      </c>
    </row>
    <row r="63">
      <c r="A63" s="3" t="s">
        <v>63</v>
      </c>
      <c r="B63" s="3" t="s">
        <v>19</v>
      </c>
      <c r="C63" s="3" t="s">
        <v>70</v>
      </c>
      <c r="D63" s="3" t="s">
        <v>71</v>
      </c>
    </row>
    <row r="64">
      <c r="A64" s="3" t="s">
        <v>63</v>
      </c>
      <c r="B64" s="3" t="s">
        <v>19</v>
      </c>
      <c r="C64" s="3" t="s">
        <v>72</v>
      </c>
      <c r="D64" s="3" t="s">
        <v>73</v>
      </c>
    </row>
    <row r="65">
      <c r="A65" s="3" t="s">
        <v>63</v>
      </c>
      <c r="B65" s="3" t="s">
        <v>19</v>
      </c>
      <c r="C65" s="3" t="s">
        <v>74</v>
      </c>
      <c r="D65" s="3" t="s">
        <v>75</v>
      </c>
    </row>
    <row r="66">
      <c r="A66" s="3" t="s">
        <v>63</v>
      </c>
      <c r="B66" s="3" t="s">
        <v>19</v>
      </c>
      <c r="C66" s="3" t="s">
        <v>76</v>
      </c>
      <c r="D66" s="3" t="s">
        <v>77</v>
      </c>
    </row>
    <row r="67">
      <c r="A67" s="3" t="s">
        <v>63</v>
      </c>
      <c r="B67" s="3" t="s">
        <v>19</v>
      </c>
      <c r="C67" s="3" t="s">
        <v>78</v>
      </c>
      <c r="D67" s="3" t="s">
        <v>79</v>
      </c>
    </row>
    <row r="68">
      <c r="A68" s="3" t="s">
        <v>63</v>
      </c>
      <c r="B68" s="3" t="s">
        <v>19</v>
      </c>
      <c r="C68" s="3" t="s">
        <v>68</v>
      </c>
      <c r="D68" s="3" t="s">
        <v>80</v>
      </c>
    </row>
    <row r="69">
      <c r="A69" s="3" t="s">
        <v>63</v>
      </c>
      <c r="B69" s="3" t="s">
        <v>23</v>
      </c>
      <c r="C69" s="3" t="s">
        <v>72</v>
      </c>
      <c r="D69" s="3" t="s">
        <v>81</v>
      </c>
    </row>
    <row r="70">
      <c r="A70" s="3" t="s">
        <v>63</v>
      </c>
      <c r="B70" s="3" t="s">
        <v>23</v>
      </c>
      <c r="C70" s="3" t="s">
        <v>74</v>
      </c>
      <c r="D70" s="3" t="s">
        <v>82</v>
      </c>
    </row>
    <row r="71">
      <c r="A71" s="3" t="s">
        <v>63</v>
      </c>
      <c r="B71" s="3" t="s">
        <v>23</v>
      </c>
      <c r="C71" s="3" t="s">
        <v>66</v>
      </c>
      <c r="D71" s="3" t="s">
        <v>67</v>
      </c>
    </row>
    <row r="72">
      <c r="A72" s="3" t="s">
        <v>63</v>
      </c>
      <c r="B72" s="3" t="s">
        <v>25</v>
      </c>
      <c r="C72" s="3" t="s">
        <v>66</v>
      </c>
      <c r="D72" s="3" t="s">
        <v>67</v>
      </c>
    </row>
    <row r="73">
      <c r="A73" s="3" t="s">
        <v>63</v>
      </c>
      <c r="B73" s="3" t="s">
        <v>25</v>
      </c>
      <c r="C73" s="3" t="s">
        <v>64</v>
      </c>
      <c r="D73" s="3" t="s">
        <v>84</v>
      </c>
    </row>
    <row r="74">
      <c r="A74" s="3" t="s">
        <v>63</v>
      </c>
      <c r="B74" s="3" t="s">
        <v>25</v>
      </c>
      <c r="C74" s="3" t="s">
        <v>85</v>
      </c>
      <c r="D74" s="3" t="s">
        <v>86</v>
      </c>
    </row>
    <row r="75">
      <c r="A75" s="3" t="s">
        <v>63</v>
      </c>
      <c r="B75" s="3" t="s">
        <v>25</v>
      </c>
      <c r="C75" s="3" t="s">
        <v>87</v>
      </c>
      <c r="D75" s="3" t="s">
        <v>88</v>
      </c>
    </row>
    <row r="76">
      <c r="A76" s="3" t="s">
        <v>63</v>
      </c>
      <c r="B76" s="3" t="s">
        <v>28</v>
      </c>
      <c r="C76" s="3" t="s">
        <v>66</v>
      </c>
      <c r="D76" s="3" t="s">
        <v>67</v>
      </c>
    </row>
    <row r="77">
      <c r="A77" s="3" t="s">
        <v>63</v>
      </c>
      <c r="B77" s="3" t="s">
        <v>28</v>
      </c>
      <c r="C77" s="3" t="s">
        <v>89</v>
      </c>
      <c r="D77" s="3" t="s">
        <v>90</v>
      </c>
    </row>
    <row r="78">
      <c r="A78" s="3" t="s">
        <v>63</v>
      </c>
      <c r="B78" s="3" t="s">
        <v>28</v>
      </c>
      <c r="C78" s="3" t="s">
        <v>91</v>
      </c>
      <c r="D78" s="3" t="s">
        <v>92</v>
      </c>
    </row>
    <row r="79">
      <c r="A79" s="3" t="s">
        <v>63</v>
      </c>
      <c r="B79" s="3" t="s">
        <v>30</v>
      </c>
      <c r="C79" s="3" t="s">
        <v>93</v>
      </c>
      <c r="D79" s="3" t="s">
        <v>94</v>
      </c>
    </row>
    <row r="80">
      <c r="A80" s="3" t="s">
        <v>63</v>
      </c>
      <c r="B80" s="3" t="s">
        <v>30</v>
      </c>
      <c r="C80" s="3" t="s">
        <v>95</v>
      </c>
      <c r="D80" s="3" t="s">
        <v>96</v>
      </c>
    </row>
    <row r="81">
      <c r="A81" s="3" t="s">
        <v>63</v>
      </c>
      <c r="B81" s="3" t="s">
        <v>31</v>
      </c>
      <c r="C81" s="3" t="s">
        <v>93</v>
      </c>
      <c r="D81" s="3" t="s">
        <v>94</v>
      </c>
    </row>
    <row r="82">
      <c r="A82" s="3" t="s">
        <v>63</v>
      </c>
      <c r="B82" s="3" t="s">
        <v>31</v>
      </c>
      <c r="C82" s="3" t="s">
        <v>95</v>
      </c>
      <c r="D82" s="3" t="s">
        <v>96</v>
      </c>
    </row>
    <row r="83">
      <c r="A83" s="3" t="s">
        <v>63</v>
      </c>
      <c r="B83" s="3" t="s">
        <v>32</v>
      </c>
      <c r="C83" s="3" t="s">
        <v>93</v>
      </c>
      <c r="D83" s="3" t="s">
        <v>94</v>
      </c>
    </row>
    <row r="84">
      <c r="A84" s="3" t="s">
        <v>63</v>
      </c>
      <c r="B84" s="3" t="s">
        <v>32</v>
      </c>
      <c r="C84" s="3" t="s">
        <v>95</v>
      </c>
      <c r="D84" s="3" t="s">
        <v>98</v>
      </c>
    </row>
    <row r="85">
      <c r="A85" s="3" t="s">
        <v>63</v>
      </c>
      <c r="B85" s="3" t="s">
        <v>33</v>
      </c>
      <c r="C85" s="3" t="s">
        <v>95</v>
      </c>
      <c r="D85" s="3" t="s">
        <v>98</v>
      </c>
    </row>
    <row r="86">
      <c r="A86" s="3" t="s">
        <v>63</v>
      </c>
      <c r="B86" s="3" t="s">
        <v>33</v>
      </c>
      <c r="C86" s="3" t="s">
        <v>93</v>
      </c>
      <c r="D86" s="3" t="s">
        <v>94</v>
      </c>
    </row>
    <row r="87">
      <c r="A87" s="3" t="s">
        <v>63</v>
      </c>
      <c r="B87" s="3" t="s">
        <v>37</v>
      </c>
      <c r="C87" s="3" t="s">
        <v>99</v>
      </c>
      <c r="D87" s="3" t="s">
        <v>100</v>
      </c>
    </row>
    <row r="88">
      <c r="A88" s="3" t="s">
        <v>63</v>
      </c>
      <c r="B88" s="3" t="s">
        <v>37</v>
      </c>
      <c r="C88" s="3" t="s">
        <v>95</v>
      </c>
      <c r="D88" s="3" t="s">
        <v>96</v>
      </c>
    </row>
    <row r="89">
      <c r="A89" s="3" t="s">
        <v>63</v>
      </c>
      <c r="B89" s="3" t="s">
        <v>38</v>
      </c>
      <c r="C89" s="3" t="s">
        <v>91</v>
      </c>
      <c r="D89" s="3" t="s">
        <v>101</v>
      </c>
    </row>
    <row r="90">
      <c r="A90" s="3" t="s">
        <v>63</v>
      </c>
      <c r="B90" s="3" t="s">
        <v>38</v>
      </c>
      <c r="C90" s="3" t="s">
        <v>95</v>
      </c>
      <c r="D90" s="3" t="s">
        <v>102</v>
      </c>
    </row>
    <row r="91">
      <c r="A91" s="3" t="s">
        <v>63</v>
      </c>
      <c r="B91" s="3" t="s">
        <v>40</v>
      </c>
      <c r="C91" s="3" t="s">
        <v>66</v>
      </c>
      <c r="D91" s="3" t="s">
        <v>103</v>
      </c>
    </row>
    <row r="92">
      <c r="A92" s="3" t="s">
        <v>63</v>
      </c>
      <c r="B92" s="3" t="s">
        <v>41</v>
      </c>
      <c r="C92" s="3" t="s">
        <v>93</v>
      </c>
      <c r="D92" s="3" t="s">
        <v>105</v>
      </c>
    </row>
    <row r="93">
      <c r="A93" s="3" t="s">
        <v>63</v>
      </c>
      <c r="B93" s="3" t="s">
        <v>41</v>
      </c>
      <c r="C93" s="3" t="s">
        <v>74</v>
      </c>
      <c r="D93" s="3" t="s">
        <v>106</v>
      </c>
    </row>
    <row r="94">
      <c r="A94" s="3" t="s">
        <v>63</v>
      </c>
      <c r="B94" s="3" t="s">
        <v>42</v>
      </c>
      <c r="C94" s="3" t="s">
        <v>93</v>
      </c>
      <c r="D94" s="3" t="s">
        <v>107</v>
      </c>
    </row>
    <row r="95">
      <c r="A95" s="3" t="s">
        <v>63</v>
      </c>
      <c r="B95" s="3" t="s">
        <v>44</v>
      </c>
      <c r="C95" s="3" t="s">
        <v>66</v>
      </c>
      <c r="D95" s="3" t="s">
        <v>108</v>
      </c>
    </row>
    <row r="96">
      <c r="A96" s="3" t="s">
        <v>63</v>
      </c>
      <c r="B96" s="3" t="s">
        <v>45</v>
      </c>
      <c r="C96" s="3" t="s">
        <v>66</v>
      </c>
      <c r="D96" s="3" t="s">
        <v>109</v>
      </c>
    </row>
    <row r="97">
      <c r="A97" s="3" t="s">
        <v>63</v>
      </c>
      <c r="B97" s="3" t="s">
        <v>46</v>
      </c>
      <c r="C97" s="3" t="s">
        <v>66</v>
      </c>
      <c r="D97" s="3" t="s">
        <v>110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1827"/>
    <pageSetUpPr fitToPage="1"/>
  </sheetPr>
  <sheetViews>
    <sheetView showGridLines="0" workbookViewId="0"/>
  </sheetViews>
  <sheetFormatPr customHeight="1" defaultColWidth="14.43" defaultRowHeight="15.0"/>
  <cols>
    <col customWidth="1" min="1" max="1" width="2.29"/>
    <col customWidth="1" min="2" max="5" width="27.71"/>
    <col customWidth="1" min="6" max="6" width="29.71"/>
    <col customWidth="1" min="7" max="26" width="8.71"/>
  </cols>
  <sheetData>
    <row r="1" ht="7.5" customHeight="1">
      <c r="A1" s="10"/>
      <c r="B1" s="10"/>
      <c r="C1" s="10"/>
      <c r="D1" s="10"/>
      <c r="E1" s="10"/>
      <c r="F1" s="10"/>
      <c r="G1" s="10"/>
    </row>
    <row r="2" ht="45.75" customHeight="1">
      <c r="A2" s="10"/>
      <c r="B2" s="11" t="s">
        <v>83</v>
      </c>
      <c r="C2" s="12"/>
      <c r="D2" s="12"/>
      <c r="E2" s="12"/>
      <c r="F2" s="13"/>
      <c r="G2" s="10"/>
    </row>
    <row r="3" ht="21.75" customHeight="1">
      <c r="A3" s="10"/>
      <c r="B3" s="14" t="s">
        <v>97</v>
      </c>
      <c r="C3" s="12"/>
      <c r="D3" s="12"/>
      <c r="E3" s="12"/>
      <c r="F3" s="13"/>
      <c r="G3" s="10"/>
    </row>
    <row r="4" ht="19.5" customHeight="1">
      <c r="A4" s="10"/>
      <c r="B4" s="15" t="s">
        <v>104</v>
      </c>
      <c r="G4" s="10"/>
    </row>
    <row r="5" ht="6.0" customHeight="1">
      <c r="A5" s="10"/>
      <c r="B5" s="10"/>
      <c r="C5" s="10"/>
      <c r="D5" s="10"/>
      <c r="E5" s="10"/>
      <c r="F5" s="10"/>
      <c r="G5" s="10"/>
    </row>
    <row r="6" ht="21.75" customHeight="1">
      <c r="A6" s="10"/>
      <c r="B6" s="16" t="s">
        <v>111</v>
      </c>
      <c r="C6" s="17"/>
      <c r="D6" s="17"/>
      <c r="E6" s="17"/>
      <c r="F6" s="17"/>
      <c r="G6" s="10"/>
    </row>
    <row r="7" ht="3.75" customHeight="1">
      <c r="A7" s="10"/>
      <c r="B7" s="10"/>
      <c r="C7" s="10"/>
      <c r="D7" s="10"/>
      <c r="E7" s="10"/>
      <c r="F7" s="10"/>
      <c r="G7" s="10"/>
    </row>
    <row r="8" ht="16.5" customHeight="1">
      <c r="A8" s="10"/>
      <c r="B8" s="18" t="s">
        <v>112</v>
      </c>
      <c r="G8" s="10"/>
    </row>
    <row r="9" ht="16.5" customHeight="1">
      <c r="A9" s="10"/>
      <c r="B9" s="18" t="s">
        <v>113</v>
      </c>
      <c r="G9" s="10"/>
    </row>
    <row r="10" ht="16.5" customHeight="1">
      <c r="A10" s="10"/>
      <c r="B10" s="18" t="s">
        <v>114</v>
      </c>
      <c r="G10" s="10"/>
    </row>
    <row r="11" ht="16.5" customHeight="1">
      <c r="A11" s="10"/>
      <c r="B11" s="18" t="s">
        <v>117</v>
      </c>
      <c r="G11" s="10"/>
    </row>
    <row r="12" ht="16.5" customHeight="1">
      <c r="A12" s="10"/>
      <c r="B12" s="18" t="s">
        <v>118</v>
      </c>
      <c r="G12" s="10"/>
    </row>
    <row r="13" ht="16.5" customHeight="1">
      <c r="A13" s="10"/>
      <c r="B13" s="18" t="s">
        <v>120</v>
      </c>
      <c r="G13" s="10"/>
    </row>
    <row r="14" ht="16.5" customHeight="1">
      <c r="A14" s="10"/>
      <c r="B14" s="18" t="s">
        <v>121</v>
      </c>
      <c r="G14" s="10"/>
    </row>
    <row r="15" ht="16.5" customHeight="1">
      <c r="A15" s="10"/>
      <c r="B15" s="18" t="s">
        <v>123</v>
      </c>
      <c r="G15" s="10"/>
    </row>
    <row r="16" ht="16.5" customHeight="1">
      <c r="A16" s="10"/>
      <c r="B16" s="18" t="s">
        <v>124</v>
      </c>
      <c r="G16" s="10"/>
    </row>
    <row r="17" ht="16.5" customHeight="1">
      <c r="A17" s="10"/>
      <c r="B17" s="18" t="s">
        <v>126</v>
      </c>
      <c r="G17" s="10"/>
    </row>
    <row r="18" ht="16.5" customHeight="1">
      <c r="A18" s="10"/>
      <c r="B18" s="18" t="s">
        <v>128</v>
      </c>
      <c r="G18" s="10"/>
    </row>
    <row r="19" ht="16.5" customHeight="1">
      <c r="A19" s="10"/>
      <c r="B19" s="18" t="s">
        <v>129</v>
      </c>
      <c r="G19" s="10"/>
    </row>
    <row r="20" ht="16.5" customHeight="1">
      <c r="A20" s="10"/>
      <c r="B20" s="18" t="s">
        <v>130</v>
      </c>
      <c r="G20" s="10"/>
    </row>
    <row r="21" ht="9.75" customHeight="1">
      <c r="A21" s="10"/>
      <c r="B21" s="10"/>
      <c r="C21" s="10"/>
      <c r="D21" s="10"/>
      <c r="E21" s="10"/>
      <c r="F21" s="10"/>
      <c r="G21" s="10"/>
    </row>
    <row r="22" ht="27.75" customHeight="1">
      <c r="A22" s="10"/>
      <c r="B22" s="32" t="s">
        <v>112</v>
      </c>
      <c r="C22" s="12"/>
      <c r="D22" s="12"/>
      <c r="E22" s="12"/>
      <c r="F22" s="13"/>
      <c r="G22" s="10"/>
    </row>
    <row r="23" ht="6.0" customHeight="1">
      <c r="A23" s="10"/>
      <c r="B23" s="10"/>
      <c r="C23" s="10"/>
      <c r="D23" s="10"/>
      <c r="E23" s="10"/>
      <c r="F23" s="10"/>
      <c r="G23" s="10"/>
    </row>
    <row r="24" ht="48.75" customHeight="1">
      <c r="A24" s="10"/>
      <c r="B24" s="34" t="s">
        <v>139</v>
      </c>
      <c r="G24" s="10"/>
    </row>
    <row r="25" ht="21.0" customHeight="1">
      <c r="A25" s="10"/>
      <c r="B25" s="35" t="s">
        <v>140</v>
      </c>
      <c r="C25" s="36" t="s">
        <v>141</v>
      </c>
      <c r="D25" s="37"/>
      <c r="E25" s="38"/>
      <c r="F25" s="39" t="s">
        <v>143</v>
      </c>
      <c r="G25" s="10"/>
    </row>
    <row r="26" ht="36.0" customHeight="1">
      <c r="A26" s="10"/>
      <c r="B26" s="40" t="s">
        <v>144</v>
      </c>
      <c r="C26" s="40" t="s">
        <v>146</v>
      </c>
      <c r="D26" s="41"/>
      <c r="E26" s="41"/>
      <c r="F26" s="43" t="s">
        <v>147</v>
      </c>
      <c r="G26" s="10"/>
    </row>
    <row r="27" ht="36.0" customHeight="1">
      <c r="A27" s="10"/>
      <c r="B27" s="44" t="s">
        <v>148</v>
      </c>
      <c r="C27" s="45" t="s">
        <v>149</v>
      </c>
      <c r="D27" s="37"/>
      <c r="E27" s="38"/>
      <c r="F27" s="46" t="s">
        <v>150</v>
      </c>
      <c r="G27" s="10"/>
    </row>
    <row r="28" ht="36.0" customHeight="1">
      <c r="A28" s="10"/>
      <c r="B28" s="47" t="s">
        <v>151</v>
      </c>
      <c r="C28" s="47" t="s">
        <v>152</v>
      </c>
      <c r="D28" s="48"/>
      <c r="E28" s="48"/>
      <c r="F28" s="49" t="s">
        <v>153</v>
      </c>
      <c r="G28" s="10"/>
    </row>
    <row r="29" ht="6.0" customHeight="1">
      <c r="A29" s="10"/>
      <c r="B29" s="10"/>
      <c r="C29" s="10"/>
      <c r="D29" s="10"/>
      <c r="E29" s="10"/>
      <c r="F29" s="10"/>
      <c r="G29" s="10"/>
    </row>
    <row r="30" ht="9.75" customHeight="1">
      <c r="A30" s="10"/>
      <c r="B30" s="10"/>
      <c r="C30" s="10"/>
      <c r="D30" s="10"/>
      <c r="E30" s="10"/>
      <c r="F30" s="10"/>
      <c r="G30" s="10"/>
    </row>
    <row r="31" ht="27.75" customHeight="1">
      <c r="A31" s="10"/>
      <c r="B31" s="32" t="s">
        <v>113</v>
      </c>
      <c r="C31" s="12"/>
      <c r="D31" s="12"/>
      <c r="E31" s="12"/>
      <c r="F31" s="13"/>
      <c r="G31" s="10"/>
    </row>
    <row r="32" ht="6.0" customHeight="1">
      <c r="A32" s="10"/>
      <c r="B32" s="10"/>
      <c r="C32" s="10"/>
      <c r="D32" s="10"/>
      <c r="E32" s="10"/>
      <c r="F32" s="10"/>
      <c r="G32" s="10"/>
    </row>
    <row r="33" ht="37.5" customHeight="1">
      <c r="A33" s="10"/>
      <c r="B33" s="51" t="s">
        <v>154</v>
      </c>
      <c r="C33" s="52" t="s">
        <v>156</v>
      </c>
      <c r="D33" s="12"/>
      <c r="E33" s="12"/>
      <c r="F33" s="13"/>
      <c r="G33" s="10"/>
    </row>
    <row r="34" ht="3.0" customHeight="1">
      <c r="A34" s="10"/>
      <c r="B34" s="10"/>
      <c r="C34" s="10"/>
      <c r="D34" s="10"/>
      <c r="E34" s="10"/>
      <c r="F34" s="10"/>
      <c r="G34" s="10"/>
    </row>
    <row r="35" ht="37.5" customHeight="1">
      <c r="A35" s="10"/>
      <c r="B35" s="51" t="s">
        <v>158</v>
      </c>
      <c r="C35" s="52" t="s">
        <v>159</v>
      </c>
      <c r="D35" s="12"/>
      <c r="E35" s="12"/>
      <c r="F35" s="13"/>
      <c r="G35" s="10"/>
    </row>
    <row r="36" ht="3.0" customHeight="1">
      <c r="A36" s="10"/>
      <c r="B36" s="10"/>
      <c r="C36" s="10"/>
      <c r="D36" s="10"/>
      <c r="E36" s="10"/>
      <c r="F36" s="10"/>
      <c r="G36" s="10"/>
    </row>
    <row r="37" ht="52.5" customHeight="1">
      <c r="A37" s="10"/>
      <c r="B37" s="51" t="s">
        <v>161</v>
      </c>
      <c r="C37" s="52" t="s">
        <v>162</v>
      </c>
      <c r="D37" s="12"/>
      <c r="E37" s="12"/>
      <c r="F37" s="13"/>
      <c r="G37" s="10"/>
    </row>
    <row r="38" ht="3.0" customHeight="1">
      <c r="A38" s="10"/>
      <c r="B38" s="10"/>
      <c r="C38" s="10"/>
      <c r="D38" s="10"/>
      <c r="E38" s="10"/>
      <c r="F38" s="10"/>
      <c r="G38" s="10"/>
    </row>
    <row r="39" ht="22.5" customHeight="1">
      <c r="A39" s="10"/>
      <c r="B39" s="51" t="s">
        <v>163</v>
      </c>
      <c r="C39" s="52" t="s">
        <v>164</v>
      </c>
      <c r="D39" s="12"/>
      <c r="E39" s="12"/>
      <c r="F39" s="13"/>
      <c r="G39" s="10"/>
    </row>
    <row r="40" ht="3.0" customHeight="1">
      <c r="A40" s="10"/>
      <c r="B40" s="10"/>
      <c r="C40" s="10"/>
      <c r="D40" s="10"/>
      <c r="E40" s="10"/>
      <c r="F40" s="10"/>
      <c r="G40" s="10"/>
    </row>
    <row r="41" ht="37.5" customHeight="1">
      <c r="A41" s="10"/>
      <c r="B41" s="51" t="s">
        <v>166</v>
      </c>
      <c r="C41" s="52" t="s">
        <v>167</v>
      </c>
      <c r="D41" s="12"/>
      <c r="E41" s="12"/>
      <c r="F41" s="13"/>
      <c r="G41" s="10"/>
    </row>
    <row r="42" ht="3.0" customHeight="1">
      <c r="A42" s="10"/>
      <c r="B42" s="10"/>
      <c r="C42" s="10"/>
      <c r="D42" s="10"/>
      <c r="E42" s="10"/>
      <c r="F42" s="10"/>
      <c r="G42" s="10"/>
    </row>
    <row r="43" ht="24.75" customHeight="1">
      <c r="A43" s="10"/>
      <c r="B43" s="62" t="s">
        <v>170</v>
      </c>
      <c r="C43" s="12"/>
      <c r="D43" s="12"/>
      <c r="E43" s="12"/>
      <c r="F43" s="13"/>
      <c r="G43" s="10"/>
    </row>
    <row r="44" ht="3.75" customHeight="1">
      <c r="A44" s="10"/>
      <c r="B44" s="10"/>
      <c r="C44" s="10"/>
      <c r="D44" s="10"/>
      <c r="E44" s="10"/>
      <c r="F44" s="10"/>
      <c r="G44" s="10"/>
    </row>
    <row r="45" ht="9.75" customHeight="1">
      <c r="A45" s="10"/>
      <c r="B45" s="10"/>
      <c r="C45" s="10"/>
      <c r="D45" s="10"/>
      <c r="E45" s="10"/>
      <c r="F45" s="10"/>
      <c r="G45" s="10"/>
    </row>
    <row r="46" ht="27.75" customHeight="1">
      <c r="A46" s="10"/>
      <c r="B46" s="32" t="s">
        <v>114</v>
      </c>
      <c r="C46" s="12"/>
      <c r="D46" s="12"/>
      <c r="E46" s="12"/>
      <c r="F46" s="13"/>
      <c r="G46" s="10"/>
    </row>
    <row r="47" ht="6.0" customHeight="1">
      <c r="A47" s="10"/>
      <c r="B47" s="10"/>
      <c r="C47" s="10"/>
      <c r="D47" s="10"/>
      <c r="E47" s="10"/>
      <c r="F47" s="10"/>
      <c r="G47" s="10"/>
    </row>
    <row r="48" ht="33.75" customHeight="1">
      <c r="A48" s="10"/>
      <c r="B48" s="34" t="s">
        <v>183</v>
      </c>
      <c r="G48" s="10"/>
    </row>
    <row r="49" ht="21.0" customHeight="1">
      <c r="A49" s="10"/>
      <c r="B49" s="35" t="s">
        <v>184</v>
      </c>
      <c r="C49" s="35" t="s">
        <v>185</v>
      </c>
      <c r="D49" s="36" t="s">
        <v>20</v>
      </c>
      <c r="E49" s="38"/>
      <c r="F49" s="39" t="s">
        <v>186</v>
      </c>
      <c r="G49" s="10"/>
    </row>
    <row r="50" ht="36.0" customHeight="1">
      <c r="A50" s="10"/>
      <c r="B50" s="69"/>
      <c r="C50" s="40" t="s">
        <v>187</v>
      </c>
      <c r="D50" s="40" t="s">
        <v>188</v>
      </c>
      <c r="E50" s="41"/>
      <c r="F50" s="43" t="s">
        <v>189</v>
      </c>
      <c r="G50" s="10"/>
    </row>
    <row r="51" ht="66.0" customHeight="1">
      <c r="A51" s="10"/>
      <c r="B51" s="70"/>
      <c r="C51" s="44" t="s">
        <v>190</v>
      </c>
      <c r="D51" s="45" t="s">
        <v>191</v>
      </c>
      <c r="E51" s="38"/>
      <c r="F51" s="46" t="s">
        <v>192</v>
      </c>
      <c r="G51" s="10"/>
    </row>
    <row r="52" ht="51.0" customHeight="1">
      <c r="A52" s="10"/>
      <c r="B52" s="72"/>
      <c r="C52" s="40" t="s">
        <v>193</v>
      </c>
      <c r="D52" s="40" t="s">
        <v>194</v>
      </c>
      <c r="E52" s="41"/>
      <c r="F52" s="43" t="s">
        <v>195</v>
      </c>
      <c r="G52" s="10"/>
    </row>
    <row r="53" ht="51.0" customHeight="1">
      <c r="A53" s="10"/>
      <c r="B53" s="73"/>
      <c r="C53" s="44" t="s">
        <v>196</v>
      </c>
      <c r="D53" s="45" t="s">
        <v>197</v>
      </c>
      <c r="E53" s="38"/>
      <c r="F53" s="46" t="s">
        <v>198</v>
      </c>
      <c r="G53" s="10"/>
    </row>
    <row r="54" ht="36.0" customHeight="1">
      <c r="A54" s="10"/>
      <c r="B54" s="75"/>
      <c r="C54" s="47" t="s">
        <v>199</v>
      </c>
      <c r="D54" s="47" t="s">
        <v>200</v>
      </c>
      <c r="E54" s="48"/>
      <c r="F54" s="49" t="s">
        <v>201</v>
      </c>
      <c r="G54" s="10"/>
    </row>
    <row r="55" ht="6.0" customHeight="1">
      <c r="A55" s="10"/>
      <c r="B55" s="10"/>
      <c r="C55" s="10"/>
      <c r="D55" s="10"/>
      <c r="E55" s="10"/>
      <c r="F55" s="10"/>
      <c r="G55" s="10"/>
    </row>
    <row r="56" ht="33.75" customHeight="1">
      <c r="A56" s="10"/>
      <c r="B56" s="34" t="s">
        <v>202</v>
      </c>
      <c r="G56" s="10"/>
    </row>
    <row r="57" ht="15.0" customHeight="1">
      <c r="A57" s="10"/>
      <c r="B57" s="10"/>
      <c r="C57" s="10"/>
      <c r="D57" s="10"/>
      <c r="E57" s="10"/>
      <c r="F57" s="10"/>
      <c r="G57" s="10"/>
    </row>
    <row r="58" ht="15.0" customHeight="1">
      <c r="A58" s="10"/>
      <c r="B58" s="10"/>
      <c r="C58" s="10"/>
      <c r="D58" s="10"/>
      <c r="E58" s="10"/>
      <c r="F58" s="10"/>
      <c r="G58" s="10"/>
    </row>
    <row r="59" ht="15.0" customHeight="1">
      <c r="A59" s="10"/>
      <c r="B59" s="10"/>
      <c r="C59" s="10"/>
      <c r="D59" s="10"/>
      <c r="E59" s="10"/>
      <c r="F59" s="10"/>
      <c r="G59" s="10"/>
    </row>
    <row r="60" ht="15.0" customHeight="1">
      <c r="A60" s="10"/>
      <c r="B60" s="10"/>
      <c r="C60" s="10"/>
      <c r="D60" s="10"/>
      <c r="E60" s="10"/>
      <c r="F60" s="10"/>
      <c r="G60" s="10"/>
    </row>
    <row r="61" ht="15.0" customHeight="1">
      <c r="A61" s="10"/>
      <c r="B61" s="10"/>
      <c r="C61" s="10"/>
      <c r="D61" s="10"/>
      <c r="E61" s="10"/>
      <c r="F61" s="10"/>
      <c r="G61" s="10"/>
    </row>
    <row r="62" ht="15.0" customHeight="1">
      <c r="A62" s="10"/>
      <c r="B62" s="10"/>
      <c r="C62" s="10"/>
      <c r="D62" s="10"/>
      <c r="E62" s="10"/>
      <c r="F62" s="10"/>
      <c r="G62" s="10"/>
    </row>
    <row r="63" ht="15.0" customHeight="1">
      <c r="A63" s="10"/>
      <c r="B63" s="10"/>
      <c r="C63" s="10"/>
      <c r="D63" s="10"/>
      <c r="E63" s="10"/>
      <c r="F63" s="10"/>
      <c r="G63" s="10"/>
    </row>
    <row r="64" ht="15.0" customHeight="1">
      <c r="A64" s="10"/>
      <c r="B64" s="10"/>
      <c r="C64" s="10"/>
      <c r="D64" s="10"/>
      <c r="E64" s="10"/>
      <c r="F64" s="10"/>
      <c r="G64" s="10"/>
    </row>
    <row r="65" ht="15.0" customHeight="1">
      <c r="A65" s="10"/>
      <c r="B65" s="10"/>
      <c r="C65" s="10"/>
      <c r="D65" s="10"/>
      <c r="E65" s="10"/>
      <c r="F65" s="10"/>
      <c r="G65" s="10"/>
    </row>
    <row r="66" ht="18.0" customHeight="1">
      <c r="A66" s="10"/>
      <c r="B66" s="77" t="s">
        <v>204</v>
      </c>
      <c r="G66" s="10"/>
    </row>
    <row r="67" ht="9.75" customHeight="1">
      <c r="A67" s="10"/>
      <c r="B67" s="10"/>
      <c r="C67" s="10"/>
      <c r="D67" s="10"/>
      <c r="E67" s="10"/>
      <c r="F67" s="10"/>
      <c r="G67" s="10"/>
    </row>
    <row r="68" ht="27.75" customHeight="1">
      <c r="A68" s="10"/>
      <c r="B68" s="32" t="s">
        <v>117</v>
      </c>
      <c r="C68" s="12"/>
      <c r="D68" s="12"/>
      <c r="E68" s="12"/>
      <c r="F68" s="13"/>
      <c r="G68" s="10"/>
    </row>
    <row r="69" ht="6.0" customHeight="1">
      <c r="A69" s="10"/>
      <c r="B69" s="10"/>
      <c r="C69" s="10"/>
      <c r="D69" s="10"/>
      <c r="E69" s="10"/>
      <c r="F69" s="10"/>
      <c r="G69" s="10"/>
    </row>
    <row r="70" ht="33.75" customHeight="1">
      <c r="A70" s="10"/>
      <c r="B70" s="34" t="s">
        <v>206</v>
      </c>
      <c r="G70" s="10"/>
    </row>
    <row r="71" ht="15.0" customHeight="1">
      <c r="A71" s="10"/>
      <c r="B71" s="10"/>
      <c r="C71" s="10"/>
      <c r="D71" s="10"/>
      <c r="E71" s="10"/>
      <c r="F71" s="10"/>
      <c r="G71" s="10"/>
    </row>
    <row r="72" ht="15.0" customHeight="1">
      <c r="A72" s="10"/>
      <c r="B72" s="10"/>
      <c r="C72" s="10"/>
      <c r="D72" s="10"/>
      <c r="E72" s="10"/>
      <c r="F72" s="10"/>
      <c r="G72" s="10"/>
    </row>
    <row r="73" ht="15.0" customHeight="1">
      <c r="A73" s="10"/>
      <c r="B73" s="10"/>
      <c r="C73" s="10"/>
      <c r="D73" s="10"/>
      <c r="E73" s="10"/>
      <c r="F73" s="10"/>
      <c r="G73" s="10"/>
    </row>
    <row r="74" ht="15.0" customHeight="1">
      <c r="A74" s="10"/>
      <c r="B74" s="10"/>
      <c r="C74" s="10"/>
      <c r="D74" s="10"/>
      <c r="E74" s="10"/>
      <c r="F74" s="10"/>
      <c r="G74" s="10"/>
    </row>
    <row r="75" ht="15.0" customHeight="1">
      <c r="A75" s="10"/>
      <c r="B75" s="10"/>
      <c r="C75" s="10"/>
      <c r="D75" s="10"/>
      <c r="E75" s="10"/>
      <c r="F75" s="10"/>
      <c r="G75" s="10"/>
    </row>
    <row r="76" ht="15.0" customHeight="1">
      <c r="A76" s="10"/>
      <c r="B76" s="10"/>
      <c r="C76" s="10"/>
      <c r="D76" s="10"/>
      <c r="E76" s="10"/>
      <c r="F76" s="10"/>
      <c r="G76" s="10"/>
    </row>
    <row r="77" ht="15.0" customHeight="1">
      <c r="A77" s="10"/>
      <c r="B77" s="10"/>
      <c r="C77" s="10"/>
      <c r="D77" s="10"/>
      <c r="E77" s="10"/>
      <c r="F77" s="10"/>
      <c r="G77" s="10"/>
    </row>
    <row r="78" ht="15.0" customHeight="1">
      <c r="A78" s="10"/>
      <c r="B78" s="10"/>
      <c r="C78" s="10"/>
      <c r="D78" s="10"/>
      <c r="E78" s="10"/>
      <c r="F78" s="10"/>
      <c r="G78" s="10"/>
    </row>
    <row r="79" ht="15.0" customHeight="1">
      <c r="A79" s="10"/>
      <c r="B79" s="10"/>
      <c r="C79" s="10"/>
      <c r="D79" s="10"/>
      <c r="E79" s="10"/>
      <c r="F79" s="10"/>
      <c r="G79" s="10"/>
    </row>
    <row r="80" ht="15.0" customHeight="1">
      <c r="A80" s="10"/>
      <c r="B80" s="10"/>
      <c r="C80" s="10"/>
      <c r="D80" s="10"/>
      <c r="E80" s="10"/>
      <c r="F80" s="10"/>
      <c r="G80" s="10"/>
    </row>
    <row r="81" ht="15.0" customHeight="1">
      <c r="A81" s="10"/>
      <c r="B81" s="10"/>
      <c r="C81" s="10"/>
      <c r="D81" s="10"/>
      <c r="E81" s="10"/>
      <c r="F81" s="10"/>
      <c r="G81" s="10"/>
    </row>
    <row r="82" ht="15.0" customHeight="1">
      <c r="A82" s="10"/>
      <c r="B82" s="10"/>
      <c r="C82" s="10"/>
      <c r="D82" s="10"/>
      <c r="E82" s="10"/>
      <c r="F82" s="10"/>
      <c r="G82" s="10"/>
    </row>
    <row r="83" ht="15.0" customHeight="1">
      <c r="A83" s="10"/>
      <c r="B83" s="10"/>
      <c r="C83" s="10"/>
      <c r="D83" s="10"/>
      <c r="E83" s="10"/>
      <c r="F83" s="10"/>
      <c r="G83" s="10"/>
    </row>
    <row r="84" ht="15.0" customHeight="1">
      <c r="A84" s="10"/>
      <c r="B84" s="10"/>
      <c r="C84" s="10"/>
      <c r="D84" s="10"/>
      <c r="E84" s="10"/>
      <c r="F84" s="10"/>
      <c r="G84" s="10"/>
    </row>
    <row r="85" ht="15.0" customHeight="1">
      <c r="A85" s="10"/>
      <c r="B85" s="10"/>
      <c r="C85" s="10"/>
      <c r="D85" s="10"/>
      <c r="E85" s="10"/>
      <c r="F85" s="10"/>
      <c r="G85" s="10"/>
    </row>
    <row r="86" ht="15.0" customHeight="1">
      <c r="A86" s="10"/>
      <c r="B86" s="10"/>
      <c r="C86" s="10"/>
      <c r="D86" s="10"/>
      <c r="E86" s="10"/>
      <c r="F86" s="10"/>
      <c r="G86" s="10"/>
    </row>
    <row r="87" ht="15.0" customHeight="1">
      <c r="A87" s="10"/>
      <c r="B87" s="10"/>
      <c r="C87" s="10"/>
      <c r="D87" s="10"/>
      <c r="E87" s="10"/>
      <c r="F87" s="10"/>
      <c r="G87" s="10"/>
    </row>
    <row r="88" ht="15.0" customHeight="1">
      <c r="A88" s="10"/>
      <c r="B88" s="10"/>
      <c r="C88" s="10"/>
      <c r="D88" s="10"/>
      <c r="E88" s="10"/>
      <c r="F88" s="10"/>
      <c r="G88" s="10"/>
    </row>
    <row r="89" ht="15.0" customHeight="1">
      <c r="A89" s="10"/>
      <c r="B89" s="10"/>
      <c r="C89" s="10"/>
      <c r="D89" s="10"/>
      <c r="E89" s="10"/>
      <c r="F89" s="10"/>
      <c r="G89" s="10"/>
    </row>
    <row r="90" ht="15.0" customHeight="1">
      <c r="A90" s="10"/>
      <c r="B90" s="10"/>
      <c r="C90" s="10"/>
      <c r="D90" s="10"/>
      <c r="E90" s="10"/>
      <c r="F90" s="10"/>
      <c r="G90" s="10"/>
    </row>
    <row r="91" ht="15.0" customHeight="1">
      <c r="A91" s="10"/>
      <c r="B91" s="10"/>
      <c r="C91" s="10"/>
      <c r="D91" s="10"/>
      <c r="E91" s="10"/>
      <c r="F91" s="10"/>
      <c r="G91" s="10"/>
    </row>
    <row r="92" ht="15.0" customHeight="1">
      <c r="A92" s="10"/>
      <c r="B92" s="10"/>
      <c r="C92" s="10"/>
      <c r="D92" s="10"/>
      <c r="E92" s="10"/>
      <c r="F92" s="10"/>
      <c r="G92" s="10"/>
    </row>
    <row r="93" ht="15.0" customHeight="1">
      <c r="A93" s="10"/>
      <c r="B93" s="10"/>
      <c r="C93" s="10"/>
      <c r="D93" s="10"/>
      <c r="E93" s="10"/>
      <c r="F93" s="10"/>
      <c r="G93" s="10"/>
    </row>
    <row r="94" ht="15.0" customHeight="1">
      <c r="A94" s="10"/>
      <c r="B94" s="10"/>
      <c r="C94" s="10"/>
      <c r="D94" s="10"/>
      <c r="E94" s="10"/>
      <c r="F94" s="10"/>
      <c r="G94" s="10"/>
    </row>
    <row r="95" ht="15.0" customHeight="1">
      <c r="A95" s="10"/>
      <c r="B95" s="10"/>
      <c r="C95" s="10"/>
      <c r="D95" s="10"/>
      <c r="E95" s="10"/>
      <c r="F95" s="10"/>
      <c r="G95" s="10"/>
    </row>
    <row r="96" ht="15.0" customHeight="1">
      <c r="A96" s="10"/>
      <c r="B96" s="10"/>
      <c r="C96" s="10"/>
      <c r="D96" s="10"/>
      <c r="E96" s="10"/>
      <c r="F96" s="10"/>
      <c r="G96" s="10"/>
    </row>
    <row r="97" ht="15.0" customHeight="1">
      <c r="A97" s="10"/>
      <c r="B97" s="10"/>
      <c r="C97" s="10"/>
      <c r="D97" s="10"/>
      <c r="E97" s="10"/>
      <c r="F97" s="10"/>
      <c r="G97" s="10"/>
    </row>
    <row r="98" ht="15.0" customHeight="1">
      <c r="A98" s="10"/>
      <c r="B98" s="10"/>
      <c r="C98" s="10"/>
      <c r="D98" s="10"/>
      <c r="E98" s="10"/>
      <c r="F98" s="10"/>
      <c r="G98" s="10"/>
    </row>
    <row r="99" ht="15.0" customHeight="1">
      <c r="A99" s="10"/>
      <c r="B99" s="10"/>
      <c r="C99" s="10"/>
      <c r="D99" s="10"/>
      <c r="E99" s="10"/>
      <c r="F99" s="10"/>
      <c r="G99" s="10"/>
    </row>
    <row r="100" ht="15.0" customHeight="1">
      <c r="A100" s="10"/>
      <c r="B100" s="10"/>
      <c r="C100" s="10"/>
      <c r="D100" s="10"/>
      <c r="E100" s="10"/>
      <c r="F100" s="10"/>
      <c r="G100" s="10"/>
    </row>
    <row r="101" ht="15.0" customHeight="1">
      <c r="A101" s="10"/>
      <c r="B101" s="10"/>
      <c r="C101" s="10"/>
      <c r="D101" s="10"/>
      <c r="E101" s="10"/>
      <c r="F101" s="10"/>
      <c r="G101" s="10"/>
    </row>
    <row r="102" ht="15.0" customHeight="1">
      <c r="A102" s="10"/>
      <c r="B102" s="10"/>
      <c r="C102" s="10"/>
      <c r="D102" s="10"/>
      <c r="E102" s="10"/>
      <c r="F102" s="10"/>
      <c r="G102" s="10"/>
    </row>
    <row r="103" ht="15.0" customHeight="1">
      <c r="A103" s="10"/>
      <c r="B103" s="10"/>
      <c r="C103" s="10"/>
      <c r="D103" s="10"/>
      <c r="E103" s="10"/>
      <c r="F103" s="10"/>
      <c r="G103" s="10"/>
    </row>
    <row r="104" ht="15.0" customHeight="1">
      <c r="A104" s="10"/>
      <c r="B104" s="10"/>
      <c r="C104" s="10"/>
      <c r="D104" s="10"/>
      <c r="E104" s="10"/>
      <c r="F104" s="10"/>
      <c r="G104" s="10"/>
    </row>
    <row r="105" ht="15.0" customHeight="1">
      <c r="A105" s="10"/>
      <c r="B105" s="10"/>
      <c r="C105" s="10"/>
      <c r="D105" s="10"/>
      <c r="E105" s="10"/>
      <c r="F105" s="10"/>
      <c r="G105" s="10"/>
    </row>
    <row r="106" ht="18.0" customHeight="1">
      <c r="A106" s="10"/>
      <c r="B106" s="77" t="s">
        <v>213</v>
      </c>
      <c r="G106" s="10"/>
    </row>
    <row r="107" ht="6.0" customHeight="1">
      <c r="A107" s="10"/>
      <c r="B107" s="10"/>
      <c r="C107" s="10"/>
      <c r="D107" s="10"/>
      <c r="E107" s="10"/>
      <c r="F107" s="10"/>
      <c r="G107" s="10"/>
    </row>
    <row r="108" ht="21.0" customHeight="1">
      <c r="A108" s="10"/>
      <c r="B108" s="35" t="s">
        <v>214</v>
      </c>
      <c r="C108" s="35" t="s">
        <v>1</v>
      </c>
      <c r="D108" s="36" t="s">
        <v>215</v>
      </c>
      <c r="E108" s="37"/>
      <c r="F108" s="81"/>
      <c r="G108" s="10"/>
    </row>
    <row r="109" ht="21.0" customHeight="1">
      <c r="A109" s="10"/>
      <c r="B109" s="82">
        <v>1.0</v>
      </c>
      <c r="C109" s="40" t="s">
        <v>3</v>
      </c>
      <c r="D109" s="40" t="s">
        <v>217</v>
      </c>
      <c r="E109" s="41"/>
      <c r="F109" s="84"/>
      <c r="G109" s="10"/>
    </row>
    <row r="110" ht="36.0" customHeight="1">
      <c r="A110" s="10"/>
      <c r="B110" s="86">
        <v>2.0</v>
      </c>
      <c r="C110" s="44" t="s">
        <v>222</v>
      </c>
      <c r="D110" s="45" t="s">
        <v>223</v>
      </c>
      <c r="E110" s="37"/>
      <c r="F110" s="81"/>
      <c r="G110" s="10"/>
    </row>
    <row r="111" ht="21.0" customHeight="1">
      <c r="A111" s="10"/>
      <c r="B111" s="82">
        <v>3.0</v>
      </c>
      <c r="C111" s="40" t="s">
        <v>224</v>
      </c>
      <c r="D111" s="40" t="s">
        <v>225</v>
      </c>
      <c r="E111" s="41"/>
      <c r="F111" s="84"/>
      <c r="G111" s="10"/>
    </row>
    <row r="112" ht="21.0" customHeight="1">
      <c r="A112" s="10"/>
      <c r="B112" s="86">
        <v>4.0</v>
      </c>
      <c r="C112" s="44" t="s">
        <v>226</v>
      </c>
      <c r="D112" s="45" t="s">
        <v>227</v>
      </c>
      <c r="E112" s="37"/>
      <c r="F112" s="81"/>
      <c r="G112" s="10"/>
    </row>
    <row r="113" ht="36.0" customHeight="1">
      <c r="A113" s="10"/>
      <c r="B113" s="82">
        <v>5.0</v>
      </c>
      <c r="C113" s="40" t="s">
        <v>193</v>
      </c>
      <c r="D113" s="40" t="s">
        <v>228</v>
      </c>
      <c r="E113" s="41"/>
      <c r="F113" s="84"/>
      <c r="G113" s="10"/>
    </row>
    <row r="114" ht="21.0" customHeight="1">
      <c r="A114" s="10"/>
      <c r="B114" s="86">
        <v>6.0</v>
      </c>
      <c r="C114" s="44" t="s">
        <v>229</v>
      </c>
      <c r="D114" s="45" t="s">
        <v>230</v>
      </c>
      <c r="E114" s="37"/>
      <c r="F114" s="81"/>
      <c r="G114" s="10"/>
    </row>
    <row r="115" ht="21.0" customHeight="1">
      <c r="A115" s="10"/>
      <c r="B115" s="82">
        <v>7.0</v>
      </c>
      <c r="C115" s="40" t="s">
        <v>231</v>
      </c>
      <c r="D115" s="40" t="s">
        <v>232</v>
      </c>
      <c r="E115" s="41"/>
      <c r="F115" s="84"/>
      <c r="G115" s="10"/>
    </row>
    <row r="116" ht="21.0" customHeight="1">
      <c r="A116" s="10"/>
      <c r="B116" s="86">
        <v>8.0</v>
      </c>
      <c r="C116" s="44" t="s">
        <v>233</v>
      </c>
      <c r="D116" s="45" t="s">
        <v>234</v>
      </c>
      <c r="E116" s="37"/>
      <c r="F116" s="81"/>
      <c r="G116" s="10"/>
    </row>
    <row r="117" ht="21.0" customHeight="1">
      <c r="A117" s="10"/>
      <c r="B117" s="87">
        <v>9.0</v>
      </c>
      <c r="C117" s="47" t="s">
        <v>235</v>
      </c>
      <c r="D117" s="47" t="s">
        <v>236</v>
      </c>
      <c r="E117" s="48"/>
      <c r="F117" s="88"/>
      <c r="G117" s="10"/>
    </row>
    <row r="118" ht="6.0" customHeight="1">
      <c r="A118" s="10"/>
      <c r="B118" s="10"/>
      <c r="C118" s="10"/>
      <c r="D118" s="10"/>
      <c r="E118" s="10"/>
      <c r="F118" s="10"/>
      <c r="G118" s="10"/>
    </row>
    <row r="119" ht="39.75" customHeight="1">
      <c r="A119" s="10"/>
      <c r="B119" s="89" t="s">
        <v>237</v>
      </c>
      <c r="C119" s="12"/>
      <c r="D119" s="12"/>
      <c r="E119" s="12"/>
      <c r="F119" s="13"/>
      <c r="G119" s="10"/>
    </row>
    <row r="120" ht="3.75" customHeight="1">
      <c r="A120" s="10"/>
      <c r="B120" s="10"/>
      <c r="C120" s="10"/>
      <c r="D120" s="10"/>
      <c r="E120" s="10"/>
      <c r="F120" s="10"/>
      <c r="G120" s="10"/>
    </row>
    <row r="121" ht="9.75" customHeight="1">
      <c r="A121" s="10"/>
      <c r="B121" s="10"/>
      <c r="C121" s="10"/>
      <c r="D121" s="10"/>
      <c r="E121" s="10"/>
      <c r="F121" s="10"/>
      <c r="G121" s="10"/>
    </row>
    <row r="122" ht="27.75" customHeight="1">
      <c r="A122" s="10"/>
      <c r="B122" s="32" t="s">
        <v>118</v>
      </c>
      <c r="C122" s="12"/>
      <c r="D122" s="12"/>
      <c r="E122" s="12"/>
      <c r="F122" s="13"/>
      <c r="G122" s="10"/>
    </row>
    <row r="123" ht="6.0" customHeight="1">
      <c r="A123" s="10"/>
      <c r="B123" s="10"/>
      <c r="C123" s="10"/>
      <c r="D123" s="10"/>
      <c r="E123" s="10"/>
      <c r="F123" s="10"/>
      <c r="G123" s="10"/>
    </row>
    <row r="124" ht="33.75" customHeight="1">
      <c r="A124" s="10"/>
      <c r="B124" s="34" t="s">
        <v>238</v>
      </c>
      <c r="G124" s="10"/>
    </row>
    <row r="125" ht="21.0" customHeight="1">
      <c r="A125" s="10"/>
      <c r="B125" s="35" t="s">
        <v>239</v>
      </c>
      <c r="C125" s="35" t="s">
        <v>241</v>
      </c>
      <c r="D125" s="35" t="s">
        <v>242</v>
      </c>
      <c r="E125" s="39" t="s">
        <v>243</v>
      </c>
      <c r="F125" s="10"/>
      <c r="G125" s="10"/>
    </row>
    <row r="126" ht="21.0" customHeight="1">
      <c r="A126" s="10"/>
      <c r="B126" s="40" t="s">
        <v>244</v>
      </c>
      <c r="C126" s="40" t="s">
        <v>218</v>
      </c>
      <c r="D126" s="40" t="s">
        <v>17</v>
      </c>
      <c r="E126" s="43" t="s">
        <v>245</v>
      </c>
      <c r="F126" s="10"/>
      <c r="G126" s="10"/>
    </row>
    <row r="127" ht="21.0" customHeight="1">
      <c r="A127" s="10"/>
      <c r="B127" s="44" t="s">
        <v>246</v>
      </c>
      <c r="C127" s="44" t="s">
        <v>247</v>
      </c>
      <c r="D127" s="44" t="s">
        <v>19</v>
      </c>
      <c r="E127" s="46" t="s">
        <v>248</v>
      </c>
      <c r="F127" s="10"/>
      <c r="G127" s="10"/>
    </row>
    <row r="128" ht="36.0" customHeight="1">
      <c r="A128" s="10"/>
      <c r="B128" s="40" t="s">
        <v>249</v>
      </c>
      <c r="C128" s="40" t="s">
        <v>250</v>
      </c>
      <c r="D128" s="40" t="s">
        <v>23</v>
      </c>
      <c r="E128" s="43" t="s">
        <v>251</v>
      </c>
      <c r="F128" s="10"/>
      <c r="G128" s="10"/>
    </row>
    <row r="129" ht="36.0" customHeight="1">
      <c r="A129" s="10"/>
      <c r="B129" s="44" t="s">
        <v>252</v>
      </c>
      <c r="C129" s="44" t="s">
        <v>253</v>
      </c>
      <c r="D129" s="44" t="s">
        <v>254</v>
      </c>
      <c r="E129" s="46" t="s">
        <v>255</v>
      </c>
      <c r="F129" s="10"/>
      <c r="G129" s="10"/>
    </row>
    <row r="130" ht="36.0" customHeight="1">
      <c r="A130" s="10"/>
      <c r="B130" s="40" t="s">
        <v>256</v>
      </c>
      <c r="C130" s="40" t="s">
        <v>257</v>
      </c>
      <c r="D130" s="40" t="s">
        <v>258</v>
      </c>
      <c r="E130" s="43" t="s">
        <v>259</v>
      </c>
      <c r="F130" s="10"/>
      <c r="G130" s="10"/>
    </row>
    <row r="131" ht="36.0" customHeight="1">
      <c r="A131" s="10"/>
      <c r="B131" s="44" t="s">
        <v>260</v>
      </c>
      <c r="C131" s="44" t="s">
        <v>261</v>
      </c>
      <c r="D131" s="44" t="s">
        <v>262</v>
      </c>
      <c r="E131" s="46" t="s">
        <v>263</v>
      </c>
      <c r="F131" s="10"/>
      <c r="G131" s="10"/>
    </row>
    <row r="132" ht="21.0" customHeight="1">
      <c r="A132" s="10"/>
      <c r="B132" s="40" t="s">
        <v>264</v>
      </c>
      <c r="C132" s="40" t="s">
        <v>265</v>
      </c>
      <c r="D132" s="40" t="s">
        <v>28</v>
      </c>
      <c r="E132" s="43" t="s">
        <v>266</v>
      </c>
      <c r="F132" s="10"/>
      <c r="G132" s="10"/>
    </row>
    <row r="133" ht="21.0" customHeight="1">
      <c r="A133" s="10"/>
      <c r="B133" s="90" t="s">
        <v>267</v>
      </c>
      <c r="C133" s="90" t="s">
        <v>268</v>
      </c>
      <c r="D133" s="90" t="s">
        <v>269</v>
      </c>
      <c r="E133" s="91" t="s">
        <v>270</v>
      </c>
      <c r="F133" s="10"/>
      <c r="G133" s="10"/>
    </row>
    <row r="134" ht="6.0" customHeight="1">
      <c r="A134" s="10"/>
      <c r="B134" s="10"/>
      <c r="C134" s="10"/>
      <c r="D134" s="10"/>
      <c r="E134" s="10"/>
      <c r="F134" s="10"/>
      <c r="G134" s="10"/>
    </row>
    <row r="135" ht="6.0" customHeight="1">
      <c r="A135" s="10"/>
      <c r="B135" s="10"/>
      <c r="C135" s="10"/>
      <c r="D135" s="10"/>
      <c r="E135" s="10"/>
      <c r="F135" s="10"/>
      <c r="G135" s="10"/>
    </row>
    <row r="136" ht="21.75" customHeight="1">
      <c r="A136" s="10"/>
      <c r="B136" s="16" t="s">
        <v>271</v>
      </c>
      <c r="C136" s="17"/>
      <c r="D136" s="17"/>
      <c r="E136" s="17"/>
      <c r="F136" s="17"/>
      <c r="G136" s="10"/>
    </row>
    <row r="137" ht="3.75" customHeight="1">
      <c r="A137" s="10"/>
      <c r="B137" s="10"/>
      <c r="C137" s="10"/>
      <c r="D137" s="10"/>
      <c r="E137" s="10"/>
      <c r="F137" s="10"/>
      <c r="G137" s="10"/>
    </row>
    <row r="138" ht="21.0" customHeight="1">
      <c r="A138" s="10"/>
      <c r="B138" s="35" t="s">
        <v>272</v>
      </c>
      <c r="C138" s="36" t="s">
        <v>273</v>
      </c>
      <c r="D138" s="37"/>
      <c r="E138" s="37"/>
      <c r="F138" s="81"/>
      <c r="G138" s="10"/>
    </row>
    <row r="139" ht="21.0" customHeight="1">
      <c r="A139" s="10"/>
      <c r="B139" s="92" t="s">
        <v>274</v>
      </c>
      <c r="C139" s="40" t="s">
        <v>275</v>
      </c>
      <c r="D139" s="41"/>
      <c r="E139" s="41"/>
      <c r="F139" s="84"/>
      <c r="G139" s="10"/>
    </row>
    <row r="140" ht="21.0" customHeight="1">
      <c r="A140" s="10"/>
      <c r="B140" s="93" t="s">
        <v>276</v>
      </c>
      <c r="C140" s="45" t="s">
        <v>277</v>
      </c>
      <c r="D140" s="37"/>
      <c r="E140" s="37"/>
      <c r="F140" s="81"/>
      <c r="G140" s="10"/>
    </row>
    <row r="141" ht="21.0" customHeight="1">
      <c r="A141" s="10"/>
      <c r="B141" s="95" t="s">
        <v>278</v>
      </c>
      <c r="C141" s="40" t="s">
        <v>280</v>
      </c>
      <c r="D141" s="41"/>
      <c r="E141" s="41"/>
      <c r="F141" s="84"/>
      <c r="G141" s="10"/>
    </row>
    <row r="142" ht="21.0" customHeight="1">
      <c r="A142" s="10"/>
      <c r="B142" s="98" t="s">
        <v>281</v>
      </c>
      <c r="C142" s="45" t="s">
        <v>282</v>
      </c>
      <c r="D142" s="37"/>
      <c r="E142" s="37"/>
      <c r="F142" s="81"/>
      <c r="G142" s="10"/>
    </row>
    <row r="143" ht="21.0" customHeight="1">
      <c r="A143" s="10"/>
      <c r="B143" s="99" t="s">
        <v>283</v>
      </c>
      <c r="C143" s="47" t="s">
        <v>284</v>
      </c>
      <c r="D143" s="48"/>
      <c r="E143" s="48"/>
      <c r="F143" s="88"/>
      <c r="G143" s="10"/>
    </row>
    <row r="144" ht="6.0" customHeight="1">
      <c r="A144" s="10"/>
      <c r="B144" s="10"/>
      <c r="C144" s="10"/>
      <c r="D144" s="10"/>
      <c r="E144" s="10"/>
      <c r="F144" s="10"/>
      <c r="G144" s="10"/>
    </row>
    <row r="145" ht="9.75" customHeight="1">
      <c r="A145" s="10"/>
      <c r="B145" s="10"/>
      <c r="C145" s="10"/>
      <c r="D145" s="10"/>
      <c r="E145" s="10"/>
      <c r="F145" s="10"/>
      <c r="G145" s="10"/>
    </row>
    <row r="146" ht="27.75" customHeight="1">
      <c r="A146" s="10"/>
      <c r="B146" s="32" t="s">
        <v>120</v>
      </c>
      <c r="C146" s="12"/>
      <c r="D146" s="12"/>
      <c r="E146" s="12"/>
      <c r="F146" s="13"/>
      <c r="G146" s="10"/>
    </row>
    <row r="147" ht="6.0" customHeight="1">
      <c r="A147" s="10"/>
      <c r="B147" s="10"/>
      <c r="C147" s="10"/>
      <c r="D147" s="10"/>
      <c r="E147" s="10"/>
      <c r="F147" s="10"/>
      <c r="G147" s="10"/>
    </row>
    <row r="148" ht="6.0" customHeight="1">
      <c r="A148" s="10"/>
      <c r="B148" s="10"/>
      <c r="C148" s="10"/>
      <c r="D148" s="10"/>
      <c r="E148" s="10"/>
      <c r="F148" s="10"/>
      <c r="G148" s="10"/>
    </row>
    <row r="149" ht="21.75" customHeight="1">
      <c r="A149" s="10"/>
      <c r="B149" s="16" t="s">
        <v>285</v>
      </c>
      <c r="C149" s="17"/>
      <c r="D149" s="17"/>
      <c r="E149" s="17"/>
      <c r="F149" s="17"/>
      <c r="G149" s="10"/>
    </row>
    <row r="150" ht="3.75" customHeight="1">
      <c r="A150" s="10"/>
      <c r="B150" s="10"/>
      <c r="C150" s="10"/>
      <c r="D150" s="10"/>
      <c r="E150" s="10"/>
      <c r="F150" s="10"/>
      <c r="G150" s="10"/>
    </row>
    <row r="151" ht="15.0" customHeight="1">
      <c r="A151" s="10"/>
      <c r="B151" s="10"/>
      <c r="C151" s="10"/>
      <c r="D151" s="10"/>
      <c r="E151" s="10"/>
      <c r="F151" s="10"/>
      <c r="G151" s="10"/>
    </row>
    <row r="152" ht="15.0" customHeight="1">
      <c r="A152" s="10"/>
      <c r="B152" s="10"/>
      <c r="C152" s="10"/>
      <c r="D152" s="10"/>
      <c r="E152" s="10"/>
      <c r="F152" s="10"/>
      <c r="G152" s="10"/>
    </row>
    <row r="153" ht="15.0" customHeight="1">
      <c r="A153" s="10"/>
      <c r="B153" s="10"/>
      <c r="C153" s="10"/>
      <c r="D153" s="10"/>
      <c r="E153" s="10"/>
      <c r="F153" s="10"/>
      <c r="G153" s="10"/>
    </row>
    <row r="154" ht="15.0" customHeight="1">
      <c r="A154" s="10"/>
      <c r="B154" s="10"/>
      <c r="C154" s="10"/>
      <c r="D154" s="10"/>
      <c r="E154" s="10"/>
      <c r="F154" s="10"/>
      <c r="G154" s="10"/>
    </row>
    <row r="155" ht="15.0" customHeight="1">
      <c r="A155" s="10"/>
      <c r="B155" s="10"/>
      <c r="C155" s="10"/>
      <c r="D155" s="10"/>
      <c r="E155" s="10"/>
      <c r="F155" s="10"/>
      <c r="G155" s="10"/>
    </row>
    <row r="156" ht="15.0" customHeight="1">
      <c r="A156" s="10"/>
      <c r="B156" s="10"/>
      <c r="C156" s="10"/>
      <c r="D156" s="10"/>
      <c r="E156" s="10"/>
      <c r="F156" s="10"/>
      <c r="G156" s="10"/>
    </row>
    <row r="157" ht="15.0" customHeight="1">
      <c r="A157" s="10"/>
      <c r="B157" s="10"/>
      <c r="C157" s="10"/>
      <c r="D157" s="10"/>
      <c r="E157" s="10"/>
      <c r="F157" s="10"/>
      <c r="G157" s="10"/>
    </row>
    <row r="158" ht="15.0" customHeight="1">
      <c r="A158" s="10"/>
      <c r="B158" s="10"/>
      <c r="C158" s="10"/>
      <c r="D158" s="10"/>
      <c r="E158" s="10"/>
      <c r="F158" s="10"/>
      <c r="G158" s="10"/>
    </row>
    <row r="159" ht="15.0" customHeight="1">
      <c r="A159" s="10"/>
      <c r="B159" s="10"/>
      <c r="C159" s="10"/>
      <c r="D159" s="10"/>
      <c r="E159" s="10"/>
      <c r="F159" s="10"/>
      <c r="G159" s="10"/>
    </row>
    <row r="160" ht="15.0" customHeight="1">
      <c r="A160" s="10"/>
      <c r="B160" s="10"/>
      <c r="C160" s="10"/>
      <c r="D160" s="10"/>
      <c r="E160" s="10"/>
      <c r="F160" s="10"/>
      <c r="G160" s="10"/>
    </row>
    <row r="161" ht="15.0" customHeight="1">
      <c r="A161" s="10"/>
      <c r="B161" s="10"/>
      <c r="C161" s="10"/>
      <c r="D161" s="10"/>
      <c r="E161" s="10"/>
      <c r="F161" s="10"/>
      <c r="G161" s="10"/>
    </row>
    <row r="162" ht="15.0" customHeight="1">
      <c r="A162" s="10"/>
      <c r="B162" s="10"/>
      <c r="C162" s="10"/>
      <c r="D162" s="10"/>
      <c r="E162" s="10"/>
      <c r="F162" s="10"/>
      <c r="G162" s="10"/>
    </row>
    <row r="163" ht="18.0" customHeight="1">
      <c r="A163" s="10"/>
      <c r="B163" s="77" t="s">
        <v>286</v>
      </c>
      <c r="G163" s="10"/>
    </row>
    <row r="164" ht="6.0" customHeight="1">
      <c r="A164" s="10"/>
      <c r="B164" s="10"/>
      <c r="C164" s="10"/>
      <c r="D164" s="10"/>
      <c r="E164" s="10"/>
      <c r="F164" s="10"/>
      <c r="G164" s="10"/>
    </row>
    <row r="165" ht="22.5" customHeight="1">
      <c r="A165" s="10"/>
      <c r="B165" s="51" t="s">
        <v>154</v>
      </c>
      <c r="C165" s="52" t="s">
        <v>287</v>
      </c>
      <c r="D165" s="12"/>
      <c r="E165" s="12"/>
      <c r="F165" s="13"/>
      <c r="G165" s="10"/>
    </row>
    <row r="166" ht="3.0" customHeight="1">
      <c r="A166" s="10"/>
      <c r="B166" s="10"/>
      <c r="C166" s="10"/>
      <c r="D166" s="10"/>
      <c r="E166" s="10"/>
      <c r="F166" s="10"/>
      <c r="G166" s="10"/>
    </row>
    <row r="167" ht="22.5" customHeight="1">
      <c r="A167" s="10"/>
      <c r="B167" s="51" t="s">
        <v>158</v>
      </c>
      <c r="C167" s="52" t="s">
        <v>288</v>
      </c>
      <c r="D167" s="12"/>
      <c r="E167" s="12"/>
      <c r="F167" s="13"/>
      <c r="G167" s="10"/>
    </row>
    <row r="168" ht="3.0" customHeight="1">
      <c r="A168" s="10"/>
      <c r="B168" s="10"/>
      <c r="C168" s="10"/>
      <c r="D168" s="10"/>
      <c r="E168" s="10"/>
      <c r="F168" s="10"/>
      <c r="G168" s="10"/>
    </row>
    <row r="169" ht="37.5" customHeight="1">
      <c r="A169" s="10"/>
      <c r="B169" s="51" t="s">
        <v>161</v>
      </c>
      <c r="C169" s="52" t="s">
        <v>289</v>
      </c>
      <c r="D169" s="12"/>
      <c r="E169" s="12"/>
      <c r="F169" s="13"/>
      <c r="G169" s="10"/>
    </row>
    <row r="170" ht="3.0" customHeight="1">
      <c r="A170" s="10"/>
      <c r="B170" s="10"/>
      <c r="C170" s="10"/>
      <c r="D170" s="10"/>
      <c r="E170" s="10"/>
      <c r="F170" s="10"/>
      <c r="G170" s="10"/>
    </row>
    <row r="171" ht="37.5" customHeight="1">
      <c r="A171" s="10"/>
      <c r="B171" s="51" t="s">
        <v>163</v>
      </c>
      <c r="C171" s="52" t="s">
        <v>290</v>
      </c>
      <c r="D171" s="12"/>
      <c r="E171" s="12"/>
      <c r="F171" s="13"/>
      <c r="G171" s="10"/>
    </row>
    <row r="172" ht="3.0" customHeight="1">
      <c r="A172" s="10"/>
      <c r="B172" s="10"/>
      <c r="C172" s="10"/>
      <c r="D172" s="10"/>
      <c r="E172" s="10"/>
      <c r="F172" s="10"/>
      <c r="G172" s="10"/>
    </row>
    <row r="173" ht="39.75" customHeight="1">
      <c r="A173" s="10"/>
      <c r="B173" s="89" t="s">
        <v>291</v>
      </c>
      <c r="C173" s="12"/>
      <c r="D173" s="12"/>
      <c r="E173" s="12"/>
      <c r="F173" s="13"/>
      <c r="G173" s="10"/>
    </row>
    <row r="174" ht="3.75" customHeight="1">
      <c r="A174" s="10"/>
      <c r="B174" s="10"/>
      <c r="C174" s="10"/>
      <c r="D174" s="10"/>
      <c r="E174" s="10"/>
      <c r="F174" s="10"/>
      <c r="G174" s="10"/>
    </row>
    <row r="175" ht="6.0" customHeight="1">
      <c r="A175" s="10"/>
      <c r="B175" s="10"/>
      <c r="C175" s="10"/>
      <c r="D175" s="10"/>
      <c r="E175" s="10"/>
      <c r="F175" s="10"/>
      <c r="G175" s="10"/>
    </row>
    <row r="176" ht="21.75" customHeight="1">
      <c r="A176" s="10"/>
      <c r="B176" s="16" t="s">
        <v>292</v>
      </c>
      <c r="C176" s="17"/>
      <c r="D176" s="17"/>
      <c r="E176" s="17"/>
      <c r="F176" s="17"/>
      <c r="G176" s="10"/>
    </row>
    <row r="177" ht="3.75" customHeight="1">
      <c r="A177" s="10"/>
      <c r="B177" s="10"/>
      <c r="C177" s="10"/>
      <c r="D177" s="10"/>
      <c r="E177" s="10"/>
      <c r="F177" s="10"/>
      <c r="G177" s="10"/>
    </row>
    <row r="178" ht="15.0" customHeight="1">
      <c r="A178" s="10"/>
      <c r="B178" s="10"/>
      <c r="C178" s="10"/>
      <c r="D178" s="10"/>
      <c r="E178" s="10"/>
      <c r="F178" s="10"/>
      <c r="G178" s="10"/>
    </row>
    <row r="179" ht="15.0" customHeight="1">
      <c r="A179" s="10"/>
      <c r="B179" s="10"/>
      <c r="C179" s="10"/>
      <c r="D179" s="10"/>
      <c r="E179" s="10"/>
      <c r="F179" s="10"/>
      <c r="G179" s="10"/>
    </row>
    <row r="180" ht="15.0" customHeight="1">
      <c r="A180" s="10"/>
      <c r="B180" s="10"/>
      <c r="C180" s="10"/>
      <c r="D180" s="10"/>
      <c r="E180" s="10"/>
      <c r="F180" s="10"/>
      <c r="G180" s="10"/>
    </row>
    <row r="181" ht="15.0" customHeight="1">
      <c r="A181" s="10"/>
      <c r="B181" s="10"/>
      <c r="C181" s="10"/>
      <c r="D181" s="10"/>
      <c r="E181" s="10"/>
      <c r="F181" s="10"/>
      <c r="G181" s="10"/>
    </row>
    <row r="182" ht="15.0" customHeight="1">
      <c r="A182" s="10"/>
      <c r="B182" s="10"/>
      <c r="C182" s="10"/>
      <c r="D182" s="10"/>
      <c r="E182" s="10"/>
      <c r="F182" s="10"/>
      <c r="G182" s="10"/>
    </row>
    <row r="183" ht="15.0" customHeight="1">
      <c r="A183" s="10"/>
      <c r="B183" s="10"/>
      <c r="C183" s="10"/>
      <c r="D183" s="10"/>
      <c r="E183" s="10"/>
      <c r="F183" s="10"/>
      <c r="G183" s="10"/>
    </row>
    <row r="184" ht="15.0" customHeight="1">
      <c r="A184" s="10"/>
      <c r="B184" s="10"/>
      <c r="C184" s="10"/>
      <c r="D184" s="10"/>
      <c r="E184" s="10"/>
      <c r="F184" s="10"/>
      <c r="G184" s="10"/>
    </row>
    <row r="185" ht="15.0" customHeight="1">
      <c r="A185" s="10"/>
      <c r="B185" s="10"/>
      <c r="C185" s="10"/>
      <c r="D185" s="10"/>
      <c r="E185" s="10"/>
      <c r="F185" s="10"/>
      <c r="G185" s="10"/>
    </row>
    <row r="186" ht="15.0" customHeight="1">
      <c r="A186" s="10"/>
      <c r="B186" s="10"/>
      <c r="C186" s="10"/>
      <c r="D186" s="10"/>
      <c r="E186" s="10"/>
      <c r="F186" s="10"/>
      <c r="G186" s="10"/>
    </row>
    <row r="187" ht="15.0" customHeight="1">
      <c r="A187" s="10"/>
      <c r="B187" s="10"/>
      <c r="C187" s="10"/>
      <c r="D187" s="10"/>
      <c r="E187" s="10"/>
      <c r="F187" s="10"/>
      <c r="G187" s="10"/>
    </row>
    <row r="188" ht="15.0" customHeight="1">
      <c r="A188" s="10"/>
      <c r="B188" s="10"/>
      <c r="C188" s="10"/>
      <c r="D188" s="10"/>
      <c r="E188" s="10"/>
      <c r="F188" s="10"/>
      <c r="G188" s="10"/>
    </row>
    <row r="189" ht="15.0" customHeight="1">
      <c r="A189" s="10"/>
      <c r="B189" s="10"/>
      <c r="C189" s="10"/>
      <c r="D189" s="10"/>
      <c r="E189" s="10"/>
      <c r="F189" s="10"/>
      <c r="G189" s="10"/>
    </row>
    <row r="190" ht="15.0" customHeight="1">
      <c r="A190" s="10"/>
      <c r="B190" s="10"/>
      <c r="C190" s="10"/>
      <c r="D190" s="10"/>
      <c r="E190" s="10"/>
      <c r="F190" s="10"/>
      <c r="G190" s="10"/>
    </row>
    <row r="191" ht="15.0" customHeight="1">
      <c r="A191" s="10"/>
      <c r="B191" s="10"/>
      <c r="C191" s="10"/>
      <c r="D191" s="10"/>
      <c r="E191" s="10"/>
      <c r="F191" s="10"/>
      <c r="G191" s="10"/>
    </row>
    <row r="192" ht="15.0" customHeight="1">
      <c r="A192" s="10"/>
      <c r="B192" s="10"/>
      <c r="C192" s="10"/>
      <c r="D192" s="10"/>
      <c r="E192" s="10"/>
      <c r="F192" s="10"/>
      <c r="G192" s="10"/>
    </row>
    <row r="193" ht="15.0" customHeight="1">
      <c r="A193" s="10"/>
      <c r="B193" s="10"/>
      <c r="C193" s="10"/>
      <c r="D193" s="10"/>
      <c r="E193" s="10"/>
      <c r="F193" s="10"/>
      <c r="G193" s="10"/>
    </row>
    <row r="194" ht="15.0" customHeight="1">
      <c r="A194" s="10"/>
      <c r="B194" s="10"/>
      <c r="C194" s="10"/>
      <c r="D194" s="10"/>
      <c r="E194" s="10"/>
      <c r="F194" s="10"/>
      <c r="G194" s="10"/>
    </row>
    <row r="195" ht="15.0" customHeight="1">
      <c r="A195" s="10"/>
      <c r="B195" s="10"/>
      <c r="C195" s="10"/>
      <c r="D195" s="10"/>
      <c r="E195" s="10"/>
      <c r="F195" s="10"/>
      <c r="G195" s="10"/>
    </row>
    <row r="196" ht="15.0" customHeight="1">
      <c r="A196" s="10"/>
      <c r="B196" s="10"/>
      <c r="C196" s="10"/>
      <c r="D196" s="10"/>
      <c r="E196" s="10"/>
      <c r="F196" s="10"/>
      <c r="G196" s="10"/>
    </row>
    <row r="197" ht="15.0" customHeight="1">
      <c r="A197" s="10"/>
      <c r="B197" s="10"/>
      <c r="C197" s="10"/>
      <c r="D197" s="10"/>
      <c r="E197" s="10"/>
      <c r="F197" s="10"/>
      <c r="G197" s="10"/>
    </row>
    <row r="198" ht="15.0" customHeight="1">
      <c r="A198" s="10"/>
      <c r="B198" s="10"/>
      <c r="C198" s="10"/>
      <c r="D198" s="10"/>
      <c r="E198" s="10"/>
      <c r="F198" s="10"/>
      <c r="G198" s="10"/>
    </row>
    <row r="199" ht="15.0" customHeight="1">
      <c r="A199" s="10"/>
      <c r="B199" s="10"/>
      <c r="C199" s="10"/>
      <c r="D199" s="10"/>
      <c r="E199" s="10"/>
      <c r="F199" s="10"/>
      <c r="G199" s="10"/>
    </row>
    <row r="200" ht="15.0" customHeight="1">
      <c r="A200" s="10"/>
      <c r="B200" s="10"/>
      <c r="C200" s="10"/>
      <c r="D200" s="10"/>
      <c r="E200" s="10"/>
      <c r="F200" s="10"/>
      <c r="G200" s="10"/>
    </row>
    <row r="201" ht="15.0" customHeight="1">
      <c r="A201" s="10"/>
      <c r="B201" s="10"/>
      <c r="C201" s="10"/>
      <c r="D201" s="10"/>
      <c r="E201" s="10"/>
      <c r="F201" s="10"/>
      <c r="G201" s="10"/>
    </row>
    <row r="202" ht="15.0" customHeight="1">
      <c r="A202" s="10"/>
      <c r="B202" s="10"/>
      <c r="C202" s="10"/>
      <c r="D202" s="10"/>
      <c r="E202" s="10"/>
      <c r="F202" s="10"/>
      <c r="G202" s="10"/>
    </row>
    <row r="203" ht="15.0" customHeight="1">
      <c r="A203" s="10"/>
      <c r="B203" s="10"/>
      <c r="C203" s="10"/>
      <c r="D203" s="10"/>
      <c r="E203" s="10"/>
      <c r="F203" s="10"/>
      <c r="G203" s="10"/>
    </row>
    <row r="204" ht="15.0" customHeight="1">
      <c r="A204" s="10"/>
      <c r="B204" s="10"/>
      <c r="C204" s="10"/>
      <c r="D204" s="10"/>
      <c r="E204" s="10"/>
      <c r="F204" s="10"/>
      <c r="G204" s="10"/>
    </row>
    <row r="205" ht="15.0" customHeight="1">
      <c r="A205" s="10"/>
      <c r="B205" s="10"/>
      <c r="C205" s="10"/>
      <c r="D205" s="10"/>
      <c r="E205" s="10"/>
      <c r="F205" s="10"/>
      <c r="G205" s="10"/>
    </row>
    <row r="206" ht="18.0" customHeight="1">
      <c r="A206" s="10"/>
      <c r="B206" s="77" t="s">
        <v>296</v>
      </c>
      <c r="G206" s="10"/>
    </row>
    <row r="207" ht="6.0" customHeight="1">
      <c r="A207" s="10"/>
      <c r="B207" s="10"/>
      <c r="C207" s="10"/>
      <c r="D207" s="10"/>
      <c r="E207" s="10"/>
      <c r="F207" s="10"/>
      <c r="G207" s="10"/>
    </row>
    <row r="208" ht="22.5" customHeight="1">
      <c r="A208" s="10"/>
      <c r="B208" s="51" t="s">
        <v>154</v>
      </c>
      <c r="C208" s="52" t="s">
        <v>298</v>
      </c>
      <c r="D208" s="12"/>
      <c r="E208" s="12"/>
      <c r="F208" s="13"/>
      <c r="G208" s="10"/>
    </row>
    <row r="209" ht="3.0" customHeight="1">
      <c r="A209" s="10"/>
      <c r="B209" s="10"/>
      <c r="C209" s="10"/>
      <c r="D209" s="10"/>
      <c r="E209" s="10"/>
      <c r="F209" s="10"/>
      <c r="G209" s="10"/>
    </row>
    <row r="210" ht="37.5" customHeight="1">
      <c r="A210" s="10"/>
      <c r="B210" s="51" t="s">
        <v>158</v>
      </c>
      <c r="C210" s="52" t="s">
        <v>299</v>
      </c>
      <c r="D210" s="12"/>
      <c r="E210" s="12"/>
      <c r="F210" s="13"/>
      <c r="G210" s="10"/>
    </row>
    <row r="211" ht="3.0" customHeight="1">
      <c r="A211" s="10"/>
      <c r="B211" s="10"/>
      <c r="C211" s="10"/>
      <c r="D211" s="10"/>
      <c r="E211" s="10"/>
      <c r="F211" s="10"/>
      <c r="G211" s="10"/>
    </row>
    <row r="212" ht="37.5" customHeight="1">
      <c r="A212" s="10"/>
      <c r="B212" s="51" t="s">
        <v>161</v>
      </c>
      <c r="C212" s="52" t="s">
        <v>300</v>
      </c>
      <c r="D212" s="12"/>
      <c r="E212" s="12"/>
      <c r="F212" s="13"/>
      <c r="G212" s="10"/>
    </row>
    <row r="213" ht="3.0" customHeight="1">
      <c r="A213" s="10"/>
      <c r="B213" s="10"/>
      <c r="C213" s="10"/>
      <c r="D213" s="10"/>
      <c r="E213" s="10"/>
      <c r="F213" s="10"/>
      <c r="G213" s="10"/>
    </row>
    <row r="214" ht="37.5" customHeight="1">
      <c r="A214" s="10"/>
      <c r="B214" s="51" t="s">
        <v>163</v>
      </c>
      <c r="C214" s="52" t="s">
        <v>301</v>
      </c>
      <c r="D214" s="12"/>
      <c r="E214" s="12"/>
      <c r="F214" s="13"/>
      <c r="G214" s="10"/>
    </row>
    <row r="215" ht="3.0" customHeight="1">
      <c r="A215" s="10"/>
      <c r="B215" s="10"/>
      <c r="C215" s="10"/>
      <c r="D215" s="10"/>
      <c r="E215" s="10"/>
      <c r="F215" s="10"/>
      <c r="G215" s="10"/>
    </row>
    <row r="216" ht="37.5" customHeight="1">
      <c r="A216" s="10"/>
      <c r="B216" s="51" t="s">
        <v>166</v>
      </c>
      <c r="C216" s="52" t="s">
        <v>302</v>
      </c>
      <c r="D216" s="12"/>
      <c r="E216" s="12"/>
      <c r="F216" s="13"/>
      <c r="G216" s="10"/>
    </row>
    <row r="217" ht="3.0" customHeight="1">
      <c r="A217" s="10"/>
      <c r="B217" s="10"/>
      <c r="C217" s="10"/>
      <c r="D217" s="10"/>
      <c r="E217" s="10"/>
      <c r="F217" s="10"/>
      <c r="G217" s="10"/>
    </row>
    <row r="218" ht="6.0" customHeight="1">
      <c r="A218" s="10"/>
      <c r="B218" s="10"/>
      <c r="C218" s="10"/>
      <c r="D218" s="10"/>
      <c r="E218" s="10"/>
      <c r="F218" s="10"/>
      <c r="G218" s="10"/>
    </row>
    <row r="219" ht="21.75" customHeight="1">
      <c r="A219" s="10"/>
      <c r="B219" s="16" t="s">
        <v>303</v>
      </c>
      <c r="C219" s="17"/>
      <c r="D219" s="17"/>
      <c r="E219" s="17"/>
      <c r="F219" s="17"/>
      <c r="G219" s="10"/>
    </row>
    <row r="220" ht="3.75" customHeight="1">
      <c r="A220" s="10"/>
      <c r="B220" s="10"/>
      <c r="C220" s="10"/>
      <c r="D220" s="10"/>
      <c r="E220" s="10"/>
      <c r="F220" s="10"/>
      <c r="G220" s="10"/>
    </row>
    <row r="221" ht="15.0" customHeight="1">
      <c r="A221" s="10"/>
      <c r="B221" s="10"/>
      <c r="C221" s="10"/>
      <c r="D221" s="10"/>
      <c r="E221" s="10"/>
      <c r="F221" s="10"/>
      <c r="G221" s="10"/>
    </row>
    <row r="222" ht="15.0" customHeight="1">
      <c r="A222" s="10"/>
      <c r="B222" s="10"/>
      <c r="C222" s="10"/>
      <c r="D222" s="10"/>
      <c r="E222" s="10"/>
      <c r="F222" s="10"/>
      <c r="G222" s="10"/>
    </row>
    <row r="223" ht="15.0" customHeight="1">
      <c r="A223" s="10"/>
      <c r="B223" s="10"/>
      <c r="C223" s="10"/>
      <c r="D223" s="10"/>
      <c r="E223" s="10"/>
      <c r="F223" s="10"/>
      <c r="G223" s="10"/>
    </row>
    <row r="224" ht="15.0" customHeight="1">
      <c r="A224" s="10"/>
      <c r="B224" s="10"/>
      <c r="C224" s="10"/>
      <c r="D224" s="10"/>
      <c r="E224" s="10"/>
      <c r="F224" s="10"/>
      <c r="G224" s="10"/>
    </row>
    <row r="225" ht="15.0" customHeight="1">
      <c r="A225" s="10"/>
      <c r="B225" s="10"/>
      <c r="C225" s="10"/>
      <c r="D225" s="10"/>
      <c r="E225" s="10"/>
      <c r="F225" s="10"/>
      <c r="G225" s="10"/>
    </row>
    <row r="226" ht="15.0" customHeight="1">
      <c r="A226" s="10"/>
      <c r="B226" s="10"/>
      <c r="C226" s="10"/>
      <c r="D226" s="10"/>
      <c r="E226" s="10"/>
      <c r="F226" s="10"/>
      <c r="G226" s="10"/>
    </row>
    <row r="227" ht="15.0" customHeight="1">
      <c r="A227" s="10"/>
      <c r="B227" s="10"/>
      <c r="C227" s="10"/>
      <c r="D227" s="10"/>
      <c r="E227" s="10"/>
      <c r="F227" s="10"/>
      <c r="G227" s="10"/>
    </row>
    <row r="228" ht="15.0" customHeight="1">
      <c r="A228" s="10"/>
      <c r="B228" s="10"/>
      <c r="C228" s="10"/>
      <c r="D228" s="10"/>
      <c r="E228" s="10"/>
      <c r="F228" s="10"/>
      <c r="G228" s="10"/>
    </row>
    <row r="229" ht="15.0" customHeight="1">
      <c r="A229" s="10"/>
      <c r="B229" s="10"/>
      <c r="C229" s="10"/>
      <c r="D229" s="10"/>
      <c r="E229" s="10"/>
      <c r="F229" s="10"/>
      <c r="G229" s="10"/>
    </row>
    <row r="230" ht="15.0" customHeight="1">
      <c r="A230" s="10"/>
      <c r="B230" s="10"/>
      <c r="C230" s="10"/>
      <c r="D230" s="10"/>
      <c r="E230" s="10"/>
      <c r="F230" s="10"/>
      <c r="G230" s="10"/>
    </row>
    <row r="231" ht="15.0" customHeight="1">
      <c r="A231" s="10"/>
      <c r="B231" s="10"/>
      <c r="C231" s="10"/>
      <c r="D231" s="10"/>
      <c r="E231" s="10"/>
      <c r="F231" s="10"/>
      <c r="G231" s="10"/>
    </row>
    <row r="232" ht="15.0" customHeight="1">
      <c r="A232" s="10"/>
      <c r="B232" s="10"/>
      <c r="C232" s="10"/>
      <c r="D232" s="10"/>
      <c r="E232" s="10"/>
      <c r="F232" s="10"/>
      <c r="G232" s="10"/>
    </row>
    <row r="233" ht="15.0" customHeight="1">
      <c r="A233" s="10"/>
      <c r="B233" s="10"/>
      <c r="C233" s="10"/>
      <c r="D233" s="10"/>
      <c r="E233" s="10"/>
      <c r="F233" s="10"/>
      <c r="G233" s="10"/>
    </row>
    <row r="234" ht="15.0" customHeight="1">
      <c r="A234" s="10"/>
      <c r="B234" s="10"/>
      <c r="C234" s="10"/>
      <c r="D234" s="10"/>
      <c r="E234" s="10"/>
      <c r="F234" s="10"/>
      <c r="G234" s="10"/>
    </row>
    <row r="235" ht="15.0" customHeight="1">
      <c r="A235" s="10"/>
      <c r="B235" s="10"/>
      <c r="C235" s="10"/>
      <c r="D235" s="10"/>
      <c r="E235" s="10"/>
      <c r="F235" s="10"/>
      <c r="G235" s="10"/>
    </row>
    <row r="236" ht="15.0" customHeight="1">
      <c r="A236" s="10"/>
      <c r="B236" s="10"/>
      <c r="C236" s="10"/>
      <c r="D236" s="10"/>
      <c r="E236" s="10"/>
      <c r="F236" s="10"/>
      <c r="G236" s="10"/>
    </row>
    <row r="237" ht="15.0" customHeight="1">
      <c r="A237" s="10"/>
      <c r="B237" s="10"/>
      <c r="C237" s="10"/>
      <c r="D237" s="10"/>
      <c r="E237" s="10"/>
      <c r="F237" s="10"/>
      <c r="G237" s="10"/>
    </row>
    <row r="238" ht="15.0" customHeight="1">
      <c r="A238" s="10"/>
      <c r="B238" s="10"/>
      <c r="C238" s="10"/>
      <c r="D238" s="10"/>
      <c r="E238" s="10"/>
      <c r="F238" s="10"/>
      <c r="G238" s="10"/>
    </row>
    <row r="239" ht="15.0" customHeight="1">
      <c r="A239" s="10"/>
      <c r="B239" s="10"/>
      <c r="C239" s="10"/>
      <c r="D239" s="10"/>
      <c r="E239" s="10"/>
      <c r="F239" s="10"/>
      <c r="G239" s="10"/>
    </row>
    <row r="240" ht="15.0" customHeight="1">
      <c r="A240" s="10"/>
      <c r="B240" s="10"/>
      <c r="C240" s="10"/>
      <c r="D240" s="10"/>
      <c r="E240" s="10"/>
      <c r="F240" s="10"/>
      <c r="G240" s="10"/>
    </row>
    <row r="241" ht="15.0" customHeight="1">
      <c r="A241" s="10"/>
      <c r="B241" s="10"/>
      <c r="C241" s="10"/>
      <c r="D241" s="10"/>
      <c r="E241" s="10"/>
      <c r="F241" s="10"/>
      <c r="G241" s="10"/>
    </row>
    <row r="242" ht="15.0" customHeight="1">
      <c r="A242" s="10"/>
      <c r="B242" s="10"/>
      <c r="C242" s="10"/>
      <c r="D242" s="10"/>
      <c r="E242" s="10"/>
      <c r="F242" s="10"/>
      <c r="G242" s="10"/>
    </row>
    <row r="243" ht="15.0" customHeight="1">
      <c r="A243" s="10"/>
      <c r="B243" s="10"/>
      <c r="C243" s="10"/>
      <c r="D243" s="10"/>
      <c r="E243" s="10"/>
      <c r="F243" s="10"/>
      <c r="G243" s="10"/>
    </row>
    <row r="244" ht="15.0" customHeight="1">
      <c r="A244" s="10"/>
      <c r="B244" s="10"/>
      <c r="C244" s="10"/>
      <c r="D244" s="10"/>
      <c r="E244" s="10"/>
      <c r="F244" s="10"/>
      <c r="G244" s="10"/>
    </row>
    <row r="245" ht="15.0" customHeight="1">
      <c r="A245" s="10"/>
      <c r="B245" s="10"/>
      <c r="C245" s="10"/>
      <c r="D245" s="10"/>
      <c r="E245" s="10"/>
      <c r="F245" s="10"/>
      <c r="G245" s="10"/>
    </row>
    <row r="246" ht="15.0" customHeight="1">
      <c r="A246" s="10"/>
      <c r="B246" s="10"/>
      <c r="C246" s="10"/>
      <c r="D246" s="10"/>
      <c r="E246" s="10"/>
      <c r="F246" s="10"/>
      <c r="G246" s="10"/>
    </row>
    <row r="247" ht="15.0" customHeight="1">
      <c r="A247" s="10"/>
      <c r="B247" s="10"/>
      <c r="C247" s="10"/>
      <c r="D247" s="10"/>
      <c r="E247" s="10"/>
      <c r="F247" s="10"/>
      <c r="G247" s="10"/>
    </row>
    <row r="248" ht="15.0" customHeight="1">
      <c r="A248" s="10"/>
      <c r="B248" s="10"/>
      <c r="C248" s="10"/>
      <c r="D248" s="10"/>
      <c r="E248" s="10"/>
      <c r="F248" s="10"/>
      <c r="G248" s="10"/>
    </row>
    <row r="249" ht="15.0" customHeight="1">
      <c r="A249" s="10"/>
      <c r="B249" s="10"/>
      <c r="C249" s="10"/>
      <c r="D249" s="10"/>
      <c r="E249" s="10"/>
      <c r="F249" s="10"/>
      <c r="G249" s="10"/>
    </row>
    <row r="250" ht="15.0" customHeight="1">
      <c r="A250" s="10"/>
      <c r="B250" s="10"/>
      <c r="C250" s="10"/>
      <c r="D250" s="10"/>
      <c r="E250" s="10"/>
      <c r="F250" s="10"/>
      <c r="G250" s="10"/>
    </row>
    <row r="251" ht="18.0" customHeight="1">
      <c r="A251" s="10"/>
      <c r="B251" s="77" t="s">
        <v>305</v>
      </c>
      <c r="G251" s="10"/>
    </row>
    <row r="252" ht="6.0" customHeight="1">
      <c r="A252" s="10"/>
      <c r="B252" s="10"/>
      <c r="C252" s="10"/>
      <c r="D252" s="10"/>
      <c r="E252" s="10"/>
      <c r="F252" s="10"/>
      <c r="G252" s="10"/>
    </row>
    <row r="253" ht="21.0" customHeight="1">
      <c r="A253" s="10"/>
      <c r="B253" s="35" t="s">
        <v>306</v>
      </c>
      <c r="C253" s="35" t="s">
        <v>307</v>
      </c>
      <c r="D253" s="36" t="s">
        <v>308</v>
      </c>
      <c r="E253" s="37"/>
      <c r="F253" s="81"/>
      <c r="G253" s="10"/>
    </row>
    <row r="254" ht="21.0" customHeight="1">
      <c r="A254" s="10"/>
      <c r="B254" s="82" t="s">
        <v>310</v>
      </c>
      <c r="C254" s="40" t="s">
        <v>311</v>
      </c>
      <c r="D254" s="40" t="s">
        <v>312</v>
      </c>
      <c r="E254" s="41"/>
      <c r="F254" s="84"/>
      <c r="G254" s="10"/>
    </row>
    <row r="255" ht="36.0" customHeight="1">
      <c r="A255" s="10"/>
      <c r="B255" s="86" t="s">
        <v>313</v>
      </c>
      <c r="C255" s="44" t="s">
        <v>314</v>
      </c>
      <c r="D255" s="45" t="s">
        <v>315</v>
      </c>
      <c r="E255" s="37"/>
      <c r="F255" s="81"/>
      <c r="G255" s="10"/>
    </row>
    <row r="256" ht="36.0" customHeight="1">
      <c r="A256" s="10"/>
      <c r="B256" s="82" t="s">
        <v>316</v>
      </c>
      <c r="C256" s="40" t="s">
        <v>317</v>
      </c>
      <c r="D256" s="40" t="s">
        <v>319</v>
      </c>
      <c r="E256" s="41"/>
      <c r="F256" s="84"/>
      <c r="G256" s="10"/>
    </row>
    <row r="257" ht="21.0" customHeight="1">
      <c r="A257" s="10"/>
      <c r="B257" s="86" t="s">
        <v>320</v>
      </c>
      <c r="C257" s="44" t="s">
        <v>321</v>
      </c>
      <c r="D257" s="45" t="s">
        <v>322</v>
      </c>
      <c r="E257" s="37"/>
      <c r="F257" s="81"/>
      <c r="G257" s="10"/>
    </row>
    <row r="258" ht="36.0" customHeight="1">
      <c r="A258" s="10"/>
      <c r="B258" s="87" t="s">
        <v>324</v>
      </c>
      <c r="C258" s="47" t="s">
        <v>325</v>
      </c>
      <c r="D258" s="47" t="s">
        <v>327</v>
      </c>
      <c r="E258" s="48"/>
      <c r="F258" s="88"/>
      <c r="G258" s="10"/>
    </row>
    <row r="259" ht="6.0" customHeight="1">
      <c r="A259" s="10"/>
      <c r="B259" s="10"/>
      <c r="C259" s="10"/>
      <c r="D259" s="10"/>
      <c r="E259" s="10"/>
      <c r="F259" s="10"/>
      <c r="G259" s="10"/>
    </row>
    <row r="260" ht="22.5" customHeight="1">
      <c r="A260" s="10"/>
      <c r="B260" s="51" t="s">
        <v>154</v>
      </c>
      <c r="C260" s="52" t="s">
        <v>329</v>
      </c>
      <c r="D260" s="12"/>
      <c r="E260" s="12"/>
      <c r="F260" s="13"/>
      <c r="G260" s="10"/>
    </row>
    <row r="261" ht="3.0" customHeight="1">
      <c r="A261" s="10"/>
      <c r="B261" s="10"/>
      <c r="C261" s="10"/>
      <c r="D261" s="10"/>
      <c r="E261" s="10"/>
      <c r="F261" s="10"/>
      <c r="G261" s="10"/>
    </row>
    <row r="262" ht="22.5" customHeight="1">
      <c r="A262" s="10"/>
      <c r="B262" s="51" t="s">
        <v>158</v>
      </c>
      <c r="C262" s="52" t="s">
        <v>332</v>
      </c>
      <c r="D262" s="12"/>
      <c r="E262" s="12"/>
      <c r="F262" s="13"/>
      <c r="G262" s="10"/>
    </row>
    <row r="263" ht="3.0" customHeight="1">
      <c r="A263" s="10"/>
      <c r="B263" s="10"/>
      <c r="C263" s="10"/>
      <c r="D263" s="10"/>
      <c r="E263" s="10"/>
      <c r="F263" s="10"/>
      <c r="G263" s="10"/>
    </row>
    <row r="264" ht="37.5" customHeight="1">
      <c r="A264" s="10"/>
      <c r="B264" s="51" t="s">
        <v>161</v>
      </c>
      <c r="C264" s="52" t="s">
        <v>333</v>
      </c>
      <c r="D264" s="12"/>
      <c r="E264" s="12"/>
      <c r="F264" s="13"/>
      <c r="G264" s="10"/>
    </row>
    <row r="265" ht="3.0" customHeight="1">
      <c r="A265" s="10"/>
      <c r="B265" s="10"/>
      <c r="C265" s="10"/>
      <c r="D265" s="10"/>
      <c r="E265" s="10"/>
      <c r="F265" s="10"/>
      <c r="G265" s="10"/>
    </row>
    <row r="266" ht="22.5" customHeight="1">
      <c r="A266" s="10"/>
      <c r="B266" s="51" t="s">
        <v>163</v>
      </c>
      <c r="C266" s="52" t="s">
        <v>334</v>
      </c>
      <c r="D266" s="12"/>
      <c r="E266" s="12"/>
      <c r="F266" s="13"/>
      <c r="G266" s="10"/>
    </row>
    <row r="267" ht="3.0" customHeight="1">
      <c r="A267" s="10"/>
      <c r="B267" s="10"/>
      <c r="C267" s="10"/>
      <c r="D267" s="10"/>
      <c r="E267" s="10"/>
      <c r="F267" s="10"/>
      <c r="G267" s="10"/>
    </row>
    <row r="268" ht="22.5" customHeight="1">
      <c r="A268" s="10"/>
      <c r="B268" s="51" t="s">
        <v>166</v>
      </c>
      <c r="C268" s="52" t="s">
        <v>338</v>
      </c>
      <c r="D268" s="12"/>
      <c r="E268" s="12"/>
      <c r="F268" s="13"/>
      <c r="G268" s="10"/>
    </row>
    <row r="269" ht="3.0" customHeight="1">
      <c r="A269" s="10"/>
      <c r="B269" s="10"/>
      <c r="C269" s="10"/>
      <c r="D269" s="10"/>
      <c r="E269" s="10"/>
      <c r="F269" s="10"/>
      <c r="G269" s="10"/>
    </row>
    <row r="270" ht="6.0" customHeight="1">
      <c r="A270" s="10"/>
      <c r="B270" s="10"/>
      <c r="C270" s="10"/>
      <c r="D270" s="10"/>
      <c r="E270" s="10"/>
      <c r="F270" s="10"/>
      <c r="G270" s="10"/>
    </row>
    <row r="271" ht="21.75" customHeight="1">
      <c r="A271" s="10"/>
      <c r="B271" s="16" t="s">
        <v>342</v>
      </c>
      <c r="C271" s="17"/>
      <c r="D271" s="17"/>
      <c r="E271" s="17"/>
      <c r="F271" s="17"/>
      <c r="G271" s="10"/>
    </row>
    <row r="272" ht="3.75" customHeight="1">
      <c r="A272" s="10"/>
      <c r="B272" s="10"/>
      <c r="C272" s="10"/>
      <c r="D272" s="10"/>
      <c r="E272" s="10"/>
      <c r="F272" s="10"/>
      <c r="G272" s="10"/>
    </row>
    <row r="273" ht="15.0" customHeight="1">
      <c r="A273" s="10"/>
      <c r="B273" s="10"/>
      <c r="C273" s="10"/>
      <c r="D273" s="10"/>
      <c r="E273" s="10"/>
      <c r="F273" s="10"/>
      <c r="G273" s="10"/>
    </row>
    <row r="274" ht="15.0" customHeight="1">
      <c r="A274" s="10"/>
      <c r="B274" s="10"/>
      <c r="C274" s="10"/>
      <c r="D274" s="10"/>
      <c r="E274" s="10"/>
      <c r="F274" s="10"/>
      <c r="G274" s="10"/>
    </row>
    <row r="275" ht="15.0" customHeight="1">
      <c r="A275" s="10"/>
      <c r="B275" s="10"/>
      <c r="C275" s="10"/>
      <c r="D275" s="10"/>
      <c r="E275" s="10"/>
      <c r="F275" s="10"/>
      <c r="G275" s="10"/>
    </row>
    <row r="276" ht="15.0" customHeight="1">
      <c r="A276" s="10"/>
      <c r="B276" s="10"/>
      <c r="C276" s="10"/>
      <c r="D276" s="10"/>
      <c r="E276" s="10"/>
      <c r="F276" s="10"/>
      <c r="G276" s="10"/>
    </row>
    <row r="277" ht="15.0" customHeight="1">
      <c r="A277" s="10"/>
      <c r="B277" s="10"/>
      <c r="C277" s="10"/>
      <c r="D277" s="10"/>
      <c r="E277" s="10"/>
      <c r="F277" s="10"/>
      <c r="G277" s="10"/>
    </row>
    <row r="278" ht="15.0" customHeight="1">
      <c r="A278" s="10"/>
      <c r="B278" s="10"/>
      <c r="C278" s="10"/>
      <c r="D278" s="10"/>
      <c r="E278" s="10"/>
      <c r="F278" s="10"/>
      <c r="G278" s="10"/>
    </row>
    <row r="279" ht="15.0" customHeight="1">
      <c r="A279" s="10"/>
      <c r="B279" s="10"/>
      <c r="C279" s="10"/>
      <c r="D279" s="10"/>
      <c r="E279" s="10"/>
      <c r="F279" s="10"/>
      <c r="G279" s="10"/>
    </row>
    <row r="280" ht="15.0" customHeight="1">
      <c r="A280" s="10"/>
      <c r="B280" s="10"/>
      <c r="C280" s="10"/>
      <c r="D280" s="10"/>
      <c r="E280" s="10"/>
      <c r="F280" s="10"/>
      <c r="G280" s="10"/>
    </row>
    <row r="281" ht="15.0" customHeight="1">
      <c r="A281" s="10"/>
      <c r="B281" s="10"/>
      <c r="C281" s="10"/>
      <c r="D281" s="10"/>
      <c r="E281" s="10"/>
      <c r="F281" s="10"/>
      <c r="G281" s="10"/>
    </row>
    <row r="282" ht="15.0" customHeight="1">
      <c r="A282" s="10"/>
      <c r="B282" s="10"/>
      <c r="C282" s="10"/>
      <c r="D282" s="10"/>
      <c r="E282" s="10"/>
      <c r="F282" s="10"/>
      <c r="G282" s="10"/>
    </row>
    <row r="283" ht="15.0" customHeight="1">
      <c r="A283" s="10"/>
      <c r="B283" s="10"/>
      <c r="C283" s="10"/>
      <c r="D283" s="10"/>
      <c r="E283" s="10"/>
      <c r="F283" s="10"/>
      <c r="G283" s="10"/>
    </row>
    <row r="284" ht="15.0" customHeight="1">
      <c r="A284" s="10"/>
      <c r="B284" s="10"/>
      <c r="C284" s="10"/>
      <c r="D284" s="10"/>
      <c r="E284" s="10"/>
      <c r="F284" s="10"/>
      <c r="G284" s="10"/>
    </row>
    <row r="285" ht="15.0" customHeight="1">
      <c r="A285" s="10"/>
      <c r="B285" s="10"/>
      <c r="C285" s="10"/>
      <c r="D285" s="10"/>
      <c r="E285" s="10"/>
      <c r="F285" s="10"/>
      <c r="G285" s="10"/>
    </row>
    <row r="286" ht="15.0" customHeight="1">
      <c r="A286" s="10"/>
      <c r="B286" s="10"/>
      <c r="C286" s="10"/>
      <c r="D286" s="10"/>
      <c r="E286" s="10"/>
      <c r="F286" s="10"/>
      <c r="G286" s="10"/>
    </row>
    <row r="287" ht="15.0" customHeight="1">
      <c r="A287" s="10"/>
      <c r="B287" s="10"/>
      <c r="C287" s="10"/>
      <c r="D287" s="10"/>
      <c r="E287" s="10"/>
      <c r="F287" s="10"/>
      <c r="G287" s="10"/>
    </row>
    <row r="288" ht="15.0" customHeight="1">
      <c r="A288" s="10"/>
      <c r="B288" s="10"/>
      <c r="C288" s="10"/>
      <c r="D288" s="10"/>
      <c r="E288" s="10"/>
      <c r="F288" s="10"/>
      <c r="G288" s="10"/>
    </row>
    <row r="289" ht="15.0" customHeight="1">
      <c r="A289" s="10"/>
      <c r="B289" s="10"/>
      <c r="C289" s="10"/>
      <c r="D289" s="10"/>
      <c r="E289" s="10"/>
      <c r="F289" s="10"/>
      <c r="G289" s="10"/>
    </row>
    <row r="290" ht="15.0" customHeight="1">
      <c r="A290" s="10"/>
      <c r="B290" s="10"/>
      <c r="C290" s="10"/>
      <c r="D290" s="10"/>
      <c r="E290" s="10"/>
      <c r="F290" s="10"/>
      <c r="G290" s="10"/>
    </row>
    <row r="291" ht="15.0" customHeight="1">
      <c r="A291" s="10"/>
      <c r="B291" s="10"/>
      <c r="C291" s="10"/>
      <c r="D291" s="10"/>
      <c r="E291" s="10"/>
      <c r="F291" s="10"/>
      <c r="G291" s="10"/>
    </row>
    <row r="292" ht="15.0" customHeight="1">
      <c r="A292" s="10"/>
      <c r="B292" s="10"/>
      <c r="C292" s="10"/>
      <c r="D292" s="10"/>
      <c r="E292" s="10"/>
      <c r="F292" s="10"/>
      <c r="G292" s="10"/>
    </row>
    <row r="293" ht="15.0" customHeight="1">
      <c r="A293" s="10"/>
      <c r="B293" s="10"/>
      <c r="C293" s="10"/>
      <c r="D293" s="10"/>
      <c r="E293" s="10"/>
      <c r="F293" s="10"/>
      <c r="G293" s="10"/>
    </row>
    <row r="294" ht="15.0" customHeight="1">
      <c r="A294" s="10"/>
      <c r="B294" s="10"/>
      <c r="C294" s="10"/>
      <c r="D294" s="10"/>
      <c r="E294" s="10"/>
      <c r="F294" s="10"/>
      <c r="G294" s="10"/>
    </row>
    <row r="295" ht="15.0" customHeight="1">
      <c r="A295" s="10"/>
      <c r="B295" s="10"/>
      <c r="C295" s="10"/>
      <c r="D295" s="10"/>
      <c r="E295" s="10"/>
      <c r="F295" s="10"/>
      <c r="G295" s="10"/>
    </row>
    <row r="296" ht="15.0" customHeight="1">
      <c r="A296" s="10"/>
      <c r="B296" s="10"/>
      <c r="C296" s="10"/>
      <c r="D296" s="10"/>
      <c r="E296" s="10"/>
      <c r="F296" s="10"/>
      <c r="G296" s="10"/>
    </row>
    <row r="297" ht="15.0" customHeight="1">
      <c r="A297" s="10"/>
      <c r="B297" s="10"/>
      <c r="C297" s="10"/>
      <c r="D297" s="10"/>
      <c r="E297" s="10"/>
      <c r="F297" s="10"/>
      <c r="G297" s="10"/>
    </row>
    <row r="298" ht="18.0" customHeight="1">
      <c r="A298" s="10"/>
      <c r="B298" s="77" t="s">
        <v>345</v>
      </c>
      <c r="G298" s="10"/>
    </row>
    <row r="299" ht="6.0" customHeight="1">
      <c r="A299" s="10"/>
      <c r="B299" s="10"/>
      <c r="C299" s="10"/>
      <c r="D299" s="10"/>
      <c r="E299" s="10"/>
      <c r="F299" s="10"/>
      <c r="G299" s="10"/>
    </row>
    <row r="300" ht="63.75" customHeight="1">
      <c r="A300" s="10"/>
      <c r="B300" s="34" t="s">
        <v>346</v>
      </c>
      <c r="G300" s="10"/>
    </row>
    <row r="301" ht="6.0" customHeight="1">
      <c r="A301" s="10"/>
      <c r="B301" s="10"/>
      <c r="C301" s="10"/>
      <c r="D301" s="10"/>
      <c r="E301" s="10"/>
      <c r="F301" s="10"/>
      <c r="G301" s="10"/>
    </row>
    <row r="302" ht="21.75" customHeight="1">
      <c r="A302" s="10"/>
      <c r="B302" s="16" t="s">
        <v>347</v>
      </c>
      <c r="C302" s="17"/>
      <c r="D302" s="17"/>
      <c r="E302" s="17"/>
      <c r="F302" s="17"/>
      <c r="G302" s="10"/>
    </row>
    <row r="303" ht="3.75" customHeight="1">
      <c r="A303" s="10"/>
      <c r="B303" s="10"/>
      <c r="C303" s="10"/>
      <c r="D303" s="10"/>
      <c r="E303" s="10"/>
      <c r="F303" s="10"/>
      <c r="G303" s="10"/>
    </row>
    <row r="304" ht="15.0" customHeight="1">
      <c r="A304" s="10"/>
      <c r="B304" s="10"/>
      <c r="C304" s="10"/>
      <c r="D304" s="10"/>
      <c r="E304" s="10"/>
      <c r="F304" s="10"/>
      <c r="G304" s="10"/>
    </row>
    <row r="305" ht="15.0" customHeight="1">
      <c r="A305" s="10"/>
      <c r="B305" s="10"/>
      <c r="C305" s="10"/>
      <c r="D305" s="10"/>
      <c r="E305" s="10"/>
      <c r="F305" s="10"/>
      <c r="G305" s="10"/>
    </row>
    <row r="306" ht="15.0" customHeight="1">
      <c r="A306" s="10"/>
      <c r="B306" s="10"/>
      <c r="C306" s="10"/>
      <c r="D306" s="10"/>
      <c r="E306" s="10"/>
      <c r="F306" s="10"/>
      <c r="G306" s="10"/>
    </row>
    <row r="307" ht="15.0" customHeight="1">
      <c r="A307" s="10"/>
      <c r="B307" s="10"/>
      <c r="C307" s="10"/>
      <c r="D307" s="10"/>
      <c r="E307" s="10"/>
      <c r="F307" s="10"/>
      <c r="G307" s="10"/>
    </row>
    <row r="308" ht="15.0" customHeight="1">
      <c r="A308" s="10"/>
      <c r="B308" s="10"/>
      <c r="C308" s="10"/>
      <c r="D308" s="10"/>
      <c r="E308" s="10"/>
      <c r="F308" s="10"/>
      <c r="G308" s="10"/>
    </row>
    <row r="309" ht="15.0" customHeight="1">
      <c r="A309" s="10"/>
      <c r="B309" s="10"/>
      <c r="C309" s="10"/>
      <c r="D309" s="10"/>
      <c r="E309" s="10"/>
      <c r="F309" s="10"/>
      <c r="G309" s="10"/>
    </row>
    <row r="310" ht="15.0" customHeight="1">
      <c r="A310" s="10"/>
      <c r="B310" s="10"/>
      <c r="C310" s="10"/>
      <c r="D310" s="10"/>
      <c r="E310" s="10"/>
      <c r="F310" s="10"/>
      <c r="G310" s="10"/>
    </row>
    <row r="311" ht="15.0" customHeight="1">
      <c r="A311" s="10"/>
      <c r="B311" s="10"/>
      <c r="C311" s="10"/>
      <c r="D311" s="10"/>
      <c r="E311" s="10"/>
      <c r="F311" s="10"/>
      <c r="G311" s="10"/>
    </row>
    <row r="312" ht="15.0" customHeight="1">
      <c r="A312" s="10"/>
      <c r="B312" s="10"/>
      <c r="C312" s="10"/>
      <c r="D312" s="10"/>
      <c r="E312" s="10"/>
      <c r="F312" s="10"/>
      <c r="G312" s="10"/>
    </row>
    <row r="313" ht="15.0" customHeight="1">
      <c r="A313" s="10"/>
      <c r="B313" s="10"/>
      <c r="C313" s="10"/>
      <c r="D313" s="10"/>
      <c r="E313" s="10"/>
      <c r="F313" s="10"/>
      <c r="G313" s="10"/>
    </row>
    <row r="314" ht="15.0" customHeight="1">
      <c r="A314" s="10"/>
      <c r="B314" s="10"/>
      <c r="C314" s="10"/>
      <c r="D314" s="10"/>
      <c r="E314" s="10"/>
      <c r="F314" s="10"/>
      <c r="G314" s="10"/>
    </row>
    <row r="315" ht="15.0" customHeight="1">
      <c r="A315" s="10"/>
      <c r="B315" s="10"/>
      <c r="C315" s="10"/>
      <c r="D315" s="10"/>
      <c r="E315" s="10"/>
      <c r="F315" s="10"/>
      <c r="G315" s="10"/>
    </row>
    <row r="316" ht="15.0" customHeight="1">
      <c r="A316" s="10"/>
      <c r="B316" s="10"/>
      <c r="C316" s="10"/>
      <c r="D316" s="10"/>
      <c r="E316" s="10"/>
      <c r="F316" s="10"/>
      <c r="G316" s="10"/>
    </row>
    <row r="317" ht="15.0" customHeight="1">
      <c r="A317" s="10"/>
      <c r="B317" s="10"/>
      <c r="C317" s="10"/>
      <c r="D317" s="10"/>
      <c r="E317" s="10"/>
      <c r="F317" s="10"/>
      <c r="G317" s="10"/>
    </row>
    <row r="318" ht="15.0" customHeight="1">
      <c r="A318" s="10"/>
      <c r="B318" s="10"/>
      <c r="C318" s="10"/>
      <c r="D318" s="10"/>
      <c r="E318" s="10"/>
      <c r="F318" s="10"/>
      <c r="G318" s="10"/>
    </row>
    <row r="319" ht="18.0" customHeight="1">
      <c r="A319" s="10"/>
      <c r="B319" s="77" t="s">
        <v>351</v>
      </c>
      <c r="G319" s="10"/>
    </row>
    <row r="320" ht="6.0" customHeight="1">
      <c r="A320" s="10"/>
      <c r="B320" s="10"/>
      <c r="C320" s="10"/>
      <c r="D320" s="10"/>
      <c r="E320" s="10"/>
      <c r="F320" s="10"/>
      <c r="G320" s="10"/>
    </row>
    <row r="321" ht="22.5" customHeight="1">
      <c r="A321" s="10"/>
      <c r="B321" s="51" t="s">
        <v>154</v>
      </c>
      <c r="C321" s="52" t="s">
        <v>352</v>
      </c>
      <c r="D321" s="12"/>
      <c r="E321" s="12"/>
      <c r="F321" s="13"/>
      <c r="G321" s="10"/>
    </row>
    <row r="322" ht="3.0" customHeight="1">
      <c r="A322" s="10"/>
      <c r="B322" s="10"/>
      <c r="C322" s="10"/>
      <c r="D322" s="10"/>
      <c r="E322" s="10"/>
      <c r="F322" s="10"/>
      <c r="G322" s="10"/>
    </row>
    <row r="323" ht="22.5" customHeight="1">
      <c r="A323" s="10"/>
      <c r="B323" s="51" t="s">
        <v>158</v>
      </c>
      <c r="C323" s="52" t="s">
        <v>359</v>
      </c>
      <c r="D323" s="12"/>
      <c r="E323" s="12"/>
      <c r="F323" s="13"/>
      <c r="G323" s="10"/>
    </row>
    <row r="324" ht="3.0" customHeight="1">
      <c r="A324" s="10"/>
      <c r="B324" s="10"/>
      <c r="C324" s="10"/>
      <c r="D324" s="10"/>
      <c r="E324" s="10"/>
      <c r="F324" s="10"/>
      <c r="G324" s="10"/>
    </row>
    <row r="325" ht="22.5" customHeight="1">
      <c r="A325" s="10"/>
      <c r="B325" s="51" t="s">
        <v>161</v>
      </c>
      <c r="C325" s="52" t="s">
        <v>360</v>
      </c>
      <c r="D325" s="12"/>
      <c r="E325" s="12"/>
      <c r="F325" s="13"/>
      <c r="G325" s="10"/>
    </row>
    <row r="326" ht="3.0" customHeight="1">
      <c r="A326" s="10"/>
      <c r="B326" s="10"/>
      <c r="C326" s="10"/>
      <c r="D326" s="10"/>
      <c r="E326" s="10"/>
      <c r="F326" s="10"/>
      <c r="G326" s="10"/>
    </row>
    <row r="327" ht="37.5" customHeight="1">
      <c r="A327" s="10"/>
      <c r="B327" s="51" t="s">
        <v>163</v>
      </c>
      <c r="C327" s="52" t="s">
        <v>361</v>
      </c>
      <c r="D327" s="12"/>
      <c r="E327" s="12"/>
      <c r="F327" s="13"/>
      <c r="G327" s="10"/>
    </row>
    <row r="328" ht="3.0" customHeight="1">
      <c r="A328" s="10"/>
      <c r="B328" s="10"/>
      <c r="C328" s="10"/>
      <c r="D328" s="10"/>
      <c r="E328" s="10"/>
      <c r="F328" s="10"/>
      <c r="G328" s="10"/>
    </row>
    <row r="329" ht="6.0" customHeight="1">
      <c r="A329" s="10"/>
      <c r="B329" s="10"/>
      <c r="C329" s="10"/>
      <c r="D329" s="10"/>
      <c r="E329" s="10"/>
      <c r="F329" s="10"/>
      <c r="G329" s="10"/>
    </row>
    <row r="330" ht="21.75" customHeight="1">
      <c r="A330" s="10"/>
      <c r="B330" s="16" t="s">
        <v>362</v>
      </c>
      <c r="C330" s="17"/>
      <c r="D330" s="17"/>
      <c r="E330" s="17"/>
      <c r="F330" s="17"/>
      <c r="G330" s="10"/>
    </row>
    <row r="331" ht="3.75" customHeight="1">
      <c r="A331" s="10"/>
      <c r="B331" s="10"/>
      <c r="C331" s="10"/>
      <c r="D331" s="10"/>
      <c r="E331" s="10"/>
      <c r="F331" s="10"/>
      <c r="G331" s="10"/>
    </row>
    <row r="332" ht="48.0" customHeight="1">
      <c r="A332" s="10"/>
      <c r="B332" s="34" t="s">
        <v>363</v>
      </c>
      <c r="G332" s="10"/>
    </row>
    <row r="333" ht="18.0" customHeight="1">
      <c r="A333" s="10"/>
      <c r="B333" s="34" t="s">
        <v>364</v>
      </c>
      <c r="G333" s="10"/>
    </row>
    <row r="334" ht="18.0" customHeight="1">
      <c r="A334" s="10"/>
      <c r="B334" s="34" t="s">
        <v>365</v>
      </c>
      <c r="G334" s="10"/>
    </row>
    <row r="335" ht="6.0" customHeight="1">
      <c r="A335" s="10"/>
      <c r="B335" s="10"/>
      <c r="C335" s="10"/>
      <c r="D335" s="10"/>
      <c r="E335" s="10"/>
      <c r="F335" s="10"/>
      <c r="G335" s="10"/>
    </row>
    <row r="336" ht="21.75" customHeight="1">
      <c r="A336" s="10"/>
      <c r="B336" s="16" t="s">
        <v>366</v>
      </c>
      <c r="C336" s="17"/>
      <c r="D336" s="17"/>
      <c r="E336" s="17"/>
      <c r="F336" s="17"/>
      <c r="G336" s="10"/>
    </row>
    <row r="337" ht="3.75" customHeight="1">
      <c r="A337" s="10"/>
      <c r="B337" s="10"/>
      <c r="C337" s="10"/>
      <c r="D337" s="10"/>
      <c r="E337" s="10"/>
      <c r="F337" s="10"/>
      <c r="G337" s="10"/>
    </row>
    <row r="338" ht="15.0" customHeight="1">
      <c r="A338" s="10"/>
      <c r="B338" s="10"/>
      <c r="C338" s="10"/>
      <c r="D338" s="10"/>
      <c r="E338" s="10"/>
      <c r="F338" s="10"/>
      <c r="G338" s="10"/>
    </row>
    <row r="339" ht="15.0" customHeight="1">
      <c r="A339" s="10"/>
      <c r="B339" s="10"/>
      <c r="C339" s="10"/>
      <c r="D339" s="10"/>
      <c r="E339" s="10"/>
      <c r="F339" s="10"/>
      <c r="G339" s="10"/>
    </row>
    <row r="340" ht="15.0" customHeight="1">
      <c r="A340" s="10"/>
      <c r="B340" s="10"/>
      <c r="C340" s="10"/>
      <c r="D340" s="10"/>
      <c r="E340" s="10"/>
      <c r="F340" s="10"/>
      <c r="G340" s="10"/>
    </row>
    <row r="341" ht="15.0" customHeight="1">
      <c r="A341" s="10"/>
      <c r="B341" s="10"/>
      <c r="C341" s="10"/>
      <c r="D341" s="10"/>
      <c r="E341" s="10"/>
      <c r="F341" s="10"/>
      <c r="G341" s="10"/>
    </row>
    <row r="342" ht="15.0" customHeight="1">
      <c r="A342" s="10"/>
      <c r="B342" s="10"/>
      <c r="C342" s="10"/>
      <c r="D342" s="10"/>
      <c r="E342" s="10"/>
      <c r="F342" s="10"/>
      <c r="G342" s="10"/>
    </row>
    <row r="343" ht="15.0" customHeight="1">
      <c r="A343" s="10"/>
      <c r="B343" s="10"/>
      <c r="C343" s="10"/>
      <c r="D343" s="10"/>
      <c r="E343" s="10"/>
      <c r="F343" s="10"/>
      <c r="G343" s="10"/>
    </row>
    <row r="344" ht="15.0" customHeight="1">
      <c r="A344" s="10"/>
      <c r="B344" s="10"/>
      <c r="C344" s="10"/>
      <c r="D344" s="10"/>
      <c r="E344" s="10"/>
      <c r="F344" s="10"/>
      <c r="G344" s="10"/>
    </row>
    <row r="345" ht="15.0" customHeight="1">
      <c r="A345" s="10"/>
      <c r="B345" s="10"/>
      <c r="C345" s="10"/>
      <c r="D345" s="10"/>
      <c r="E345" s="10"/>
      <c r="F345" s="10"/>
      <c r="G345" s="10"/>
    </row>
    <row r="346" ht="15.0" customHeight="1">
      <c r="A346" s="10"/>
      <c r="B346" s="10"/>
      <c r="C346" s="10"/>
      <c r="D346" s="10"/>
      <c r="E346" s="10"/>
      <c r="F346" s="10"/>
      <c r="G346" s="10"/>
    </row>
    <row r="347" ht="15.0" customHeight="1">
      <c r="A347" s="10"/>
      <c r="B347" s="10"/>
      <c r="C347" s="10"/>
      <c r="D347" s="10"/>
      <c r="E347" s="10"/>
      <c r="F347" s="10"/>
      <c r="G347" s="10"/>
    </row>
    <row r="348" ht="15.0" customHeight="1">
      <c r="A348" s="10"/>
      <c r="B348" s="10"/>
      <c r="C348" s="10"/>
      <c r="D348" s="10"/>
      <c r="E348" s="10"/>
      <c r="F348" s="10"/>
      <c r="G348" s="10"/>
    </row>
    <row r="349" ht="15.0" customHeight="1">
      <c r="A349" s="10"/>
      <c r="B349" s="10"/>
      <c r="C349" s="10"/>
      <c r="D349" s="10"/>
      <c r="E349" s="10"/>
      <c r="F349" s="10"/>
      <c r="G349" s="10"/>
    </row>
    <row r="350" ht="15.0" customHeight="1">
      <c r="A350" s="10"/>
      <c r="B350" s="10"/>
      <c r="C350" s="10"/>
      <c r="D350" s="10"/>
      <c r="E350" s="10"/>
      <c r="F350" s="10"/>
      <c r="G350" s="10"/>
    </row>
    <row r="351" ht="15.0" customHeight="1">
      <c r="A351" s="10"/>
      <c r="B351" s="10"/>
      <c r="C351" s="10"/>
      <c r="D351" s="10"/>
      <c r="E351" s="10"/>
      <c r="F351" s="10"/>
      <c r="G351" s="10"/>
    </row>
    <row r="352" ht="15.0" customHeight="1">
      <c r="A352" s="10"/>
      <c r="B352" s="10"/>
      <c r="C352" s="10"/>
      <c r="D352" s="10"/>
      <c r="E352" s="10"/>
      <c r="F352" s="10"/>
      <c r="G352" s="10"/>
    </row>
    <row r="353" ht="15.0" customHeight="1">
      <c r="A353" s="10"/>
      <c r="B353" s="10"/>
      <c r="C353" s="10"/>
      <c r="D353" s="10"/>
      <c r="E353" s="10"/>
      <c r="F353" s="10"/>
      <c r="G353" s="10"/>
    </row>
    <row r="354" ht="15.0" customHeight="1">
      <c r="A354" s="10"/>
      <c r="B354" s="10"/>
      <c r="C354" s="10"/>
      <c r="D354" s="10"/>
      <c r="E354" s="10"/>
      <c r="F354" s="10"/>
      <c r="G354" s="10"/>
    </row>
    <row r="355" ht="15.0" customHeight="1">
      <c r="A355" s="10"/>
      <c r="B355" s="10"/>
      <c r="C355" s="10"/>
      <c r="D355" s="10"/>
      <c r="E355" s="10"/>
      <c r="F355" s="10"/>
      <c r="G355" s="10"/>
    </row>
    <row r="356" ht="15.0" customHeight="1">
      <c r="A356" s="10"/>
      <c r="B356" s="10"/>
      <c r="C356" s="10"/>
      <c r="D356" s="10"/>
      <c r="E356" s="10"/>
      <c r="F356" s="10"/>
      <c r="G356" s="10"/>
    </row>
    <row r="357" ht="15.0" customHeight="1">
      <c r="A357" s="10"/>
      <c r="B357" s="10"/>
      <c r="C357" s="10"/>
      <c r="D357" s="10"/>
      <c r="E357" s="10"/>
      <c r="F357" s="10"/>
      <c r="G357" s="10"/>
    </row>
    <row r="358" ht="15.0" customHeight="1">
      <c r="A358" s="10"/>
      <c r="B358" s="10"/>
      <c r="C358" s="10"/>
      <c r="D358" s="10"/>
      <c r="E358" s="10"/>
      <c r="F358" s="10"/>
      <c r="G358" s="10"/>
    </row>
    <row r="359" ht="15.0" customHeight="1">
      <c r="A359" s="10"/>
      <c r="B359" s="10"/>
      <c r="C359" s="10"/>
      <c r="D359" s="10"/>
      <c r="E359" s="10"/>
      <c r="F359" s="10"/>
      <c r="G359" s="10"/>
    </row>
    <row r="360" ht="15.0" customHeight="1">
      <c r="A360" s="10"/>
      <c r="B360" s="10"/>
      <c r="C360" s="10"/>
      <c r="D360" s="10"/>
      <c r="E360" s="10"/>
      <c r="F360" s="10"/>
      <c r="G360" s="10"/>
    </row>
    <row r="361" ht="15.0" customHeight="1">
      <c r="A361" s="10"/>
      <c r="B361" s="10"/>
      <c r="C361" s="10"/>
      <c r="D361" s="10"/>
      <c r="E361" s="10"/>
      <c r="F361" s="10"/>
      <c r="G361" s="10"/>
    </row>
    <row r="362" ht="15.0" customHeight="1">
      <c r="A362" s="10"/>
      <c r="B362" s="10"/>
      <c r="C362" s="10"/>
      <c r="D362" s="10"/>
      <c r="E362" s="10"/>
      <c r="F362" s="10"/>
      <c r="G362" s="10"/>
    </row>
    <row r="363" ht="15.0" customHeight="1">
      <c r="A363" s="10"/>
      <c r="B363" s="10"/>
      <c r="C363" s="10"/>
      <c r="D363" s="10"/>
      <c r="E363" s="10"/>
      <c r="F363" s="10"/>
      <c r="G363" s="10"/>
    </row>
    <row r="364" ht="15.0" customHeight="1">
      <c r="A364" s="10"/>
      <c r="B364" s="10"/>
      <c r="C364" s="10"/>
      <c r="D364" s="10"/>
      <c r="E364" s="10"/>
      <c r="F364" s="10"/>
      <c r="G364" s="10"/>
    </row>
    <row r="365" ht="15.0" customHeight="1">
      <c r="A365" s="10"/>
      <c r="B365" s="10"/>
      <c r="C365" s="10"/>
      <c r="D365" s="10"/>
      <c r="E365" s="10"/>
      <c r="F365" s="10"/>
      <c r="G365" s="10"/>
    </row>
    <row r="366" ht="15.0" customHeight="1">
      <c r="A366" s="10"/>
      <c r="B366" s="10"/>
      <c r="C366" s="10"/>
      <c r="D366" s="10"/>
      <c r="E366" s="10"/>
      <c r="F366" s="10"/>
      <c r="G366" s="10"/>
    </row>
    <row r="367" ht="15.0" customHeight="1">
      <c r="A367" s="10"/>
      <c r="B367" s="10"/>
      <c r="C367" s="10"/>
      <c r="D367" s="10"/>
      <c r="E367" s="10"/>
      <c r="F367" s="10"/>
      <c r="G367" s="10"/>
    </row>
    <row r="368" ht="15.0" customHeight="1">
      <c r="A368" s="10"/>
      <c r="B368" s="10"/>
      <c r="C368" s="10"/>
      <c r="D368" s="10"/>
      <c r="E368" s="10"/>
      <c r="F368" s="10"/>
      <c r="G368" s="10"/>
    </row>
    <row r="369" ht="15.0" customHeight="1">
      <c r="A369" s="10"/>
      <c r="B369" s="10"/>
      <c r="C369" s="10"/>
      <c r="D369" s="10"/>
      <c r="E369" s="10"/>
      <c r="F369" s="10"/>
      <c r="G369" s="10"/>
    </row>
    <row r="370" ht="15.0" customHeight="1">
      <c r="A370" s="10"/>
      <c r="B370" s="10"/>
      <c r="C370" s="10"/>
      <c r="D370" s="10"/>
      <c r="E370" s="10"/>
      <c r="F370" s="10"/>
      <c r="G370" s="10"/>
    </row>
    <row r="371" ht="15.0" customHeight="1">
      <c r="A371" s="10"/>
      <c r="B371" s="10"/>
      <c r="C371" s="10"/>
      <c r="D371" s="10"/>
      <c r="E371" s="10"/>
      <c r="F371" s="10"/>
      <c r="G371" s="10"/>
    </row>
    <row r="372" ht="15.0" customHeight="1">
      <c r="A372" s="10"/>
      <c r="B372" s="10"/>
      <c r="C372" s="10"/>
      <c r="D372" s="10"/>
      <c r="E372" s="10"/>
      <c r="F372" s="10"/>
      <c r="G372" s="10"/>
    </row>
    <row r="373" ht="15.0" customHeight="1">
      <c r="A373" s="10"/>
      <c r="B373" s="10"/>
      <c r="C373" s="10"/>
      <c r="D373" s="10"/>
      <c r="E373" s="10"/>
      <c r="F373" s="10"/>
      <c r="G373" s="10"/>
    </row>
    <row r="374" ht="15.0" customHeight="1">
      <c r="A374" s="10"/>
      <c r="B374" s="10"/>
      <c r="C374" s="10"/>
      <c r="D374" s="10"/>
      <c r="E374" s="10"/>
      <c r="F374" s="10"/>
      <c r="G374" s="10"/>
    </row>
    <row r="375" ht="15.0" customHeight="1">
      <c r="A375" s="10"/>
      <c r="B375" s="10"/>
      <c r="C375" s="10"/>
      <c r="D375" s="10"/>
      <c r="E375" s="10"/>
      <c r="F375" s="10"/>
      <c r="G375" s="10"/>
    </row>
    <row r="376" ht="18.0" customHeight="1">
      <c r="A376" s="10"/>
      <c r="B376" s="77" t="s">
        <v>368</v>
      </c>
      <c r="G376" s="10"/>
    </row>
    <row r="377" ht="6.0" customHeight="1">
      <c r="A377" s="10"/>
      <c r="B377" s="10"/>
      <c r="C377" s="10"/>
      <c r="D377" s="10"/>
      <c r="E377" s="10"/>
      <c r="F377" s="10"/>
      <c r="G377" s="10"/>
    </row>
    <row r="378" ht="22.5" customHeight="1">
      <c r="A378" s="10"/>
      <c r="B378" s="51" t="s">
        <v>154</v>
      </c>
      <c r="C378" s="52" t="s">
        <v>370</v>
      </c>
      <c r="D378" s="12"/>
      <c r="E378" s="12"/>
      <c r="F378" s="13"/>
      <c r="G378" s="10"/>
    </row>
    <row r="379" ht="3.0" customHeight="1">
      <c r="A379" s="10"/>
      <c r="B379" s="10"/>
      <c r="C379" s="10"/>
      <c r="D379" s="10"/>
      <c r="E379" s="10"/>
      <c r="F379" s="10"/>
      <c r="G379" s="10"/>
    </row>
    <row r="380" ht="37.5" customHeight="1">
      <c r="A380" s="10"/>
      <c r="B380" s="51" t="s">
        <v>158</v>
      </c>
      <c r="C380" s="52" t="s">
        <v>371</v>
      </c>
      <c r="D380" s="12"/>
      <c r="E380" s="12"/>
      <c r="F380" s="13"/>
      <c r="G380" s="10"/>
    </row>
    <row r="381" ht="3.0" customHeight="1">
      <c r="A381" s="10"/>
      <c r="B381" s="10"/>
      <c r="C381" s="10"/>
      <c r="D381" s="10"/>
      <c r="E381" s="10"/>
      <c r="F381" s="10"/>
      <c r="G381" s="10"/>
    </row>
    <row r="382" ht="37.5" customHeight="1">
      <c r="A382" s="10"/>
      <c r="B382" s="51" t="s">
        <v>161</v>
      </c>
      <c r="C382" s="52" t="s">
        <v>372</v>
      </c>
      <c r="D382" s="12"/>
      <c r="E382" s="12"/>
      <c r="F382" s="13"/>
      <c r="G382" s="10"/>
    </row>
    <row r="383" ht="3.0" customHeight="1">
      <c r="A383" s="10"/>
      <c r="B383" s="10"/>
      <c r="C383" s="10"/>
      <c r="D383" s="10"/>
      <c r="E383" s="10"/>
      <c r="F383" s="10"/>
      <c r="G383" s="10"/>
    </row>
    <row r="384" ht="22.5" customHeight="1">
      <c r="A384" s="10"/>
      <c r="B384" s="51" t="s">
        <v>163</v>
      </c>
      <c r="C384" s="52" t="s">
        <v>373</v>
      </c>
      <c r="D384" s="12"/>
      <c r="E384" s="12"/>
      <c r="F384" s="13"/>
      <c r="G384" s="10"/>
    </row>
    <row r="385" ht="3.0" customHeight="1">
      <c r="A385" s="10"/>
      <c r="B385" s="10"/>
      <c r="C385" s="10"/>
      <c r="D385" s="10"/>
      <c r="E385" s="10"/>
      <c r="F385" s="10"/>
      <c r="G385" s="10"/>
    </row>
    <row r="386" ht="21.0" customHeight="1">
      <c r="A386" s="10"/>
      <c r="B386" s="35" t="s">
        <v>374</v>
      </c>
      <c r="C386" s="36" t="s">
        <v>375</v>
      </c>
      <c r="D386" s="37"/>
      <c r="E386" s="37"/>
      <c r="F386" s="81"/>
      <c r="G386" s="10"/>
    </row>
    <row r="387" ht="21.0" customHeight="1">
      <c r="A387" s="10"/>
      <c r="B387" s="40" t="s">
        <v>30</v>
      </c>
      <c r="C387" s="40" t="s">
        <v>376</v>
      </c>
      <c r="D387" s="41"/>
      <c r="E387" s="41"/>
      <c r="F387" s="84"/>
      <c r="G387" s="10"/>
    </row>
    <row r="388" ht="21.0" customHeight="1">
      <c r="A388" s="10"/>
      <c r="B388" s="44" t="s">
        <v>31</v>
      </c>
      <c r="C388" s="45" t="s">
        <v>377</v>
      </c>
      <c r="D388" s="37"/>
      <c r="E388" s="37"/>
      <c r="F388" s="81"/>
      <c r="G388" s="10"/>
    </row>
    <row r="389" ht="21.0" customHeight="1">
      <c r="A389" s="10"/>
      <c r="B389" s="40" t="s">
        <v>32</v>
      </c>
      <c r="C389" s="40" t="s">
        <v>379</v>
      </c>
      <c r="D389" s="41"/>
      <c r="E389" s="41"/>
      <c r="F389" s="84"/>
      <c r="G389" s="10"/>
    </row>
    <row r="390" ht="21.0" customHeight="1">
      <c r="A390" s="10"/>
      <c r="B390" s="44" t="s">
        <v>33</v>
      </c>
      <c r="C390" s="45" t="s">
        <v>381</v>
      </c>
      <c r="D390" s="37"/>
      <c r="E390" s="37"/>
      <c r="F390" s="81"/>
      <c r="G390" s="10"/>
    </row>
    <row r="391" ht="21.0" customHeight="1">
      <c r="A391" s="10"/>
      <c r="B391" s="40" t="s">
        <v>37</v>
      </c>
      <c r="C391" s="112" t="s">
        <v>382</v>
      </c>
      <c r="D391" s="41"/>
      <c r="E391" s="41"/>
      <c r="F391" s="84"/>
      <c r="G391" s="10"/>
    </row>
    <row r="392" ht="21.0" customHeight="1">
      <c r="A392" s="10"/>
      <c r="B392" s="90" t="s">
        <v>38</v>
      </c>
      <c r="C392" s="113" t="s">
        <v>383</v>
      </c>
      <c r="D392" s="48"/>
      <c r="E392" s="48"/>
      <c r="F392" s="88"/>
      <c r="G392" s="10"/>
    </row>
    <row r="393" ht="6.0" customHeight="1">
      <c r="A393" s="10"/>
      <c r="B393" s="10"/>
      <c r="C393" s="10"/>
      <c r="D393" s="10"/>
      <c r="E393" s="10"/>
      <c r="F393" s="10"/>
      <c r="G393" s="10"/>
    </row>
    <row r="394" ht="15.0" customHeight="1">
      <c r="A394" s="10"/>
      <c r="B394" s="10"/>
      <c r="C394" s="10"/>
      <c r="D394" s="10"/>
      <c r="E394" s="10"/>
      <c r="F394" s="10"/>
      <c r="G394" s="10"/>
    </row>
    <row r="395" ht="15.0" customHeight="1">
      <c r="A395" s="10"/>
      <c r="B395" s="10"/>
      <c r="C395" s="10"/>
      <c r="D395" s="10"/>
      <c r="E395" s="10"/>
      <c r="F395" s="10"/>
      <c r="G395" s="10"/>
    </row>
    <row r="396" ht="15.0" customHeight="1">
      <c r="A396" s="10"/>
      <c r="B396" s="10"/>
      <c r="C396" s="10"/>
      <c r="D396" s="10"/>
      <c r="E396" s="10"/>
      <c r="F396" s="10"/>
      <c r="G396" s="10"/>
    </row>
    <row r="397" ht="15.0" customHeight="1">
      <c r="A397" s="10"/>
      <c r="B397" s="10"/>
      <c r="C397" s="10"/>
      <c r="D397" s="10"/>
      <c r="E397" s="10"/>
      <c r="F397" s="10"/>
      <c r="G397" s="10"/>
    </row>
    <row r="398" ht="15.0" customHeight="1">
      <c r="A398" s="10"/>
      <c r="B398" s="10"/>
      <c r="C398" s="10"/>
      <c r="D398" s="10"/>
      <c r="E398" s="10"/>
      <c r="F398" s="10"/>
      <c r="G398" s="10"/>
    </row>
    <row r="399" ht="15.0" customHeight="1">
      <c r="A399" s="10"/>
      <c r="B399" s="10"/>
      <c r="C399" s="10"/>
      <c r="D399" s="10"/>
      <c r="E399" s="10"/>
      <c r="F399" s="10"/>
      <c r="G399" s="10"/>
    </row>
    <row r="400" ht="15.0" customHeight="1">
      <c r="A400" s="10"/>
      <c r="B400" s="10"/>
      <c r="C400" s="10"/>
      <c r="D400" s="10"/>
      <c r="E400" s="10"/>
      <c r="F400" s="10"/>
      <c r="G400" s="10"/>
    </row>
    <row r="401" ht="15.0" customHeight="1">
      <c r="A401" s="10"/>
      <c r="B401" s="10"/>
      <c r="C401" s="10"/>
      <c r="D401" s="10"/>
      <c r="E401" s="10"/>
      <c r="F401" s="10"/>
      <c r="G401" s="10"/>
    </row>
    <row r="402" ht="15.0" customHeight="1">
      <c r="A402" s="10"/>
      <c r="B402" s="10"/>
      <c r="C402" s="10"/>
      <c r="D402" s="10"/>
      <c r="E402" s="10"/>
      <c r="F402" s="10"/>
      <c r="G402" s="10"/>
    </row>
    <row r="403" ht="15.0" customHeight="1">
      <c r="A403" s="10"/>
      <c r="B403" s="10"/>
      <c r="C403" s="10"/>
      <c r="D403" s="10"/>
      <c r="E403" s="10"/>
      <c r="F403" s="10"/>
      <c r="G403" s="10"/>
    </row>
    <row r="404" ht="15.0" customHeight="1">
      <c r="A404" s="10"/>
      <c r="B404" s="10"/>
      <c r="C404" s="10"/>
      <c r="D404" s="10"/>
      <c r="E404" s="10"/>
      <c r="F404" s="10"/>
      <c r="G404" s="10"/>
    </row>
    <row r="405" ht="15.0" customHeight="1">
      <c r="A405" s="10"/>
      <c r="B405" s="10"/>
      <c r="C405" s="10"/>
      <c r="D405" s="10"/>
      <c r="E405" s="10"/>
      <c r="F405" s="10"/>
      <c r="G405" s="10"/>
    </row>
    <row r="406" ht="15.0" customHeight="1">
      <c r="A406" s="10"/>
      <c r="B406" s="10"/>
      <c r="C406" s="10"/>
      <c r="D406" s="10"/>
      <c r="E406" s="10"/>
      <c r="F406" s="10"/>
      <c r="G406" s="10"/>
    </row>
    <row r="407" ht="15.0" customHeight="1">
      <c r="A407" s="10"/>
      <c r="B407" s="10"/>
      <c r="C407" s="10"/>
      <c r="D407" s="10"/>
      <c r="E407" s="10"/>
      <c r="F407" s="10"/>
      <c r="G407" s="10"/>
    </row>
    <row r="408" ht="15.0" customHeight="1">
      <c r="A408" s="10"/>
      <c r="B408" s="10"/>
      <c r="C408" s="10"/>
      <c r="D408" s="10"/>
      <c r="E408" s="10"/>
      <c r="F408" s="10"/>
      <c r="G408" s="10"/>
    </row>
    <row r="409" ht="15.0" customHeight="1">
      <c r="A409" s="10"/>
      <c r="B409" s="10"/>
      <c r="C409" s="10"/>
      <c r="D409" s="10"/>
      <c r="E409" s="10"/>
      <c r="F409" s="10"/>
      <c r="G409" s="10"/>
    </row>
    <row r="410" ht="15.0" customHeight="1">
      <c r="A410" s="10"/>
      <c r="B410" s="10"/>
      <c r="C410" s="10"/>
      <c r="D410" s="10"/>
      <c r="E410" s="10"/>
      <c r="F410" s="10"/>
      <c r="G410" s="10"/>
    </row>
    <row r="411" ht="15.0" customHeight="1">
      <c r="A411" s="10"/>
      <c r="B411" s="10"/>
      <c r="C411" s="10"/>
      <c r="D411" s="10"/>
      <c r="E411" s="10"/>
      <c r="F411" s="10"/>
      <c r="G411" s="10"/>
    </row>
    <row r="412" ht="15.0" customHeight="1">
      <c r="A412" s="10"/>
      <c r="B412" s="10"/>
      <c r="C412" s="10"/>
      <c r="D412" s="10"/>
      <c r="E412" s="10"/>
      <c r="F412" s="10"/>
      <c r="G412" s="10"/>
    </row>
    <row r="413" ht="15.0" customHeight="1">
      <c r="A413" s="10"/>
      <c r="B413" s="10"/>
      <c r="C413" s="10"/>
      <c r="D413" s="10"/>
      <c r="E413" s="10"/>
      <c r="F413" s="10"/>
      <c r="G413" s="10"/>
    </row>
    <row r="414" ht="15.0" customHeight="1">
      <c r="A414" s="10"/>
      <c r="B414" s="10"/>
      <c r="C414" s="10"/>
      <c r="D414" s="10"/>
      <c r="E414" s="10"/>
      <c r="F414" s="10"/>
      <c r="G414" s="10"/>
    </row>
    <row r="415" ht="15.0" customHeight="1">
      <c r="A415" s="10"/>
      <c r="B415" s="10"/>
      <c r="C415" s="10"/>
      <c r="D415" s="10"/>
      <c r="E415" s="10"/>
      <c r="F415" s="10"/>
      <c r="G415" s="10"/>
    </row>
    <row r="416" ht="15.0" customHeight="1">
      <c r="A416" s="10"/>
      <c r="B416" s="10"/>
      <c r="C416" s="10"/>
      <c r="D416" s="10"/>
      <c r="E416" s="10"/>
      <c r="F416" s="10"/>
      <c r="G416" s="10"/>
    </row>
    <row r="417" ht="15.0" customHeight="1">
      <c r="A417" s="10"/>
      <c r="B417" s="10"/>
      <c r="C417" s="10"/>
      <c r="D417" s="10"/>
      <c r="E417" s="10"/>
      <c r="F417" s="10"/>
      <c r="G417" s="10"/>
    </row>
    <row r="418" ht="15.0" customHeight="1">
      <c r="A418" s="10"/>
      <c r="B418" s="10"/>
      <c r="C418" s="10"/>
      <c r="D418" s="10"/>
      <c r="E418" s="10"/>
      <c r="F418" s="10"/>
      <c r="G418" s="10"/>
    </row>
    <row r="419" ht="15.0" customHeight="1">
      <c r="A419" s="10"/>
      <c r="B419" s="10"/>
      <c r="C419" s="10"/>
      <c r="D419" s="10"/>
      <c r="E419" s="10"/>
      <c r="F419" s="10"/>
      <c r="G419" s="10"/>
    </row>
    <row r="420" ht="15.0" customHeight="1">
      <c r="A420" s="10"/>
      <c r="B420" s="10"/>
      <c r="C420" s="10"/>
      <c r="D420" s="10"/>
      <c r="E420" s="10"/>
      <c r="F420" s="10"/>
      <c r="G420" s="10"/>
    </row>
    <row r="421" ht="15.0" customHeight="1">
      <c r="A421" s="10"/>
      <c r="B421" s="10"/>
      <c r="C421" s="10"/>
      <c r="D421" s="10"/>
      <c r="E421" s="10"/>
      <c r="F421" s="10"/>
      <c r="G421" s="10"/>
    </row>
    <row r="422" ht="15.0" customHeight="1">
      <c r="A422" s="10"/>
      <c r="B422" s="10"/>
      <c r="C422" s="10"/>
      <c r="D422" s="10"/>
      <c r="E422" s="10"/>
      <c r="F422" s="10"/>
      <c r="G422" s="10"/>
    </row>
    <row r="423" ht="15.0" customHeight="1">
      <c r="A423" s="10"/>
      <c r="B423" s="10"/>
      <c r="C423" s="10"/>
      <c r="D423" s="10"/>
      <c r="E423" s="10"/>
      <c r="F423" s="10"/>
      <c r="G423" s="10"/>
    </row>
    <row r="424" ht="15.0" customHeight="1">
      <c r="A424" s="10"/>
      <c r="B424" s="10"/>
      <c r="C424" s="10"/>
      <c r="D424" s="10"/>
      <c r="E424" s="10"/>
      <c r="F424" s="10"/>
      <c r="G424" s="10"/>
    </row>
    <row r="425" ht="15.0" customHeight="1">
      <c r="A425" s="10"/>
      <c r="B425" s="10"/>
      <c r="C425" s="10"/>
      <c r="D425" s="10"/>
      <c r="E425" s="10"/>
      <c r="F425" s="10"/>
      <c r="G425" s="10"/>
    </row>
    <row r="426" ht="15.0" customHeight="1">
      <c r="A426" s="10"/>
      <c r="B426" s="10"/>
      <c r="C426" s="10"/>
      <c r="D426" s="10"/>
      <c r="E426" s="10"/>
      <c r="F426" s="10"/>
      <c r="G426" s="10"/>
    </row>
    <row r="427" ht="15.0" customHeight="1">
      <c r="A427" s="10"/>
      <c r="B427" s="10"/>
      <c r="C427" s="10"/>
      <c r="D427" s="10"/>
      <c r="E427" s="10"/>
      <c r="F427" s="10"/>
      <c r="G427" s="10"/>
    </row>
    <row r="428" ht="15.0" customHeight="1">
      <c r="A428" s="10"/>
      <c r="B428" s="10"/>
      <c r="C428" s="10"/>
      <c r="D428" s="10"/>
      <c r="E428" s="10"/>
      <c r="F428" s="10"/>
      <c r="G428" s="10"/>
    </row>
    <row r="429" ht="18.0" customHeight="1">
      <c r="A429" s="10"/>
      <c r="B429" s="77" t="s">
        <v>387</v>
      </c>
      <c r="G429" s="10"/>
    </row>
    <row r="430" ht="6.0" customHeight="1">
      <c r="A430" s="10"/>
      <c r="B430" s="10"/>
      <c r="C430" s="10"/>
      <c r="D430" s="10"/>
      <c r="E430" s="10"/>
      <c r="F430" s="10"/>
      <c r="G430" s="10"/>
    </row>
    <row r="431" ht="9.75" customHeight="1">
      <c r="A431" s="10"/>
      <c r="B431" s="10"/>
      <c r="C431" s="10"/>
      <c r="D431" s="10"/>
      <c r="E431" s="10"/>
      <c r="F431" s="10"/>
      <c r="G431" s="10"/>
    </row>
    <row r="432" ht="27.75" customHeight="1">
      <c r="A432" s="10"/>
      <c r="B432" s="32" t="s">
        <v>121</v>
      </c>
      <c r="C432" s="12"/>
      <c r="D432" s="12"/>
      <c r="E432" s="12"/>
      <c r="F432" s="13"/>
      <c r="G432" s="10"/>
    </row>
    <row r="433" ht="6.0" customHeight="1">
      <c r="A433" s="10"/>
      <c r="B433" s="10"/>
      <c r="C433" s="10"/>
      <c r="D433" s="10"/>
      <c r="E433" s="10"/>
      <c r="F433" s="10"/>
      <c r="G433" s="10"/>
    </row>
    <row r="434" ht="33.75" customHeight="1">
      <c r="A434" s="10"/>
      <c r="B434" s="34" t="s">
        <v>391</v>
      </c>
      <c r="G434" s="10"/>
    </row>
    <row r="435" ht="15.0" customHeight="1">
      <c r="A435" s="10"/>
      <c r="B435" s="10"/>
      <c r="C435" s="10"/>
      <c r="D435" s="10"/>
      <c r="E435" s="10"/>
      <c r="F435" s="10"/>
      <c r="G435" s="10"/>
    </row>
    <row r="436" ht="15.0" customHeight="1">
      <c r="A436" s="10"/>
      <c r="B436" s="10"/>
      <c r="C436" s="10"/>
      <c r="D436" s="10"/>
      <c r="E436" s="10"/>
      <c r="F436" s="10"/>
      <c r="G436" s="10"/>
    </row>
    <row r="437" ht="15.0" customHeight="1">
      <c r="A437" s="10"/>
      <c r="B437" s="10"/>
      <c r="C437" s="10"/>
      <c r="D437" s="10"/>
      <c r="E437" s="10"/>
      <c r="F437" s="10"/>
      <c r="G437" s="10"/>
    </row>
    <row r="438" ht="15.0" customHeight="1">
      <c r="A438" s="10"/>
      <c r="B438" s="10"/>
      <c r="C438" s="10"/>
      <c r="D438" s="10"/>
      <c r="E438" s="10"/>
      <c r="F438" s="10"/>
      <c r="G438" s="10"/>
    </row>
    <row r="439" ht="15.0" customHeight="1">
      <c r="A439" s="10"/>
      <c r="B439" s="10"/>
      <c r="C439" s="10"/>
      <c r="D439" s="10"/>
      <c r="E439" s="10"/>
      <c r="F439" s="10"/>
      <c r="G439" s="10"/>
    </row>
    <row r="440" ht="15.0" customHeight="1">
      <c r="A440" s="10"/>
      <c r="B440" s="10"/>
      <c r="C440" s="10"/>
      <c r="D440" s="10"/>
      <c r="E440" s="10"/>
      <c r="F440" s="10"/>
      <c r="G440" s="10"/>
    </row>
    <row r="441" ht="15.0" customHeight="1">
      <c r="A441" s="10"/>
      <c r="B441" s="10"/>
      <c r="C441" s="10"/>
      <c r="D441" s="10"/>
      <c r="E441" s="10"/>
      <c r="F441" s="10"/>
      <c r="G441" s="10"/>
    </row>
    <row r="442" ht="15.0" customHeight="1">
      <c r="A442" s="10"/>
      <c r="B442" s="10"/>
      <c r="C442" s="10"/>
      <c r="D442" s="10"/>
      <c r="E442" s="10"/>
      <c r="F442" s="10"/>
      <c r="G442" s="10"/>
    </row>
    <row r="443" ht="18.0" customHeight="1">
      <c r="A443" s="10"/>
      <c r="B443" s="77" t="s">
        <v>393</v>
      </c>
      <c r="G443" s="10"/>
    </row>
    <row r="444" ht="6.0" customHeight="1">
      <c r="A444" s="10"/>
      <c r="B444" s="10"/>
      <c r="C444" s="10"/>
      <c r="D444" s="10"/>
      <c r="E444" s="10"/>
      <c r="F444" s="10"/>
      <c r="G444" s="10"/>
    </row>
    <row r="445" ht="21.0" customHeight="1">
      <c r="A445" s="10"/>
      <c r="B445" s="35" t="s">
        <v>395</v>
      </c>
      <c r="C445" s="36" t="s">
        <v>396</v>
      </c>
      <c r="D445" s="37"/>
      <c r="E445" s="38"/>
      <c r="F445" s="39" t="s">
        <v>402</v>
      </c>
      <c r="G445" s="10"/>
    </row>
    <row r="446" ht="36.0" customHeight="1">
      <c r="A446" s="10"/>
      <c r="B446" s="40" t="s">
        <v>39</v>
      </c>
      <c r="C446" s="40" t="s">
        <v>403</v>
      </c>
      <c r="D446" s="41"/>
      <c r="E446" s="41"/>
      <c r="F446" s="43" t="s">
        <v>17</v>
      </c>
      <c r="G446" s="10"/>
    </row>
    <row r="447" ht="21.0" customHeight="1">
      <c r="A447" s="10"/>
      <c r="B447" s="44" t="s">
        <v>40</v>
      </c>
      <c r="C447" s="45" t="s">
        <v>404</v>
      </c>
      <c r="D447" s="37"/>
      <c r="E447" s="38"/>
      <c r="F447" s="46" t="s">
        <v>19</v>
      </c>
      <c r="G447" s="10"/>
    </row>
    <row r="448" ht="21.0" customHeight="1">
      <c r="A448" s="10"/>
      <c r="B448" s="40" t="s">
        <v>41</v>
      </c>
      <c r="C448" s="40" t="s">
        <v>405</v>
      </c>
      <c r="D448" s="41"/>
      <c r="E448" s="41"/>
      <c r="F448" s="43" t="s">
        <v>19</v>
      </c>
      <c r="G448" s="10"/>
    </row>
    <row r="449" ht="21.0" customHeight="1">
      <c r="A449" s="10"/>
      <c r="B449" s="44" t="s">
        <v>42</v>
      </c>
      <c r="C449" s="45" t="s">
        <v>406</v>
      </c>
      <c r="D449" s="37"/>
      <c r="E449" s="38"/>
      <c r="F449" s="46" t="s">
        <v>407</v>
      </c>
      <c r="G449" s="10"/>
    </row>
    <row r="450" ht="21.0" customHeight="1">
      <c r="A450" s="10"/>
      <c r="B450" s="40" t="s">
        <v>43</v>
      </c>
      <c r="C450" s="40" t="s">
        <v>408</v>
      </c>
      <c r="D450" s="41"/>
      <c r="E450" s="41"/>
      <c r="F450" s="43" t="s">
        <v>409</v>
      </c>
      <c r="G450" s="10"/>
    </row>
    <row r="451" ht="21.0" customHeight="1">
      <c r="A451" s="10"/>
      <c r="B451" s="44" t="s">
        <v>44</v>
      </c>
      <c r="C451" s="45" t="s">
        <v>410</v>
      </c>
      <c r="D451" s="37"/>
      <c r="E451" s="38"/>
      <c r="F451" s="46" t="s">
        <v>23</v>
      </c>
      <c r="G451" s="10"/>
    </row>
    <row r="452" ht="21.0" customHeight="1">
      <c r="A452" s="10"/>
      <c r="B452" s="40" t="s">
        <v>45</v>
      </c>
      <c r="C452" s="40" t="s">
        <v>411</v>
      </c>
      <c r="D452" s="41"/>
      <c r="E452" s="41"/>
      <c r="F452" s="43" t="s">
        <v>258</v>
      </c>
      <c r="G452" s="10"/>
    </row>
    <row r="453" ht="21.0" customHeight="1">
      <c r="A453" s="10"/>
      <c r="B453" s="44" t="s">
        <v>46</v>
      </c>
      <c r="C453" s="45" t="s">
        <v>412</v>
      </c>
      <c r="D453" s="37"/>
      <c r="E453" s="38"/>
      <c r="F453" s="46" t="s">
        <v>28</v>
      </c>
      <c r="G453" s="10"/>
    </row>
    <row r="454" ht="21.0" customHeight="1">
      <c r="A454" s="10"/>
      <c r="B454" s="47" t="s">
        <v>47</v>
      </c>
      <c r="C454" s="47" t="s">
        <v>413</v>
      </c>
      <c r="D454" s="48"/>
      <c r="E454" s="48"/>
      <c r="F454" s="49" t="s">
        <v>414</v>
      </c>
      <c r="G454" s="10"/>
    </row>
    <row r="455" ht="6.0" customHeight="1">
      <c r="A455" s="10"/>
      <c r="B455" s="10"/>
      <c r="C455" s="10"/>
      <c r="D455" s="10"/>
      <c r="E455" s="10"/>
      <c r="F455" s="10"/>
      <c r="G455" s="10"/>
    </row>
    <row r="456" ht="39.75" customHeight="1">
      <c r="A456" s="10"/>
      <c r="B456" s="62" t="s">
        <v>415</v>
      </c>
      <c r="C456" s="12"/>
      <c r="D456" s="12"/>
      <c r="E456" s="12"/>
      <c r="F456" s="13"/>
      <c r="G456" s="10"/>
    </row>
    <row r="457" ht="3.75" customHeight="1">
      <c r="A457" s="10"/>
      <c r="B457" s="10"/>
      <c r="C457" s="10"/>
      <c r="D457" s="10"/>
      <c r="E457" s="10"/>
      <c r="F457" s="10"/>
      <c r="G457" s="10"/>
    </row>
    <row r="458" ht="9.75" customHeight="1">
      <c r="A458" s="10"/>
      <c r="B458" s="10"/>
      <c r="C458" s="10"/>
      <c r="D458" s="10"/>
      <c r="E458" s="10"/>
      <c r="F458" s="10"/>
      <c r="G458" s="10"/>
    </row>
    <row r="459" ht="27.75" customHeight="1">
      <c r="A459" s="10"/>
      <c r="B459" s="32" t="s">
        <v>123</v>
      </c>
      <c r="C459" s="12"/>
      <c r="D459" s="12"/>
      <c r="E459" s="12"/>
      <c r="F459" s="13"/>
      <c r="G459" s="10"/>
    </row>
    <row r="460" ht="6.0" customHeight="1">
      <c r="A460" s="10"/>
      <c r="B460" s="10"/>
      <c r="C460" s="10"/>
      <c r="D460" s="10"/>
      <c r="E460" s="10"/>
      <c r="F460" s="10"/>
      <c r="G460" s="10"/>
    </row>
    <row r="461" ht="15.0" customHeight="1">
      <c r="A461" s="10"/>
      <c r="B461" s="10"/>
      <c r="C461" s="10"/>
      <c r="D461" s="10"/>
      <c r="E461" s="10"/>
      <c r="F461" s="10"/>
      <c r="G461" s="10"/>
    </row>
    <row r="462" ht="15.0" customHeight="1">
      <c r="A462" s="10"/>
      <c r="B462" s="10"/>
      <c r="C462" s="10"/>
      <c r="D462" s="10"/>
      <c r="E462" s="10"/>
      <c r="F462" s="10"/>
      <c r="G462" s="10"/>
    </row>
    <row r="463" ht="15.0" customHeight="1">
      <c r="A463" s="10"/>
      <c r="B463" s="10"/>
      <c r="C463" s="10"/>
      <c r="D463" s="10"/>
      <c r="E463" s="10"/>
      <c r="F463" s="10"/>
      <c r="G463" s="10"/>
    </row>
    <row r="464" ht="15.0" customHeight="1">
      <c r="A464" s="10"/>
      <c r="B464" s="10"/>
      <c r="C464" s="10"/>
      <c r="D464" s="10"/>
      <c r="E464" s="10"/>
      <c r="F464" s="10"/>
      <c r="G464" s="10"/>
    </row>
    <row r="465" ht="15.0" customHeight="1">
      <c r="A465" s="10"/>
      <c r="B465" s="10"/>
      <c r="C465" s="10"/>
      <c r="D465" s="10"/>
      <c r="E465" s="10"/>
      <c r="F465" s="10"/>
      <c r="G465" s="10"/>
    </row>
    <row r="466" ht="15.0" customHeight="1">
      <c r="A466" s="10"/>
      <c r="B466" s="10"/>
      <c r="C466" s="10"/>
      <c r="D466" s="10"/>
      <c r="E466" s="10"/>
      <c r="F466" s="10"/>
      <c r="G466" s="10"/>
    </row>
    <row r="467" ht="15.0" customHeight="1">
      <c r="A467" s="10"/>
      <c r="B467" s="10"/>
      <c r="C467" s="10"/>
      <c r="D467" s="10"/>
      <c r="E467" s="10"/>
      <c r="F467" s="10"/>
      <c r="G467" s="10"/>
    </row>
    <row r="468" ht="15.0" customHeight="1">
      <c r="A468" s="10"/>
      <c r="B468" s="10"/>
      <c r="C468" s="10"/>
      <c r="D468" s="10"/>
      <c r="E468" s="10"/>
      <c r="F468" s="10"/>
      <c r="G468" s="10"/>
    </row>
    <row r="469" ht="15.0" customHeight="1">
      <c r="A469" s="10"/>
      <c r="B469" s="10"/>
      <c r="C469" s="10"/>
      <c r="D469" s="10"/>
      <c r="E469" s="10"/>
      <c r="F469" s="10"/>
      <c r="G469" s="10"/>
    </row>
    <row r="470" ht="15.0" customHeight="1">
      <c r="A470" s="10"/>
      <c r="B470" s="10"/>
      <c r="C470" s="10"/>
      <c r="D470" s="10"/>
      <c r="E470" s="10"/>
      <c r="F470" s="10"/>
      <c r="G470" s="10"/>
    </row>
    <row r="471" ht="15.0" customHeight="1">
      <c r="A471" s="10"/>
      <c r="B471" s="10"/>
      <c r="C471" s="10"/>
      <c r="D471" s="10"/>
      <c r="E471" s="10"/>
      <c r="F471" s="10"/>
      <c r="G471" s="10"/>
    </row>
    <row r="472" ht="15.0" customHeight="1">
      <c r="A472" s="10"/>
      <c r="B472" s="10"/>
      <c r="C472" s="10"/>
      <c r="D472" s="10"/>
      <c r="E472" s="10"/>
      <c r="F472" s="10"/>
      <c r="G472" s="10"/>
    </row>
    <row r="473" ht="15.0" customHeight="1">
      <c r="A473" s="10"/>
      <c r="B473" s="10"/>
      <c r="C473" s="10"/>
      <c r="D473" s="10"/>
      <c r="E473" s="10"/>
      <c r="F473" s="10"/>
      <c r="G473" s="10"/>
    </row>
    <row r="474" ht="15.0" customHeight="1">
      <c r="A474" s="10"/>
      <c r="B474" s="10"/>
      <c r="C474" s="10"/>
      <c r="D474" s="10"/>
      <c r="E474" s="10"/>
      <c r="F474" s="10"/>
      <c r="G474" s="10"/>
    </row>
    <row r="475" ht="15.0" customHeight="1">
      <c r="A475" s="10"/>
      <c r="B475" s="10"/>
      <c r="C475" s="10"/>
      <c r="D475" s="10"/>
      <c r="E475" s="10"/>
      <c r="F475" s="10"/>
      <c r="G475" s="10"/>
    </row>
    <row r="476" ht="15.0" customHeight="1">
      <c r="A476" s="10"/>
      <c r="B476" s="10"/>
      <c r="C476" s="10"/>
      <c r="D476" s="10"/>
      <c r="E476" s="10"/>
      <c r="F476" s="10"/>
      <c r="G476" s="10"/>
    </row>
    <row r="477" ht="18.0" customHeight="1">
      <c r="A477" s="10"/>
      <c r="B477" s="77" t="s">
        <v>416</v>
      </c>
      <c r="G477" s="10"/>
    </row>
    <row r="478" ht="6.0" customHeight="1">
      <c r="A478" s="10"/>
      <c r="B478" s="10"/>
      <c r="C478" s="10"/>
      <c r="D478" s="10"/>
      <c r="E478" s="10"/>
      <c r="F478" s="10"/>
      <c r="G478" s="10"/>
    </row>
    <row r="479" ht="33.0" customHeight="1">
      <c r="A479" s="10"/>
      <c r="B479" s="34" t="s">
        <v>417</v>
      </c>
      <c r="G479" s="10"/>
    </row>
    <row r="480" ht="18.0" customHeight="1">
      <c r="A480" s="10"/>
      <c r="B480" s="34" t="s">
        <v>418</v>
      </c>
      <c r="G480" s="10"/>
    </row>
    <row r="481" ht="18.0" customHeight="1">
      <c r="A481" s="10"/>
      <c r="B481" s="34" t="s">
        <v>419</v>
      </c>
      <c r="G481" s="10"/>
    </row>
    <row r="482" ht="18.0" customHeight="1">
      <c r="A482" s="10"/>
      <c r="B482" s="34" t="s">
        <v>420</v>
      </c>
      <c r="G482" s="10"/>
    </row>
    <row r="483" ht="24.75" customHeight="1">
      <c r="A483" s="10"/>
      <c r="B483" s="89" t="s">
        <v>421</v>
      </c>
      <c r="C483" s="12"/>
      <c r="D483" s="12"/>
      <c r="E483" s="12"/>
      <c r="F483" s="13"/>
      <c r="G483" s="10"/>
    </row>
    <row r="484" ht="3.75" customHeight="1">
      <c r="A484" s="10"/>
      <c r="B484" s="10"/>
      <c r="C484" s="10"/>
      <c r="D484" s="10"/>
      <c r="E484" s="10"/>
      <c r="F484" s="10"/>
      <c r="G484" s="10"/>
    </row>
    <row r="485" ht="9.75" customHeight="1">
      <c r="A485" s="10"/>
      <c r="B485" s="10"/>
      <c r="C485" s="10"/>
      <c r="D485" s="10"/>
      <c r="E485" s="10"/>
      <c r="F485" s="10"/>
      <c r="G485" s="10"/>
    </row>
    <row r="486" ht="27.75" customHeight="1">
      <c r="A486" s="10"/>
      <c r="B486" s="32" t="s">
        <v>124</v>
      </c>
      <c r="C486" s="12"/>
      <c r="D486" s="12"/>
      <c r="E486" s="12"/>
      <c r="F486" s="13"/>
      <c r="G486" s="10"/>
    </row>
    <row r="487" ht="6.0" customHeight="1">
      <c r="A487" s="10"/>
      <c r="B487" s="10"/>
      <c r="C487" s="10"/>
      <c r="D487" s="10"/>
      <c r="E487" s="10"/>
      <c r="F487" s="10"/>
      <c r="G487" s="10"/>
    </row>
    <row r="488" ht="15.0" customHeight="1">
      <c r="A488" s="10"/>
      <c r="B488" s="10"/>
      <c r="C488" s="10"/>
      <c r="D488" s="10"/>
      <c r="E488" s="10"/>
      <c r="F488" s="10"/>
      <c r="G488" s="10"/>
    </row>
    <row r="489" ht="15.0" customHeight="1">
      <c r="A489" s="10"/>
      <c r="B489" s="10"/>
      <c r="C489" s="10"/>
      <c r="D489" s="10"/>
      <c r="E489" s="10"/>
      <c r="F489" s="10"/>
      <c r="G489" s="10"/>
    </row>
    <row r="490" ht="15.0" customHeight="1">
      <c r="A490" s="10"/>
      <c r="B490" s="10"/>
      <c r="C490" s="10"/>
      <c r="D490" s="10"/>
      <c r="E490" s="10"/>
      <c r="F490" s="10"/>
      <c r="G490" s="10"/>
    </row>
    <row r="491" ht="15.0" customHeight="1">
      <c r="A491" s="10"/>
      <c r="B491" s="10"/>
      <c r="C491" s="10"/>
      <c r="D491" s="10"/>
      <c r="E491" s="10"/>
      <c r="F491" s="10"/>
      <c r="G491" s="10"/>
    </row>
    <row r="492" ht="15.0" customHeight="1">
      <c r="A492" s="10"/>
      <c r="B492" s="10"/>
      <c r="C492" s="10"/>
      <c r="D492" s="10"/>
      <c r="E492" s="10"/>
      <c r="F492" s="10"/>
      <c r="G492" s="10"/>
    </row>
    <row r="493" ht="15.0" customHeight="1">
      <c r="A493" s="10"/>
      <c r="B493" s="10"/>
      <c r="C493" s="10"/>
      <c r="D493" s="10"/>
      <c r="E493" s="10"/>
      <c r="F493" s="10"/>
      <c r="G493" s="10"/>
    </row>
    <row r="494" ht="15.0" customHeight="1">
      <c r="A494" s="10"/>
      <c r="B494" s="10"/>
      <c r="C494" s="10"/>
      <c r="D494" s="10"/>
      <c r="E494" s="10"/>
      <c r="F494" s="10"/>
      <c r="G494" s="10"/>
    </row>
    <row r="495" ht="15.0" customHeight="1">
      <c r="A495" s="10"/>
      <c r="B495" s="10"/>
      <c r="C495" s="10"/>
      <c r="D495" s="10"/>
      <c r="E495" s="10"/>
      <c r="F495" s="10"/>
      <c r="G495" s="10"/>
    </row>
    <row r="496" ht="15.0" customHeight="1">
      <c r="A496" s="10"/>
      <c r="B496" s="10"/>
      <c r="C496" s="10"/>
      <c r="D496" s="10"/>
      <c r="E496" s="10"/>
      <c r="F496" s="10"/>
      <c r="G496" s="10"/>
    </row>
    <row r="497" ht="15.0" customHeight="1">
      <c r="A497" s="10"/>
      <c r="B497" s="10"/>
      <c r="C497" s="10"/>
      <c r="D497" s="10"/>
      <c r="E497" s="10"/>
      <c r="F497" s="10"/>
      <c r="G497" s="10"/>
    </row>
    <row r="498" ht="15.0" customHeight="1">
      <c r="A498" s="10"/>
      <c r="B498" s="10"/>
      <c r="C498" s="10"/>
      <c r="D498" s="10"/>
      <c r="E498" s="10"/>
      <c r="F498" s="10"/>
      <c r="G498" s="10"/>
    </row>
    <row r="499" ht="15.0" customHeight="1">
      <c r="A499" s="10"/>
      <c r="B499" s="10"/>
      <c r="C499" s="10"/>
      <c r="D499" s="10"/>
      <c r="E499" s="10"/>
      <c r="F499" s="10"/>
      <c r="G499" s="10"/>
    </row>
    <row r="500" ht="15.0" customHeight="1">
      <c r="A500" s="10"/>
      <c r="B500" s="10"/>
      <c r="C500" s="10"/>
      <c r="D500" s="10"/>
      <c r="E500" s="10"/>
      <c r="F500" s="10"/>
      <c r="G500" s="10"/>
    </row>
    <row r="501" ht="15.0" customHeight="1">
      <c r="A501" s="10"/>
      <c r="B501" s="10"/>
      <c r="C501" s="10"/>
      <c r="D501" s="10"/>
      <c r="E501" s="10"/>
      <c r="F501" s="10"/>
      <c r="G501" s="10"/>
    </row>
    <row r="502" ht="15.0" customHeight="1">
      <c r="A502" s="10"/>
      <c r="B502" s="10"/>
      <c r="C502" s="10"/>
      <c r="D502" s="10"/>
      <c r="E502" s="10"/>
      <c r="F502" s="10"/>
      <c r="G502" s="10"/>
    </row>
    <row r="503" ht="18.0" customHeight="1">
      <c r="A503" s="10"/>
      <c r="B503" s="77" t="s">
        <v>423</v>
      </c>
      <c r="G503" s="10"/>
    </row>
    <row r="504" ht="6.0" customHeight="1">
      <c r="A504" s="10"/>
      <c r="B504" s="10"/>
      <c r="C504" s="10"/>
      <c r="D504" s="10"/>
      <c r="E504" s="10"/>
      <c r="F504" s="10"/>
      <c r="G504" s="10"/>
    </row>
    <row r="505" ht="63.75" customHeight="1">
      <c r="A505" s="10"/>
      <c r="B505" s="34" t="s">
        <v>424</v>
      </c>
      <c r="G505" s="10"/>
    </row>
    <row r="506" ht="9.75" customHeight="1">
      <c r="A506" s="10"/>
      <c r="B506" s="10"/>
      <c r="C506" s="10"/>
      <c r="D506" s="10"/>
      <c r="E506" s="10"/>
      <c r="F506" s="10"/>
      <c r="G506" s="10"/>
    </row>
    <row r="507" ht="27.75" customHeight="1">
      <c r="A507" s="10"/>
      <c r="B507" s="32" t="s">
        <v>126</v>
      </c>
      <c r="C507" s="12"/>
      <c r="D507" s="12"/>
      <c r="E507" s="12"/>
      <c r="F507" s="13"/>
      <c r="G507" s="10"/>
    </row>
    <row r="508" ht="6.0" customHeight="1">
      <c r="A508" s="10"/>
      <c r="B508" s="10"/>
      <c r="C508" s="10"/>
      <c r="D508" s="10"/>
      <c r="E508" s="10"/>
      <c r="F508" s="10"/>
      <c r="G508" s="10"/>
    </row>
    <row r="509" ht="15.0" customHeight="1">
      <c r="A509" s="10"/>
      <c r="B509" s="10"/>
      <c r="C509" s="10"/>
      <c r="D509" s="10"/>
      <c r="E509" s="10"/>
      <c r="F509" s="10"/>
      <c r="G509" s="10"/>
    </row>
    <row r="510" ht="15.0" customHeight="1">
      <c r="A510" s="10"/>
      <c r="B510" s="10"/>
      <c r="C510" s="10"/>
      <c r="D510" s="10"/>
      <c r="E510" s="10"/>
      <c r="F510" s="10"/>
      <c r="G510" s="10"/>
    </row>
    <row r="511" ht="15.0" customHeight="1">
      <c r="A511" s="10"/>
      <c r="B511" s="10"/>
      <c r="C511" s="10"/>
      <c r="D511" s="10"/>
      <c r="E511" s="10"/>
      <c r="F511" s="10"/>
      <c r="G511" s="10"/>
    </row>
    <row r="512" ht="15.0" customHeight="1">
      <c r="A512" s="10"/>
      <c r="B512" s="10"/>
      <c r="C512" s="10"/>
      <c r="D512" s="10"/>
      <c r="E512" s="10"/>
      <c r="F512" s="10"/>
      <c r="G512" s="10"/>
    </row>
    <row r="513" ht="15.0" customHeight="1">
      <c r="A513" s="10"/>
      <c r="B513" s="10"/>
      <c r="C513" s="10"/>
      <c r="D513" s="10"/>
      <c r="E513" s="10"/>
      <c r="F513" s="10"/>
      <c r="G513" s="10"/>
    </row>
    <row r="514" ht="15.0" customHeight="1">
      <c r="A514" s="10"/>
      <c r="B514" s="10"/>
      <c r="C514" s="10"/>
      <c r="D514" s="10"/>
      <c r="E514" s="10"/>
      <c r="F514" s="10"/>
      <c r="G514" s="10"/>
    </row>
    <row r="515" ht="15.0" customHeight="1">
      <c r="A515" s="10"/>
      <c r="B515" s="10"/>
      <c r="C515" s="10"/>
      <c r="D515" s="10"/>
      <c r="E515" s="10"/>
      <c r="F515" s="10"/>
      <c r="G515" s="10"/>
    </row>
    <row r="516" ht="15.0" customHeight="1">
      <c r="A516" s="10"/>
      <c r="B516" s="10"/>
      <c r="C516" s="10"/>
      <c r="D516" s="10"/>
      <c r="E516" s="10"/>
      <c r="F516" s="10"/>
      <c r="G516" s="10"/>
    </row>
    <row r="517" ht="15.0" customHeight="1">
      <c r="A517" s="10"/>
      <c r="B517" s="10"/>
      <c r="C517" s="10"/>
      <c r="D517" s="10"/>
      <c r="E517" s="10"/>
      <c r="F517" s="10"/>
      <c r="G517" s="10"/>
    </row>
    <row r="518" ht="15.0" customHeight="1">
      <c r="A518" s="10"/>
      <c r="B518" s="10"/>
      <c r="C518" s="10"/>
      <c r="D518" s="10"/>
      <c r="E518" s="10"/>
      <c r="F518" s="10"/>
      <c r="G518" s="10"/>
    </row>
    <row r="519" ht="15.0" customHeight="1">
      <c r="A519" s="10"/>
      <c r="B519" s="10"/>
      <c r="C519" s="10"/>
      <c r="D519" s="10"/>
      <c r="E519" s="10"/>
      <c r="F519" s="10"/>
      <c r="G519" s="10"/>
    </row>
    <row r="520" ht="15.0" customHeight="1">
      <c r="A520" s="10"/>
      <c r="B520" s="10"/>
      <c r="C520" s="10"/>
      <c r="D520" s="10"/>
      <c r="E520" s="10"/>
      <c r="F520" s="10"/>
      <c r="G520" s="10"/>
    </row>
    <row r="521" ht="15.0" customHeight="1">
      <c r="A521" s="10"/>
      <c r="B521" s="10"/>
      <c r="C521" s="10"/>
      <c r="D521" s="10"/>
      <c r="E521" s="10"/>
      <c r="F521" s="10"/>
      <c r="G521" s="10"/>
    </row>
    <row r="522" ht="15.0" customHeight="1">
      <c r="A522" s="10"/>
      <c r="B522" s="10"/>
      <c r="C522" s="10"/>
      <c r="D522" s="10"/>
      <c r="E522" s="10"/>
      <c r="F522" s="10"/>
      <c r="G522" s="10"/>
    </row>
    <row r="523" ht="15.0" customHeight="1">
      <c r="A523" s="10"/>
      <c r="B523" s="10"/>
      <c r="C523" s="10"/>
      <c r="D523" s="10"/>
      <c r="E523" s="10"/>
      <c r="F523" s="10"/>
      <c r="G523" s="10"/>
    </row>
    <row r="524" ht="15.0" customHeight="1">
      <c r="A524" s="10"/>
      <c r="B524" s="10"/>
      <c r="C524" s="10"/>
      <c r="D524" s="10"/>
      <c r="E524" s="10"/>
      <c r="F524" s="10"/>
      <c r="G524" s="10"/>
    </row>
    <row r="525" ht="15.0" customHeight="1">
      <c r="A525" s="10"/>
      <c r="B525" s="10"/>
      <c r="C525" s="10"/>
      <c r="D525" s="10"/>
      <c r="E525" s="10"/>
      <c r="F525" s="10"/>
      <c r="G525" s="10"/>
    </row>
    <row r="526" ht="15.0" customHeight="1">
      <c r="A526" s="10"/>
      <c r="B526" s="10"/>
      <c r="C526" s="10"/>
      <c r="D526" s="10"/>
      <c r="E526" s="10"/>
      <c r="F526" s="10"/>
      <c r="G526" s="10"/>
    </row>
    <row r="527" ht="15.0" customHeight="1">
      <c r="A527" s="10"/>
      <c r="B527" s="10"/>
      <c r="C527" s="10"/>
      <c r="D527" s="10"/>
      <c r="E527" s="10"/>
      <c r="F527" s="10"/>
      <c r="G527" s="10"/>
    </row>
    <row r="528" ht="15.0" customHeight="1">
      <c r="A528" s="10"/>
      <c r="B528" s="10"/>
      <c r="C528" s="10"/>
      <c r="D528" s="10"/>
      <c r="E528" s="10"/>
      <c r="F528" s="10"/>
      <c r="G528" s="10"/>
    </row>
    <row r="529" ht="15.0" customHeight="1">
      <c r="A529" s="10"/>
      <c r="B529" s="10"/>
      <c r="C529" s="10"/>
      <c r="D529" s="10"/>
      <c r="E529" s="10"/>
      <c r="F529" s="10"/>
      <c r="G529" s="10"/>
    </row>
    <row r="530" ht="15.0" customHeight="1">
      <c r="A530" s="10"/>
      <c r="B530" s="10"/>
      <c r="C530" s="10"/>
      <c r="D530" s="10"/>
      <c r="E530" s="10"/>
      <c r="F530" s="10"/>
      <c r="G530" s="10"/>
    </row>
    <row r="531" ht="15.0" customHeight="1">
      <c r="A531" s="10"/>
      <c r="B531" s="10"/>
      <c r="C531" s="10"/>
      <c r="D531" s="10"/>
      <c r="E531" s="10"/>
      <c r="F531" s="10"/>
      <c r="G531" s="10"/>
    </row>
    <row r="532" ht="18.0" customHeight="1">
      <c r="A532" s="10"/>
      <c r="B532" s="77" t="s">
        <v>426</v>
      </c>
      <c r="G532" s="10"/>
    </row>
    <row r="533" ht="6.0" customHeight="1">
      <c r="A533" s="10"/>
      <c r="B533" s="10"/>
      <c r="C533" s="10"/>
      <c r="D533" s="10"/>
      <c r="E533" s="10"/>
      <c r="F533" s="10"/>
      <c r="G533" s="10"/>
    </row>
    <row r="534" ht="21.0" customHeight="1">
      <c r="A534" s="10"/>
      <c r="B534" s="35" t="s">
        <v>427</v>
      </c>
      <c r="C534" s="35" t="s">
        <v>428</v>
      </c>
      <c r="D534" s="35" t="s">
        <v>429</v>
      </c>
      <c r="E534" s="36" t="s">
        <v>430</v>
      </c>
      <c r="F534" s="81"/>
      <c r="G534" s="10"/>
    </row>
    <row r="535" ht="36.0" customHeight="1">
      <c r="A535" s="10"/>
      <c r="B535" s="40" t="s">
        <v>431</v>
      </c>
      <c r="C535" s="40" t="s">
        <v>48</v>
      </c>
      <c r="D535" s="40" t="s">
        <v>151</v>
      </c>
      <c r="E535" s="40" t="s">
        <v>432</v>
      </c>
      <c r="F535" s="84"/>
      <c r="G535" s="10"/>
    </row>
    <row r="536" ht="36.0" customHeight="1">
      <c r="A536" s="10"/>
      <c r="B536" s="44" t="s">
        <v>434</v>
      </c>
      <c r="C536" s="44" t="s">
        <v>49</v>
      </c>
      <c r="D536" s="44" t="s">
        <v>151</v>
      </c>
      <c r="E536" s="45" t="s">
        <v>435</v>
      </c>
      <c r="F536" s="81"/>
      <c r="G536" s="10"/>
    </row>
    <row r="537" ht="36.0" customHeight="1">
      <c r="A537" s="10"/>
      <c r="B537" s="40" t="s">
        <v>436</v>
      </c>
      <c r="C537" s="40" t="s">
        <v>437</v>
      </c>
      <c r="D537" s="40" t="s">
        <v>151</v>
      </c>
      <c r="E537" s="40" t="s">
        <v>439</v>
      </c>
      <c r="F537" s="84"/>
      <c r="G537" s="10"/>
    </row>
    <row r="538" ht="21.0" customHeight="1">
      <c r="A538" s="10"/>
      <c r="B538" s="44" t="s">
        <v>443</v>
      </c>
      <c r="C538" s="44" t="s">
        <v>444</v>
      </c>
      <c r="D538" s="44" t="s">
        <v>445</v>
      </c>
      <c r="E538" s="45" t="s">
        <v>446</v>
      </c>
      <c r="F538" s="81"/>
      <c r="G538" s="10"/>
    </row>
    <row r="539" ht="36.0" customHeight="1">
      <c r="A539" s="10"/>
      <c r="B539" s="47" t="s">
        <v>447</v>
      </c>
      <c r="C539" s="47" t="s">
        <v>50</v>
      </c>
      <c r="D539" s="47" t="s">
        <v>151</v>
      </c>
      <c r="E539" s="47" t="s">
        <v>448</v>
      </c>
      <c r="F539" s="88"/>
      <c r="G539" s="10"/>
    </row>
    <row r="540" ht="6.0" customHeight="1">
      <c r="A540" s="10"/>
      <c r="B540" s="10"/>
      <c r="C540" s="10"/>
      <c r="D540" s="10"/>
      <c r="E540" s="10"/>
      <c r="F540" s="10"/>
      <c r="G540" s="10"/>
    </row>
    <row r="541" ht="6.0" customHeight="1">
      <c r="A541" s="10"/>
      <c r="B541" s="10"/>
      <c r="C541" s="10"/>
      <c r="D541" s="10"/>
      <c r="E541" s="10"/>
      <c r="F541" s="10"/>
      <c r="G541" s="10"/>
    </row>
    <row r="542" ht="21.75" customHeight="1">
      <c r="A542" s="10"/>
      <c r="B542" s="16" t="s">
        <v>449</v>
      </c>
      <c r="C542" s="17"/>
      <c r="D542" s="17"/>
      <c r="E542" s="17"/>
      <c r="F542" s="17"/>
      <c r="G542" s="10"/>
    </row>
    <row r="543" ht="3.75" customHeight="1">
      <c r="A543" s="10"/>
      <c r="B543" s="10"/>
      <c r="C543" s="10"/>
      <c r="D543" s="10"/>
      <c r="E543" s="10"/>
      <c r="F543" s="10"/>
      <c r="G543" s="10"/>
    </row>
    <row r="544" ht="22.5" customHeight="1">
      <c r="A544" s="10"/>
      <c r="B544" s="51" t="s">
        <v>154</v>
      </c>
      <c r="C544" s="52" t="s">
        <v>450</v>
      </c>
      <c r="D544" s="12"/>
      <c r="E544" s="12"/>
      <c r="F544" s="13"/>
      <c r="G544" s="10"/>
    </row>
    <row r="545" ht="3.0" customHeight="1">
      <c r="A545" s="10"/>
      <c r="B545" s="10"/>
      <c r="C545" s="10"/>
      <c r="D545" s="10"/>
      <c r="E545" s="10"/>
      <c r="F545" s="10"/>
      <c r="G545" s="10"/>
    </row>
    <row r="546" ht="37.5" customHeight="1">
      <c r="A546" s="10"/>
      <c r="B546" s="51" t="s">
        <v>158</v>
      </c>
      <c r="C546" s="52" t="s">
        <v>453</v>
      </c>
      <c r="D546" s="12"/>
      <c r="E546" s="12"/>
      <c r="F546" s="13"/>
      <c r="G546" s="10"/>
    </row>
    <row r="547" ht="3.0" customHeight="1">
      <c r="A547" s="10"/>
      <c r="B547" s="10"/>
      <c r="C547" s="10"/>
      <c r="D547" s="10"/>
      <c r="E547" s="10"/>
      <c r="F547" s="10"/>
      <c r="G547" s="10"/>
    </row>
    <row r="548" ht="37.5" customHeight="1">
      <c r="A548" s="10"/>
      <c r="B548" s="51" t="s">
        <v>161</v>
      </c>
      <c r="C548" s="52" t="s">
        <v>454</v>
      </c>
      <c r="D548" s="12"/>
      <c r="E548" s="12"/>
      <c r="F548" s="13"/>
      <c r="G548" s="10"/>
    </row>
    <row r="549" ht="3.0" customHeight="1">
      <c r="A549" s="10"/>
      <c r="B549" s="10"/>
      <c r="C549" s="10"/>
      <c r="D549" s="10"/>
      <c r="E549" s="10"/>
      <c r="F549" s="10"/>
      <c r="G549" s="10"/>
    </row>
    <row r="550" ht="22.5" customHeight="1">
      <c r="A550" s="10"/>
      <c r="B550" s="51" t="s">
        <v>163</v>
      </c>
      <c r="C550" s="52" t="s">
        <v>455</v>
      </c>
      <c r="D550" s="12"/>
      <c r="E550" s="12"/>
      <c r="F550" s="13"/>
      <c r="G550" s="10"/>
    </row>
    <row r="551" ht="3.0" customHeight="1">
      <c r="A551" s="10"/>
      <c r="B551" s="10"/>
      <c r="C551" s="10"/>
      <c r="D551" s="10"/>
      <c r="E551" s="10"/>
      <c r="F551" s="10"/>
      <c r="G551" s="10"/>
    </row>
    <row r="552" ht="9.75" customHeight="1">
      <c r="A552" s="10"/>
      <c r="B552" s="10"/>
      <c r="C552" s="10"/>
      <c r="D552" s="10"/>
      <c r="E552" s="10"/>
      <c r="F552" s="10"/>
      <c r="G552" s="10"/>
    </row>
    <row r="553" ht="27.75" customHeight="1">
      <c r="A553" s="10"/>
      <c r="B553" s="32" t="s">
        <v>128</v>
      </c>
      <c r="C553" s="12"/>
      <c r="D553" s="12"/>
      <c r="E553" s="12"/>
      <c r="F553" s="13"/>
      <c r="G553" s="10"/>
    </row>
    <row r="554" ht="6.0" customHeight="1">
      <c r="A554" s="10"/>
      <c r="B554" s="10"/>
      <c r="C554" s="10"/>
      <c r="D554" s="10"/>
      <c r="E554" s="10"/>
      <c r="F554" s="10"/>
      <c r="G554" s="10"/>
    </row>
    <row r="555" ht="33.75" customHeight="1">
      <c r="A555" s="10"/>
      <c r="B555" s="34" t="s">
        <v>458</v>
      </c>
      <c r="G555" s="10"/>
    </row>
    <row r="556" ht="9.75" customHeight="1">
      <c r="A556" s="10"/>
      <c r="B556" s="10"/>
      <c r="C556" s="10"/>
      <c r="D556" s="10"/>
      <c r="E556" s="10"/>
      <c r="F556" s="10"/>
      <c r="G556" s="10"/>
    </row>
    <row r="557" ht="27.75" customHeight="1">
      <c r="A557" s="10"/>
      <c r="B557" s="32" t="s">
        <v>129</v>
      </c>
      <c r="C557" s="12"/>
      <c r="D557" s="12"/>
      <c r="E557" s="12"/>
      <c r="F557" s="13"/>
      <c r="G557" s="10"/>
    </row>
    <row r="558" ht="6.0" customHeight="1">
      <c r="A558" s="10"/>
      <c r="B558" s="10"/>
      <c r="C558" s="10"/>
      <c r="D558" s="10"/>
      <c r="E558" s="10"/>
      <c r="F558" s="10"/>
      <c r="G558" s="10"/>
    </row>
    <row r="559" ht="21.0" customHeight="1">
      <c r="A559" s="10"/>
      <c r="B559" s="35" t="s">
        <v>462</v>
      </c>
      <c r="C559" s="36" t="s">
        <v>464</v>
      </c>
      <c r="D559" s="38"/>
      <c r="E559" s="36" t="s">
        <v>430</v>
      </c>
      <c r="F559" s="81"/>
      <c r="G559" s="10"/>
    </row>
    <row r="560" ht="21.0" customHeight="1">
      <c r="A560" s="10"/>
      <c r="B560" s="40" t="s">
        <v>466</v>
      </c>
      <c r="C560" s="40" t="s">
        <v>467</v>
      </c>
      <c r="D560" s="41"/>
      <c r="E560" s="40" t="s">
        <v>468</v>
      </c>
      <c r="F560" s="84"/>
      <c r="G560" s="10"/>
    </row>
    <row r="561" ht="36.0" customHeight="1">
      <c r="A561" s="10"/>
      <c r="B561" s="44" t="s">
        <v>469</v>
      </c>
      <c r="C561" s="45" t="s">
        <v>470</v>
      </c>
      <c r="D561" s="38"/>
      <c r="E561" s="45" t="s">
        <v>471</v>
      </c>
      <c r="F561" s="81"/>
      <c r="G561" s="10"/>
    </row>
    <row r="562" ht="36.0" customHeight="1">
      <c r="A562" s="10"/>
      <c r="B562" s="40" t="s">
        <v>472</v>
      </c>
      <c r="C562" s="40" t="s">
        <v>473</v>
      </c>
      <c r="D562" s="41"/>
      <c r="E562" s="40" t="s">
        <v>474</v>
      </c>
      <c r="F562" s="84"/>
      <c r="G562" s="10"/>
    </row>
    <row r="563" ht="36.0" customHeight="1">
      <c r="A563" s="10"/>
      <c r="B563" s="44" t="s">
        <v>475</v>
      </c>
      <c r="C563" s="45" t="s">
        <v>477</v>
      </c>
      <c r="D563" s="38"/>
      <c r="E563" s="45" t="s">
        <v>478</v>
      </c>
      <c r="F563" s="81"/>
      <c r="G563" s="10"/>
    </row>
    <row r="564" ht="21.0" customHeight="1">
      <c r="A564" s="10"/>
      <c r="B564" s="40" t="s">
        <v>479</v>
      </c>
      <c r="C564" s="40" t="s">
        <v>480</v>
      </c>
      <c r="D564" s="41"/>
      <c r="E564" s="40" t="s">
        <v>481</v>
      </c>
      <c r="F564" s="84"/>
      <c r="G564" s="10"/>
    </row>
    <row r="565" ht="36.0" customHeight="1">
      <c r="A565" s="10"/>
      <c r="B565" s="44" t="s">
        <v>482</v>
      </c>
      <c r="C565" s="45" t="s">
        <v>483</v>
      </c>
      <c r="D565" s="38"/>
      <c r="E565" s="45" t="s">
        <v>484</v>
      </c>
      <c r="F565" s="81"/>
      <c r="G565" s="10"/>
    </row>
    <row r="566" ht="36.0" customHeight="1">
      <c r="A566" s="10"/>
      <c r="B566" s="40" t="s">
        <v>485</v>
      </c>
      <c r="C566" s="40" t="s">
        <v>486</v>
      </c>
      <c r="D566" s="41"/>
      <c r="E566" s="40" t="s">
        <v>487</v>
      </c>
      <c r="F566" s="84"/>
      <c r="G566" s="10"/>
    </row>
    <row r="567" ht="36.0" customHeight="1">
      <c r="A567" s="10"/>
      <c r="B567" s="44" t="s">
        <v>489</v>
      </c>
      <c r="C567" s="45" t="s">
        <v>490</v>
      </c>
      <c r="D567" s="38"/>
      <c r="E567" s="45" t="s">
        <v>493</v>
      </c>
      <c r="F567" s="81"/>
      <c r="G567" s="10"/>
    </row>
    <row r="568" ht="36.0" customHeight="1">
      <c r="A568" s="10"/>
      <c r="B568" s="47" t="s">
        <v>495</v>
      </c>
      <c r="C568" s="47" t="s">
        <v>496</v>
      </c>
      <c r="D568" s="48"/>
      <c r="E568" s="47" t="s">
        <v>498</v>
      </c>
      <c r="F568" s="88"/>
      <c r="G568" s="10"/>
    </row>
    <row r="569" ht="6.0" customHeight="1">
      <c r="A569" s="10"/>
      <c r="B569" s="10"/>
      <c r="C569" s="10"/>
      <c r="D569" s="10"/>
      <c r="E569" s="10"/>
      <c r="F569" s="10"/>
      <c r="G569" s="10"/>
    </row>
    <row r="570" ht="9.75" customHeight="1">
      <c r="A570" s="10"/>
      <c r="B570" s="10"/>
      <c r="C570" s="10"/>
      <c r="D570" s="10"/>
      <c r="E570" s="10"/>
      <c r="F570" s="10"/>
      <c r="G570" s="10"/>
    </row>
    <row r="571" ht="27.75" customHeight="1">
      <c r="A571" s="10"/>
      <c r="B571" s="32" t="s">
        <v>130</v>
      </c>
      <c r="C571" s="12"/>
      <c r="D571" s="12"/>
      <c r="E571" s="12"/>
      <c r="F571" s="13"/>
      <c r="G571" s="10"/>
    </row>
    <row r="572" ht="6.0" customHeight="1">
      <c r="A572" s="10"/>
      <c r="B572" s="10"/>
      <c r="C572" s="10"/>
      <c r="D572" s="10"/>
      <c r="E572" s="10"/>
      <c r="F572" s="10"/>
      <c r="G572" s="10"/>
    </row>
    <row r="573" ht="21.0" customHeight="1">
      <c r="A573" s="10"/>
      <c r="B573" s="36" t="s">
        <v>504</v>
      </c>
      <c r="C573" s="38"/>
      <c r="D573" s="36" t="s">
        <v>505</v>
      </c>
      <c r="E573" s="37"/>
      <c r="F573" s="81"/>
      <c r="G573" s="10"/>
    </row>
    <row r="574" ht="21.0" customHeight="1">
      <c r="A574" s="10"/>
      <c r="B574" s="40" t="s">
        <v>506</v>
      </c>
      <c r="C574" s="41"/>
      <c r="D574" s="40" t="s">
        <v>507</v>
      </c>
      <c r="E574" s="41"/>
      <c r="F574" s="84"/>
      <c r="G574" s="10"/>
    </row>
    <row r="575" ht="21.0" customHeight="1">
      <c r="A575" s="10"/>
      <c r="B575" s="45" t="s">
        <v>508</v>
      </c>
      <c r="C575" s="38"/>
      <c r="D575" s="45" t="s">
        <v>509</v>
      </c>
      <c r="E575" s="37"/>
      <c r="F575" s="81"/>
      <c r="G575" s="10"/>
    </row>
    <row r="576" ht="21.0" customHeight="1">
      <c r="A576" s="10"/>
      <c r="B576" s="40" t="s">
        <v>510</v>
      </c>
      <c r="C576" s="41"/>
      <c r="D576" s="40" t="s">
        <v>511</v>
      </c>
      <c r="E576" s="41"/>
      <c r="F576" s="84"/>
      <c r="G576" s="10"/>
    </row>
    <row r="577" ht="21.0" customHeight="1">
      <c r="A577" s="10"/>
      <c r="B577" s="45" t="s">
        <v>512</v>
      </c>
      <c r="C577" s="38"/>
      <c r="D577" s="45" t="s">
        <v>513</v>
      </c>
      <c r="E577" s="37"/>
      <c r="F577" s="81"/>
      <c r="G577" s="10"/>
    </row>
    <row r="578" ht="21.0" customHeight="1">
      <c r="A578" s="10"/>
      <c r="B578" s="47" t="s">
        <v>514</v>
      </c>
      <c r="C578" s="48"/>
      <c r="D578" s="47" t="s">
        <v>515</v>
      </c>
      <c r="E578" s="48"/>
      <c r="F578" s="88"/>
      <c r="G578" s="10"/>
    </row>
    <row r="579" ht="6.0" customHeight="1">
      <c r="A579" s="10"/>
      <c r="B579" s="10"/>
      <c r="C579" s="10"/>
      <c r="D579" s="10"/>
      <c r="E579" s="10"/>
      <c r="F579" s="10"/>
      <c r="G579" s="10"/>
    </row>
    <row r="580" ht="19.5" customHeight="1">
      <c r="A580" s="10"/>
      <c r="B580" s="10"/>
      <c r="C580" s="10"/>
      <c r="D580" s="10"/>
      <c r="E580" s="10"/>
      <c r="F580" s="10"/>
      <c r="G580" s="10"/>
    </row>
    <row r="581" ht="14.25" customHeight="1">
      <c r="A581" s="10"/>
      <c r="B581" s="10"/>
      <c r="C581" s="10"/>
      <c r="D581" s="10"/>
      <c r="E581" s="10"/>
      <c r="F581" s="10"/>
      <c r="G581" s="10"/>
    </row>
    <row r="582" ht="14.25" customHeight="1">
      <c r="A582" s="10"/>
      <c r="B582" s="10"/>
      <c r="C582" s="10"/>
      <c r="D582" s="10"/>
      <c r="E582" s="10"/>
      <c r="F582" s="10"/>
      <c r="G582" s="10"/>
    </row>
    <row r="583" ht="14.25" customHeight="1">
      <c r="A583" s="10"/>
      <c r="B583" s="10"/>
      <c r="C583" s="10"/>
      <c r="D583" s="10"/>
      <c r="E583" s="10"/>
      <c r="F583" s="10"/>
      <c r="G583" s="10"/>
    </row>
    <row r="584" ht="14.25" customHeight="1">
      <c r="A584" s="10"/>
      <c r="B584" s="10"/>
      <c r="C584" s="10"/>
      <c r="D584" s="10"/>
      <c r="E584" s="10"/>
      <c r="F584" s="10"/>
      <c r="G584" s="10"/>
    </row>
    <row r="585" ht="14.25" customHeight="1">
      <c r="A585" s="10"/>
      <c r="B585" s="10"/>
      <c r="C585" s="10"/>
      <c r="D585" s="10"/>
      <c r="E585" s="10"/>
      <c r="F585" s="10"/>
      <c r="G585" s="10"/>
    </row>
    <row r="586" ht="14.25" customHeight="1">
      <c r="A586" s="10"/>
      <c r="B586" s="10"/>
      <c r="C586" s="10"/>
      <c r="D586" s="10"/>
      <c r="E586" s="10"/>
      <c r="F586" s="10"/>
      <c r="G586" s="10"/>
    </row>
    <row r="587" ht="14.25" customHeight="1">
      <c r="A587" s="10"/>
      <c r="B587" s="10"/>
      <c r="C587" s="10"/>
      <c r="D587" s="10"/>
      <c r="E587" s="10"/>
      <c r="F587" s="10"/>
      <c r="G587" s="10"/>
    </row>
    <row r="588" ht="14.25" customHeight="1">
      <c r="A588" s="10"/>
      <c r="B588" s="10"/>
      <c r="C588" s="10"/>
      <c r="D588" s="10"/>
      <c r="E588" s="10"/>
      <c r="F588" s="10"/>
      <c r="G588" s="10"/>
    </row>
    <row r="589" ht="14.25" customHeight="1">
      <c r="A589" s="10"/>
      <c r="B589" s="10"/>
      <c r="C589" s="10"/>
      <c r="D589" s="10"/>
      <c r="E589" s="10"/>
      <c r="F589" s="10"/>
      <c r="G589" s="10"/>
    </row>
    <row r="590" ht="14.25" customHeight="1">
      <c r="A590" s="10"/>
      <c r="B590" s="10"/>
      <c r="C590" s="10"/>
      <c r="D590" s="10"/>
      <c r="E590" s="10"/>
      <c r="F590" s="10"/>
      <c r="G590" s="10"/>
    </row>
    <row r="591" ht="14.25" customHeight="1">
      <c r="A591" s="10"/>
      <c r="B591" s="10"/>
      <c r="C591" s="10"/>
      <c r="D591" s="10"/>
      <c r="E591" s="10"/>
      <c r="F591" s="10"/>
      <c r="G591" s="10"/>
    </row>
    <row r="592" ht="14.25" customHeight="1">
      <c r="A592" s="10"/>
      <c r="B592" s="10"/>
      <c r="C592" s="10"/>
      <c r="D592" s="10"/>
      <c r="E592" s="10"/>
      <c r="F592" s="10"/>
      <c r="G592" s="10"/>
    </row>
    <row r="593" ht="14.25" customHeight="1">
      <c r="A593" s="10"/>
      <c r="B593" s="10"/>
      <c r="C593" s="10"/>
      <c r="D593" s="10"/>
      <c r="E593" s="10"/>
      <c r="F593" s="10"/>
      <c r="G593" s="10"/>
    </row>
    <row r="594" ht="14.25" customHeight="1">
      <c r="A594" s="10"/>
      <c r="B594" s="10"/>
      <c r="C594" s="10"/>
      <c r="D594" s="10"/>
      <c r="E594" s="10"/>
      <c r="F594" s="10"/>
      <c r="G594" s="10"/>
    </row>
    <row r="595" ht="14.25" customHeight="1">
      <c r="A595" s="10"/>
      <c r="B595" s="10"/>
      <c r="C595" s="10"/>
      <c r="D595" s="10"/>
      <c r="E595" s="10"/>
      <c r="F595" s="10"/>
      <c r="G595" s="10"/>
    </row>
    <row r="596" ht="14.25" customHeight="1">
      <c r="A596" s="10"/>
      <c r="B596" s="10"/>
      <c r="C596" s="10"/>
      <c r="D596" s="10"/>
      <c r="E596" s="10"/>
      <c r="F596" s="10"/>
      <c r="G596" s="10"/>
    </row>
    <row r="597" ht="14.25" customHeight="1">
      <c r="A597" s="10"/>
      <c r="B597" s="10"/>
      <c r="C597" s="10"/>
      <c r="D597" s="10"/>
      <c r="E597" s="10"/>
      <c r="F597" s="10"/>
      <c r="G597" s="10"/>
    </row>
    <row r="598" ht="14.25" customHeight="1">
      <c r="A598" s="10"/>
      <c r="B598" s="10"/>
      <c r="C598" s="10"/>
      <c r="D598" s="10"/>
      <c r="E598" s="10"/>
      <c r="F598" s="10"/>
      <c r="G598" s="10"/>
    </row>
    <row r="599" ht="14.25" customHeight="1">
      <c r="A599" s="10"/>
      <c r="B599" s="10"/>
      <c r="C599" s="10"/>
      <c r="D599" s="10"/>
      <c r="E599" s="10"/>
      <c r="F599" s="10"/>
      <c r="G599" s="10"/>
    </row>
    <row r="600" ht="14.25" customHeight="1">
      <c r="A600" s="10"/>
      <c r="B600" s="10"/>
      <c r="C600" s="10"/>
      <c r="D600" s="10"/>
      <c r="E600" s="10"/>
      <c r="F600" s="10"/>
      <c r="G600" s="10"/>
    </row>
    <row r="601" ht="14.25" customHeight="1">
      <c r="A601" s="10"/>
      <c r="B601" s="10"/>
      <c r="C601" s="10"/>
      <c r="D601" s="10"/>
      <c r="E601" s="10"/>
      <c r="F601" s="10"/>
      <c r="G601" s="10"/>
    </row>
    <row r="602" ht="14.25" customHeight="1">
      <c r="A602" s="10"/>
      <c r="B602" s="10"/>
      <c r="C602" s="10"/>
      <c r="D602" s="10"/>
      <c r="E602" s="10"/>
      <c r="F602" s="10"/>
      <c r="G602" s="10"/>
    </row>
    <row r="603" ht="14.25" customHeight="1">
      <c r="A603" s="10"/>
      <c r="B603" s="10"/>
      <c r="C603" s="10"/>
      <c r="D603" s="10"/>
      <c r="E603" s="10"/>
      <c r="F603" s="10"/>
      <c r="G603" s="10"/>
    </row>
    <row r="604" ht="14.25" customHeight="1">
      <c r="A604" s="10"/>
      <c r="B604" s="10"/>
      <c r="C604" s="10"/>
      <c r="D604" s="10"/>
      <c r="E604" s="10"/>
      <c r="F604" s="10"/>
      <c r="G604" s="10"/>
    </row>
    <row r="605" ht="14.25" customHeight="1">
      <c r="A605" s="10"/>
      <c r="B605" s="10"/>
      <c r="C605" s="10"/>
      <c r="D605" s="10"/>
      <c r="E605" s="10"/>
      <c r="F605" s="10"/>
      <c r="G605" s="10"/>
    </row>
    <row r="606" ht="14.25" customHeight="1">
      <c r="A606" s="10"/>
      <c r="B606" s="10"/>
      <c r="C606" s="10"/>
      <c r="D606" s="10"/>
      <c r="E606" s="10"/>
      <c r="F606" s="10"/>
      <c r="G606" s="10"/>
    </row>
    <row r="607" ht="14.25" customHeight="1">
      <c r="A607" s="10"/>
      <c r="B607" s="10"/>
      <c r="C607" s="10"/>
      <c r="D607" s="10"/>
      <c r="E607" s="10"/>
      <c r="F607" s="10"/>
      <c r="G607" s="10"/>
    </row>
    <row r="608" ht="14.25" customHeight="1">
      <c r="A608" s="10"/>
      <c r="B608" s="10"/>
      <c r="C608" s="10"/>
      <c r="D608" s="10"/>
      <c r="E608" s="10"/>
      <c r="F608" s="10"/>
      <c r="G608" s="10"/>
    </row>
    <row r="609" ht="14.25" customHeight="1">
      <c r="A609" s="10"/>
      <c r="B609" s="10"/>
      <c r="C609" s="10"/>
      <c r="D609" s="10"/>
      <c r="E609" s="10"/>
      <c r="F609" s="10"/>
      <c r="G609" s="10"/>
    </row>
    <row r="610" ht="14.25" customHeight="1">
      <c r="A610" s="10"/>
      <c r="B610" s="10"/>
      <c r="C610" s="10"/>
      <c r="D610" s="10"/>
      <c r="E610" s="10"/>
      <c r="F610" s="10"/>
      <c r="G610" s="10"/>
    </row>
    <row r="611" ht="14.25" customHeight="1">
      <c r="A611" s="10"/>
      <c r="B611" s="10"/>
      <c r="C611" s="10"/>
      <c r="D611" s="10"/>
      <c r="E611" s="10"/>
      <c r="F611" s="10"/>
      <c r="G611" s="10"/>
    </row>
    <row r="612" ht="14.25" customHeight="1">
      <c r="A612" s="10"/>
      <c r="B612" s="10"/>
      <c r="C612" s="10"/>
      <c r="D612" s="10"/>
      <c r="E612" s="10"/>
      <c r="F612" s="10"/>
      <c r="G612" s="10"/>
    </row>
    <row r="613" ht="14.25" customHeight="1">
      <c r="A613" s="10"/>
      <c r="B613" s="10"/>
      <c r="C613" s="10"/>
      <c r="D613" s="10"/>
      <c r="E613" s="10"/>
      <c r="F613" s="10"/>
      <c r="G613" s="10"/>
    </row>
    <row r="614" ht="14.25" customHeight="1">
      <c r="A614" s="10"/>
      <c r="B614" s="10"/>
      <c r="C614" s="10"/>
      <c r="D614" s="10"/>
      <c r="E614" s="10"/>
      <c r="F614" s="10"/>
      <c r="G614" s="10"/>
    </row>
    <row r="615" ht="14.25" customHeight="1">
      <c r="A615" s="10"/>
      <c r="B615" s="10"/>
      <c r="C615" s="10"/>
      <c r="D615" s="10"/>
      <c r="E615" s="10"/>
      <c r="F615" s="10"/>
      <c r="G615" s="10"/>
    </row>
    <row r="616" ht="14.25" customHeight="1">
      <c r="A616" s="10"/>
      <c r="B616" s="10"/>
      <c r="C616" s="10"/>
      <c r="D616" s="10"/>
      <c r="E616" s="10"/>
      <c r="F616" s="10"/>
      <c r="G616" s="10"/>
    </row>
    <row r="617" ht="14.25" customHeight="1">
      <c r="A617" s="10"/>
      <c r="B617" s="10"/>
      <c r="C617" s="10"/>
      <c r="D617" s="10"/>
      <c r="E617" s="10"/>
      <c r="F617" s="10"/>
      <c r="G617" s="10"/>
    </row>
    <row r="618" ht="14.25" customHeight="1">
      <c r="A618" s="10"/>
      <c r="B618" s="10"/>
      <c r="C618" s="10"/>
      <c r="D618" s="10"/>
      <c r="E618" s="10"/>
      <c r="F618" s="10"/>
      <c r="G618" s="10"/>
    </row>
    <row r="619" ht="14.25" customHeight="1">
      <c r="A619" s="10"/>
      <c r="B619" s="10"/>
      <c r="C619" s="10"/>
      <c r="D619" s="10"/>
      <c r="E619" s="10"/>
      <c r="F619" s="10"/>
      <c r="G619" s="10"/>
    </row>
    <row r="620" ht="14.25" customHeight="1">
      <c r="A620" s="10"/>
      <c r="B620" s="10"/>
      <c r="C620" s="10"/>
      <c r="D620" s="10"/>
      <c r="E620" s="10"/>
      <c r="F620" s="10"/>
      <c r="G620" s="10"/>
    </row>
    <row r="621" ht="14.25" customHeight="1">
      <c r="A621" s="10"/>
      <c r="B621" s="10"/>
      <c r="C621" s="10"/>
      <c r="D621" s="10"/>
      <c r="E621" s="10"/>
      <c r="F621" s="10"/>
      <c r="G621" s="10"/>
    </row>
    <row r="622" ht="14.25" customHeight="1">
      <c r="A622" s="10"/>
      <c r="B622" s="10"/>
      <c r="C622" s="10"/>
      <c r="D622" s="10"/>
      <c r="E622" s="10"/>
      <c r="F622" s="10"/>
      <c r="G622" s="10"/>
    </row>
    <row r="623" ht="14.25" customHeight="1">
      <c r="A623" s="10"/>
      <c r="B623" s="10"/>
      <c r="C623" s="10"/>
      <c r="D623" s="10"/>
      <c r="E623" s="10"/>
      <c r="F623" s="10"/>
      <c r="G623" s="10"/>
    </row>
    <row r="624" ht="14.25" customHeight="1">
      <c r="A624" s="10"/>
      <c r="B624" s="10"/>
      <c r="C624" s="10"/>
      <c r="D624" s="10"/>
      <c r="E624" s="10"/>
      <c r="F624" s="10"/>
      <c r="G624" s="10"/>
    </row>
    <row r="625" ht="14.25" customHeight="1">
      <c r="A625" s="10"/>
      <c r="B625" s="10"/>
      <c r="C625" s="10"/>
      <c r="D625" s="10"/>
      <c r="E625" s="10"/>
      <c r="F625" s="10"/>
      <c r="G625" s="10"/>
    </row>
    <row r="626" ht="14.25" customHeight="1">
      <c r="A626" s="10"/>
      <c r="B626" s="10"/>
      <c r="C626" s="10"/>
      <c r="D626" s="10"/>
      <c r="E626" s="10"/>
      <c r="F626" s="10"/>
      <c r="G626" s="10"/>
    </row>
    <row r="627" ht="14.25" customHeight="1">
      <c r="A627" s="10"/>
      <c r="B627" s="10"/>
      <c r="C627" s="10"/>
      <c r="D627" s="10"/>
      <c r="E627" s="10"/>
      <c r="F627" s="10"/>
      <c r="G627" s="10"/>
    </row>
    <row r="628" ht="14.25" customHeight="1">
      <c r="A628" s="10"/>
      <c r="B628" s="10"/>
      <c r="C628" s="10"/>
      <c r="D628" s="10"/>
      <c r="E628" s="10"/>
      <c r="F628" s="10"/>
      <c r="G628" s="10"/>
    </row>
    <row r="629" ht="14.25" customHeight="1">
      <c r="A629" s="10"/>
      <c r="B629" s="10"/>
      <c r="C629" s="10"/>
      <c r="D629" s="10"/>
      <c r="E629" s="10"/>
      <c r="F629" s="10"/>
      <c r="G629" s="10"/>
    </row>
    <row r="630" ht="14.25" customHeight="1">
      <c r="A630" s="10"/>
      <c r="B630" s="10"/>
      <c r="C630" s="10"/>
      <c r="D630" s="10"/>
      <c r="E630" s="10"/>
      <c r="F630" s="10"/>
      <c r="G630" s="10"/>
    </row>
    <row r="631" ht="14.25" customHeight="1">
      <c r="A631" s="10"/>
      <c r="B631" s="10"/>
      <c r="C631" s="10"/>
      <c r="D631" s="10"/>
      <c r="E631" s="10"/>
      <c r="F631" s="10"/>
      <c r="G631" s="10"/>
    </row>
    <row r="632" ht="14.25" customHeight="1">
      <c r="A632" s="10"/>
      <c r="B632" s="10"/>
      <c r="C632" s="10"/>
      <c r="D632" s="10"/>
      <c r="E632" s="10"/>
      <c r="F632" s="10"/>
      <c r="G632" s="10"/>
    </row>
    <row r="633" ht="14.25" customHeight="1">
      <c r="A633" s="10"/>
      <c r="B633" s="10"/>
      <c r="C633" s="10"/>
      <c r="D633" s="10"/>
      <c r="E633" s="10"/>
      <c r="F633" s="10"/>
      <c r="G633" s="10"/>
    </row>
    <row r="634" ht="14.25" customHeight="1">
      <c r="A634" s="10"/>
      <c r="B634" s="10"/>
      <c r="C634" s="10"/>
      <c r="D634" s="10"/>
      <c r="E634" s="10"/>
      <c r="F634" s="10"/>
      <c r="G634" s="10"/>
    </row>
    <row r="635" ht="14.25" customHeight="1">
      <c r="A635" s="10"/>
      <c r="B635" s="10"/>
      <c r="C635" s="10"/>
      <c r="D635" s="10"/>
      <c r="E635" s="10"/>
      <c r="F635" s="10"/>
      <c r="G635" s="10"/>
    </row>
    <row r="636" ht="14.25" customHeight="1">
      <c r="A636" s="10"/>
      <c r="B636" s="10"/>
      <c r="C636" s="10"/>
      <c r="D636" s="10"/>
      <c r="E636" s="10"/>
      <c r="F636" s="10"/>
      <c r="G636" s="10"/>
    </row>
    <row r="637" ht="14.25" customHeight="1">
      <c r="A637" s="10"/>
      <c r="B637" s="10"/>
      <c r="C637" s="10"/>
      <c r="D637" s="10"/>
      <c r="E637" s="10"/>
      <c r="F637" s="10"/>
      <c r="G637" s="10"/>
    </row>
    <row r="638" ht="14.25" customHeight="1">
      <c r="A638" s="10"/>
      <c r="B638" s="10"/>
      <c r="C638" s="10"/>
      <c r="D638" s="10"/>
      <c r="E638" s="10"/>
      <c r="F638" s="10"/>
      <c r="G638" s="10"/>
    </row>
    <row r="639" ht="14.25" customHeight="1">
      <c r="A639" s="10"/>
      <c r="B639" s="10"/>
      <c r="C639" s="10"/>
      <c r="D639" s="10"/>
      <c r="E639" s="10"/>
      <c r="F639" s="10"/>
      <c r="G639" s="10"/>
    </row>
    <row r="640" ht="14.25" customHeight="1">
      <c r="A640" s="10"/>
      <c r="B640" s="10"/>
      <c r="C640" s="10"/>
      <c r="D640" s="10"/>
      <c r="E640" s="10"/>
      <c r="F640" s="10"/>
      <c r="G640" s="10"/>
    </row>
    <row r="641" ht="14.25" customHeight="1">
      <c r="A641" s="10"/>
      <c r="B641" s="10"/>
      <c r="C641" s="10"/>
      <c r="D641" s="10"/>
      <c r="E641" s="10"/>
      <c r="F641" s="10"/>
      <c r="G641" s="10"/>
    </row>
    <row r="642" ht="14.25" customHeight="1">
      <c r="A642" s="10"/>
      <c r="B642" s="10"/>
      <c r="C642" s="10"/>
      <c r="D642" s="10"/>
      <c r="E642" s="10"/>
      <c r="F642" s="10"/>
      <c r="G642" s="10"/>
    </row>
    <row r="643" ht="14.25" customHeight="1">
      <c r="A643" s="10"/>
      <c r="B643" s="10"/>
      <c r="C643" s="10"/>
      <c r="D643" s="10"/>
      <c r="E643" s="10"/>
      <c r="F643" s="10"/>
      <c r="G643" s="10"/>
    </row>
    <row r="644" ht="14.25" customHeight="1">
      <c r="A644" s="10"/>
      <c r="B644" s="10"/>
      <c r="C644" s="10"/>
      <c r="D644" s="10"/>
      <c r="E644" s="10"/>
      <c r="F644" s="10"/>
      <c r="G644" s="10"/>
    </row>
    <row r="645" ht="14.25" customHeight="1">
      <c r="A645" s="10"/>
      <c r="B645" s="10"/>
      <c r="C645" s="10"/>
      <c r="D645" s="10"/>
      <c r="E645" s="10"/>
      <c r="F645" s="10"/>
      <c r="G645" s="10"/>
    </row>
    <row r="646" ht="14.25" customHeight="1">
      <c r="A646" s="10"/>
      <c r="B646" s="10"/>
      <c r="C646" s="10"/>
      <c r="D646" s="10"/>
      <c r="E646" s="10"/>
      <c r="F646" s="10"/>
      <c r="G646" s="10"/>
    </row>
    <row r="647" ht="14.25" customHeight="1">
      <c r="A647" s="10"/>
      <c r="B647" s="10"/>
      <c r="C647" s="10"/>
      <c r="D647" s="10"/>
      <c r="E647" s="10"/>
      <c r="F647" s="10"/>
      <c r="G647" s="10"/>
    </row>
    <row r="648" ht="14.25" customHeight="1">
      <c r="A648" s="10"/>
      <c r="B648" s="10"/>
      <c r="C648" s="10"/>
      <c r="D648" s="10"/>
      <c r="E648" s="10"/>
      <c r="F648" s="10"/>
      <c r="G648" s="10"/>
    </row>
    <row r="649" ht="14.25" customHeight="1">
      <c r="A649" s="10"/>
      <c r="B649" s="10"/>
      <c r="C649" s="10"/>
      <c r="D649" s="10"/>
      <c r="E649" s="10"/>
      <c r="F649" s="10"/>
      <c r="G649" s="10"/>
    </row>
    <row r="650" ht="14.25" customHeight="1">
      <c r="A650" s="10"/>
      <c r="B650" s="10"/>
      <c r="C650" s="10"/>
      <c r="D650" s="10"/>
      <c r="E650" s="10"/>
      <c r="F650" s="10"/>
      <c r="G650" s="10"/>
    </row>
    <row r="651" ht="14.25" customHeight="1">
      <c r="A651" s="10"/>
      <c r="B651" s="10"/>
      <c r="C651" s="10"/>
      <c r="D651" s="10"/>
      <c r="E651" s="10"/>
      <c r="F651" s="10"/>
      <c r="G651" s="10"/>
    </row>
    <row r="652" ht="14.25" customHeight="1">
      <c r="A652" s="10"/>
      <c r="B652" s="10"/>
      <c r="C652" s="10"/>
      <c r="D652" s="10"/>
      <c r="E652" s="10"/>
      <c r="F652" s="10"/>
      <c r="G652" s="10"/>
    </row>
    <row r="653" ht="14.25" customHeight="1">
      <c r="A653" s="10"/>
      <c r="B653" s="10"/>
      <c r="C653" s="10"/>
      <c r="D653" s="10"/>
      <c r="E653" s="10"/>
      <c r="F653" s="10"/>
      <c r="G653" s="10"/>
    </row>
    <row r="654" ht="14.25" customHeight="1">
      <c r="A654" s="10"/>
      <c r="B654" s="10"/>
      <c r="C654" s="10"/>
      <c r="D654" s="10"/>
      <c r="E654" s="10"/>
      <c r="F654" s="10"/>
      <c r="G654" s="10"/>
    </row>
    <row r="655" ht="14.25" customHeight="1">
      <c r="A655" s="10"/>
      <c r="B655" s="10"/>
      <c r="C655" s="10"/>
      <c r="D655" s="10"/>
      <c r="E655" s="10"/>
      <c r="F655" s="10"/>
      <c r="G655" s="10"/>
    </row>
    <row r="656" ht="14.25" customHeight="1">
      <c r="A656" s="10"/>
      <c r="B656" s="10"/>
      <c r="C656" s="10"/>
      <c r="D656" s="10"/>
      <c r="E656" s="10"/>
      <c r="F656" s="10"/>
      <c r="G656" s="10"/>
    </row>
    <row r="657" ht="14.25" customHeight="1">
      <c r="A657" s="10"/>
      <c r="B657" s="10"/>
      <c r="C657" s="10"/>
      <c r="D657" s="10"/>
      <c r="E657" s="10"/>
      <c r="F657" s="10"/>
      <c r="G657" s="10"/>
    </row>
    <row r="658" ht="14.25" customHeight="1">
      <c r="A658" s="10"/>
      <c r="B658" s="10"/>
      <c r="C658" s="10"/>
      <c r="D658" s="10"/>
      <c r="E658" s="10"/>
      <c r="F658" s="10"/>
      <c r="G658" s="10"/>
    </row>
    <row r="659" ht="14.25" customHeight="1">
      <c r="A659" s="10"/>
      <c r="B659" s="10"/>
      <c r="C659" s="10"/>
      <c r="D659" s="10"/>
      <c r="E659" s="10"/>
      <c r="F659" s="10"/>
      <c r="G659" s="10"/>
    </row>
    <row r="660" ht="14.25" customHeight="1">
      <c r="A660" s="10"/>
      <c r="B660" s="10"/>
      <c r="C660" s="10"/>
      <c r="D660" s="10"/>
      <c r="E660" s="10"/>
      <c r="F660" s="10"/>
      <c r="G660" s="10"/>
    </row>
    <row r="661" ht="14.25" customHeight="1">
      <c r="A661" s="10"/>
      <c r="B661" s="10"/>
      <c r="C661" s="10"/>
      <c r="D661" s="10"/>
      <c r="E661" s="10"/>
      <c r="F661" s="10"/>
      <c r="G661" s="10"/>
    </row>
    <row r="662" ht="14.25" customHeight="1">
      <c r="A662" s="10"/>
      <c r="B662" s="10"/>
      <c r="C662" s="10"/>
      <c r="D662" s="10"/>
      <c r="E662" s="10"/>
      <c r="F662" s="10"/>
      <c r="G662" s="10"/>
    </row>
    <row r="663" ht="14.25" customHeight="1">
      <c r="A663" s="10"/>
      <c r="B663" s="10"/>
      <c r="C663" s="10"/>
      <c r="D663" s="10"/>
      <c r="E663" s="10"/>
      <c r="F663" s="10"/>
      <c r="G663" s="10"/>
    </row>
    <row r="664" ht="14.25" customHeight="1">
      <c r="A664" s="10"/>
      <c r="B664" s="10"/>
      <c r="C664" s="10"/>
      <c r="D664" s="10"/>
      <c r="E664" s="10"/>
      <c r="F664" s="10"/>
      <c r="G664" s="10"/>
    </row>
    <row r="665" ht="14.25" customHeight="1">
      <c r="A665" s="10"/>
      <c r="B665" s="10"/>
      <c r="C665" s="10"/>
      <c r="D665" s="10"/>
      <c r="E665" s="10"/>
      <c r="F665" s="10"/>
      <c r="G665" s="10"/>
    </row>
    <row r="666" ht="14.25" customHeight="1">
      <c r="A666" s="10"/>
      <c r="B666" s="10"/>
      <c r="C666" s="10"/>
      <c r="D666" s="10"/>
      <c r="E666" s="10"/>
      <c r="F666" s="10"/>
      <c r="G666" s="10"/>
    </row>
    <row r="667" ht="14.25" customHeight="1">
      <c r="A667" s="10"/>
      <c r="B667" s="10"/>
      <c r="C667" s="10"/>
      <c r="D667" s="10"/>
      <c r="E667" s="10"/>
      <c r="F667" s="10"/>
      <c r="G667" s="10"/>
    </row>
    <row r="668" ht="14.25" customHeight="1">
      <c r="A668" s="10"/>
      <c r="B668" s="10"/>
      <c r="C668" s="10"/>
      <c r="D668" s="10"/>
      <c r="E668" s="10"/>
      <c r="F668" s="10"/>
      <c r="G668" s="10"/>
    </row>
    <row r="669" ht="14.25" customHeight="1">
      <c r="A669" s="10"/>
      <c r="B669" s="10"/>
      <c r="C669" s="10"/>
      <c r="D669" s="10"/>
      <c r="E669" s="10"/>
      <c r="F669" s="10"/>
      <c r="G669" s="10"/>
    </row>
    <row r="670" ht="14.25" customHeight="1">
      <c r="A670" s="10"/>
      <c r="B670" s="10"/>
      <c r="C670" s="10"/>
      <c r="D670" s="10"/>
      <c r="E670" s="10"/>
      <c r="F670" s="10"/>
      <c r="G670" s="10"/>
    </row>
    <row r="671" ht="14.25" customHeight="1">
      <c r="A671" s="10"/>
      <c r="B671" s="10"/>
      <c r="C671" s="10"/>
      <c r="D671" s="10"/>
      <c r="E671" s="10"/>
      <c r="F671" s="10"/>
      <c r="G671" s="10"/>
    </row>
    <row r="672" ht="14.25" customHeight="1">
      <c r="A672" s="10"/>
      <c r="B672" s="10"/>
      <c r="C672" s="10"/>
      <c r="D672" s="10"/>
      <c r="E672" s="10"/>
      <c r="F672" s="10"/>
      <c r="G672" s="10"/>
    </row>
    <row r="673" ht="14.25" customHeight="1">
      <c r="A673" s="10"/>
      <c r="B673" s="10"/>
      <c r="C673" s="10"/>
      <c r="D673" s="10"/>
      <c r="E673" s="10"/>
      <c r="F673" s="10"/>
      <c r="G673" s="10"/>
    </row>
    <row r="674" ht="14.25" customHeight="1">
      <c r="A674" s="10"/>
      <c r="B674" s="10"/>
      <c r="C674" s="10"/>
      <c r="D674" s="10"/>
      <c r="E674" s="10"/>
      <c r="F674" s="10"/>
      <c r="G674" s="10"/>
    </row>
    <row r="675" ht="14.25" customHeight="1">
      <c r="A675" s="10"/>
      <c r="B675" s="10"/>
      <c r="C675" s="10"/>
      <c r="D675" s="10"/>
      <c r="E675" s="10"/>
      <c r="F675" s="10"/>
      <c r="G675" s="10"/>
    </row>
    <row r="676" ht="14.25" customHeight="1">
      <c r="A676" s="10"/>
      <c r="B676" s="10"/>
      <c r="C676" s="10"/>
      <c r="D676" s="10"/>
      <c r="E676" s="10"/>
      <c r="F676" s="10"/>
      <c r="G676" s="10"/>
    </row>
    <row r="677" ht="14.25" customHeight="1">
      <c r="A677" s="10"/>
      <c r="B677" s="10"/>
      <c r="C677" s="10"/>
      <c r="D677" s="10"/>
      <c r="E677" s="10"/>
      <c r="F677" s="10"/>
      <c r="G677" s="10"/>
    </row>
    <row r="678" ht="14.25" customHeight="1">
      <c r="A678" s="10"/>
      <c r="B678" s="10"/>
      <c r="C678" s="10"/>
      <c r="D678" s="10"/>
      <c r="E678" s="10"/>
      <c r="F678" s="10"/>
      <c r="G678" s="10"/>
    </row>
    <row r="679" ht="14.25" customHeight="1">
      <c r="A679" s="10"/>
      <c r="B679" s="10"/>
      <c r="C679" s="10"/>
      <c r="D679" s="10"/>
      <c r="E679" s="10"/>
      <c r="F679" s="10"/>
      <c r="G679" s="10"/>
    </row>
    <row r="680" ht="14.25" customHeight="1">
      <c r="A680" s="10"/>
      <c r="B680" s="10"/>
      <c r="C680" s="10"/>
      <c r="D680" s="10"/>
      <c r="E680" s="10"/>
      <c r="F680" s="10"/>
      <c r="G680" s="10"/>
    </row>
    <row r="681" ht="14.25" customHeight="1">
      <c r="A681" s="10"/>
      <c r="B681" s="10"/>
      <c r="C681" s="10"/>
      <c r="D681" s="10"/>
      <c r="E681" s="10"/>
      <c r="F681" s="10"/>
      <c r="G681" s="10"/>
    </row>
    <row r="682" ht="14.25" customHeight="1">
      <c r="A682" s="10"/>
      <c r="B682" s="10"/>
      <c r="C682" s="10"/>
      <c r="D682" s="10"/>
      <c r="E682" s="10"/>
      <c r="F682" s="10"/>
      <c r="G682" s="10"/>
    </row>
    <row r="683" ht="14.25" customHeight="1">
      <c r="A683" s="10"/>
      <c r="B683" s="10"/>
      <c r="C683" s="10"/>
      <c r="D683" s="10"/>
      <c r="E683" s="10"/>
      <c r="F683" s="10"/>
      <c r="G683" s="10"/>
    </row>
    <row r="684" ht="14.25" customHeight="1">
      <c r="A684" s="10"/>
      <c r="B684" s="10"/>
      <c r="C684" s="10"/>
      <c r="D684" s="10"/>
      <c r="E684" s="10"/>
      <c r="F684" s="10"/>
      <c r="G684" s="10"/>
    </row>
    <row r="685" ht="14.25" customHeight="1">
      <c r="A685" s="10"/>
      <c r="B685" s="10"/>
      <c r="C685" s="10"/>
      <c r="D685" s="10"/>
      <c r="E685" s="10"/>
      <c r="F685" s="10"/>
      <c r="G685" s="10"/>
    </row>
    <row r="686" ht="14.25" customHeight="1">
      <c r="A686" s="10"/>
      <c r="B686" s="10"/>
      <c r="C686" s="10"/>
      <c r="D686" s="10"/>
      <c r="E686" s="10"/>
      <c r="F686" s="10"/>
      <c r="G686" s="10"/>
    </row>
    <row r="687" ht="14.25" customHeight="1">
      <c r="A687" s="10"/>
      <c r="B687" s="10"/>
      <c r="C687" s="10"/>
      <c r="D687" s="10"/>
      <c r="E687" s="10"/>
      <c r="F687" s="10"/>
      <c r="G687" s="10"/>
    </row>
    <row r="688" ht="14.25" customHeight="1">
      <c r="A688" s="10"/>
      <c r="B688" s="10"/>
      <c r="C688" s="10"/>
      <c r="D688" s="10"/>
      <c r="E688" s="10"/>
      <c r="F688" s="10"/>
      <c r="G688" s="10"/>
    </row>
    <row r="689" ht="14.25" customHeight="1">
      <c r="A689" s="10"/>
      <c r="B689" s="10"/>
      <c r="C689" s="10"/>
      <c r="D689" s="10"/>
      <c r="E689" s="10"/>
      <c r="F689" s="10"/>
      <c r="G689" s="10"/>
    </row>
    <row r="690" ht="14.25" customHeight="1">
      <c r="A690" s="10"/>
      <c r="B690" s="10"/>
      <c r="C690" s="10"/>
      <c r="D690" s="10"/>
      <c r="E690" s="10"/>
      <c r="F690" s="10"/>
      <c r="G690" s="10"/>
    </row>
    <row r="691" ht="14.25" customHeight="1">
      <c r="A691" s="10"/>
      <c r="B691" s="10"/>
      <c r="C691" s="10"/>
      <c r="D691" s="10"/>
      <c r="E691" s="10"/>
      <c r="F691" s="10"/>
      <c r="G691" s="10"/>
    </row>
    <row r="692" ht="14.25" customHeight="1">
      <c r="A692" s="10"/>
      <c r="B692" s="10"/>
      <c r="C692" s="10"/>
      <c r="D692" s="10"/>
      <c r="E692" s="10"/>
      <c r="F692" s="10"/>
      <c r="G692" s="10"/>
    </row>
    <row r="693" ht="14.25" customHeight="1">
      <c r="A693" s="10"/>
      <c r="B693" s="10"/>
      <c r="C693" s="10"/>
      <c r="D693" s="10"/>
      <c r="E693" s="10"/>
      <c r="F693" s="10"/>
      <c r="G693" s="10"/>
    </row>
    <row r="694" ht="14.25" customHeight="1">
      <c r="A694" s="10"/>
      <c r="B694" s="10"/>
      <c r="C694" s="10"/>
      <c r="D694" s="10"/>
      <c r="E694" s="10"/>
      <c r="F694" s="10"/>
      <c r="G694" s="10"/>
    </row>
    <row r="695" ht="14.25" customHeight="1">
      <c r="A695" s="10"/>
      <c r="B695" s="10"/>
      <c r="C695" s="10"/>
      <c r="D695" s="10"/>
      <c r="E695" s="10"/>
      <c r="F695" s="10"/>
      <c r="G695" s="10"/>
    </row>
    <row r="696" ht="14.25" customHeight="1">
      <c r="A696" s="10"/>
      <c r="B696" s="10"/>
      <c r="C696" s="10"/>
      <c r="D696" s="10"/>
      <c r="E696" s="10"/>
      <c r="F696" s="10"/>
      <c r="G696" s="10"/>
    </row>
    <row r="697" ht="14.25" customHeight="1">
      <c r="A697" s="10"/>
      <c r="B697" s="10"/>
      <c r="C697" s="10"/>
      <c r="D697" s="10"/>
      <c r="E697" s="10"/>
      <c r="F697" s="10"/>
      <c r="G697" s="10"/>
    </row>
    <row r="698" ht="14.25" customHeight="1">
      <c r="A698" s="10"/>
      <c r="B698" s="10"/>
      <c r="C698" s="10"/>
      <c r="D698" s="10"/>
      <c r="E698" s="10"/>
      <c r="F698" s="10"/>
      <c r="G698" s="10"/>
    </row>
    <row r="699" ht="14.25" customHeight="1">
      <c r="A699" s="10"/>
      <c r="B699" s="10"/>
      <c r="C699" s="10"/>
      <c r="D699" s="10"/>
      <c r="E699" s="10"/>
      <c r="F699" s="10"/>
      <c r="G699" s="10"/>
    </row>
    <row r="700" ht="14.25" customHeight="1">
      <c r="A700" s="10"/>
      <c r="B700" s="10"/>
      <c r="C700" s="10"/>
      <c r="D700" s="10"/>
      <c r="E700" s="10"/>
      <c r="F700" s="10"/>
      <c r="G700" s="10"/>
    </row>
    <row r="701" ht="14.25" customHeight="1">
      <c r="A701" s="10"/>
      <c r="B701" s="10"/>
      <c r="C701" s="10"/>
      <c r="D701" s="10"/>
      <c r="E701" s="10"/>
      <c r="F701" s="10"/>
      <c r="G701" s="10"/>
    </row>
    <row r="702" ht="14.25" customHeight="1">
      <c r="A702" s="10"/>
      <c r="B702" s="10"/>
      <c r="C702" s="10"/>
      <c r="D702" s="10"/>
      <c r="E702" s="10"/>
      <c r="F702" s="10"/>
      <c r="G702" s="10"/>
    </row>
    <row r="703" ht="14.25" customHeight="1">
      <c r="A703" s="10"/>
      <c r="B703" s="10"/>
      <c r="C703" s="10"/>
      <c r="D703" s="10"/>
      <c r="E703" s="10"/>
      <c r="F703" s="10"/>
      <c r="G703" s="10"/>
    </row>
    <row r="704" ht="14.25" customHeight="1">
      <c r="A704" s="10"/>
      <c r="B704" s="10"/>
      <c r="C704" s="10"/>
      <c r="D704" s="10"/>
      <c r="E704" s="10"/>
      <c r="F704" s="10"/>
      <c r="G704" s="10"/>
    </row>
    <row r="705" ht="14.25" customHeight="1">
      <c r="A705" s="10"/>
      <c r="B705" s="10"/>
      <c r="C705" s="10"/>
      <c r="D705" s="10"/>
      <c r="E705" s="10"/>
      <c r="F705" s="10"/>
      <c r="G705" s="10"/>
    </row>
    <row r="706" ht="14.25" customHeight="1">
      <c r="A706" s="10"/>
      <c r="B706" s="10"/>
      <c r="C706" s="10"/>
      <c r="D706" s="10"/>
      <c r="E706" s="10"/>
      <c r="F706" s="10"/>
      <c r="G706" s="10"/>
    </row>
    <row r="707" ht="14.25" customHeight="1">
      <c r="A707" s="10"/>
      <c r="B707" s="10"/>
      <c r="C707" s="10"/>
      <c r="D707" s="10"/>
      <c r="E707" s="10"/>
      <c r="F707" s="10"/>
      <c r="G707" s="10"/>
    </row>
    <row r="708" ht="14.25" customHeight="1">
      <c r="A708" s="10"/>
      <c r="B708" s="10"/>
      <c r="C708" s="10"/>
      <c r="D708" s="10"/>
      <c r="E708" s="10"/>
      <c r="F708" s="10"/>
      <c r="G708" s="10"/>
    </row>
    <row r="709" ht="14.25" customHeight="1">
      <c r="A709" s="10"/>
      <c r="B709" s="10"/>
      <c r="C709" s="10"/>
      <c r="D709" s="10"/>
      <c r="E709" s="10"/>
      <c r="F709" s="10"/>
      <c r="G709" s="10"/>
    </row>
    <row r="710" ht="14.25" customHeight="1">
      <c r="A710" s="10"/>
      <c r="B710" s="10"/>
      <c r="C710" s="10"/>
      <c r="D710" s="10"/>
      <c r="E710" s="10"/>
      <c r="F710" s="10"/>
      <c r="G710" s="10"/>
    </row>
    <row r="711" ht="14.25" customHeight="1">
      <c r="A711" s="10"/>
      <c r="B711" s="10"/>
      <c r="C711" s="10"/>
      <c r="D711" s="10"/>
      <c r="E711" s="10"/>
      <c r="F711" s="10"/>
      <c r="G711" s="10"/>
    </row>
    <row r="712" ht="14.25" customHeight="1">
      <c r="A712" s="10"/>
      <c r="B712" s="10"/>
      <c r="C712" s="10"/>
      <c r="D712" s="10"/>
      <c r="E712" s="10"/>
      <c r="F712" s="10"/>
      <c r="G712" s="10"/>
    </row>
    <row r="713" ht="14.25" customHeight="1">
      <c r="A713" s="10"/>
      <c r="B713" s="10"/>
      <c r="C713" s="10"/>
      <c r="D713" s="10"/>
      <c r="E713" s="10"/>
      <c r="F713" s="10"/>
      <c r="G713" s="10"/>
    </row>
    <row r="714" ht="14.25" customHeight="1">
      <c r="A714" s="10"/>
      <c r="B714" s="10"/>
      <c r="C714" s="10"/>
      <c r="D714" s="10"/>
      <c r="E714" s="10"/>
      <c r="F714" s="10"/>
      <c r="G714" s="10"/>
    </row>
    <row r="715" ht="14.25" customHeight="1">
      <c r="A715" s="10"/>
      <c r="B715" s="10"/>
      <c r="C715" s="10"/>
      <c r="D715" s="10"/>
      <c r="E715" s="10"/>
      <c r="F715" s="10"/>
      <c r="G715" s="10"/>
    </row>
    <row r="716" ht="14.25" customHeight="1">
      <c r="A716" s="10"/>
      <c r="B716" s="10"/>
      <c r="C716" s="10"/>
      <c r="D716" s="10"/>
      <c r="E716" s="10"/>
      <c r="F716" s="10"/>
      <c r="G716" s="10"/>
    </row>
    <row r="717" ht="14.25" customHeight="1">
      <c r="A717" s="10"/>
      <c r="B717" s="10"/>
      <c r="C717" s="10"/>
      <c r="D717" s="10"/>
      <c r="E717" s="10"/>
      <c r="F717" s="10"/>
      <c r="G717" s="10"/>
    </row>
    <row r="718" ht="14.25" customHeight="1">
      <c r="A718" s="10"/>
      <c r="B718" s="10"/>
      <c r="C718" s="10"/>
      <c r="D718" s="10"/>
      <c r="E718" s="10"/>
      <c r="F718" s="10"/>
      <c r="G718" s="10"/>
    </row>
    <row r="719" ht="14.25" customHeight="1">
      <c r="A719" s="10"/>
      <c r="B719" s="10"/>
      <c r="C719" s="10"/>
      <c r="D719" s="10"/>
      <c r="E719" s="10"/>
      <c r="F719" s="10"/>
      <c r="G719" s="10"/>
    </row>
    <row r="720" ht="14.25" customHeight="1">
      <c r="A720" s="10"/>
      <c r="B720" s="10"/>
      <c r="C720" s="10"/>
      <c r="D720" s="10"/>
      <c r="E720" s="10"/>
      <c r="F720" s="10"/>
      <c r="G720" s="10"/>
    </row>
    <row r="721" ht="14.25" customHeight="1">
      <c r="A721" s="10"/>
      <c r="B721" s="10"/>
      <c r="C721" s="10"/>
      <c r="D721" s="10"/>
      <c r="E721" s="10"/>
      <c r="F721" s="10"/>
      <c r="G721" s="10"/>
    </row>
    <row r="722" ht="14.25" customHeight="1">
      <c r="A722" s="10"/>
      <c r="B722" s="10"/>
      <c r="C722" s="10"/>
      <c r="D722" s="10"/>
      <c r="E722" s="10"/>
      <c r="F722" s="10"/>
      <c r="G722" s="10"/>
    </row>
    <row r="723" ht="14.25" customHeight="1">
      <c r="A723" s="10"/>
      <c r="B723" s="10"/>
      <c r="C723" s="10"/>
      <c r="D723" s="10"/>
      <c r="E723" s="10"/>
      <c r="F723" s="10"/>
      <c r="G723" s="10"/>
    </row>
    <row r="724" ht="14.25" customHeight="1">
      <c r="A724" s="10"/>
      <c r="B724" s="10"/>
      <c r="C724" s="10"/>
      <c r="D724" s="10"/>
      <c r="E724" s="10"/>
      <c r="F724" s="10"/>
      <c r="G724" s="10"/>
    </row>
    <row r="725" ht="14.25" customHeight="1">
      <c r="A725" s="10"/>
      <c r="B725" s="10"/>
      <c r="C725" s="10"/>
      <c r="D725" s="10"/>
      <c r="E725" s="10"/>
      <c r="F725" s="10"/>
      <c r="G725" s="10"/>
    </row>
    <row r="726" ht="14.25" customHeight="1">
      <c r="A726" s="10"/>
      <c r="B726" s="10"/>
      <c r="C726" s="10"/>
      <c r="D726" s="10"/>
      <c r="E726" s="10"/>
      <c r="F726" s="10"/>
      <c r="G726" s="10"/>
    </row>
    <row r="727" ht="14.25" customHeight="1">
      <c r="A727" s="10"/>
      <c r="B727" s="10"/>
      <c r="C727" s="10"/>
      <c r="D727" s="10"/>
      <c r="E727" s="10"/>
      <c r="F727" s="10"/>
      <c r="G727" s="10"/>
    </row>
    <row r="728" ht="14.25" customHeight="1">
      <c r="A728" s="10"/>
      <c r="B728" s="10"/>
      <c r="C728" s="10"/>
      <c r="D728" s="10"/>
      <c r="E728" s="10"/>
      <c r="F728" s="10"/>
      <c r="G728" s="10"/>
    </row>
    <row r="729" ht="14.25" customHeight="1">
      <c r="A729" s="10"/>
      <c r="B729" s="10"/>
      <c r="C729" s="10"/>
      <c r="D729" s="10"/>
      <c r="E729" s="10"/>
      <c r="F729" s="10"/>
      <c r="G729" s="10"/>
    </row>
    <row r="730" ht="14.25" customHeight="1">
      <c r="A730" s="10"/>
      <c r="B730" s="10"/>
      <c r="C730" s="10"/>
      <c r="D730" s="10"/>
      <c r="E730" s="10"/>
      <c r="F730" s="10"/>
      <c r="G730" s="10"/>
    </row>
    <row r="731" ht="14.25" customHeight="1">
      <c r="A731" s="10"/>
      <c r="B731" s="10"/>
      <c r="C731" s="10"/>
      <c r="D731" s="10"/>
      <c r="E731" s="10"/>
      <c r="F731" s="10"/>
      <c r="G731" s="10"/>
    </row>
    <row r="732" ht="14.25" customHeight="1">
      <c r="A732" s="10"/>
      <c r="B732" s="10"/>
      <c r="C732" s="10"/>
      <c r="D732" s="10"/>
      <c r="E732" s="10"/>
      <c r="F732" s="10"/>
      <c r="G732" s="10"/>
    </row>
    <row r="733" ht="14.25" customHeight="1">
      <c r="A733" s="10"/>
      <c r="B733" s="10"/>
      <c r="C733" s="10"/>
      <c r="D733" s="10"/>
      <c r="E733" s="10"/>
      <c r="F733" s="10"/>
      <c r="G733" s="10"/>
    </row>
    <row r="734" ht="14.25" customHeight="1">
      <c r="A734" s="10"/>
      <c r="B734" s="10"/>
      <c r="C734" s="10"/>
      <c r="D734" s="10"/>
      <c r="E734" s="10"/>
      <c r="F734" s="10"/>
      <c r="G734" s="10"/>
    </row>
    <row r="735" ht="14.25" customHeight="1">
      <c r="A735" s="10"/>
      <c r="B735" s="10"/>
      <c r="C735" s="10"/>
      <c r="D735" s="10"/>
      <c r="E735" s="10"/>
      <c r="F735" s="10"/>
      <c r="G735" s="10"/>
    </row>
    <row r="736" ht="14.25" customHeight="1">
      <c r="A736" s="10"/>
      <c r="B736" s="10"/>
      <c r="C736" s="10"/>
      <c r="D736" s="10"/>
      <c r="E736" s="10"/>
      <c r="F736" s="10"/>
      <c r="G736" s="10"/>
    </row>
    <row r="737" ht="14.25" customHeight="1">
      <c r="A737" s="10"/>
      <c r="B737" s="10"/>
      <c r="C737" s="10"/>
      <c r="D737" s="10"/>
      <c r="E737" s="10"/>
      <c r="F737" s="10"/>
      <c r="G737" s="10"/>
    </row>
    <row r="738" ht="14.25" customHeight="1">
      <c r="A738" s="10"/>
      <c r="B738" s="10"/>
      <c r="C738" s="10"/>
      <c r="D738" s="10"/>
      <c r="E738" s="10"/>
      <c r="F738" s="10"/>
      <c r="G738" s="10"/>
    </row>
    <row r="739" ht="14.25" customHeight="1">
      <c r="A739" s="10"/>
      <c r="B739" s="10"/>
      <c r="C739" s="10"/>
      <c r="D739" s="10"/>
      <c r="E739" s="10"/>
      <c r="F739" s="10"/>
      <c r="G739" s="10"/>
    </row>
    <row r="740" ht="14.25" customHeight="1">
      <c r="A740" s="10"/>
      <c r="B740" s="10"/>
      <c r="C740" s="10"/>
      <c r="D740" s="10"/>
      <c r="E740" s="10"/>
      <c r="F740" s="10"/>
      <c r="G740" s="10"/>
    </row>
    <row r="741" ht="14.25" customHeight="1">
      <c r="A741" s="10"/>
      <c r="B741" s="10"/>
      <c r="C741" s="10"/>
      <c r="D741" s="10"/>
      <c r="E741" s="10"/>
      <c r="F741" s="10"/>
      <c r="G741" s="10"/>
    </row>
    <row r="742" ht="14.25" customHeight="1">
      <c r="A742" s="10"/>
      <c r="B742" s="10"/>
      <c r="C742" s="10"/>
      <c r="D742" s="10"/>
      <c r="E742" s="10"/>
      <c r="F742" s="10"/>
      <c r="G742" s="10"/>
    </row>
    <row r="743" ht="14.25" customHeight="1">
      <c r="A743" s="10"/>
      <c r="B743" s="10"/>
      <c r="C743" s="10"/>
      <c r="D743" s="10"/>
      <c r="E743" s="10"/>
      <c r="F743" s="10"/>
      <c r="G743" s="10"/>
    </row>
    <row r="744" ht="14.25" customHeight="1">
      <c r="A744" s="10"/>
      <c r="B744" s="10"/>
      <c r="C744" s="10"/>
      <c r="D744" s="10"/>
      <c r="E744" s="10"/>
      <c r="F744" s="10"/>
      <c r="G744" s="10"/>
    </row>
    <row r="745" ht="14.25" customHeight="1">
      <c r="A745" s="10"/>
      <c r="B745" s="10"/>
      <c r="C745" s="10"/>
      <c r="D745" s="10"/>
      <c r="E745" s="10"/>
      <c r="F745" s="10"/>
      <c r="G745" s="10"/>
    </row>
    <row r="746" ht="14.25" customHeight="1">
      <c r="A746" s="10"/>
      <c r="B746" s="10"/>
      <c r="C746" s="10"/>
      <c r="D746" s="10"/>
      <c r="E746" s="10"/>
      <c r="F746" s="10"/>
      <c r="G746" s="10"/>
    </row>
    <row r="747" ht="14.25" customHeight="1">
      <c r="A747" s="10"/>
      <c r="B747" s="10"/>
      <c r="C747" s="10"/>
      <c r="D747" s="10"/>
      <c r="E747" s="10"/>
      <c r="F747" s="10"/>
      <c r="G747" s="10"/>
    </row>
    <row r="748" ht="14.25" customHeight="1">
      <c r="A748" s="10"/>
      <c r="B748" s="10"/>
      <c r="C748" s="10"/>
      <c r="D748" s="10"/>
      <c r="E748" s="10"/>
      <c r="F748" s="10"/>
      <c r="G748" s="10"/>
    </row>
    <row r="749" ht="14.25" customHeight="1">
      <c r="A749" s="10"/>
      <c r="B749" s="10"/>
      <c r="C749" s="10"/>
      <c r="D749" s="10"/>
      <c r="E749" s="10"/>
      <c r="F749" s="10"/>
      <c r="G749" s="10"/>
    </row>
    <row r="750" ht="14.25" customHeight="1">
      <c r="A750" s="10"/>
      <c r="B750" s="10"/>
      <c r="C750" s="10"/>
      <c r="D750" s="10"/>
      <c r="E750" s="10"/>
      <c r="F750" s="10"/>
      <c r="G750" s="10"/>
    </row>
    <row r="751" ht="14.25" customHeight="1">
      <c r="A751" s="10"/>
      <c r="B751" s="10"/>
      <c r="C751" s="10"/>
      <c r="D751" s="10"/>
      <c r="E751" s="10"/>
      <c r="F751" s="10"/>
      <c r="G751" s="10"/>
    </row>
    <row r="752" ht="14.25" customHeight="1">
      <c r="A752" s="10"/>
      <c r="B752" s="10"/>
      <c r="C752" s="10"/>
      <c r="D752" s="10"/>
      <c r="E752" s="10"/>
      <c r="F752" s="10"/>
      <c r="G752" s="10"/>
    </row>
    <row r="753" ht="14.25" customHeight="1">
      <c r="A753" s="10"/>
      <c r="B753" s="10"/>
      <c r="C753" s="10"/>
      <c r="D753" s="10"/>
      <c r="E753" s="10"/>
      <c r="F753" s="10"/>
      <c r="G753" s="10"/>
    </row>
    <row r="754" ht="14.25" customHeight="1">
      <c r="A754" s="10"/>
      <c r="B754" s="10"/>
      <c r="C754" s="10"/>
      <c r="D754" s="10"/>
      <c r="E754" s="10"/>
      <c r="F754" s="10"/>
      <c r="G754" s="10"/>
    </row>
    <row r="755" ht="14.25" customHeight="1">
      <c r="A755" s="10"/>
      <c r="B755" s="10"/>
      <c r="C755" s="10"/>
      <c r="D755" s="10"/>
      <c r="E755" s="10"/>
      <c r="F755" s="10"/>
      <c r="G755" s="10"/>
    </row>
    <row r="756" ht="14.25" customHeight="1">
      <c r="A756" s="10"/>
      <c r="B756" s="10"/>
      <c r="C756" s="10"/>
      <c r="D756" s="10"/>
      <c r="E756" s="10"/>
      <c r="F756" s="10"/>
      <c r="G756" s="10"/>
    </row>
    <row r="757" ht="14.25" customHeight="1">
      <c r="A757" s="10"/>
      <c r="B757" s="10"/>
      <c r="C757" s="10"/>
      <c r="D757" s="10"/>
      <c r="E757" s="10"/>
      <c r="F757" s="10"/>
      <c r="G757" s="10"/>
    </row>
    <row r="758" ht="14.25" customHeight="1">
      <c r="A758" s="10"/>
      <c r="B758" s="10"/>
      <c r="C758" s="10"/>
      <c r="D758" s="10"/>
      <c r="E758" s="10"/>
      <c r="F758" s="10"/>
      <c r="G758" s="10"/>
    </row>
    <row r="759" ht="14.25" customHeight="1">
      <c r="A759" s="10"/>
      <c r="B759" s="10"/>
      <c r="C759" s="10"/>
      <c r="D759" s="10"/>
      <c r="E759" s="10"/>
      <c r="F759" s="10"/>
      <c r="G759" s="10"/>
    </row>
    <row r="760" ht="14.25" customHeight="1">
      <c r="A760" s="10"/>
      <c r="B760" s="10"/>
      <c r="C760" s="10"/>
      <c r="D760" s="10"/>
      <c r="E760" s="10"/>
      <c r="F760" s="10"/>
      <c r="G760" s="10"/>
    </row>
    <row r="761" ht="14.25" customHeight="1">
      <c r="A761" s="10"/>
      <c r="B761" s="10"/>
      <c r="C761" s="10"/>
      <c r="D761" s="10"/>
      <c r="E761" s="10"/>
      <c r="F761" s="10"/>
      <c r="G761" s="10"/>
    </row>
    <row r="762" ht="14.25" customHeight="1">
      <c r="A762" s="10"/>
      <c r="B762" s="10"/>
      <c r="C762" s="10"/>
      <c r="D762" s="10"/>
      <c r="E762" s="10"/>
      <c r="F762" s="10"/>
      <c r="G762" s="10"/>
    </row>
    <row r="763" ht="14.25" customHeight="1">
      <c r="A763" s="10"/>
      <c r="B763" s="10"/>
      <c r="C763" s="10"/>
      <c r="D763" s="10"/>
      <c r="E763" s="10"/>
      <c r="F763" s="10"/>
      <c r="G763" s="10"/>
    </row>
    <row r="764" ht="14.25" customHeight="1">
      <c r="A764" s="10"/>
      <c r="B764" s="10"/>
      <c r="C764" s="10"/>
      <c r="D764" s="10"/>
      <c r="E764" s="10"/>
      <c r="F764" s="10"/>
      <c r="G764" s="10"/>
    </row>
    <row r="765" ht="14.25" customHeight="1">
      <c r="A765" s="10"/>
      <c r="B765" s="10"/>
      <c r="C765" s="10"/>
      <c r="D765" s="10"/>
      <c r="E765" s="10"/>
      <c r="F765" s="10"/>
      <c r="G765" s="10"/>
    </row>
    <row r="766" ht="14.25" customHeight="1">
      <c r="A766" s="10"/>
      <c r="B766" s="10"/>
      <c r="C766" s="10"/>
      <c r="D766" s="10"/>
      <c r="E766" s="10"/>
      <c r="F766" s="10"/>
      <c r="G766" s="10"/>
    </row>
    <row r="767" ht="14.25" customHeight="1">
      <c r="A767" s="10"/>
      <c r="B767" s="10"/>
      <c r="C767" s="10"/>
      <c r="D767" s="10"/>
      <c r="E767" s="10"/>
      <c r="F767" s="10"/>
      <c r="G767" s="10"/>
    </row>
    <row r="768" ht="14.25" customHeight="1">
      <c r="A768" s="10"/>
      <c r="B768" s="10"/>
      <c r="C768" s="10"/>
      <c r="D768" s="10"/>
      <c r="E768" s="10"/>
      <c r="F768" s="10"/>
      <c r="G768" s="10"/>
    </row>
    <row r="769" ht="14.25" customHeight="1">
      <c r="A769" s="10"/>
      <c r="B769" s="10"/>
      <c r="C769" s="10"/>
      <c r="D769" s="10"/>
      <c r="E769" s="10"/>
      <c r="F769" s="10"/>
      <c r="G769" s="10"/>
    </row>
    <row r="770" ht="14.25" customHeight="1">
      <c r="A770" s="10"/>
      <c r="B770" s="10"/>
      <c r="C770" s="10"/>
      <c r="D770" s="10"/>
      <c r="E770" s="10"/>
      <c r="F770" s="10"/>
      <c r="G770" s="10"/>
    </row>
    <row r="771" ht="14.25" customHeight="1">
      <c r="A771" s="10"/>
      <c r="B771" s="10"/>
      <c r="C771" s="10"/>
      <c r="D771" s="10"/>
      <c r="E771" s="10"/>
      <c r="F771" s="10"/>
      <c r="G771" s="10"/>
    </row>
    <row r="772" ht="14.25" customHeight="1">
      <c r="A772" s="10"/>
      <c r="B772" s="10"/>
      <c r="C772" s="10"/>
      <c r="D772" s="10"/>
      <c r="E772" s="10"/>
      <c r="F772" s="10"/>
      <c r="G772" s="10"/>
    </row>
    <row r="773" ht="14.25" customHeight="1">
      <c r="A773" s="10"/>
      <c r="B773" s="10"/>
      <c r="C773" s="10"/>
      <c r="D773" s="10"/>
      <c r="E773" s="10"/>
      <c r="F773" s="10"/>
      <c r="G773" s="10"/>
    </row>
    <row r="774" ht="14.25" customHeight="1">
      <c r="A774" s="10"/>
      <c r="B774" s="10"/>
      <c r="C774" s="10"/>
      <c r="D774" s="10"/>
      <c r="E774" s="10"/>
      <c r="F774" s="10"/>
      <c r="G774" s="10"/>
    </row>
    <row r="775" ht="14.25" customHeight="1">
      <c r="A775" s="10"/>
      <c r="B775" s="10"/>
      <c r="C775" s="10"/>
      <c r="D775" s="10"/>
      <c r="E775" s="10"/>
      <c r="F775" s="10"/>
      <c r="G775" s="10"/>
    </row>
    <row r="776" ht="14.25" customHeight="1">
      <c r="A776" s="10"/>
      <c r="B776" s="10"/>
      <c r="C776" s="10"/>
      <c r="D776" s="10"/>
      <c r="E776" s="10"/>
      <c r="F776" s="10"/>
      <c r="G776" s="10"/>
    </row>
    <row r="777" ht="14.25" customHeight="1">
      <c r="A777" s="10"/>
      <c r="B777" s="10"/>
      <c r="C777" s="10"/>
      <c r="D777" s="10"/>
      <c r="E777" s="10"/>
      <c r="F777" s="10"/>
      <c r="G777" s="10"/>
    </row>
    <row r="778" ht="14.25" customHeight="1">
      <c r="A778" s="10"/>
      <c r="B778" s="10"/>
      <c r="C778" s="10"/>
      <c r="D778" s="10"/>
      <c r="E778" s="10"/>
      <c r="F778" s="10"/>
      <c r="G778" s="10"/>
    </row>
    <row r="779" ht="14.25" customHeight="1">
      <c r="A779" s="10"/>
      <c r="B779" s="10"/>
      <c r="C779" s="10"/>
      <c r="D779" s="10"/>
      <c r="E779" s="10"/>
      <c r="F779" s="10"/>
      <c r="G779" s="10"/>
    </row>
    <row r="780" ht="14.25" customHeight="1">
      <c r="A780" s="10"/>
      <c r="B780" s="10"/>
      <c r="C780" s="10"/>
      <c r="D780" s="10"/>
      <c r="E780" s="10"/>
      <c r="F780" s="10"/>
      <c r="G780" s="10"/>
    </row>
    <row r="781" ht="14.25" customHeight="1">
      <c r="A781" s="10"/>
      <c r="B781" s="10"/>
      <c r="C781" s="10"/>
      <c r="D781" s="10"/>
      <c r="E781" s="10"/>
      <c r="F781" s="10"/>
      <c r="G781" s="10"/>
    </row>
    <row r="782" ht="14.25" customHeight="1">
      <c r="A782" s="10"/>
      <c r="B782" s="10"/>
      <c r="C782" s="10"/>
      <c r="D782" s="10"/>
      <c r="E782" s="10"/>
      <c r="F782" s="10"/>
      <c r="G782" s="10"/>
    </row>
    <row r="783" ht="14.25" customHeight="1">
      <c r="A783" s="10"/>
      <c r="B783" s="10"/>
      <c r="C783" s="10"/>
      <c r="D783" s="10"/>
      <c r="E783" s="10"/>
      <c r="F783" s="10"/>
      <c r="G783" s="10"/>
    </row>
    <row r="784" ht="14.25" customHeight="1">
      <c r="A784" s="10"/>
      <c r="B784" s="10"/>
      <c r="C784" s="10"/>
      <c r="D784" s="10"/>
      <c r="E784" s="10"/>
      <c r="F784" s="10"/>
      <c r="G784" s="10"/>
    </row>
    <row r="785" ht="14.25" customHeight="1">
      <c r="A785" s="10"/>
      <c r="B785" s="10"/>
      <c r="C785" s="10"/>
      <c r="D785" s="10"/>
      <c r="E785" s="10"/>
      <c r="F785" s="10"/>
      <c r="G785" s="10"/>
    </row>
    <row r="786" ht="14.25" customHeight="1">
      <c r="A786" s="10"/>
      <c r="B786" s="10"/>
      <c r="C786" s="10"/>
      <c r="D786" s="10"/>
      <c r="E786" s="10"/>
      <c r="F786" s="10"/>
      <c r="G786" s="10"/>
    </row>
    <row r="787" ht="14.25" customHeight="1">
      <c r="A787" s="10"/>
      <c r="B787" s="10"/>
      <c r="C787" s="10"/>
      <c r="D787" s="10"/>
      <c r="E787" s="10"/>
      <c r="F787" s="10"/>
      <c r="G787" s="10"/>
    </row>
    <row r="788" ht="14.25" customHeight="1">
      <c r="A788" s="10"/>
      <c r="B788" s="10"/>
      <c r="C788" s="10"/>
      <c r="D788" s="10"/>
      <c r="E788" s="10"/>
      <c r="F788" s="10"/>
      <c r="G788" s="10"/>
    </row>
    <row r="789" ht="14.25" customHeight="1">
      <c r="A789" s="10"/>
      <c r="B789" s="10"/>
      <c r="C789" s="10"/>
      <c r="D789" s="10"/>
      <c r="E789" s="10"/>
      <c r="F789" s="10"/>
      <c r="G789" s="10"/>
    </row>
    <row r="790" ht="14.25" customHeight="1">
      <c r="A790" s="10"/>
      <c r="B790" s="10"/>
      <c r="C790" s="10"/>
      <c r="D790" s="10"/>
      <c r="E790" s="10"/>
      <c r="F790" s="10"/>
      <c r="G790" s="10"/>
    </row>
    <row r="791" ht="14.25" customHeight="1">
      <c r="A791" s="10"/>
      <c r="B791" s="10"/>
      <c r="C791" s="10"/>
      <c r="D791" s="10"/>
      <c r="E791" s="10"/>
      <c r="F791" s="10"/>
      <c r="G791" s="10"/>
    </row>
    <row r="792" ht="14.25" customHeight="1">
      <c r="A792" s="10"/>
      <c r="B792" s="10"/>
      <c r="C792" s="10"/>
      <c r="D792" s="10"/>
      <c r="E792" s="10"/>
      <c r="F792" s="10"/>
      <c r="G792" s="10"/>
    </row>
    <row r="793" ht="14.25" customHeight="1">
      <c r="A793" s="10"/>
      <c r="B793" s="10"/>
      <c r="C793" s="10"/>
      <c r="D793" s="10"/>
      <c r="E793" s="10"/>
      <c r="F793" s="10"/>
      <c r="G793" s="10"/>
    </row>
    <row r="794" ht="14.25" customHeight="1">
      <c r="A794" s="10"/>
      <c r="B794" s="10"/>
      <c r="C794" s="10"/>
      <c r="D794" s="10"/>
      <c r="E794" s="10"/>
      <c r="F794" s="10"/>
      <c r="G794" s="10"/>
    </row>
    <row r="795" ht="14.25" customHeight="1">
      <c r="A795" s="10"/>
      <c r="B795" s="10"/>
      <c r="C795" s="10"/>
      <c r="D795" s="10"/>
      <c r="E795" s="10"/>
      <c r="F795" s="10"/>
      <c r="G795" s="10"/>
    </row>
    <row r="796" ht="14.25" customHeight="1">
      <c r="A796" s="10"/>
      <c r="B796" s="10"/>
      <c r="C796" s="10"/>
      <c r="D796" s="10"/>
      <c r="E796" s="10"/>
      <c r="F796" s="10"/>
      <c r="G796" s="10"/>
    </row>
    <row r="797" ht="14.25" customHeight="1">
      <c r="A797" s="10"/>
      <c r="B797" s="10"/>
      <c r="C797" s="10"/>
      <c r="D797" s="10"/>
      <c r="E797" s="10"/>
      <c r="F797" s="10"/>
      <c r="G797" s="10"/>
    </row>
    <row r="798" ht="14.25" customHeight="1">
      <c r="A798" s="10"/>
      <c r="B798" s="10"/>
      <c r="C798" s="10"/>
      <c r="D798" s="10"/>
      <c r="E798" s="10"/>
      <c r="F798" s="10"/>
      <c r="G798" s="10"/>
    </row>
    <row r="799" ht="14.25" customHeight="1">
      <c r="A799" s="10"/>
      <c r="B799" s="10"/>
      <c r="C799" s="10"/>
      <c r="D799" s="10"/>
      <c r="E799" s="10"/>
      <c r="F799" s="10"/>
      <c r="G799" s="10"/>
    </row>
    <row r="800" ht="14.25" customHeight="1">
      <c r="A800" s="10"/>
      <c r="B800" s="10"/>
      <c r="C800" s="10"/>
      <c r="D800" s="10"/>
      <c r="E800" s="10"/>
      <c r="F800" s="10"/>
      <c r="G800" s="10"/>
    </row>
    <row r="801" ht="14.25" customHeight="1">
      <c r="A801" s="10"/>
      <c r="B801" s="10"/>
      <c r="C801" s="10"/>
      <c r="D801" s="10"/>
      <c r="E801" s="10"/>
      <c r="F801" s="10"/>
      <c r="G801" s="10"/>
    </row>
    <row r="802" ht="14.25" customHeight="1">
      <c r="A802" s="10"/>
      <c r="B802" s="10"/>
      <c r="C802" s="10"/>
      <c r="D802" s="10"/>
      <c r="E802" s="10"/>
      <c r="F802" s="10"/>
      <c r="G802" s="10"/>
    </row>
    <row r="803" ht="14.25" customHeight="1">
      <c r="A803" s="10"/>
      <c r="B803" s="10"/>
      <c r="C803" s="10"/>
      <c r="D803" s="10"/>
      <c r="E803" s="10"/>
      <c r="F803" s="10"/>
      <c r="G803" s="10"/>
    </row>
    <row r="804" ht="14.25" customHeight="1">
      <c r="A804" s="10"/>
      <c r="B804" s="10"/>
      <c r="C804" s="10"/>
      <c r="D804" s="10"/>
      <c r="E804" s="10"/>
      <c r="F804" s="10"/>
      <c r="G804" s="10"/>
    </row>
    <row r="805" ht="14.25" customHeight="1">
      <c r="A805" s="10"/>
      <c r="B805" s="10"/>
      <c r="C805" s="10"/>
      <c r="D805" s="10"/>
      <c r="E805" s="10"/>
      <c r="F805" s="10"/>
      <c r="G805" s="10"/>
    </row>
    <row r="806" ht="14.25" customHeight="1">
      <c r="A806" s="10"/>
      <c r="B806" s="10"/>
      <c r="C806" s="10"/>
      <c r="D806" s="10"/>
      <c r="E806" s="10"/>
      <c r="F806" s="10"/>
      <c r="G806" s="10"/>
    </row>
    <row r="807" ht="14.25" customHeight="1">
      <c r="A807" s="10"/>
      <c r="B807" s="10"/>
      <c r="C807" s="10"/>
      <c r="D807" s="10"/>
      <c r="E807" s="10"/>
      <c r="F807" s="10"/>
      <c r="G807" s="10"/>
    </row>
    <row r="808" ht="14.25" customHeight="1">
      <c r="A808" s="10"/>
      <c r="B808" s="10"/>
      <c r="C808" s="10"/>
      <c r="D808" s="10"/>
      <c r="E808" s="10"/>
      <c r="F808" s="10"/>
      <c r="G808" s="10"/>
    </row>
    <row r="809" ht="14.25" customHeight="1">
      <c r="A809" s="10"/>
      <c r="B809" s="10"/>
      <c r="C809" s="10"/>
      <c r="D809" s="10"/>
      <c r="E809" s="10"/>
      <c r="F809" s="10"/>
      <c r="G809" s="10"/>
    </row>
    <row r="810" ht="14.25" customHeight="1">
      <c r="A810" s="10"/>
      <c r="B810" s="10"/>
      <c r="C810" s="10"/>
      <c r="D810" s="10"/>
      <c r="E810" s="10"/>
      <c r="F810" s="10"/>
      <c r="G810" s="10"/>
    </row>
    <row r="811" ht="14.25" customHeight="1">
      <c r="A811" s="10"/>
      <c r="B811" s="10"/>
      <c r="C811" s="10"/>
      <c r="D811" s="10"/>
      <c r="E811" s="10"/>
      <c r="F811" s="10"/>
      <c r="G811" s="10"/>
    </row>
    <row r="812" ht="14.25" customHeight="1">
      <c r="A812" s="10"/>
      <c r="B812" s="10"/>
      <c r="C812" s="10"/>
      <c r="D812" s="10"/>
      <c r="E812" s="10"/>
      <c r="F812" s="10"/>
      <c r="G812" s="10"/>
    </row>
    <row r="813" ht="14.25" customHeight="1">
      <c r="A813" s="10"/>
      <c r="B813" s="10"/>
      <c r="C813" s="10"/>
      <c r="D813" s="10"/>
      <c r="E813" s="10"/>
      <c r="F813" s="10"/>
      <c r="G813" s="10"/>
    </row>
    <row r="814" ht="14.25" customHeight="1">
      <c r="A814" s="10"/>
      <c r="B814" s="10"/>
      <c r="C814" s="10"/>
      <c r="D814" s="10"/>
      <c r="E814" s="10"/>
      <c r="F814" s="10"/>
      <c r="G814" s="10"/>
    </row>
    <row r="815" ht="14.25" customHeight="1">
      <c r="A815" s="10"/>
      <c r="B815" s="10"/>
      <c r="C815" s="10"/>
      <c r="D815" s="10"/>
      <c r="E815" s="10"/>
      <c r="F815" s="10"/>
      <c r="G815" s="10"/>
    </row>
    <row r="816" ht="14.25" customHeight="1">
      <c r="A816" s="10"/>
      <c r="B816" s="10"/>
      <c r="C816" s="10"/>
      <c r="D816" s="10"/>
      <c r="E816" s="10"/>
      <c r="F816" s="10"/>
      <c r="G816" s="10"/>
    </row>
    <row r="817" ht="14.25" customHeight="1">
      <c r="A817" s="10"/>
      <c r="B817" s="10"/>
      <c r="C817" s="10"/>
      <c r="D817" s="10"/>
      <c r="E817" s="10"/>
      <c r="F817" s="10"/>
      <c r="G817" s="10"/>
    </row>
    <row r="818" ht="14.25" customHeight="1">
      <c r="A818" s="10"/>
      <c r="B818" s="10"/>
      <c r="C818" s="10"/>
      <c r="D818" s="10"/>
      <c r="E818" s="10"/>
      <c r="F818" s="10"/>
      <c r="G818" s="10"/>
    </row>
    <row r="819" ht="14.25" customHeight="1">
      <c r="A819" s="10"/>
      <c r="B819" s="10"/>
      <c r="C819" s="10"/>
      <c r="D819" s="10"/>
      <c r="E819" s="10"/>
      <c r="F819" s="10"/>
      <c r="G819" s="10"/>
    </row>
    <row r="820" ht="14.25" customHeight="1">
      <c r="A820" s="10"/>
      <c r="B820" s="10"/>
      <c r="C820" s="10"/>
      <c r="D820" s="10"/>
      <c r="E820" s="10"/>
      <c r="F820" s="10"/>
      <c r="G820" s="10"/>
    </row>
    <row r="821" ht="14.25" customHeight="1">
      <c r="A821" s="10"/>
      <c r="B821" s="10"/>
      <c r="C821" s="10"/>
      <c r="D821" s="10"/>
      <c r="E821" s="10"/>
      <c r="F821" s="10"/>
      <c r="G821" s="10"/>
    </row>
    <row r="822" ht="14.25" customHeight="1">
      <c r="A822" s="10"/>
      <c r="B822" s="10"/>
      <c r="C822" s="10"/>
      <c r="D822" s="10"/>
      <c r="E822" s="10"/>
      <c r="F822" s="10"/>
      <c r="G822" s="10"/>
    </row>
    <row r="823" ht="14.25" customHeight="1">
      <c r="A823" s="10"/>
      <c r="B823" s="10"/>
      <c r="C823" s="10"/>
      <c r="D823" s="10"/>
      <c r="E823" s="10"/>
      <c r="F823" s="10"/>
      <c r="G823" s="10"/>
    </row>
    <row r="824" ht="14.25" customHeight="1">
      <c r="A824" s="10"/>
      <c r="B824" s="10"/>
      <c r="C824" s="10"/>
      <c r="D824" s="10"/>
      <c r="E824" s="10"/>
      <c r="F824" s="10"/>
      <c r="G824" s="10"/>
    </row>
    <row r="825" ht="14.25" customHeight="1">
      <c r="A825" s="10"/>
      <c r="B825" s="10"/>
      <c r="C825" s="10"/>
      <c r="D825" s="10"/>
      <c r="E825" s="10"/>
      <c r="F825" s="10"/>
      <c r="G825" s="10"/>
    </row>
    <row r="826" ht="14.25" customHeight="1">
      <c r="A826" s="10"/>
      <c r="B826" s="10"/>
      <c r="C826" s="10"/>
      <c r="D826" s="10"/>
      <c r="E826" s="10"/>
      <c r="F826" s="10"/>
      <c r="G826" s="10"/>
    </row>
    <row r="827" ht="14.25" customHeight="1">
      <c r="A827" s="10"/>
      <c r="B827" s="10"/>
      <c r="C827" s="10"/>
      <c r="D827" s="10"/>
      <c r="E827" s="10"/>
      <c r="F827" s="10"/>
      <c r="G827" s="10"/>
    </row>
    <row r="828" ht="14.25" customHeight="1">
      <c r="A828" s="10"/>
      <c r="B828" s="10"/>
      <c r="C828" s="10"/>
      <c r="D828" s="10"/>
      <c r="E828" s="10"/>
      <c r="F828" s="10"/>
      <c r="G828" s="10"/>
    </row>
    <row r="829" ht="14.25" customHeight="1">
      <c r="A829" s="10"/>
      <c r="B829" s="10"/>
      <c r="C829" s="10"/>
      <c r="D829" s="10"/>
      <c r="E829" s="10"/>
      <c r="F829" s="10"/>
      <c r="G829" s="10"/>
    </row>
    <row r="830" ht="14.25" customHeight="1">
      <c r="A830" s="10"/>
      <c r="B830" s="10"/>
      <c r="C830" s="10"/>
      <c r="D830" s="10"/>
      <c r="E830" s="10"/>
      <c r="F830" s="10"/>
      <c r="G830" s="10"/>
    </row>
    <row r="831" ht="14.25" customHeight="1">
      <c r="A831" s="10"/>
      <c r="B831" s="10"/>
      <c r="C831" s="10"/>
      <c r="D831" s="10"/>
      <c r="E831" s="10"/>
      <c r="F831" s="10"/>
      <c r="G831" s="10"/>
    </row>
    <row r="832" ht="14.25" customHeight="1">
      <c r="A832" s="10"/>
      <c r="B832" s="10"/>
      <c r="C832" s="10"/>
      <c r="D832" s="10"/>
      <c r="E832" s="10"/>
      <c r="F832" s="10"/>
      <c r="G832" s="10"/>
    </row>
    <row r="833" ht="14.25" customHeight="1">
      <c r="A833" s="10"/>
      <c r="B833" s="10"/>
      <c r="C833" s="10"/>
      <c r="D833" s="10"/>
      <c r="E833" s="10"/>
      <c r="F833" s="10"/>
      <c r="G833" s="10"/>
    </row>
    <row r="834" ht="14.25" customHeight="1">
      <c r="A834" s="10"/>
      <c r="B834" s="10"/>
      <c r="C834" s="10"/>
      <c r="D834" s="10"/>
      <c r="E834" s="10"/>
      <c r="F834" s="10"/>
      <c r="G834" s="10"/>
    </row>
    <row r="835" ht="14.25" customHeight="1">
      <c r="A835" s="10"/>
      <c r="B835" s="10"/>
      <c r="C835" s="10"/>
      <c r="D835" s="10"/>
      <c r="E835" s="10"/>
      <c r="F835" s="10"/>
      <c r="G835" s="10"/>
    </row>
    <row r="836" ht="14.25" customHeight="1">
      <c r="A836" s="10"/>
      <c r="B836" s="10"/>
      <c r="C836" s="10"/>
      <c r="D836" s="10"/>
      <c r="E836" s="10"/>
      <c r="F836" s="10"/>
      <c r="G836" s="10"/>
    </row>
    <row r="837" ht="14.25" customHeight="1">
      <c r="A837" s="10"/>
      <c r="B837" s="10"/>
      <c r="C837" s="10"/>
      <c r="D837" s="10"/>
      <c r="E837" s="10"/>
      <c r="F837" s="10"/>
      <c r="G837" s="10"/>
    </row>
    <row r="838" ht="14.25" customHeight="1">
      <c r="A838" s="10"/>
      <c r="B838" s="10"/>
      <c r="C838" s="10"/>
      <c r="D838" s="10"/>
      <c r="E838" s="10"/>
      <c r="F838" s="10"/>
      <c r="G838" s="10"/>
    </row>
    <row r="839" ht="14.25" customHeight="1">
      <c r="A839" s="10"/>
      <c r="B839" s="10"/>
      <c r="C839" s="10"/>
      <c r="D839" s="10"/>
      <c r="E839" s="10"/>
      <c r="F839" s="10"/>
      <c r="G839" s="10"/>
    </row>
    <row r="840" ht="14.25" customHeight="1">
      <c r="A840" s="10"/>
      <c r="B840" s="10"/>
      <c r="C840" s="10"/>
      <c r="D840" s="10"/>
      <c r="E840" s="10"/>
      <c r="F840" s="10"/>
      <c r="G840" s="10"/>
    </row>
    <row r="841" ht="14.25" customHeight="1">
      <c r="A841" s="10"/>
      <c r="B841" s="10"/>
      <c r="C841" s="10"/>
      <c r="D841" s="10"/>
      <c r="E841" s="10"/>
      <c r="F841" s="10"/>
      <c r="G841" s="10"/>
    </row>
    <row r="842" ht="14.25" customHeight="1">
      <c r="A842" s="10"/>
      <c r="B842" s="10"/>
      <c r="C842" s="10"/>
      <c r="D842" s="10"/>
      <c r="E842" s="10"/>
      <c r="F842" s="10"/>
      <c r="G842" s="10"/>
    </row>
    <row r="843" ht="14.25" customHeight="1">
      <c r="A843" s="10"/>
      <c r="B843" s="10"/>
      <c r="C843" s="10"/>
      <c r="D843" s="10"/>
      <c r="E843" s="10"/>
      <c r="F843" s="10"/>
      <c r="G843" s="10"/>
    </row>
    <row r="844" ht="14.25" customHeight="1">
      <c r="A844" s="10"/>
      <c r="B844" s="10"/>
      <c r="C844" s="10"/>
      <c r="D844" s="10"/>
      <c r="E844" s="10"/>
      <c r="F844" s="10"/>
      <c r="G844" s="10"/>
    </row>
    <row r="845" ht="14.25" customHeight="1">
      <c r="A845" s="10"/>
      <c r="B845" s="10"/>
      <c r="C845" s="10"/>
      <c r="D845" s="10"/>
      <c r="E845" s="10"/>
      <c r="F845" s="10"/>
      <c r="G845" s="10"/>
    </row>
    <row r="846" ht="14.25" customHeight="1">
      <c r="A846" s="10"/>
      <c r="B846" s="10"/>
      <c r="C846" s="10"/>
      <c r="D846" s="10"/>
      <c r="E846" s="10"/>
      <c r="F846" s="10"/>
      <c r="G846" s="10"/>
    </row>
    <row r="847" ht="14.25" customHeight="1">
      <c r="A847" s="10"/>
      <c r="B847" s="10"/>
      <c r="C847" s="10"/>
      <c r="D847" s="10"/>
      <c r="E847" s="10"/>
      <c r="F847" s="10"/>
      <c r="G847" s="10"/>
    </row>
    <row r="848" ht="14.25" customHeight="1">
      <c r="A848" s="10"/>
      <c r="B848" s="10"/>
      <c r="C848" s="10"/>
      <c r="D848" s="10"/>
      <c r="E848" s="10"/>
      <c r="F848" s="10"/>
      <c r="G848" s="10"/>
    </row>
    <row r="849" ht="14.25" customHeight="1">
      <c r="A849" s="10"/>
      <c r="B849" s="10"/>
      <c r="C849" s="10"/>
      <c r="D849" s="10"/>
      <c r="E849" s="10"/>
      <c r="F849" s="10"/>
      <c r="G849" s="10"/>
    </row>
    <row r="850" ht="14.25" customHeight="1">
      <c r="A850" s="10"/>
      <c r="B850" s="10"/>
      <c r="C850" s="10"/>
      <c r="D850" s="10"/>
      <c r="E850" s="10"/>
      <c r="F850" s="10"/>
      <c r="G850" s="10"/>
    </row>
    <row r="851" ht="14.25" customHeight="1">
      <c r="A851" s="10"/>
      <c r="B851" s="10"/>
      <c r="C851" s="10"/>
      <c r="D851" s="10"/>
      <c r="E851" s="10"/>
      <c r="F851" s="10"/>
      <c r="G851" s="10"/>
    </row>
    <row r="852" ht="14.25" customHeight="1">
      <c r="A852" s="10"/>
      <c r="B852" s="10"/>
      <c r="C852" s="10"/>
      <c r="D852" s="10"/>
      <c r="E852" s="10"/>
      <c r="F852" s="10"/>
      <c r="G852" s="10"/>
    </row>
    <row r="853" ht="14.25" customHeight="1">
      <c r="A853" s="10"/>
      <c r="B853" s="10"/>
      <c r="C853" s="10"/>
      <c r="D853" s="10"/>
      <c r="E853" s="10"/>
      <c r="F853" s="10"/>
      <c r="G853" s="10"/>
    </row>
    <row r="854" ht="14.25" customHeight="1">
      <c r="A854" s="10"/>
      <c r="B854" s="10"/>
      <c r="C854" s="10"/>
      <c r="D854" s="10"/>
      <c r="E854" s="10"/>
      <c r="F854" s="10"/>
      <c r="G854" s="10"/>
    </row>
    <row r="855" ht="14.25" customHeight="1">
      <c r="A855" s="10"/>
      <c r="B855" s="10"/>
      <c r="C855" s="10"/>
      <c r="D855" s="10"/>
      <c r="E855" s="10"/>
      <c r="F855" s="10"/>
      <c r="G855" s="10"/>
    </row>
    <row r="856" ht="14.25" customHeight="1">
      <c r="A856" s="10"/>
      <c r="B856" s="10"/>
      <c r="C856" s="10"/>
      <c r="D856" s="10"/>
      <c r="E856" s="10"/>
      <c r="F856" s="10"/>
      <c r="G856" s="10"/>
    </row>
    <row r="857" ht="14.25" customHeight="1">
      <c r="A857" s="10"/>
      <c r="B857" s="10"/>
      <c r="C857" s="10"/>
      <c r="D857" s="10"/>
      <c r="E857" s="10"/>
      <c r="F857" s="10"/>
      <c r="G857" s="10"/>
    </row>
    <row r="858" ht="14.25" customHeight="1">
      <c r="A858" s="10"/>
      <c r="B858" s="10"/>
      <c r="C858" s="10"/>
      <c r="D858" s="10"/>
      <c r="E858" s="10"/>
      <c r="F858" s="10"/>
      <c r="G858" s="10"/>
    </row>
    <row r="859" ht="14.25" customHeight="1">
      <c r="A859" s="10"/>
      <c r="B859" s="10"/>
      <c r="C859" s="10"/>
      <c r="D859" s="10"/>
      <c r="E859" s="10"/>
      <c r="F859" s="10"/>
      <c r="G859" s="10"/>
    </row>
    <row r="860" ht="14.25" customHeight="1">
      <c r="A860" s="10"/>
      <c r="B860" s="10"/>
      <c r="C860" s="10"/>
      <c r="D860" s="10"/>
      <c r="E860" s="10"/>
      <c r="F860" s="10"/>
      <c r="G860" s="10"/>
    </row>
    <row r="861" ht="14.25" customHeight="1">
      <c r="A861" s="10"/>
      <c r="B861" s="10"/>
      <c r="C861" s="10"/>
      <c r="D861" s="10"/>
      <c r="E861" s="10"/>
      <c r="F861" s="10"/>
      <c r="G861" s="10"/>
    </row>
    <row r="862" ht="14.25" customHeight="1">
      <c r="A862" s="10"/>
      <c r="B862" s="10"/>
      <c r="C862" s="10"/>
      <c r="D862" s="10"/>
      <c r="E862" s="10"/>
      <c r="F862" s="10"/>
      <c r="G862" s="10"/>
    </row>
    <row r="863" ht="14.25" customHeight="1">
      <c r="A863" s="10"/>
      <c r="B863" s="10"/>
      <c r="C863" s="10"/>
      <c r="D863" s="10"/>
      <c r="E863" s="10"/>
      <c r="F863" s="10"/>
      <c r="G863" s="10"/>
    </row>
    <row r="864" ht="14.25" customHeight="1">
      <c r="A864" s="10"/>
      <c r="B864" s="10"/>
      <c r="C864" s="10"/>
      <c r="D864" s="10"/>
      <c r="E864" s="10"/>
      <c r="F864" s="10"/>
      <c r="G864" s="10"/>
    </row>
    <row r="865" ht="14.25" customHeight="1">
      <c r="A865" s="10"/>
      <c r="B865" s="10"/>
      <c r="C865" s="10"/>
      <c r="D865" s="10"/>
      <c r="E865" s="10"/>
      <c r="F865" s="10"/>
      <c r="G865" s="10"/>
    </row>
    <row r="866" ht="14.25" customHeight="1">
      <c r="A866" s="10"/>
      <c r="B866" s="10"/>
      <c r="C866" s="10"/>
      <c r="D866" s="10"/>
      <c r="E866" s="10"/>
      <c r="F866" s="10"/>
      <c r="G866" s="10"/>
    </row>
    <row r="867" ht="14.25" customHeight="1">
      <c r="A867" s="10"/>
      <c r="B867" s="10"/>
      <c r="C867" s="10"/>
      <c r="D867" s="10"/>
      <c r="E867" s="10"/>
      <c r="F867" s="10"/>
      <c r="G867" s="10"/>
    </row>
    <row r="868" ht="14.25" customHeight="1">
      <c r="A868" s="10"/>
      <c r="B868" s="10"/>
      <c r="C868" s="10"/>
      <c r="D868" s="10"/>
      <c r="E868" s="10"/>
      <c r="F868" s="10"/>
      <c r="G868" s="10"/>
    </row>
    <row r="869" ht="14.25" customHeight="1">
      <c r="A869" s="10"/>
      <c r="B869" s="10"/>
      <c r="C869" s="10"/>
      <c r="D869" s="10"/>
      <c r="E869" s="10"/>
      <c r="F869" s="10"/>
      <c r="G869" s="10"/>
    </row>
    <row r="870" ht="14.25" customHeight="1">
      <c r="A870" s="10"/>
      <c r="B870" s="10"/>
      <c r="C870" s="10"/>
      <c r="D870" s="10"/>
      <c r="E870" s="10"/>
      <c r="F870" s="10"/>
      <c r="G870" s="10"/>
    </row>
    <row r="871" ht="14.25" customHeight="1">
      <c r="A871" s="10"/>
      <c r="B871" s="10"/>
      <c r="C871" s="10"/>
      <c r="D871" s="10"/>
      <c r="E871" s="10"/>
      <c r="F871" s="10"/>
      <c r="G871" s="10"/>
    </row>
    <row r="872" ht="14.25" customHeight="1">
      <c r="A872" s="10"/>
      <c r="B872" s="10"/>
      <c r="C872" s="10"/>
      <c r="D872" s="10"/>
      <c r="E872" s="10"/>
      <c r="F872" s="10"/>
      <c r="G872" s="10"/>
    </row>
    <row r="873" ht="14.25" customHeight="1">
      <c r="A873" s="10"/>
      <c r="B873" s="10"/>
      <c r="C873" s="10"/>
      <c r="D873" s="10"/>
      <c r="E873" s="10"/>
      <c r="F873" s="10"/>
      <c r="G873" s="10"/>
    </row>
    <row r="874" ht="14.25" customHeight="1">
      <c r="A874" s="10"/>
      <c r="B874" s="10"/>
      <c r="C874" s="10"/>
      <c r="D874" s="10"/>
      <c r="E874" s="10"/>
      <c r="F874" s="10"/>
      <c r="G874" s="10"/>
    </row>
    <row r="875" ht="14.25" customHeight="1">
      <c r="A875" s="10"/>
      <c r="B875" s="10"/>
      <c r="C875" s="10"/>
      <c r="D875" s="10"/>
      <c r="E875" s="10"/>
      <c r="F875" s="10"/>
      <c r="G875" s="10"/>
    </row>
    <row r="876" ht="14.25" customHeight="1">
      <c r="A876" s="10"/>
      <c r="B876" s="10"/>
      <c r="C876" s="10"/>
      <c r="D876" s="10"/>
      <c r="E876" s="10"/>
      <c r="F876" s="10"/>
      <c r="G876" s="10"/>
    </row>
    <row r="877" ht="14.25" customHeight="1">
      <c r="A877" s="10"/>
      <c r="B877" s="10"/>
      <c r="C877" s="10"/>
      <c r="D877" s="10"/>
      <c r="E877" s="10"/>
      <c r="F877" s="10"/>
      <c r="G877" s="10"/>
    </row>
    <row r="878" ht="14.25" customHeight="1">
      <c r="A878" s="10"/>
      <c r="B878" s="10"/>
      <c r="C878" s="10"/>
      <c r="D878" s="10"/>
      <c r="E878" s="10"/>
      <c r="F878" s="10"/>
      <c r="G878" s="10"/>
    </row>
    <row r="879" ht="14.25" customHeight="1">
      <c r="A879" s="10"/>
      <c r="B879" s="10"/>
      <c r="C879" s="10"/>
      <c r="D879" s="10"/>
      <c r="E879" s="10"/>
      <c r="F879" s="10"/>
      <c r="G879" s="10"/>
    </row>
    <row r="880" ht="14.25" customHeight="1">
      <c r="A880" s="10"/>
      <c r="B880" s="10"/>
      <c r="C880" s="10"/>
      <c r="D880" s="10"/>
      <c r="E880" s="10"/>
      <c r="F880" s="10"/>
      <c r="G880" s="10"/>
    </row>
    <row r="881" ht="14.25" customHeight="1">
      <c r="A881" s="10"/>
      <c r="B881" s="10"/>
      <c r="C881" s="10"/>
      <c r="D881" s="10"/>
      <c r="E881" s="10"/>
      <c r="F881" s="10"/>
      <c r="G881" s="10"/>
    </row>
    <row r="882" ht="14.25" customHeight="1">
      <c r="A882" s="10"/>
      <c r="B882" s="10"/>
      <c r="C882" s="10"/>
      <c r="D882" s="10"/>
      <c r="E882" s="10"/>
      <c r="F882" s="10"/>
      <c r="G882" s="10"/>
    </row>
    <row r="883" ht="14.25" customHeight="1">
      <c r="A883" s="10"/>
      <c r="B883" s="10"/>
      <c r="C883" s="10"/>
      <c r="D883" s="10"/>
      <c r="E883" s="10"/>
      <c r="F883" s="10"/>
      <c r="G883" s="10"/>
    </row>
    <row r="884" ht="14.25" customHeight="1">
      <c r="A884" s="10"/>
      <c r="B884" s="10"/>
      <c r="C884" s="10"/>
      <c r="D884" s="10"/>
      <c r="E884" s="10"/>
      <c r="F884" s="10"/>
      <c r="G884" s="10"/>
    </row>
    <row r="885" ht="14.25" customHeight="1">
      <c r="A885" s="10"/>
      <c r="B885" s="10"/>
      <c r="C885" s="10"/>
      <c r="D885" s="10"/>
      <c r="E885" s="10"/>
      <c r="F885" s="10"/>
      <c r="G885" s="10"/>
    </row>
    <row r="886" ht="14.25" customHeight="1">
      <c r="A886" s="10"/>
      <c r="B886" s="10"/>
      <c r="C886" s="10"/>
      <c r="D886" s="10"/>
      <c r="E886" s="10"/>
      <c r="F886" s="10"/>
      <c r="G886" s="10"/>
    </row>
    <row r="887" ht="14.25" customHeight="1">
      <c r="A887" s="10"/>
      <c r="B887" s="10"/>
      <c r="C887" s="10"/>
      <c r="D887" s="10"/>
      <c r="E887" s="10"/>
      <c r="F887" s="10"/>
      <c r="G887" s="10"/>
    </row>
    <row r="888" ht="14.25" customHeight="1">
      <c r="A888" s="10"/>
      <c r="B888" s="10"/>
      <c r="C888" s="10"/>
      <c r="D888" s="10"/>
      <c r="E888" s="10"/>
      <c r="F888" s="10"/>
      <c r="G888" s="10"/>
    </row>
    <row r="889" ht="14.25" customHeight="1">
      <c r="A889" s="10"/>
      <c r="B889" s="10"/>
      <c r="C889" s="10"/>
      <c r="D889" s="10"/>
      <c r="E889" s="10"/>
      <c r="F889" s="10"/>
      <c r="G889" s="10"/>
    </row>
    <row r="890" ht="14.25" customHeight="1">
      <c r="A890" s="10"/>
      <c r="B890" s="10"/>
      <c r="C890" s="10"/>
      <c r="D890" s="10"/>
      <c r="E890" s="10"/>
      <c r="F890" s="10"/>
      <c r="G890" s="10"/>
    </row>
    <row r="891" ht="14.25" customHeight="1">
      <c r="A891" s="10"/>
      <c r="B891" s="10"/>
      <c r="C891" s="10"/>
      <c r="D891" s="10"/>
      <c r="E891" s="10"/>
      <c r="F891" s="10"/>
      <c r="G891" s="10"/>
    </row>
    <row r="892" ht="14.25" customHeight="1">
      <c r="A892" s="10"/>
      <c r="B892" s="10"/>
      <c r="C892" s="10"/>
      <c r="D892" s="10"/>
      <c r="E892" s="10"/>
      <c r="F892" s="10"/>
      <c r="G892" s="10"/>
    </row>
    <row r="893" ht="14.25" customHeight="1">
      <c r="A893" s="10"/>
      <c r="B893" s="10"/>
      <c r="C893" s="10"/>
      <c r="D893" s="10"/>
      <c r="E893" s="10"/>
      <c r="F893" s="10"/>
      <c r="G893" s="10"/>
    </row>
    <row r="894" ht="14.25" customHeight="1">
      <c r="A894" s="10"/>
      <c r="B894" s="10"/>
      <c r="C894" s="10"/>
      <c r="D894" s="10"/>
      <c r="E894" s="10"/>
      <c r="F894" s="10"/>
      <c r="G894" s="10"/>
    </row>
    <row r="895" ht="14.25" customHeight="1">
      <c r="A895" s="10"/>
      <c r="B895" s="10"/>
      <c r="C895" s="10"/>
      <c r="D895" s="10"/>
      <c r="E895" s="10"/>
      <c r="F895" s="10"/>
      <c r="G895" s="10"/>
    </row>
    <row r="896" ht="14.25" customHeight="1">
      <c r="A896" s="10"/>
      <c r="B896" s="10"/>
      <c r="C896" s="10"/>
      <c r="D896" s="10"/>
      <c r="E896" s="10"/>
      <c r="F896" s="10"/>
      <c r="G896" s="10"/>
    </row>
    <row r="897" ht="14.25" customHeight="1">
      <c r="A897" s="10"/>
      <c r="B897" s="10"/>
      <c r="C897" s="10"/>
      <c r="D897" s="10"/>
      <c r="E897" s="10"/>
      <c r="F897" s="10"/>
      <c r="G897" s="10"/>
    </row>
    <row r="898" ht="14.25" customHeight="1">
      <c r="A898" s="10"/>
      <c r="B898" s="10"/>
      <c r="C898" s="10"/>
      <c r="D898" s="10"/>
      <c r="E898" s="10"/>
      <c r="F898" s="10"/>
      <c r="G898" s="10"/>
    </row>
    <row r="899" ht="14.25" customHeight="1">
      <c r="A899" s="10"/>
      <c r="B899" s="10"/>
      <c r="C899" s="10"/>
      <c r="D899" s="10"/>
      <c r="E899" s="10"/>
      <c r="F899" s="10"/>
      <c r="G899" s="10"/>
    </row>
    <row r="900" ht="14.25" customHeight="1">
      <c r="A900" s="10"/>
      <c r="B900" s="10"/>
      <c r="C900" s="10"/>
      <c r="D900" s="10"/>
      <c r="E900" s="10"/>
      <c r="F900" s="10"/>
      <c r="G900" s="10"/>
    </row>
    <row r="901" ht="14.25" customHeight="1">
      <c r="A901" s="10"/>
      <c r="B901" s="10"/>
      <c r="C901" s="10"/>
      <c r="D901" s="10"/>
      <c r="E901" s="10"/>
      <c r="F901" s="10"/>
      <c r="G901" s="10"/>
    </row>
    <row r="902" ht="14.25" customHeight="1">
      <c r="A902" s="10"/>
      <c r="B902" s="10"/>
      <c r="C902" s="10"/>
      <c r="D902" s="10"/>
      <c r="E902" s="10"/>
      <c r="F902" s="10"/>
      <c r="G902" s="10"/>
    </row>
    <row r="903" ht="14.25" customHeight="1">
      <c r="A903" s="10"/>
      <c r="B903" s="10"/>
      <c r="C903" s="10"/>
      <c r="D903" s="10"/>
      <c r="E903" s="10"/>
      <c r="F903" s="10"/>
      <c r="G903" s="10"/>
    </row>
    <row r="904" ht="14.25" customHeight="1">
      <c r="A904" s="10"/>
      <c r="B904" s="10"/>
      <c r="C904" s="10"/>
      <c r="D904" s="10"/>
      <c r="E904" s="10"/>
      <c r="F904" s="10"/>
      <c r="G904" s="10"/>
    </row>
    <row r="905" ht="14.25" customHeight="1">
      <c r="A905" s="10"/>
      <c r="B905" s="10"/>
      <c r="C905" s="10"/>
      <c r="D905" s="10"/>
      <c r="E905" s="10"/>
      <c r="F905" s="10"/>
      <c r="G905" s="10"/>
    </row>
    <row r="906" ht="14.25" customHeight="1">
      <c r="A906" s="10"/>
      <c r="B906" s="10"/>
      <c r="C906" s="10"/>
      <c r="D906" s="10"/>
      <c r="E906" s="10"/>
      <c r="F906" s="10"/>
      <c r="G906" s="10"/>
    </row>
    <row r="907" ht="14.25" customHeight="1">
      <c r="A907" s="10"/>
      <c r="B907" s="10"/>
      <c r="C907" s="10"/>
      <c r="D907" s="10"/>
      <c r="E907" s="10"/>
      <c r="F907" s="10"/>
      <c r="G907" s="10"/>
    </row>
    <row r="908" ht="14.25" customHeight="1">
      <c r="A908" s="10"/>
      <c r="B908" s="10"/>
      <c r="C908" s="10"/>
      <c r="D908" s="10"/>
      <c r="E908" s="10"/>
      <c r="F908" s="10"/>
      <c r="G908" s="10"/>
    </row>
    <row r="909" ht="14.25" customHeight="1">
      <c r="A909" s="10"/>
      <c r="B909" s="10"/>
      <c r="C909" s="10"/>
      <c r="D909" s="10"/>
      <c r="E909" s="10"/>
      <c r="F909" s="10"/>
      <c r="G909" s="10"/>
    </row>
    <row r="910" ht="14.25" customHeight="1">
      <c r="A910" s="10"/>
      <c r="B910" s="10"/>
      <c r="C910" s="10"/>
      <c r="D910" s="10"/>
      <c r="E910" s="10"/>
      <c r="F910" s="10"/>
      <c r="G910" s="10"/>
    </row>
    <row r="911" ht="14.25" customHeight="1">
      <c r="A911" s="10"/>
      <c r="B911" s="10"/>
      <c r="C911" s="10"/>
      <c r="D911" s="10"/>
      <c r="E911" s="10"/>
      <c r="F911" s="10"/>
      <c r="G911" s="10"/>
    </row>
    <row r="912" ht="14.25" customHeight="1">
      <c r="A912" s="10"/>
      <c r="B912" s="10"/>
      <c r="C912" s="10"/>
      <c r="D912" s="10"/>
      <c r="E912" s="10"/>
      <c r="F912" s="10"/>
      <c r="G912" s="10"/>
    </row>
    <row r="913" ht="14.25" customHeight="1">
      <c r="A913" s="10"/>
      <c r="B913" s="10"/>
      <c r="C913" s="10"/>
      <c r="D913" s="10"/>
      <c r="E913" s="10"/>
      <c r="F913" s="10"/>
      <c r="G913" s="10"/>
    </row>
    <row r="914" ht="14.25" customHeight="1">
      <c r="A914" s="10"/>
      <c r="B914" s="10"/>
      <c r="C914" s="10"/>
      <c r="D914" s="10"/>
      <c r="E914" s="10"/>
      <c r="F914" s="10"/>
      <c r="G914" s="10"/>
    </row>
    <row r="915" ht="14.25" customHeight="1">
      <c r="A915" s="10"/>
      <c r="B915" s="10"/>
      <c r="C915" s="10"/>
      <c r="D915" s="10"/>
      <c r="E915" s="10"/>
      <c r="F915" s="10"/>
      <c r="G915" s="10"/>
    </row>
    <row r="916" ht="14.25" customHeight="1">
      <c r="A916" s="10"/>
      <c r="B916" s="10"/>
      <c r="C916" s="10"/>
      <c r="D916" s="10"/>
      <c r="E916" s="10"/>
      <c r="F916" s="10"/>
      <c r="G916" s="10"/>
    </row>
    <row r="917" ht="14.25" customHeight="1">
      <c r="A917" s="10"/>
      <c r="B917" s="10"/>
      <c r="C917" s="10"/>
      <c r="D917" s="10"/>
      <c r="E917" s="10"/>
      <c r="F917" s="10"/>
      <c r="G917" s="10"/>
    </row>
    <row r="918" ht="14.25" customHeight="1">
      <c r="A918" s="10"/>
      <c r="B918" s="10"/>
      <c r="C918" s="10"/>
      <c r="D918" s="10"/>
      <c r="E918" s="10"/>
      <c r="F918" s="10"/>
      <c r="G918" s="10"/>
    </row>
    <row r="919" ht="14.25" customHeight="1">
      <c r="A919" s="10"/>
      <c r="B919" s="10"/>
      <c r="C919" s="10"/>
      <c r="D919" s="10"/>
      <c r="E919" s="10"/>
      <c r="F919" s="10"/>
      <c r="G919" s="10"/>
    </row>
    <row r="920" ht="14.25" customHeight="1">
      <c r="A920" s="10"/>
      <c r="B920" s="10"/>
      <c r="C920" s="10"/>
      <c r="D920" s="10"/>
      <c r="E920" s="10"/>
      <c r="F920" s="10"/>
      <c r="G920" s="10"/>
    </row>
    <row r="921" ht="14.25" customHeight="1">
      <c r="A921" s="10"/>
      <c r="B921" s="10"/>
      <c r="C921" s="10"/>
      <c r="D921" s="10"/>
      <c r="E921" s="10"/>
      <c r="F921" s="10"/>
      <c r="G921" s="10"/>
    </row>
    <row r="922" ht="14.25" customHeight="1">
      <c r="A922" s="10"/>
      <c r="B922" s="10"/>
      <c r="C922" s="10"/>
      <c r="D922" s="10"/>
      <c r="E922" s="10"/>
      <c r="F922" s="10"/>
      <c r="G922" s="10"/>
    </row>
    <row r="923" ht="14.25" customHeight="1">
      <c r="A923" s="10"/>
      <c r="B923" s="10"/>
      <c r="C923" s="10"/>
      <c r="D923" s="10"/>
      <c r="E923" s="10"/>
      <c r="F923" s="10"/>
      <c r="G923" s="10"/>
    </row>
    <row r="924" ht="14.25" customHeight="1">
      <c r="A924" s="10"/>
      <c r="B924" s="10"/>
      <c r="C924" s="10"/>
      <c r="D924" s="10"/>
      <c r="E924" s="10"/>
      <c r="F924" s="10"/>
      <c r="G924" s="10"/>
    </row>
    <row r="925" ht="14.25" customHeight="1">
      <c r="A925" s="10"/>
      <c r="B925" s="10"/>
      <c r="C925" s="10"/>
      <c r="D925" s="10"/>
      <c r="E925" s="10"/>
      <c r="F925" s="10"/>
      <c r="G925" s="10"/>
    </row>
    <row r="926" ht="14.25" customHeight="1">
      <c r="A926" s="10"/>
      <c r="B926" s="10"/>
      <c r="C926" s="10"/>
      <c r="D926" s="10"/>
      <c r="E926" s="10"/>
      <c r="F926" s="10"/>
      <c r="G926" s="10"/>
    </row>
    <row r="927" ht="14.25" customHeight="1">
      <c r="A927" s="10"/>
      <c r="B927" s="10"/>
      <c r="C927" s="10"/>
      <c r="D927" s="10"/>
      <c r="E927" s="10"/>
      <c r="F927" s="10"/>
      <c r="G927" s="10"/>
    </row>
    <row r="928" ht="14.25" customHeight="1">
      <c r="A928" s="10"/>
      <c r="B928" s="10"/>
      <c r="C928" s="10"/>
      <c r="D928" s="10"/>
      <c r="E928" s="10"/>
      <c r="F928" s="10"/>
      <c r="G928" s="10"/>
    </row>
    <row r="929" ht="14.25" customHeight="1">
      <c r="A929" s="10"/>
      <c r="B929" s="10"/>
      <c r="C929" s="10"/>
      <c r="D929" s="10"/>
      <c r="E929" s="10"/>
      <c r="F929" s="10"/>
      <c r="G929" s="10"/>
    </row>
    <row r="930" ht="14.25" customHeight="1">
      <c r="A930" s="10"/>
      <c r="B930" s="10"/>
      <c r="C930" s="10"/>
      <c r="D930" s="10"/>
      <c r="E930" s="10"/>
      <c r="F930" s="10"/>
      <c r="G930" s="10"/>
    </row>
    <row r="931" ht="14.25" customHeight="1">
      <c r="A931" s="10"/>
      <c r="B931" s="10"/>
      <c r="C931" s="10"/>
      <c r="D931" s="10"/>
      <c r="E931" s="10"/>
      <c r="F931" s="10"/>
      <c r="G931" s="10"/>
    </row>
    <row r="932" ht="14.25" customHeight="1">
      <c r="A932" s="10"/>
      <c r="B932" s="10"/>
      <c r="C932" s="10"/>
      <c r="D932" s="10"/>
      <c r="E932" s="10"/>
      <c r="F932" s="10"/>
      <c r="G932" s="10"/>
    </row>
    <row r="933" ht="14.25" customHeight="1">
      <c r="A933" s="10"/>
      <c r="B933" s="10"/>
      <c r="C933" s="10"/>
      <c r="D933" s="10"/>
      <c r="E933" s="10"/>
      <c r="F933" s="10"/>
      <c r="G933" s="10"/>
    </row>
    <row r="934" ht="14.25" customHeight="1">
      <c r="A934" s="10"/>
      <c r="B934" s="10"/>
      <c r="C934" s="10"/>
      <c r="D934" s="10"/>
      <c r="E934" s="10"/>
      <c r="F934" s="10"/>
      <c r="G934" s="10"/>
    </row>
    <row r="935" ht="14.25" customHeight="1">
      <c r="A935" s="10"/>
      <c r="B935" s="10"/>
      <c r="C935" s="10"/>
      <c r="D935" s="10"/>
      <c r="E935" s="10"/>
      <c r="F935" s="10"/>
      <c r="G935" s="10"/>
    </row>
    <row r="936" ht="14.25" customHeight="1">
      <c r="A936" s="10"/>
      <c r="B936" s="10"/>
      <c r="C936" s="10"/>
      <c r="D936" s="10"/>
      <c r="E936" s="10"/>
      <c r="F936" s="10"/>
      <c r="G936" s="10"/>
    </row>
    <row r="937" ht="14.25" customHeight="1">
      <c r="A937" s="10"/>
      <c r="B937" s="10"/>
      <c r="C937" s="10"/>
      <c r="D937" s="10"/>
      <c r="E937" s="10"/>
      <c r="F937" s="10"/>
      <c r="G937" s="10"/>
    </row>
    <row r="938" ht="14.25" customHeight="1">
      <c r="A938" s="10"/>
      <c r="B938" s="10"/>
      <c r="C938" s="10"/>
      <c r="D938" s="10"/>
      <c r="E938" s="10"/>
      <c r="F938" s="10"/>
      <c r="G938" s="10"/>
    </row>
    <row r="939" ht="14.25" customHeight="1">
      <c r="A939" s="10"/>
      <c r="B939" s="10"/>
      <c r="C939" s="10"/>
      <c r="D939" s="10"/>
      <c r="E939" s="10"/>
      <c r="F939" s="10"/>
      <c r="G939" s="10"/>
    </row>
    <row r="940" ht="14.25" customHeight="1">
      <c r="A940" s="10"/>
      <c r="B940" s="10"/>
      <c r="C940" s="10"/>
      <c r="D940" s="10"/>
      <c r="E940" s="10"/>
      <c r="F940" s="10"/>
      <c r="G940" s="10"/>
    </row>
    <row r="941" ht="14.25" customHeight="1">
      <c r="A941" s="10"/>
      <c r="B941" s="10"/>
      <c r="C941" s="10"/>
      <c r="D941" s="10"/>
      <c r="E941" s="10"/>
      <c r="F941" s="10"/>
      <c r="G941" s="10"/>
    </row>
    <row r="942" ht="14.25" customHeight="1">
      <c r="A942" s="10"/>
      <c r="B942" s="10"/>
      <c r="C942" s="10"/>
      <c r="D942" s="10"/>
      <c r="E942" s="10"/>
      <c r="F942" s="10"/>
      <c r="G942" s="10"/>
    </row>
    <row r="943" ht="14.25" customHeight="1">
      <c r="A943" s="10"/>
      <c r="B943" s="10"/>
      <c r="C943" s="10"/>
      <c r="D943" s="10"/>
      <c r="E943" s="10"/>
      <c r="F943" s="10"/>
      <c r="G943" s="10"/>
    </row>
    <row r="944" ht="14.25" customHeight="1">
      <c r="A944" s="10"/>
      <c r="B944" s="10"/>
      <c r="C944" s="10"/>
      <c r="D944" s="10"/>
      <c r="E944" s="10"/>
      <c r="F944" s="10"/>
      <c r="G944" s="10"/>
    </row>
    <row r="945" ht="14.25" customHeight="1">
      <c r="A945" s="10"/>
      <c r="B945" s="10"/>
      <c r="C945" s="10"/>
      <c r="D945" s="10"/>
      <c r="E945" s="10"/>
      <c r="F945" s="10"/>
      <c r="G945" s="10"/>
    </row>
    <row r="946" ht="14.25" customHeight="1">
      <c r="A946" s="10"/>
      <c r="B946" s="10"/>
      <c r="C946" s="10"/>
      <c r="D946" s="10"/>
      <c r="E946" s="10"/>
      <c r="F946" s="10"/>
      <c r="G946" s="10"/>
    </row>
    <row r="947" ht="14.25" customHeight="1">
      <c r="A947" s="10"/>
      <c r="B947" s="10"/>
      <c r="C947" s="10"/>
      <c r="D947" s="10"/>
      <c r="E947" s="10"/>
      <c r="F947" s="10"/>
      <c r="G947" s="10"/>
    </row>
    <row r="948" ht="14.25" customHeight="1">
      <c r="A948" s="10"/>
      <c r="B948" s="10"/>
      <c r="C948" s="10"/>
      <c r="D948" s="10"/>
      <c r="E948" s="10"/>
      <c r="F948" s="10"/>
      <c r="G948" s="10"/>
    </row>
    <row r="949" ht="14.25" customHeight="1">
      <c r="A949" s="10"/>
      <c r="B949" s="10"/>
      <c r="C949" s="10"/>
      <c r="D949" s="10"/>
      <c r="E949" s="10"/>
      <c r="F949" s="10"/>
      <c r="G949" s="10"/>
    </row>
    <row r="950" ht="14.25" customHeight="1">
      <c r="A950" s="10"/>
      <c r="B950" s="10"/>
      <c r="C950" s="10"/>
      <c r="D950" s="10"/>
      <c r="E950" s="10"/>
      <c r="F950" s="10"/>
      <c r="G950" s="10"/>
    </row>
    <row r="951" ht="14.25" customHeight="1">
      <c r="A951" s="10"/>
      <c r="B951" s="10"/>
      <c r="C951" s="10"/>
      <c r="D951" s="10"/>
      <c r="E951" s="10"/>
      <c r="F951" s="10"/>
      <c r="G951" s="10"/>
    </row>
    <row r="952" ht="14.25" customHeight="1">
      <c r="A952" s="10"/>
      <c r="B952" s="10"/>
      <c r="C952" s="10"/>
      <c r="D952" s="10"/>
      <c r="E952" s="10"/>
      <c r="F952" s="10"/>
      <c r="G952" s="10"/>
    </row>
    <row r="953" ht="14.25" customHeight="1">
      <c r="A953" s="10"/>
      <c r="B953" s="10"/>
      <c r="C953" s="10"/>
      <c r="D953" s="10"/>
      <c r="E953" s="10"/>
      <c r="F953" s="10"/>
      <c r="G953" s="10"/>
    </row>
    <row r="954" ht="14.25" customHeight="1">
      <c r="A954" s="10"/>
      <c r="B954" s="10"/>
      <c r="C954" s="10"/>
      <c r="D954" s="10"/>
      <c r="E954" s="10"/>
      <c r="F954" s="10"/>
      <c r="G954" s="10"/>
    </row>
    <row r="955" ht="14.25" customHeight="1">
      <c r="A955" s="10"/>
      <c r="B955" s="10"/>
      <c r="C955" s="10"/>
      <c r="D955" s="10"/>
      <c r="E955" s="10"/>
      <c r="F955" s="10"/>
      <c r="G955" s="10"/>
    </row>
    <row r="956" ht="14.25" customHeight="1">
      <c r="A956" s="10"/>
      <c r="B956" s="10"/>
      <c r="C956" s="10"/>
      <c r="D956" s="10"/>
      <c r="E956" s="10"/>
      <c r="F956" s="10"/>
      <c r="G956" s="10"/>
    </row>
    <row r="957" ht="14.25" customHeight="1">
      <c r="A957" s="10"/>
      <c r="B957" s="10"/>
      <c r="C957" s="10"/>
      <c r="D957" s="10"/>
      <c r="E957" s="10"/>
      <c r="F957" s="10"/>
      <c r="G957" s="10"/>
    </row>
    <row r="958" ht="14.25" customHeight="1">
      <c r="A958" s="10"/>
      <c r="B958" s="10"/>
      <c r="C958" s="10"/>
      <c r="D958" s="10"/>
      <c r="E958" s="10"/>
      <c r="F958" s="10"/>
      <c r="G958" s="10"/>
    </row>
    <row r="959" ht="14.25" customHeight="1">
      <c r="A959" s="10"/>
      <c r="B959" s="10"/>
      <c r="C959" s="10"/>
      <c r="D959" s="10"/>
      <c r="E959" s="10"/>
      <c r="F959" s="10"/>
      <c r="G959" s="10"/>
    </row>
    <row r="960" ht="14.25" customHeight="1">
      <c r="A960" s="10"/>
      <c r="B960" s="10"/>
      <c r="C960" s="10"/>
      <c r="D960" s="10"/>
      <c r="E960" s="10"/>
      <c r="F960" s="10"/>
      <c r="G960" s="10"/>
    </row>
    <row r="961" ht="14.25" customHeight="1">
      <c r="A961" s="10"/>
      <c r="B961" s="10"/>
      <c r="C961" s="10"/>
      <c r="D961" s="10"/>
      <c r="E961" s="10"/>
      <c r="F961" s="10"/>
      <c r="G961" s="10"/>
    </row>
    <row r="962" ht="14.25" customHeight="1">
      <c r="A962" s="10"/>
      <c r="B962" s="10"/>
      <c r="C962" s="10"/>
      <c r="D962" s="10"/>
      <c r="E962" s="10"/>
      <c r="F962" s="10"/>
      <c r="G962" s="10"/>
    </row>
    <row r="963" ht="14.25" customHeight="1">
      <c r="A963" s="10"/>
      <c r="B963" s="10"/>
      <c r="C963" s="10"/>
      <c r="D963" s="10"/>
      <c r="E963" s="10"/>
      <c r="F963" s="10"/>
      <c r="G963" s="10"/>
    </row>
    <row r="964" ht="14.25" customHeight="1">
      <c r="A964" s="10"/>
      <c r="B964" s="10"/>
      <c r="C964" s="10"/>
      <c r="D964" s="10"/>
      <c r="E964" s="10"/>
      <c r="F964" s="10"/>
      <c r="G964" s="10"/>
    </row>
    <row r="965" ht="14.25" customHeight="1">
      <c r="A965" s="10"/>
      <c r="B965" s="10"/>
      <c r="C965" s="10"/>
      <c r="D965" s="10"/>
      <c r="E965" s="10"/>
      <c r="F965" s="10"/>
      <c r="G965" s="10"/>
    </row>
    <row r="966" ht="14.25" customHeight="1">
      <c r="A966" s="10"/>
      <c r="B966" s="10"/>
      <c r="C966" s="10"/>
      <c r="D966" s="10"/>
      <c r="E966" s="10"/>
      <c r="F966" s="10"/>
      <c r="G966" s="10"/>
    </row>
    <row r="967" ht="14.25" customHeight="1">
      <c r="A967" s="10"/>
      <c r="B967" s="10"/>
      <c r="C967" s="10"/>
      <c r="D967" s="10"/>
      <c r="E967" s="10"/>
      <c r="F967" s="10"/>
      <c r="G967" s="10"/>
    </row>
    <row r="968" ht="14.25" customHeight="1">
      <c r="A968" s="10"/>
      <c r="B968" s="10"/>
      <c r="C968" s="10"/>
      <c r="D968" s="10"/>
      <c r="E968" s="10"/>
      <c r="F968" s="10"/>
      <c r="G968" s="10"/>
    </row>
    <row r="969" ht="14.25" customHeight="1">
      <c r="A969" s="10"/>
      <c r="B969" s="10"/>
      <c r="C969" s="10"/>
      <c r="D969" s="10"/>
      <c r="E969" s="10"/>
      <c r="F969" s="10"/>
      <c r="G969" s="10"/>
    </row>
    <row r="970" ht="14.25" customHeight="1">
      <c r="A970" s="10"/>
      <c r="B970" s="10"/>
      <c r="C970" s="10"/>
      <c r="D970" s="10"/>
      <c r="E970" s="10"/>
      <c r="F970" s="10"/>
      <c r="G970" s="10"/>
    </row>
    <row r="971" ht="14.25" customHeight="1">
      <c r="A971" s="10"/>
      <c r="B971" s="10"/>
      <c r="C971" s="10"/>
      <c r="D971" s="10"/>
      <c r="E971" s="10"/>
      <c r="F971" s="10"/>
      <c r="G971" s="10"/>
    </row>
    <row r="972" ht="14.25" customHeight="1">
      <c r="A972" s="10"/>
      <c r="B972" s="10"/>
      <c r="C972" s="10"/>
      <c r="D972" s="10"/>
      <c r="E972" s="10"/>
      <c r="F972" s="10"/>
      <c r="G972" s="10"/>
    </row>
    <row r="973" ht="14.25" customHeight="1">
      <c r="A973" s="10"/>
      <c r="B973" s="10"/>
      <c r="C973" s="10"/>
      <c r="D973" s="10"/>
      <c r="E973" s="10"/>
      <c r="F973" s="10"/>
      <c r="G973" s="10"/>
    </row>
    <row r="974" ht="14.25" customHeight="1">
      <c r="A974" s="10"/>
      <c r="B974" s="10"/>
      <c r="C974" s="10"/>
      <c r="D974" s="10"/>
      <c r="E974" s="10"/>
      <c r="F974" s="10"/>
      <c r="G974" s="10"/>
    </row>
    <row r="975" ht="14.25" customHeight="1">
      <c r="A975" s="10"/>
      <c r="B975" s="10"/>
      <c r="C975" s="10"/>
      <c r="D975" s="10"/>
      <c r="E975" s="10"/>
      <c r="F975" s="10"/>
      <c r="G975" s="10"/>
    </row>
    <row r="976" ht="14.25" customHeight="1">
      <c r="A976" s="10"/>
      <c r="B976" s="10"/>
      <c r="C976" s="10"/>
      <c r="D976" s="10"/>
      <c r="E976" s="10"/>
      <c r="F976" s="10"/>
      <c r="G976" s="10"/>
    </row>
    <row r="977" ht="14.25" customHeight="1">
      <c r="A977" s="10"/>
      <c r="B977" s="10"/>
      <c r="C977" s="10"/>
      <c r="D977" s="10"/>
      <c r="E977" s="10"/>
      <c r="F977" s="10"/>
      <c r="G977" s="10"/>
    </row>
    <row r="978" ht="14.25" customHeight="1">
      <c r="A978" s="10"/>
      <c r="B978" s="10"/>
      <c r="C978" s="10"/>
      <c r="D978" s="10"/>
      <c r="E978" s="10"/>
      <c r="F978" s="10"/>
      <c r="G978" s="10"/>
    </row>
    <row r="979" ht="14.25" customHeight="1">
      <c r="A979" s="10"/>
      <c r="B979" s="10"/>
      <c r="C979" s="10"/>
      <c r="D979" s="10"/>
      <c r="E979" s="10"/>
      <c r="F979" s="10"/>
      <c r="G979" s="10"/>
    </row>
    <row r="980" ht="14.25" customHeight="1">
      <c r="A980" s="10"/>
      <c r="B980" s="10"/>
      <c r="C980" s="10"/>
      <c r="D980" s="10"/>
      <c r="E980" s="10"/>
      <c r="F980" s="10"/>
      <c r="G980" s="10"/>
    </row>
    <row r="981" ht="14.25" customHeight="1">
      <c r="A981" s="10"/>
      <c r="B981" s="10"/>
      <c r="C981" s="10"/>
      <c r="D981" s="10"/>
      <c r="E981" s="10"/>
      <c r="F981" s="10"/>
      <c r="G981" s="10"/>
    </row>
    <row r="982" ht="14.25" customHeight="1">
      <c r="A982" s="10"/>
      <c r="B982" s="10"/>
      <c r="C982" s="10"/>
      <c r="D982" s="10"/>
      <c r="E982" s="10"/>
      <c r="F982" s="10"/>
      <c r="G982" s="10"/>
    </row>
    <row r="983" ht="14.25" customHeight="1">
      <c r="A983" s="10"/>
      <c r="B983" s="10"/>
      <c r="C983" s="10"/>
      <c r="D983" s="10"/>
      <c r="E983" s="10"/>
      <c r="F983" s="10"/>
      <c r="G983" s="10"/>
    </row>
    <row r="984" ht="14.25" customHeight="1">
      <c r="A984" s="10"/>
      <c r="B984" s="10"/>
      <c r="C984" s="10"/>
      <c r="D984" s="10"/>
      <c r="E984" s="10"/>
      <c r="F984" s="10"/>
      <c r="G984" s="10"/>
    </row>
    <row r="985" ht="14.25" customHeight="1">
      <c r="A985" s="10"/>
      <c r="B985" s="10"/>
      <c r="C985" s="10"/>
      <c r="D985" s="10"/>
      <c r="E985" s="10"/>
      <c r="F985" s="10"/>
      <c r="G985" s="10"/>
    </row>
    <row r="986" ht="14.25" customHeight="1">
      <c r="A986" s="10"/>
      <c r="B986" s="10"/>
      <c r="C986" s="10"/>
      <c r="D986" s="10"/>
      <c r="E986" s="10"/>
      <c r="F986" s="10"/>
      <c r="G986" s="10"/>
    </row>
    <row r="987" ht="14.25" customHeight="1">
      <c r="A987" s="10"/>
      <c r="B987" s="10"/>
      <c r="C987" s="10"/>
      <c r="D987" s="10"/>
      <c r="E987" s="10"/>
      <c r="F987" s="10"/>
      <c r="G987" s="10"/>
    </row>
    <row r="988" ht="14.25" customHeight="1">
      <c r="A988" s="10"/>
      <c r="B988" s="10"/>
      <c r="C988" s="10"/>
      <c r="D988" s="10"/>
      <c r="E988" s="10"/>
      <c r="F988" s="10"/>
      <c r="G988" s="10"/>
    </row>
    <row r="989" ht="14.25" customHeight="1">
      <c r="A989" s="10"/>
      <c r="B989" s="10"/>
      <c r="C989" s="10"/>
      <c r="D989" s="10"/>
      <c r="E989" s="10"/>
      <c r="F989" s="10"/>
      <c r="G989" s="10"/>
    </row>
    <row r="990" ht="14.25" customHeight="1">
      <c r="A990" s="10"/>
      <c r="B990" s="10"/>
      <c r="C990" s="10"/>
      <c r="D990" s="10"/>
      <c r="E990" s="10"/>
      <c r="F990" s="10"/>
      <c r="G990" s="10"/>
    </row>
    <row r="991" ht="14.25" customHeight="1">
      <c r="A991" s="10"/>
      <c r="B991" s="10"/>
      <c r="C991" s="10"/>
      <c r="D991" s="10"/>
      <c r="E991" s="10"/>
      <c r="F991" s="10"/>
      <c r="G991" s="10"/>
    </row>
    <row r="992" ht="14.25" customHeight="1">
      <c r="A992" s="10"/>
      <c r="B992" s="10"/>
      <c r="C992" s="10"/>
      <c r="D992" s="10"/>
      <c r="E992" s="10"/>
      <c r="F992" s="10"/>
      <c r="G992" s="10"/>
    </row>
    <row r="993" ht="14.25" customHeight="1">
      <c r="A993" s="10"/>
      <c r="B993" s="10"/>
      <c r="C993" s="10"/>
      <c r="D993" s="10"/>
      <c r="E993" s="10"/>
      <c r="F993" s="10"/>
      <c r="G993" s="10"/>
    </row>
    <row r="994" ht="14.25" customHeight="1">
      <c r="A994" s="10"/>
      <c r="B994" s="10"/>
      <c r="C994" s="10"/>
      <c r="D994" s="10"/>
      <c r="E994" s="10"/>
      <c r="F994" s="10"/>
      <c r="G994" s="10"/>
    </row>
    <row r="995" ht="14.25" customHeight="1">
      <c r="A995" s="10"/>
      <c r="B995" s="10"/>
      <c r="C995" s="10"/>
      <c r="D995" s="10"/>
      <c r="E995" s="10"/>
      <c r="F995" s="10"/>
      <c r="G995" s="10"/>
    </row>
    <row r="996" ht="14.25" customHeight="1">
      <c r="A996" s="10"/>
      <c r="B996" s="10"/>
      <c r="C996" s="10"/>
      <c r="D996" s="10"/>
      <c r="E996" s="10"/>
      <c r="F996" s="10"/>
      <c r="G996" s="10"/>
    </row>
    <row r="997" ht="14.25" customHeight="1">
      <c r="A997" s="10"/>
      <c r="B997" s="10"/>
      <c r="C997" s="10"/>
      <c r="D997" s="10"/>
      <c r="E997" s="10"/>
      <c r="F997" s="10"/>
      <c r="G997" s="10"/>
    </row>
    <row r="998" ht="14.25" customHeight="1">
      <c r="A998" s="10"/>
      <c r="B998" s="10"/>
      <c r="C998" s="10"/>
      <c r="D998" s="10"/>
      <c r="E998" s="10"/>
      <c r="F998" s="10"/>
      <c r="G998" s="10"/>
    </row>
    <row r="999" ht="14.25" customHeight="1">
      <c r="A999" s="10"/>
      <c r="B999" s="10"/>
      <c r="C999" s="10"/>
      <c r="D999" s="10"/>
      <c r="E999" s="10"/>
      <c r="F999" s="10"/>
      <c r="G999" s="10"/>
    </row>
    <row r="1000" ht="14.25" customHeight="1">
      <c r="A1000" s="10"/>
      <c r="B1000" s="10"/>
      <c r="C1000" s="10"/>
      <c r="D1000" s="10"/>
      <c r="E1000" s="10"/>
      <c r="F1000" s="10"/>
      <c r="G1000" s="10"/>
    </row>
  </sheetData>
  <mergeCells count="191">
    <mergeCell ref="B106:F106"/>
    <mergeCell ref="D108:F108"/>
    <mergeCell ref="D109:F109"/>
    <mergeCell ref="D110:F110"/>
    <mergeCell ref="D111:F111"/>
    <mergeCell ref="D112:F112"/>
    <mergeCell ref="D113:F113"/>
    <mergeCell ref="D114:F114"/>
    <mergeCell ref="D115:F115"/>
    <mergeCell ref="D116:F116"/>
    <mergeCell ref="D117:F117"/>
    <mergeCell ref="B119:F119"/>
    <mergeCell ref="B122:F122"/>
    <mergeCell ref="B124:F124"/>
    <mergeCell ref="B2:F2"/>
    <mergeCell ref="B3:F3"/>
    <mergeCell ref="B4:F4"/>
    <mergeCell ref="B6:F6"/>
    <mergeCell ref="B8:F8"/>
    <mergeCell ref="B9:F9"/>
    <mergeCell ref="B10:F10"/>
    <mergeCell ref="B11:F11"/>
    <mergeCell ref="B12:F12"/>
    <mergeCell ref="B13:F13"/>
    <mergeCell ref="B14:F14"/>
    <mergeCell ref="B15:F15"/>
    <mergeCell ref="B16:F16"/>
    <mergeCell ref="B17:F17"/>
    <mergeCell ref="B18:F18"/>
    <mergeCell ref="B19:F19"/>
    <mergeCell ref="B20:F20"/>
    <mergeCell ref="B22:F22"/>
    <mergeCell ref="B24:F24"/>
    <mergeCell ref="C25:E25"/>
    <mergeCell ref="C26:E26"/>
    <mergeCell ref="C27:E27"/>
    <mergeCell ref="C28:E28"/>
    <mergeCell ref="B31:F31"/>
    <mergeCell ref="C33:F33"/>
    <mergeCell ref="C35:F35"/>
    <mergeCell ref="C37:F37"/>
    <mergeCell ref="C39:F39"/>
    <mergeCell ref="C41:F41"/>
    <mergeCell ref="B43:F43"/>
    <mergeCell ref="B46:F46"/>
    <mergeCell ref="B48:F48"/>
    <mergeCell ref="D49:E49"/>
    <mergeCell ref="D50:E50"/>
    <mergeCell ref="D51:E51"/>
    <mergeCell ref="D52:E52"/>
    <mergeCell ref="D53:E53"/>
    <mergeCell ref="D54:E54"/>
    <mergeCell ref="B56:F56"/>
    <mergeCell ref="B66:F66"/>
    <mergeCell ref="B68:F68"/>
    <mergeCell ref="B70:F70"/>
    <mergeCell ref="B136:F136"/>
    <mergeCell ref="C138:F138"/>
    <mergeCell ref="C139:F139"/>
    <mergeCell ref="C140:F140"/>
    <mergeCell ref="C141:F141"/>
    <mergeCell ref="C142:F142"/>
    <mergeCell ref="C143:F143"/>
    <mergeCell ref="B376:F376"/>
    <mergeCell ref="C378:F378"/>
    <mergeCell ref="C380:F380"/>
    <mergeCell ref="C382:F382"/>
    <mergeCell ref="C384:F384"/>
    <mergeCell ref="C386:F386"/>
    <mergeCell ref="C387:F387"/>
    <mergeCell ref="C388:F388"/>
    <mergeCell ref="C389:F389"/>
    <mergeCell ref="C390:F390"/>
    <mergeCell ref="C391:F391"/>
    <mergeCell ref="C392:F392"/>
    <mergeCell ref="B429:F429"/>
    <mergeCell ref="B432:F432"/>
    <mergeCell ref="B434:F434"/>
    <mergeCell ref="B443:F443"/>
    <mergeCell ref="C445:E445"/>
    <mergeCell ref="C446:E446"/>
    <mergeCell ref="C447:E447"/>
    <mergeCell ref="C448:E448"/>
    <mergeCell ref="C449:E449"/>
    <mergeCell ref="C450:E450"/>
    <mergeCell ref="C451:E451"/>
    <mergeCell ref="C452:E452"/>
    <mergeCell ref="C453:E453"/>
    <mergeCell ref="C454:E454"/>
    <mergeCell ref="B456:F456"/>
    <mergeCell ref="B459:F459"/>
    <mergeCell ref="B146:F146"/>
    <mergeCell ref="B149:F149"/>
    <mergeCell ref="B163:F163"/>
    <mergeCell ref="C165:F165"/>
    <mergeCell ref="C167:F167"/>
    <mergeCell ref="C169:F169"/>
    <mergeCell ref="C171:F171"/>
    <mergeCell ref="B173:F173"/>
    <mergeCell ref="B176:F176"/>
    <mergeCell ref="B206:F206"/>
    <mergeCell ref="C208:F208"/>
    <mergeCell ref="C210:F210"/>
    <mergeCell ref="C212:F212"/>
    <mergeCell ref="C214:F214"/>
    <mergeCell ref="C216:F216"/>
    <mergeCell ref="B219:F219"/>
    <mergeCell ref="B251:F251"/>
    <mergeCell ref="D253:F253"/>
    <mergeCell ref="D254:F254"/>
    <mergeCell ref="D255:F255"/>
    <mergeCell ref="D256:F256"/>
    <mergeCell ref="D257:F257"/>
    <mergeCell ref="D258:F258"/>
    <mergeCell ref="C260:F260"/>
    <mergeCell ref="C262:F262"/>
    <mergeCell ref="C264:F264"/>
    <mergeCell ref="C266:F266"/>
    <mergeCell ref="C268:F268"/>
    <mergeCell ref="B271:F271"/>
    <mergeCell ref="B298:F298"/>
    <mergeCell ref="B300:F300"/>
    <mergeCell ref="B302:F302"/>
    <mergeCell ref="B319:F319"/>
    <mergeCell ref="C321:F321"/>
    <mergeCell ref="C323:F323"/>
    <mergeCell ref="C325:F325"/>
    <mergeCell ref="C327:F327"/>
    <mergeCell ref="B330:F330"/>
    <mergeCell ref="B332:F332"/>
    <mergeCell ref="B333:F333"/>
    <mergeCell ref="B334:F334"/>
    <mergeCell ref="B336:F336"/>
    <mergeCell ref="B477:F477"/>
    <mergeCell ref="B479:F479"/>
    <mergeCell ref="B480:F480"/>
    <mergeCell ref="B481:F481"/>
    <mergeCell ref="B482:F482"/>
    <mergeCell ref="B483:F483"/>
    <mergeCell ref="B486:F486"/>
    <mergeCell ref="C567:D567"/>
    <mergeCell ref="C568:D568"/>
    <mergeCell ref="E568:F568"/>
    <mergeCell ref="B571:F571"/>
    <mergeCell ref="B573:C573"/>
    <mergeCell ref="D573:F573"/>
    <mergeCell ref="B574:C574"/>
    <mergeCell ref="D574:F574"/>
    <mergeCell ref="D575:F575"/>
    <mergeCell ref="B503:F503"/>
    <mergeCell ref="B505:F505"/>
    <mergeCell ref="B507:F507"/>
    <mergeCell ref="B532:F532"/>
    <mergeCell ref="E534:F534"/>
    <mergeCell ref="E535:F535"/>
    <mergeCell ref="E536:F536"/>
    <mergeCell ref="E537:F537"/>
    <mergeCell ref="E538:F538"/>
    <mergeCell ref="E539:F539"/>
    <mergeCell ref="B542:F542"/>
    <mergeCell ref="C544:F544"/>
    <mergeCell ref="C546:F546"/>
    <mergeCell ref="C548:F548"/>
    <mergeCell ref="C550:F550"/>
    <mergeCell ref="B553:F553"/>
    <mergeCell ref="B555:F555"/>
    <mergeCell ref="B557:F557"/>
    <mergeCell ref="C559:D559"/>
    <mergeCell ref="E559:F559"/>
    <mergeCell ref="E560:F560"/>
    <mergeCell ref="C560:D560"/>
    <mergeCell ref="C561:D561"/>
    <mergeCell ref="E561:F561"/>
    <mergeCell ref="C562:D562"/>
    <mergeCell ref="E562:F562"/>
    <mergeCell ref="C563:D563"/>
    <mergeCell ref="E563:F563"/>
    <mergeCell ref="C564:D564"/>
    <mergeCell ref="E564:F564"/>
    <mergeCell ref="C565:D565"/>
    <mergeCell ref="E565:F565"/>
    <mergeCell ref="C566:D566"/>
    <mergeCell ref="E566:F566"/>
    <mergeCell ref="E567:F567"/>
    <mergeCell ref="B575:C575"/>
    <mergeCell ref="B576:C576"/>
    <mergeCell ref="B577:C577"/>
    <mergeCell ref="B578:C578"/>
    <mergeCell ref="D576:F576"/>
    <mergeCell ref="D577:F577"/>
    <mergeCell ref="D578:F578"/>
  </mergeCells>
  <hyperlinks>
    <hyperlink display="← Back to Main Menu" location="'Main Menu'!A1" ref="B4"/>
    <hyperlink display="1.  About this manual" location="'User Manual'!B22" ref="B8"/>
    <hyperlink display="2.  Getting started – opening and signing in" location="'User Manual'!B31" ref="B9"/>
    <hyperlink display="3.  How the workbook is organised" location="'User Manual'!B46" ref="B10"/>
    <hyperlink display="4.  The Main Menu" location="'User Manual'!B68" ref="B11"/>
    <hyperlink display="5.  Record numbers and cell colours" location="'User Manual'!B122" ref="B12"/>
    <hyperlink display="6.  Everyday tasks – step by step" location="'User Manual'!B146" ref="B13"/>
    <hyperlink display="7.  The registers (database)" location="'User Manual'!B432" ref="B14"/>
    <hyperlink display="8.  Dashboard" location="'User Manual'!B459" ref="B15"/>
    <hyperlink display="9.  Notes &amp; Issues – the data-issue log" location="'User Manual'!B486" ref="B16"/>
    <hyperlink display="10.  Settings and administration" location="'User Manual'!B507" ref="B17"/>
    <hyperlink display="11.  Source data sheets" location="'User Manual'!B553" ref="B18"/>
    <hyperlink display="12.  Troubleshooting" location="'User Manual'!B557" ref="B19"/>
    <hyperlink display="13.  Quick reference card" location="'User Manual'!B571" ref="B20"/>
  </hyperlinks>
  <printOptions horizontalCentered="1"/>
  <pageMargins bottom="0.5555555555555556" footer="0.0" header="0.0" left="0.5" right="0.5" top="0.5555555555555556"/>
  <pageSetup fitToHeight="0" paperSize="9" orientation="portrait"/>
  <headerFooter>
    <oddFooter>&amp;CCMU Database – User Manual   ·   Page &amp;P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1827"/>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5.29"/>
    <col customWidth="1" min="2" max="4" width="17.57"/>
    <col customWidth="1" min="5" max="7" width="20.29"/>
    <col customWidth="1" min="8" max="8" width="17.57"/>
    <col customWidth="1" min="9" max="9" width="3.71"/>
    <col customWidth="1" min="10" max="10" width="35.29"/>
    <col customWidth="1" min="11" max="12" width="13.0"/>
    <col customWidth="1" min="13" max="14" width="22.29"/>
    <col customWidth="1" min="15" max="15" width="8.86"/>
    <col customWidth="1" min="16" max="16" width="13.0"/>
    <col customWidth="1" min="17" max="17" width="40.71"/>
    <col customWidth="1" min="18" max="20" width="15.71"/>
    <col customWidth="1" min="21" max="21" width="14.71"/>
    <col customWidth="1" min="22" max="26" width="8.71"/>
  </cols>
  <sheetData>
    <row r="1" ht="25.5" customHeight="1">
      <c r="A1" s="22" t="s">
        <v>116</v>
      </c>
      <c r="B1" s="22"/>
      <c r="C1" s="22"/>
      <c r="D1" s="22"/>
      <c r="E1" s="22"/>
      <c r="F1" s="22"/>
      <c r="G1" s="22"/>
      <c r="H1" s="22"/>
      <c r="I1" s="22"/>
      <c r="J1" s="22"/>
      <c r="K1" s="25"/>
      <c r="L1" s="25"/>
      <c r="M1" s="25"/>
      <c r="N1" s="25"/>
      <c r="O1" s="26"/>
      <c r="P1" s="26"/>
      <c r="Q1" s="26"/>
      <c r="R1" s="26"/>
      <c r="S1" s="26"/>
      <c r="T1" s="26"/>
      <c r="U1" s="26"/>
      <c r="V1" s="26"/>
      <c r="W1" s="26"/>
      <c r="X1" s="26"/>
      <c r="Y1" s="26"/>
      <c r="Z1" s="26"/>
    </row>
    <row r="2" ht="14.25" customHeight="1">
      <c r="A2" s="28" t="s">
        <v>127</v>
      </c>
      <c r="B2" s="28"/>
      <c r="C2" s="28"/>
      <c r="D2" s="28"/>
      <c r="E2" s="28"/>
      <c r="F2" s="28"/>
      <c r="G2" s="28"/>
      <c r="H2" s="28"/>
      <c r="I2" s="28"/>
      <c r="J2" s="28"/>
      <c r="K2" s="30"/>
      <c r="L2" s="30"/>
      <c r="M2" s="30"/>
      <c r="N2" s="30"/>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31" t="s">
        <v>39</v>
      </c>
      <c r="B4" s="31" t="s">
        <v>131</v>
      </c>
      <c r="C4" s="31" t="s">
        <v>132</v>
      </c>
      <c r="D4" s="31" t="s">
        <v>133</v>
      </c>
      <c r="E4" s="31" t="s">
        <v>134</v>
      </c>
      <c r="F4" s="31" t="s">
        <v>135</v>
      </c>
      <c r="G4" s="31" t="s">
        <v>136</v>
      </c>
      <c r="H4" s="31" t="s">
        <v>137</v>
      </c>
      <c r="I4" s="26"/>
      <c r="J4" s="26"/>
      <c r="K4" s="26"/>
      <c r="L4" s="26"/>
      <c r="M4" s="26"/>
      <c r="N4" s="26"/>
      <c r="O4" s="26"/>
      <c r="P4" s="26"/>
      <c r="Q4" s="26"/>
      <c r="R4" s="26"/>
      <c r="S4" s="26"/>
      <c r="T4" s="26"/>
      <c r="U4" s="26"/>
      <c r="V4" s="26"/>
      <c r="W4" s="26"/>
      <c r="X4" s="26"/>
      <c r="Y4" s="26"/>
      <c r="Z4" s="26"/>
    </row>
    <row r="5" ht="30.0" customHeight="1">
      <c r="A5" s="42">
        <f>ROWS(Companies!$A$5:$A$74)</f>
        <v>70</v>
      </c>
      <c r="B5" s="42">
        <f>COUNTIFS('Licences &amp; Certificates'!$K$5:$K$73,"&lt;&gt;")</f>
        <v>60</v>
      </c>
      <c r="C5" s="42">
        <f>COUNTIFS('Licences &amp; Certificates'!$N$5:$N$73,"Pending*")</f>
        <v>9</v>
      </c>
      <c r="D5" s="42">
        <f>ROWS('Chemical Clearances'!$A$5:$A$169)</f>
        <v>165</v>
      </c>
      <c r="E5" s="50">
        <f>SUM('Chemical Clearances'!$J$5:$J$169)</f>
        <v>15779.98144</v>
      </c>
      <c r="F5" s="53">
        <f>SUM('Bills &amp; Invoices'!$J$5:$J$32)</f>
        <v>279151</v>
      </c>
      <c r="G5" s="53">
        <f>SUM('Payments &amp; Receipts'!$F$5:$F$58)</f>
        <v>434983</v>
      </c>
      <c r="H5" s="42">
        <f>COUNTIFS('Notes &amp; Issues'!$G$5:$G$26,"Open")</f>
        <v>8</v>
      </c>
      <c r="I5" s="26"/>
      <c r="J5" s="26"/>
      <c r="K5" s="26"/>
      <c r="L5" s="26"/>
      <c r="M5" s="26"/>
      <c r="N5" s="26"/>
      <c r="O5" s="26"/>
      <c r="P5" s="26"/>
      <c r="Q5" s="26"/>
      <c r="R5" s="26"/>
      <c r="S5" s="26"/>
      <c r="T5" s="26"/>
      <c r="U5" s="26"/>
      <c r="V5" s="26"/>
      <c r="W5" s="26"/>
      <c r="X5" s="26"/>
      <c r="Y5" s="26"/>
      <c r="Z5" s="26"/>
    </row>
    <row r="6" ht="14.25" customHeight="1">
      <c r="A6" s="26"/>
      <c r="B6" s="26"/>
      <c r="C6" s="26"/>
      <c r="D6" s="26"/>
      <c r="E6" s="26"/>
      <c r="F6" s="26"/>
      <c r="G6" s="26"/>
      <c r="H6" s="26"/>
      <c r="I6" s="26"/>
      <c r="J6" s="26"/>
      <c r="K6" s="26"/>
      <c r="L6" s="26"/>
      <c r="M6" s="26"/>
      <c r="N6" s="26"/>
      <c r="O6" s="26"/>
      <c r="P6" s="26"/>
      <c r="Q6" s="26"/>
      <c r="R6" s="26"/>
      <c r="S6" s="26"/>
      <c r="T6" s="26"/>
      <c r="U6" s="26"/>
      <c r="V6" s="26"/>
      <c r="W6" s="26"/>
      <c r="X6" s="26"/>
      <c r="Y6" s="26"/>
      <c r="Z6" s="26"/>
    </row>
    <row r="7" ht="14.25" customHeight="1">
      <c r="A7" s="21" t="s">
        <v>165</v>
      </c>
      <c r="B7" s="26"/>
      <c r="C7" s="26"/>
      <c r="D7" s="26"/>
      <c r="E7" s="26"/>
      <c r="F7" s="26"/>
      <c r="G7" s="26"/>
      <c r="H7" s="26"/>
      <c r="I7" s="26"/>
      <c r="J7" s="21" t="s">
        <v>168</v>
      </c>
      <c r="K7" s="26"/>
      <c r="L7" s="26"/>
      <c r="M7" s="26"/>
      <c r="N7" s="26"/>
      <c r="O7" s="26"/>
      <c r="P7" s="26"/>
      <c r="Q7" s="26"/>
      <c r="R7" s="26"/>
      <c r="S7" s="26"/>
      <c r="T7" s="26"/>
      <c r="U7" s="26"/>
      <c r="V7" s="26"/>
      <c r="W7" s="26"/>
      <c r="X7" s="26"/>
      <c r="Y7" s="26"/>
      <c r="Z7" s="26"/>
    </row>
    <row r="8" ht="30.0" customHeight="1">
      <c r="A8" s="57" t="s">
        <v>169</v>
      </c>
      <c r="B8" s="60" t="s">
        <v>133</v>
      </c>
      <c r="C8" s="60" t="s">
        <v>172</v>
      </c>
      <c r="D8" s="60" t="s">
        <v>173</v>
      </c>
      <c r="E8" s="60" t="s">
        <v>174</v>
      </c>
      <c r="F8" s="60" t="s">
        <v>175</v>
      </c>
      <c r="G8" s="64" t="s">
        <v>176</v>
      </c>
      <c r="H8" s="26"/>
      <c r="I8" s="26"/>
      <c r="J8" s="57" t="s">
        <v>177</v>
      </c>
      <c r="K8" s="60" t="s">
        <v>178</v>
      </c>
      <c r="L8" s="60" t="s">
        <v>179</v>
      </c>
      <c r="M8" s="60" t="s">
        <v>180</v>
      </c>
      <c r="N8" s="64" t="s">
        <v>181</v>
      </c>
      <c r="O8" s="26"/>
      <c r="P8" s="65" t="s">
        <v>182</v>
      </c>
      <c r="Q8" s="66"/>
      <c r="R8" s="66"/>
      <c r="S8" s="66"/>
      <c r="T8" s="66"/>
      <c r="U8" s="67"/>
      <c r="V8" s="26"/>
      <c r="W8" s="26"/>
      <c r="X8" s="26"/>
      <c r="Y8" s="26"/>
      <c r="Z8" s="26"/>
    </row>
    <row r="9" ht="15.0" customHeight="1">
      <c r="A9" s="68">
        <v>46023.0</v>
      </c>
      <c r="B9" s="71">
        <f>COUNTIFS('Chemical Clearances'!$M$5:$M$169,"&gt;="&amp;$A9,'Chemical Clearances'!$M$5:$M$169,"&lt;="&amp;EOMONTH($A9,0))</f>
        <v>7</v>
      </c>
      <c r="C9" s="74">
        <f>SUMIFS('Chemical Clearances'!$J$5:$J$169,'Chemical Clearances'!$M$5:$M$169,"&gt;="&amp;$A9,'Chemical Clearances'!$M$5:$M$169,"&lt;="&amp;EOMONTH($A9,0))</f>
        <v>655.223</v>
      </c>
      <c r="D9" s="71">
        <f>COUNTIFS('Payments &amp; Receipts'!$G$5:$G$58,"&gt;="&amp;$A9,'Payments &amp; Receipts'!$G$5:$G$58,"&lt;="&amp;EOMONTH($A9,0))</f>
        <v>14</v>
      </c>
      <c r="E9" s="78">
        <f>SUMIFS('Payments &amp; Receipts'!$F$5:$F$58,'Payments &amp; Receipts'!$G$5:$G$58,"&gt;="&amp;$A9,'Payments &amp; Receipts'!$G$5:$G$58,"&lt;="&amp;EOMONTH($A9,0))</f>
        <v>254776</v>
      </c>
      <c r="F9" s="78">
        <f>SUMIFS('Bills &amp; Invoices'!$J$5:$J$32,'Bills &amp; Invoices'!$K$5:$K$32,"&gt;="&amp;$A9,'Bills &amp; Invoices'!$K$5:$K$32,"&lt;="&amp;EOMONTH($A9,0))</f>
        <v>267376</v>
      </c>
      <c r="G9" s="79">
        <f>COUNTIFS('Licences &amp; Certificates'!$L$5:$L$73,"&gt;="&amp;$A9,'Licences &amp; Certificates'!$L$5:$L$73,"&lt;="&amp;EOMONTH($A9,0))</f>
        <v>33</v>
      </c>
      <c r="H9" s="26"/>
      <c r="I9" s="26"/>
      <c r="J9" s="80" t="s">
        <v>212</v>
      </c>
      <c r="K9" s="71">
        <f>COUNTIFS('Licences &amp; Certificates'!$E$5:$E$73,$J9)</f>
        <v>25</v>
      </c>
      <c r="L9" s="71">
        <f>COUNTIFS('Licences &amp; Certificates'!$E$5:$E$73,$J9,'Licences &amp; Certificates'!$N$5:$N$73,L$8)</f>
        <v>5</v>
      </c>
      <c r="M9" s="71">
        <f>COUNTIFS('Licences &amp; Certificates'!$E$5:$E$73,$J9,'Licences &amp; Certificates'!$N$5:$N$73,M$8)</f>
        <v>14</v>
      </c>
      <c r="N9" s="79">
        <f>COUNTIFS('Licences &amp; Certificates'!$E$5:$E$73,$J9,'Licences &amp; Certificates'!$N$5:$N$73,N$8)</f>
        <v>6</v>
      </c>
      <c r="O9" s="26"/>
      <c r="P9" s="83" t="s">
        <v>216</v>
      </c>
      <c r="Q9" s="85" t="s">
        <v>218</v>
      </c>
      <c r="R9" s="85" t="s">
        <v>219</v>
      </c>
      <c r="S9" s="83" t="s">
        <v>220</v>
      </c>
      <c r="T9" s="85" t="s">
        <v>221</v>
      </c>
      <c r="U9" s="85" t="s">
        <v>3</v>
      </c>
      <c r="V9" s="26"/>
      <c r="W9" s="26"/>
      <c r="X9" s="26"/>
      <c r="Y9" s="26"/>
      <c r="Z9" s="26"/>
    </row>
    <row r="10" ht="15.0" customHeight="1">
      <c r="A10" s="68">
        <f t="shared" ref="A10:A20" si="1">EDATE(A9,1)</f>
        <v>46054</v>
      </c>
      <c r="B10" s="71">
        <f>COUNTIFS('Chemical Clearances'!$M$5:$M$169,"&gt;="&amp;$A10,'Chemical Clearances'!$M$5:$M$169,"&lt;="&amp;EOMONTH($A10,0))</f>
        <v>54</v>
      </c>
      <c r="C10" s="74">
        <f>SUMIFS('Chemical Clearances'!$J$5:$J$169,'Chemical Clearances'!$M$5:$M$169,"&gt;="&amp;$A10,'Chemical Clearances'!$M$5:$M$169,"&lt;="&amp;EOMONTH($A10,0))</f>
        <v>3232.82278</v>
      </c>
      <c r="D10" s="71">
        <f>COUNTIFS('Payments &amp; Receipts'!$G$5:$G$58,"&gt;="&amp;$A10,'Payments &amp; Receipts'!$G$5:$G$58,"&lt;="&amp;EOMONTH($A10,0))</f>
        <v>8</v>
      </c>
      <c r="E10" s="78">
        <f>SUMIFS('Payments &amp; Receipts'!$F$5:$F$58,'Payments &amp; Receipts'!$G$5:$G$58,"&gt;="&amp;$A10,'Payments &amp; Receipts'!$G$5:$G$58,"&lt;="&amp;EOMONTH($A10,0))</f>
        <v>88790</v>
      </c>
      <c r="F10" s="78">
        <f>SUMIFS('Bills &amp; Invoices'!$J$5:$J$32,'Bills &amp; Invoices'!$K$5:$K$32,"&gt;="&amp;$A10,'Bills &amp; Invoices'!$K$5:$K$32,"&lt;="&amp;EOMONTH($A10,0))</f>
        <v>6450</v>
      </c>
      <c r="G10" s="79">
        <f>COUNTIFS('Licences &amp; Certificates'!$L$5:$L$73,"&gt;="&amp;$A10,'Licences &amp; Certificates'!$L$5:$L$73,"&lt;="&amp;EOMONTH($A10,0))</f>
        <v>0</v>
      </c>
      <c r="H10" s="26"/>
      <c r="I10" s="26"/>
      <c r="J10" s="80" t="s">
        <v>240</v>
      </c>
      <c r="K10" s="71">
        <f>COUNTIFS('Licences &amp; Certificates'!$E$5:$E$73,$J10)</f>
        <v>23</v>
      </c>
      <c r="L10" s="71">
        <f>COUNTIFS('Licences &amp; Certificates'!$E$5:$E$73,$J10,'Licences &amp; Certificates'!$N$5:$N$73,L$8)</f>
        <v>17</v>
      </c>
      <c r="M10" s="71">
        <f>COUNTIFS('Licences &amp; Certificates'!$E$5:$E$73,$J10,'Licences &amp; Certificates'!$N$5:$N$73,M$8)</f>
        <v>5</v>
      </c>
      <c r="N10" s="79">
        <f>COUNTIFS('Licences &amp; Certificates'!$E$5:$E$73,$J10,'Licences &amp; Certificates'!$N$5:$N$73,N$8)</f>
        <v>1</v>
      </c>
      <c r="O10" s="26"/>
      <c r="P10" s="94" t="str">
        <f>IFERROR(__xludf.DUMMYFUNCTION("IFERROR(FILTER(CHOOSECOLS(Lists!X5:AD404,1,3,4,5,6,7),(Lists!AD5:AD404=""Unpaid"")+(Lists!AD5:AD404=""Part paid"")),""No outstanding bills"")"),"BN-2026-019")</f>
        <v>BN-2026-019</v>
      </c>
      <c r="Q10" s="26" t="str">
        <f>IFERROR(__xludf.DUMMYFUNCTION("""COMPUTED_VALUE"""),"REAT Liberia")</f>
        <v>REAT Liberia</v>
      </c>
      <c r="R10" s="96">
        <f>IFERROR(__xludf.DUMMYFUNCTION("""COMPUTED_VALUE"""),46064.0)</f>
        <v>46064</v>
      </c>
      <c r="S10" s="97">
        <f>IFERROR(__xludf.DUMMYFUNCTION("""COMPUTED_VALUE"""),1500.0)</f>
        <v>1500</v>
      </c>
      <c r="T10" s="97">
        <f>IFERROR(__xludf.DUMMYFUNCTION("""COMPUTED_VALUE"""),0.0)</f>
        <v>0</v>
      </c>
      <c r="U10" s="94" t="str">
        <f>IFERROR(__xludf.DUMMYFUNCTION("""COMPUTED_VALUE"""),"Unpaid")</f>
        <v>Unpaid</v>
      </c>
      <c r="V10" s="26"/>
      <c r="W10" s="26"/>
      <c r="X10" s="26"/>
      <c r="Y10" s="26"/>
      <c r="Z10" s="26"/>
    </row>
    <row r="11" ht="15.0" customHeight="1">
      <c r="A11" s="68">
        <f t="shared" si="1"/>
        <v>46082</v>
      </c>
      <c r="B11" s="71">
        <f>COUNTIFS('Chemical Clearances'!$M$5:$M$169,"&gt;="&amp;$A11,'Chemical Clearances'!$M$5:$M$169,"&lt;="&amp;EOMONTH($A11,0))</f>
        <v>13</v>
      </c>
      <c r="C11" s="74">
        <f>SUMIFS('Chemical Clearances'!$J$5:$J$169,'Chemical Clearances'!$M$5:$M$169,"&gt;="&amp;$A11,'Chemical Clearances'!$M$5:$M$169,"&lt;="&amp;EOMONTH($A11,0))</f>
        <v>2135.476</v>
      </c>
      <c r="D11" s="71">
        <f>COUNTIFS('Payments &amp; Receipts'!$G$5:$G$58,"&gt;="&amp;$A11,'Payments &amp; Receipts'!$G$5:$G$58,"&lt;="&amp;EOMONTH($A11,0))</f>
        <v>8</v>
      </c>
      <c r="E11" s="78">
        <f>SUMIFS('Payments &amp; Receipts'!$F$5:$F$58,'Payments &amp; Receipts'!$G$5:$G$58,"&gt;="&amp;$A11,'Payments &amp; Receipts'!$G$5:$G$58,"&lt;="&amp;EOMONTH($A11,0))</f>
        <v>22311</v>
      </c>
      <c r="F11" s="78">
        <f>SUMIFS('Bills &amp; Invoices'!$J$5:$J$32,'Bills &amp; Invoices'!$K$5:$K$32,"&gt;="&amp;$A11,'Bills &amp; Invoices'!$K$5:$K$32,"&lt;="&amp;EOMONTH($A11,0))</f>
        <v>0</v>
      </c>
      <c r="G11" s="79">
        <f>COUNTIFS('Licences &amp; Certificates'!$L$5:$L$73,"&gt;="&amp;$A11,'Licences &amp; Certificates'!$L$5:$L$73,"&lt;="&amp;EOMONTH($A11,0))</f>
        <v>0</v>
      </c>
      <c r="H11" s="26"/>
      <c r="I11" s="26"/>
      <c r="J11" s="80" t="s">
        <v>293</v>
      </c>
      <c r="K11" s="71">
        <f>COUNTIFS('Licences &amp; Certificates'!$E$5:$E$73,$J11)</f>
        <v>12</v>
      </c>
      <c r="L11" s="71">
        <f>COUNTIFS('Licences &amp; Certificates'!$E$5:$E$73,$J11,'Licences &amp; Certificates'!$N$5:$N$73,L$8)</f>
        <v>1</v>
      </c>
      <c r="M11" s="71">
        <f>COUNTIFS('Licences &amp; Certificates'!$E$5:$E$73,$J11,'Licences &amp; Certificates'!$N$5:$N$73,M$8)</f>
        <v>9</v>
      </c>
      <c r="N11" s="79">
        <f>COUNTIFS('Licences &amp; Certificates'!$E$5:$E$73,$J11,'Licences &amp; Certificates'!$N$5:$N$73,N$8)</f>
        <v>2</v>
      </c>
      <c r="O11" s="26"/>
      <c r="P11" s="94" t="str">
        <f>IFERROR(__xludf.DUMMYFUNCTION("""COMPUTED_VALUE"""),"BN-2026-017")</f>
        <v>BN-2026-017</v>
      </c>
      <c r="Q11" s="26" t="str">
        <f>IFERROR(__xludf.DUMMYFUNCTION("""COMPUTED_VALUE"""),"Kwado Energy")</f>
        <v>Kwado Energy</v>
      </c>
      <c r="R11" s="96">
        <f>IFERROR(__xludf.DUMMYFUNCTION("""COMPUTED_VALUE"""),46065.0)</f>
        <v>46065</v>
      </c>
      <c r="S11" s="97">
        <f>IFERROR(__xludf.DUMMYFUNCTION("""COMPUTED_VALUE"""),1500.0)</f>
        <v>1500</v>
      </c>
      <c r="T11" s="97">
        <f>IFERROR(__xludf.DUMMYFUNCTION("""COMPUTED_VALUE"""),0.0)</f>
        <v>0</v>
      </c>
      <c r="U11" s="94" t="str">
        <f>IFERROR(__xludf.DUMMYFUNCTION("""COMPUTED_VALUE"""),"Unpaid")</f>
        <v>Unpaid</v>
      </c>
      <c r="V11" s="26"/>
      <c r="W11" s="26"/>
      <c r="X11" s="26"/>
      <c r="Y11" s="26"/>
      <c r="Z11" s="26"/>
    </row>
    <row r="12" ht="15.0" customHeight="1">
      <c r="A12" s="68">
        <f t="shared" si="1"/>
        <v>46113</v>
      </c>
      <c r="B12" s="71">
        <f>COUNTIFS('Chemical Clearances'!$M$5:$M$169,"&gt;="&amp;$A12,'Chemical Clearances'!$M$5:$M$169,"&lt;="&amp;EOMONTH($A12,0))</f>
        <v>24</v>
      </c>
      <c r="C12" s="74">
        <f>SUMIFS('Chemical Clearances'!$J$5:$J$169,'Chemical Clearances'!$M$5:$M$169,"&gt;="&amp;$A12,'Chemical Clearances'!$M$5:$M$169,"&lt;="&amp;EOMONTH($A12,0))</f>
        <v>1286.378</v>
      </c>
      <c r="D12" s="71">
        <f>COUNTIFS('Payments &amp; Receipts'!$G$5:$G$58,"&gt;="&amp;$A12,'Payments &amp; Receipts'!$G$5:$G$58,"&lt;="&amp;EOMONTH($A12,0))</f>
        <v>4</v>
      </c>
      <c r="E12" s="78">
        <f>SUMIFS('Payments &amp; Receipts'!$F$5:$F$58,'Payments &amp; Receipts'!$G$5:$G$58,"&gt;="&amp;$A12,'Payments &amp; Receipts'!$G$5:$G$58,"&lt;="&amp;EOMONTH($A12,0))</f>
        <v>4925</v>
      </c>
      <c r="F12" s="78">
        <f>SUMIFS('Bills &amp; Invoices'!$J$5:$J$32,'Bills &amp; Invoices'!$K$5:$K$32,"&gt;="&amp;$A12,'Bills &amp; Invoices'!$K$5:$K$32,"&lt;="&amp;EOMONTH($A12,0))</f>
        <v>0</v>
      </c>
      <c r="G12" s="79">
        <f>COUNTIFS('Licences &amp; Certificates'!$L$5:$L$73,"&gt;="&amp;$A12,'Licences &amp; Certificates'!$L$5:$L$73,"&lt;="&amp;EOMONTH($A12,0))</f>
        <v>0</v>
      </c>
      <c r="H12" s="26"/>
      <c r="I12" s="26"/>
      <c r="J12" s="80" t="s">
        <v>309</v>
      </c>
      <c r="K12" s="71">
        <f>COUNTIFS('Licences &amp; Certificates'!$E$5:$E$73,$J12)</f>
        <v>2</v>
      </c>
      <c r="L12" s="71">
        <f>COUNTIFS('Licences &amp; Certificates'!$E$5:$E$73,$J12,'Licences &amp; Certificates'!$N$5:$N$73,L$8)</f>
        <v>2</v>
      </c>
      <c r="M12" s="71">
        <f>COUNTIFS('Licences &amp; Certificates'!$E$5:$E$73,$J12,'Licences &amp; Certificates'!$N$5:$N$73,M$8)</f>
        <v>0</v>
      </c>
      <c r="N12" s="79">
        <f>COUNTIFS('Licences &amp; Certificates'!$E$5:$E$73,$J12,'Licences &amp; Certificates'!$N$5:$N$73,N$8)</f>
        <v>0</v>
      </c>
      <c r="O12" s="26"/>
      <c r="P12" s="94" t="str">
        <f>IFERROR(__xludf.DUMMYFUNCTION("""COMPUTED_VALUE"""),"BN-2026-011")</f>
        <v>BN-2026-011</v>
      </c>
      <c r="Q12" s="26" t="str">
        <f>IFERROR(__xludf.DUMMYFUNCTION("""COMPUTED_VALUE"""),"Liberia Soap and Detergent Company")</f>
        <v>Liberia Soap and Detergent Company</v>
      </c>
      <c r="R12" s="96">
        <f>IFERROR(__xludf.DUMMYFUNCTION("""COMPUTED_VALUE"""),46048.0)</f>
        <v>46048</v>
      </c>
      <c r="S12" s="97">
        <f>IFERROR(__xludf.DUMMYFUNCTION("""COMPUTED_VALUE"""),7550.0)</f>
        <v>7550</v>
      </c>
      <c r="T12" s="97">
        <f>IFERROR(__xludf.DUMMYFUNCTION("""COMPUTED_VALUE"""),0.0)</f>
        <v>0</v>
      </c>
      <c r="U12" s="94" t="str">
        <f>IFERROR(__xludf.DUMMYFUNCTION("""COMPUTED_VALUE"""),"Unpaid")</f>
        <v>Unpaid</v>
      </c>
      <c r="V12" s="26"/>
      <c r="W12" s="26"/>
      <c r="X12" s="26"/>
      <c r="Y12" s="26"/>
      <c r="Z12" s="26"/>
    </row>
    <row r="13" ht="15.0" customHeight="1">
      <c r="A13" s="68">
        <f t="shared" si="1"/>
        <v>46143</v>
      </c>
      <c r="B13" s="71">
        <f>COUNTIFS('Chemical Clearances'!$M$5:$M$169,"&gt;="&amp;$A13,'Chemical Clearances'!$M$5:$M$169,"&lt;="&amp;EOMONTH($A13,0))</f>
        <v>18</v>
      </c>
      <c r="C13" s="74">
        <f>SUMIFS('Chemical Clearances'!$J$5:$J$169,'Chemical Clearances'!$M$5:$M$169,"&gt;="&amp;$A13,'Chemical Clearances'!$M$5:$M$169,"&lt;="&amp;EOMONTH($A13,0))</f>
        <v>653.9035</v>
      </c>
      <c r="D13" s="71">
        <f>COUNTIFS('Payments &amp; Receipts'!$G$5:$G$58,"&gt;="&amp;$A13,'Payments &amp; Receipts'!$G$5:$G$58,"&lt;="&amp;EOMONTH($A13,0))</f>
        <v>6</v>
      </c>
      <c r="E13" s="78">
        <f>SUMIFS('Payments &amp; Receipts'!$F$5:$F$58,'Payments &amp; Receipts'!$G$5:$G$58,"&gt;="&amp;$A13,'Payments &amp; Receipts'!$G$5:$G$58,"&lt;="&amp;EOMONTH($A13,0))</f>
        <v>13325</v>
      </c>
      <c r="F13" s="78">
        <f>SUMIFS('Bills &amp; Invoices'!$J$5:$J$32,'Bills &amp; Invoices'!$K$5:$K$32,"&gt;="&amp;$A13,'Bills &amp; Invoices'!$K$5:$K$32,"&lt;="&amp;EOMONTH($A13,0))</f>
        <v>0</v>
      </c>
      <c r="G13" s="79">
        <f>COUNTIFS('Licences &amp; Certificates'!$L$5:$L$73,"&gt;="&amp;$A13,'Licences &amp; Certificates'!$L$5:$L$73,"&lt;="&amp;EOMONTH($A13,0))</f>
        <v>0</v>
      </c>
      <c r="H13" s="26"/>
      <c r="I13" s="26"/>
      <c r="J13" s="80" t="s">
        <v>348</v>
      </c>
      <c r="K13" s="71">
        <f>COUNTIFS('Licences &amp; Certificates'!$E$5:$E$73,$J13)</f>
        <v>1</v>
      </c>
      <c r="L13" s="71">
        <f>COUNTIFS('Licences &amp; Certificates'!$E$5:$E$73,$J13,'Licences &amp; Certificates'!$N$5:$N$73,L$8)</f>
        <v>1</v>
      </c>
      <c r="M13" s="71">
        <f>COUNTIFS('Licences &amp; Certificates'!$E$5:$E$73,$J13,'Licences &amp; Certificates'!$N$5:$N$73,M$8)</f>
        <v>0</v>
      </c>
      <c r="N13" s="79">
        <f>COUNTIFS('Licences &amp; Certificates'!$E$5:$E$73,$J13,'Licences &amp; Certificates'!$N$5:$N$73,N$8)</f>
        <v>0</v>
      </c>
      <c r="O13" s="26"/>
      <c r="P13" s="94" t="str">
        <f>IFERROR(__xludf.DUMMYFUNCTION("""COMPUTED_VALUE"""),"BN-2026-010")</f>
        <v>BN-2026-010</v>
      </c>
      <c r="Q13" s="26" t="str">
        <f>IFERROR(__xludf.DUMMYFUNCTION("""COMPUTED_VALUE"""),"Fouani Brothers")</f>
        <v>Fouani Brothers</v>
      </c>
      <c r="R13" s="96">
        <f>IFERROR(__xludf.DUMMYFUNCTION("""COMPUTED_VALUE"""),46048.0)</f>
        <v>46048</v>
      </c>
      <c r="S13" s="97">
        <f>IFERROR(__xludf.DUMMYFUNCTION("""COMPUTED_VALUE"""),3000.0)</f>
        <v>3000</v>
      </c>
      <c r="T13" s="97">
        <f>IFERROR(__xludf.DUMMYFUNCTION("""COMPUTED_VALUE"""),0.0)</f>
        <v>0</v>
      </c>
      <c r="U13" s="94" t="str">
        <f>IFERROR(__xludf.DUMMYFUNCTION("""COMPUTED_VALUE"""),"Unpaid")</f>
        <v>Unpaid</v>
      </c>
      <c r="V13" s="26"/>
      <c r="W13" s="26"/>
      <c r="X13" s="26"/>
      <c r="Y13" s="26"/>
      <c r="Z13" s="26"/>
    </row>
    <row r="14" ht="15.0" customHeight="1">
      <c r="A14" s="68">
        <f t="shared" si="1"/>
        <v>46174</v>
      </c>
      <c r="B14" s="71">
        <f>COUNTIFS('Chemical Clearances'!$M$5:$M$169,"&gt;="&amp;$A14,'Chemical Clearances'!$M$5:$M$169,"&lt;="&amp;EOMONTH($A14,0))</f>
        <v>7</v>
      </c>
      <c r="C14" s="74">
        <f>SUMIFS('Chemical Clearances'!$J$5:$J$169,'Chemical Clearances'!$M$5:$M$169,"&gt;="&amp;$A14,'Chemical Clearances'!$M$5:$M$169,"&lt;="&amp;EOMONTH($A14,0))</f>
        <v>457.264</v>
      </c>
      <c r="D14" s="71">
        <f>COUNTIFS('Payments &amp; Receipts'!$G$5:$G$58,"&gt;="&amp;$A14,'Payments &amp; Receipts'!$G$5:$G$58,"&lt;="&amp;EOMONTH($A14,0))</f>
        <v>3</v>
      </c>
      <c r="E14" s="78">
        <f>SUMIFS('Payments &amp; Receipts'!$F$5:$F$58,'Payments &amp; Receipts'!$G$5:$G$58,"&gt;="&amp;$A14,'Payments &amp; Receipts'!$G$5:$G$58,"&lt;="&amp;EOMONTH($A14,0))</f>
        <v>10275</v>
      </c>
      <c r="F14" s="78">
        <f>SUMIFS('Bills &amp; Invoices'!$J$5:$J$32,'Bills &amp; Invoices'!$K$5:$K$32,"&gt;="&amp;$A14,'Bills &amp; Invoices'!$K$5:$K$32,"&lt;="&amp;EOMONTH($A14,0))</f>
        <v>0</v>
      </c>
      <c r="G14" s="79">
        <f>COUNTIFS('Licences &amp; Certificates'!$L$5:$L$73,"&gt;="&amp;$A14,'Licences &amp; Certificates'!$L$5:$L$73,"&lt;="&amp;EOMONTH($A14,0))</f>
        <v>0</v>
      </c>
      <c r="H14" s="26"/>
      <c r="I14" s="26"/>
      <c r="J14" s="80" t="s">
        <v>367</v>
      </c>
      <c r="K14" s="71">
        <f>COUNTIFS('Licences &amp; Certificates'!$E$5:$E$73,$J14)</f>
        <v>6</v>
      </c>
      <c r="L14" s="71">
        <f>COUNTIFS('Licences &amp; Certificates'!$E$5:$E$73,$J14,'Licences &amp; Certificates'!$N$5:$N$73,L$8)</f>
        <v>6</v>
      </c>
      <c r="M14" s="71">
        <f>COUNTIFS('Licences &amp; Certificates'!$E$5:$E$73,$J14,'Licences &amp; Certificates'!$N$5:$N$73,M$8)</f>
        <v>0</v>
      </c>
      <c r="N14" s="79">
        <f>COUNTIFS('Licences &amp; Certificates'!$E$5:$E$73,$J14,'Licences &amp; Certificates'!$N$5:$N$73,N$8)</f>
        <v>0</v>
      </c>
      <c r="O14" s="26"/>
      <c r="P14" s="94" t="str">
        <f>IFERROR(__xludf.DUMMYFUNCTION("""COMPUTED_VALUE"""),"BN-2026-006")</f>
        <v>BN-2026-006</v>
      </c>
      <c r="Q14" s="26" t="str">
        <f>IFERROR(__xludf.DUMMYFUNCTION("""COMPUTED_VALUE"""),"T Waste Recycling &amp; Fumigation Inc.")</f>
        <v>T Waste Recycling &amp; Fumigation Inc.</v>
      </c>
      <c r="R14" s="96">
        <f>IFERROR(__xludf.DUMMYFUNCTION("""COMPUTED_VALUE"""),46036.0)</f>
        <v>46036</v>
      </c>
      <c r="S14" s="97">
        <f>IFERROR(__xludf.DUMMYFUNCTION("""COMPUTED_VALUE"""),275.0)</f>
        <v>275</v>
      </c>
      <c r="T14" s="97">
        <f>IFERROR(__xludf.DUMMYFUNCTION("""COMPUTED_VALUE"""),0.0)</f>
        <v>0</v>
      </c>
      <c r="U14" s="94" t="str">
        <f>IFERROR(__xludf.DUMMYFUNCTION("""COMPUTED_VALUE"""),"Unpaid")</f>
        <v>Unpaid</v>
      </c>
      <c r="V14" s="26"/>
      <c r="W14" s="26"/>
      <c r="X14" s="26"/>
      <c r="Y14" s="26"/>
      <c r="Z14" s="26"/>
    </row>
    <row r="15" ht="15.0" customHeight="1">
      <c r="A15" s="68">
        <f t="shared" si="1"/>
        <v>46204</v>
      </c>
      <c r="B15" s="71">
        <f>COUNTIFS('Chemical Clearances'!$M$5:$M$169,"&gt;="&amp;$A15,'Chemical Clearances'!$M$5:$M$169,"&lt;="&amp;EOMONTH($A15,0))</f>
        <v>10</v>
      </c>
      <c r="C15" s="74">
        <f>SUMIFS('Chemical Clearances'!$J$5:$J$169,'Chemical Clearances'!$M$5:$M$169,"&gt;="&amp;$A15,'Chemical Clearances'!$M$5:$M$169,"&lt;="&amp;EOMONTH($A15,0))</f>
        <v>1015.840961</v>
      </c>
      <c r="D15" s="71">
        <f>COUNTIFS('Payments &amp; Receipts'!$G$5:$G$58,"&gt;="&amp;$A15,'Payments &amp; Receipts'!$G$5:$G$58,"&lt;="&amp;EOMONTH($A15,0))</f>
        <v>4</v>
      </c>
      <c r="E15" s="78">
        <f>SUMIFS('Payments &amp; Receipts'!$F$5:$F$58,'Payments &amp; Receipts'!$G$5:$G$58,"&gt;="&amp;$A15,'Payments &amp; Receipts'!$G$5:$G$58,"&lt;="&amp;EOMONTH($A15,0))</f>
        <v>8435</v>
      </c>
      <c r="F15" s="78">
        <f>SUMIFS('Bills &amp; Invoices'!$J$5:$J$32,'Bills &amp; Invoices'!$K$5:$K$32,"&gt;="&amp;$A15,'Bills &amp; Invoices'!$K$5:$K$32,"&lt;="&amp;EOMONTH($A15,0))</f>
        <v>0</v>
      </c>
      <c r="G15" s="79">
        <f>COUNTIFS('Licences &amp; Certificates'!$L$5:$L$73,"&gt;="&amp;$A15,'Licences &amp; Certificates'!$L$5:$L$73,"&lt;="&amp;EOMONTH($A15,0))</f>
        <v>0</v>
      </c>
      <c r="H15" s="26"/>
      <c r="I15" s="26"/>
      <c r="J15" s="115" t="s">
        <v>385</v>
      </c>
      <c r="K15" s="118">
        <f t="shared" ref="K15:N15" si="2">SUM(K9:K14)</f>
        <v>69</v>
      </c>
      <c r="L15" s="118">
        <f t="shared" si="2"/>
        <v>32</v>
      </c>
      <c r="M15" s="118">
        <f t="shared" si="2"/>
        <v>28</v>
      </c>
      <c r="N15" s="120">
        <f t="shared" si="2"/>
        <v>9</v>
      </c>
      <c r="O15" s="26"/>
      <c r="P15" s="94" t="str">
        <f>IFERROR(__xludf.DUMMYFUNCTION("""COMPUTED_VALUE"""),"BN-2026-005")</f>
        <v>BN-2026-005</v>
      </c>
      <c r="Q15" s="26" t="str">
        <f>IFERROR(__xludf.DUMMYFUNCTION("""COMPUTED_VALUE"""),"Efficient Professional Services Inc.")</f>
        <v>Efficient Professional Services Inc.</v>
      </c>
      <c r="R15" s="96">
        <f>IFERROR(__xludf.DUMMYFUNCTION("""COMPUTED_VALUE"""),46043.0)</f>
        <v>46043</v>
      </c>
      <c r="S15" s="97">
        <f>IFERROR(__xludf.DUMMYFUNCTION("""COMPUTED_VALUE"""),275.0)</f>
        <v>275</v>
      </c>
      <c r="T15" s="97">
        <f>IFERROR(__xludf.DUMMYFUNCTION("""COMPUTED_VALUE"""),0.0)</f>
        <v>0</v>
      </c>
      <c r="U15" s="94" t="str">
        <f>IFERROR(__xludf.DUMMYFUNCTION("""COMPUTED_VALUE"""),"Unpaid")</f>
        <v>Unpaid</v>
      </c>
      <c r="V15" s="26"/>
      <c r="W15" s="26"/>
      <c r="X15" s="26"/>
      <c r="Y15" s="26"/>
      <c r="Z15" s="26"/>
    </row>
    <row r="16" ht="15.0" customHeight="1">
      <c r="A16" s="68">
        <f t="shared" si="1"/>
        <v>46235</v>
      </c>
      <c r="B16" s="71">
        <f>COUNTIFS('Chemical Clearances'!$M$5:$M$169,"&gt;="&amp;$A16,'Chemical Clearances'!$M$5:$M$169,"&lt;="&amp;EOMONTH($A16,0))</f>
        <v>3</v>
      </c>
      <c r="C16" s="74">
        <f>SUMIFS('Chemical Clearances'!$J$5:$J$169,'Chemical Clearances'!$M$5:$M$169,"&gt;="&amp;$A16,'Chemical Clearances'!$M$5:$M$169,"&lt;="&amp;EOMONTH($A16,0))</f>
        <v>764.158</v>
      </c>
      <c r="D16" s="71">
        <f>COUNTIFS('Payments &amp; Receipts'!$G$5:$G$58,"&gt;="&amp;$A16,'Payments &amp; Receipts'!$G$5:$G$58,"&lt;="&amp;EOMONTH($A16,0))</f>
        <v>2</v>
      </c>
      <c r="E16" s="78">
        <f>SUMIFS('Payments &amp; Receipts'!$F$5:$F$58,'Payments &amp; Receipts'!$G$5:$G$58,"&gt;="&amp;$A16,'Payments &amp; Receipts'!$G$5:$G$58,"&lt;="&amp;EOMONTH($A16,0))</f>
        <v>12455</v>
      </c>
      <c r="F16" s="78">
        <f>SUMIFS('Bills &amp; Invoices'!$J$5:$J$32,'Bills &amp; Invoices'!$K$5:$K$32,"&gt;="&amp;$A16,'Bills &amp; Invoices'!$K$5:$K$32,"&lt;="&amp;EOMONTH($A16,0))</f>
        <v>0</v>
      </c>
      <c r="G16" s="79">
        <f>COUNTIFS('Licences &amp; Certificates'!$L$5:$L$73,"&gt;="&amp;$A16,'Licences &amp; Certificates'!$L$5:$L$73,"&lt;="&amp;EOMONTH($A16,0))</f>
        <v>0</v>
      </c>
      <c r="H16" s="26"/>
      <c r="I16" s="26"/>
      <c r="J16" s="26"/>
      <c r="K16" s="26"/>
      <c r="L16" s="26"/>
      <c r="M16" s="26"/>
      <c r="N16" s="26"/>
      <c r="O16" s="26"/>
      <c r="P16" s="94" t="str">
        <f>IFERROR(__xludf.DUMMYFUNCTION("""COMPUTED_VALUE"""),"BN-2026-003")</f>
        <v>BN-2026-003</v>
      </c>
      <c r="Q16" s="26" t="str">
        <f>IFERROR(__xludf.DUMMYFUNCTION("""COMPUTED_VALUE"""),"Mano Manufacturing Company (MANCO)")</f>
        <v>Mano Manufacturing Company (MANCO)</v>
      </c>
      <c r="R16" s="96">
        <f>IFERROR(__xludf.DUMMYFUNCTION("""COMPUTED_VALUE"""),46030.0)</f>
        <v>46030</v>
      </c>
      <c r="S16" s="97">
        <f>IFERROR(__xludf.DUMMYFUNCTION("""COMPUTED_VALUE"""),1500.0)</f>
        <v>1500</v>
      </c>
      <c r="T16" s="97">
        <f>IFERROR(__xludf.DUMMYFUNCTION("""COMPUTED_VALUE"""),0.0)</f>
        <v>0</v>
      </c>
      <c r="U16" s="94" t="str">
        <f>IFERROR(__xludf.DUMMYFUNCTION("""COMPUTED_VALUE"""),"Unpaid")</f>
        <v>Unpaid</v>
      </c>
      <c r="V16" s="26"/>
      <c r="W16" s="26"/>
      <c r="X16" s="26"/>
      <c r="Y16" s="26"/>
      <c r="Z16" s="26"/>
    </row>
    <row r="17" ht="15.0" customHeight="1">
      <c r="A17" s="68">
        <f t="shared" si="1"/>
        <v>46266</v>
      </c>
      <c r="B17" s="71">
        <f>COUNTIFS('Chemical Clearances'!$M$5:$M$169,"&gt;="&amp;$A17,'Chemical Clearances'!$M$5:$M$169,"&lt;="&amp;EOMONTH($A17,0))</f>
        <v>11</v>
      </c>
      <c r="C17" s="74">
        <f>SUMIFS('Chemical Clearances'!$J$5:$J$169,'Chemical Clearances'!$M$5:$M$169,"&gt;="&amp;$A17,'Chemical Clearances'!$M$5:$M$169,"&lt;="&amp;EOMONTH($A17,0))</f>
        <v>2482.2512</v>
      </c>
      <c r="D17" s="71">
        <f>COUNTIFS('Payments &amp; Receipts'!$G$5:$G$58,"&gt;="&amp;$A17,'Payments &amp; Receipts'!$G$5:$G$58,"&lt;="&amp;EOMONTH($A17,0))</f>
        <v>3</v>
      </c>
      <c r="E17" s="78">
        <f>SUMIFS('Payments &amp; Receipts'!$F$5:$F$58,'Payments &amp; Receipts'!$G$5:$G$58,"&gt;="&amp;$A17,'Payments &amp; Receipts'!$G$5:$G$58,"&lt;="&amp;EOMONTH($A17,0))</f>
        <v>7541</v>
      </c>
      <c r="F17" s="78">
        <f>SUMIFS('Bills &amp; Invoices'!$J$5:$J$32,'Bills &amp; Invoices'!$K$5:$K$32,"&gt;="&amp;$A17,'Bills &amp; Invoices'!$K$5:$K$32,"&lt;="&amp;EOMONTH($A17,0))</f>
        <v>0</v>
      </c>
      <c r="G17" s="79">
        <f>COUNTIFS('Licences &amp; Certificates'!$L$5:$L$73,"&gt;="&amp;$A17,'Licences &amp; Certificates'!$L$5:$L$73,"&lt;="&amp;EOMONTH($A17,0))</f>
        <v>0</v>
      </c>
      <c r="H17" s="26"/>
      <c r="I17" s="26"/>
      <c r="J17" s="21" t="s">
        <v>425</v>
      </c>
      <c r="K17" s="26"/>
      <c r="L17" s="26"/>
      <c r="M17" s="26"/>
      <c r="N17" s="26"/>
      <c r="O17" s="26"/>
      <c r="P17" s="94" t="str">
        <f>IFERROR(__xludf.DUMMYFUNCTION("""COMPUTED_VALUE"""),"BN-2026-001")</f>
        <v>BN-2026-001</v>
      </c>
      <c r="Q17" s="26" t="str">
        <f>IFERROR(__xludf.DUMMYFUNCTION("""COMPUTED_VALUE"""),"Delta Plastics Inc.")</f>
        <v>Delta Plastics Inc.</v>
      </c>
      <c r="R17" s="96">
        <f>IFERROR(__xludf.DUMMYFUNCTION("""COMPUTED_VALUE"""),46030.0)</f>
        <v>46030</v>
      </c>
      <c r="S17" s="97">
        <f>IFERROR(__xludf.DUMMYFUNCTION("""COMPUTED_VALUE"""),1500.0)</f>
        <v>1500</v>
      </c>
      <c r="T17" s="97">
        <f>IFERROR(__xludf.DUMMYFUNCTION("""COMPUTED_VALUE"""),0.0)</f>
        <v>0</v>
      </c>
      <c r="U17" s="94" t="str">
        <f>IFERROR(__xludf.DUMMYFUNCTION("""COMPUTED_VALUE"""),"Unpaid")</f>
        <v>Unpaid</v>
      </c>
      <c r="V17" s="26"/>
      <c r="W17" s="26"/>
      <c r="X17" s="26"/>
      <c r="Y17" s="26"/>
      <c r="Z17" s="26"/>
    </row>
    <row r="18" ht="15.0" customHeight="1">
      <c r="A18" s="68">
        <f t="shared" si="1"/>
        <v>46296</v>
      </c>
      <c r="B18" s="71">
        <f>COUNTIFS('Chemical Clearances'!$M$5:$M$169,"&gt;="&amp;$A18,'Chemical Clearances'!$M$5:$M$169,"&lt;="&amp;EOMONTH($A18,0))</f>
        <v>0</v>
      </c>
      <c r="C18" s="74">
        <f>SUMIFS('Chemical Clearances'!$J$5:$J$169,'Chemical Clearances'!$M$5:$M$169,"&gt;="&amp;$A18,'Chemical Clearances'!$M$5:$M$169,"&lt;="&amp;EOMONTH($A18,0))</f>
        <v>0</v>
      </c>
      <c r="D18" s="71">
        <f>COUNTIFS('Payments &amp; Receipts'!$G$5:$G$58,"&gt;="&amp;$A18,'Payments &amp; Receipts'!$G$5:$G$58,"&lt;="&amp;EOMONTH($A18,0))</f>
        <v>0</v>
      </c>
      <c r="E18" s="78">
        <f>SUMIFS('Payments &amp; Receipts'!$F$5:$F$58,'Payments &amp; Receipts'!$G$5:$G$58,"&gt;="&amp;$A18,'Payments &amp; Receipts'!$G$5:$G$58,"&lt;="&amp;EOMONTH($A18,0))</f>
        <v>0</v>
      </c>
      <c r="F18" s="78">
        <f>SUMIFS('Bills &amp; Invoices'!$J$5:$J$32,'Bills &amp; Invoices'!$K$5:$K$32,"&gt;="&amp;$A18,'Bills &amp; Invoices'!$K$5:$K$32,"&lt;="&amp;EOMONTH($A18,0))</f>
        <v>0</v>
      </c>
      <c r="G18" s="79">
        <f>COUNTIFS('Licences &amp; Certificates'!$L$5:$L$73,"&gt;="&amp;$A18,'Licences &amp; Certificates'!$L$5:$L$73,"&lt;="&amp;EOMONTH($A18,0))</f>
        <v>0</v>
      </c>
      <c r="H18" s="26"/>
      <c r="I18" s="26"/>
      <c r="J18" s="57" t="s">
        <v>451</v>
      </c>
      <c r="K18" s="60" t="s">
        <v>452</v>
      </c>
      <c r="L18" s="64" t="s">
        <v>175</v>
      </c>
      <c r="M18" s="26"/>
      <c r="N18" s="26"/>
      <c r="O18" s="26"/>
      <c r="P18" s="94"/>
      <c r="Q18" s="26"/>
      <c r="R18" s="96"/>
      <c r="S18" s="97"/>
      <c r="T18" s="97"/>
      <c r="U18" s="94"/>
      <c r="V18" s="26"/>
      <c r="W18" s="26"/>
      <c r="X18" s="26"/>
      <c r="Y18" s="26"/>
      <c r="Z18" s="26"/>
    </row>
    <row r="19" ht="15.0" customHeight="1">
      <c r="A19" s="68">
        <f t="shared" si="1"/>
        <v>46327</v>
      </c>
      <c r="B19" s="71">
        <f>COUNTIFS('Chemical Clearances'!$M$5:$M$169,"&gt;="&amp;$A19,'Chemical Clearances'!$M$5:$M$169,"&lt;="&amp;EOMONTH($A19,0))</f>
        <v>0</v>
      </c>
      <c r="C19" s="74">
        <f>SUMIFS('Chemical Clearances'!$J$5:$J$169,'Chemical Clearances'!$M$5:$M$169,"&gt;="&amp;$A19,'Chemical Clearances'!$M$5:$M$169,"&lt;="&amp;EOMONTH($A19,0))</f>
        <v>0</v>
      </c>
      <c r="D19" s="71">
        <f>COUNTIFS('Payments &amp; Receipts'!$G$5:$G$58,"&gt;="&amp;$A19,'Payments &amp; Receipts'!$G$5:$G$58,"&lt;="&amp;EOMONTH($A19,0))</f>
        <v>0</v>
      </c>
      <c r="E19" s="78">
        <f>SUMIFS('Payments &amp; Receipts'!$F$5:$F$58,'Payments &amp; Receipts'!$G$5:$G$58,"&gt;="&amp;$A19,'Payments &amp; Receipts'!$G$5:$G$58,"&lt;="&amp;EOMONTH($A19,0))</f>
        <v>0</v>
      </c>
      <c r="F19" s="78">
        <f>SUMIFS('Bills &amp; Invoices'!$J$5:$J$32,'Bills &amp; Invoices'!$K$5:$K$32,"&gt;="&amp;$A19,'Bills &amp; Invoices'!$K$5:$K$32,"&lt;="&amp;EOMONTH($A19,0))</f>
        <v>0</v>
      </c>
      <c r="G19" s="79">
        <f>COUNTIFS('Licences &amp; Certificates'!$L$5:$L$73,"&gt;="&amp;$A19,'Licences &amp; Certificates'!$L$5:$L$73,"&lt;="&amp;EOMONTH($A19,0))</f>
        <v>0</v>
      </c>
      <c r="H19" s="26"/>
      <c r="I19" s="26"/>
      <c r="J19" s="80" t="s">
        <v>488</v>
      </c>
      <c r="K19" s="71">
        <f>COUNTIFS('Bills &amp; Invoices'!$N$5:$N$32,$J19)</f>
        <v>15</v>
      </c>
      <c r="L19" s="137">
        <f>SUMIFS('Bills &amp; Invoices'!$J$5:$J$32,'Bills &amp; Invoices'!$N$5:$N$32,$J19)</f>
        <v>257501</v>
      </c>
      <c r="M19" s="26"/>
      <c r="N19" s="26"/>
      <c r="O19" s="26"/>
      <c r="P19" s="94"/>
      <c r="Q19" s="26"/>
      <c r="R19" s="96"/>
      <c r="S19" s="97"/>
      <c r="T19" s="97"/>
      <c r="U19" s="94"/>
      <c r="V19" s="26"/>
      <c r="W19" s="26"/>
      <c r="X19" s="26"/>
      <c r="Y19" s="26"/>
      <c r="Z19" s="26"/>
    </row>
    <row r="20" ht="15.0" customHeight="1">
      <c r="A20" s="68">
        <f t="shared" si="1"/>
        <v>46357</v>
      </c>
      <c r="B20" s="71">
        <f>COUNTIFS('Chemical Clearances'!$M$5:$M$169,"&gt;="&amp;$A20,'Chemical Clearances'!$M$5:$M$169,"&lt;="&amp;EOMONTH($A20,0))</f>
        <v>0</v>
      </c>
      <c r="C20" s="74">
        <f>SUMIFS('Chemical Clearances'!$J$5:$J$169,'Chemical Clearances'!$M$5:$M$169,"&gt;="&amp;$A20,'Chemical Clearances'!$M$5:$M$169,"&lt;="&amp;EOMONTH($A20,0))</f>
        <v>0</v>
      </c>
      <c r="D20" s="71">
        <f>COUNTIFS('Payments &amp; Receipts'!$G$5:$G$58,"&gt;="&amp;$A20,'Payments &amp; Receipts'!$G$5:$G$58,"&lt;="&amp;EOMONTH($A20,0))</f>
        <v>0</v>
      </c>
      <c r="E20" s="78">
        <f>SUMIFS('Payments &amp; Receipts'!$F$5:$F$58,'Payments &amp; Receipts'!$G$5:$G$58,"&gt;="&amp;$A20,'Payments &amp; Receipts'!$G$5:$G$58,"&lt;="&amp;EOMONTH($A20,0))</f>
        <v>0</v>
      </c>
      <c r="F20" s="78">
        <f>SUMIFS('Bills &amp; Invoices'!$J$5:$J$32,'Bills &amp; Invoices'!$K$5:$K$32,"&gt;="&amp;$A20,'Bills &amp; Invoices'!$K$5:$K$32,"&lt;="&amp;EOMONTH($A20,0))</f>
        <v>0</v>
      </c>
      <c r="G20" s="79">
        <f>COUNTIFS('Licences &amp; Certificates'!$L$5:$L$73,"&gt;="&amp;$A20,'Licences &amp; Certificates'!$L$5:$L$73,"&lt;="&amp;EOMONTH($A20,0))</f>
        <v>0</v>
      </c>
      <c r="H20" s="26"/>
      <c r="I20" s="26"/>
      <c r="J20" s="80" t="s">
        <v>516</v>
      </c>
      <c r="K20" s="71">
        <f>COUNTIFS('Bills &amp; Invoices'!$N$5:$N$32,$J20)</f>
        <v>2</v>
      </c>
      <c r="L20" s="137">
        <f>SUMIFS('Bills &amp; Invoices'!$J$5:$J$32,'Bills &amp; Invoices'!$N$5:$N$32,$J20)</f>
        <v>4550</v>
      </c>
      <c r="M20" s="26"/>
      <c r="N20" s="26"/>
      <c r="O20" s="26"/>
      <c r="P20" s="94"/>
      <c r="Q20" s="26"/>
      <c r="R20" s="96"/>
      <c r="S20" s="97"/>
      <c r="T20" s="97"/>
      <c r="U20" s="94"/>
      <c r="V20" s="26"/>
      <c r="W20" s="26"/>
      <c r="X20" s="26"/>
      <c r="Y20" s="26"/>
      <c r="Z20" s="26"/>
    </row>
    <row r="21" ht="15.0" customHeight="1">
      <c r="A21" s="80" t="s">
        <v>517</v>
      </c>
      <c r="B21" s="71">
        <f>COUNTIFS('Chemical Clearances'!$M$5:$M$169,"")</f>
        <v>18</v>
      </c>
      <c r="C21" s="74">
        <f>SUMIFS('Chemical Clearances'!$J$5:$J$169,'Chemical Clearances'!$M$5:$M$169,"")</f>
        <v>3096.664</v>
      </c>
      <c r="D21" s="71">
        <f>COUNTIFS('Payments &amp; Receipts'!$G$5:$G$58,"")</f>
        <v>2</v>
      </c>
      <c r="E21" s="78">
        <f>SUMIFS('Payments &amp; Receipts'!$F$5:$F$58,'Payments &amp; Receipts'!$G$5:$G$58,"")</f>
        <v>12150</v>
      </c>
      <c r="F21" s="78">
        <f>SUMIFS('Bills &amp; Invoices'!$J$5:$J$32,'Bills &amp; Invoices'!$K$5:$K$32,"")</f>
        <v>5325</v>
      </c>
      <c r="G21" s="79">
        <f>COUNTIFS('Licences &amp; Certificates'!$L$5:$L$73,"",'Licences &amp; Certificates'!$K$5:$K$73,"&lt;&gt;")</f>
        <v>27</v>
      </c>
      <c r="H21" s="26"/>
      <c r="I21" s="26"/>
      <c r="J21" s="80" t="s">
        <v>518</v>
      </c>
      <c r="K21" s="71">
        <f>COUNTIFS('Bills &amp; Invoices'!$N$5:$N$32,$J21)</f>
        <v>11</v>
      </c>
      <c r="L21" s="137">
        <f>SUMIFS('Bills &amp; Invoices'!$J$5:$J$32,'Bills &amp; Invoices'!$N$5:$N$32,$J21)</f>
        <v>17100</v>
      </c>
      <c r="M21" s="26"/>
      <c r="N21" s="26"/>
      <c r="O21" s="26"/>
      <c r="P21" s="94"/>
      <c r="Q21" s="26"/>
      <c r="R21" s="96"/>
      <c r="S21" s="97"/>
      <c r="T21" s="97"/>
      <c r="U21" s="94"/>
      <c r="V21" s="26"/>
      <c r="W21" s="26"/>
      <c r="X21" s="26"/>
      <c r="Y21" s="26"/>
      <c r="Z21" s="26"/>
    </row>
    <row r="22" ht="15.0" customHeight="1">
      <c r="A22" s="115" t="s">
        <v>385</v>
      </c>
      <c r="B22" s="118">
        <f t="shared" ref="B22:G22" si="3">SUM(B9:B21)</f>
        <v>165</v>
      </c>
      <c r="C22" s="153">
        <f t="shared" si="3"/>
        <v>15779.98144</v>
      </c>
      <c r="D22" s="118">
        <f t="shared" si="3"/>
        <v>54</v>
      </c>
      <c r="E22" s="154">
        <f t="shared" si="3"/>
        <v>434983</v>
      </c>
      <c r="F22" s="154">
        <f t="shared" si="3"/>
        <v>279151</v>
      </c>
      <c r="G22" s="120">
        <f t="shared" si="3"/>
        <v>60</v>
      </c>
      <c r="H22" s="26"/>
      <c r="I22" s="26"/>
      <c r="J22" s="115" t="s">
        <v>385</v>
      </c>
      <c r="K22" s="118">
        <f t="shared" ref="K22:L22" si="4">SUM(K19:K21)</f>
        <v>28</v>
      </c>
      <c r="L22" s="155">
        <f t="shared" si="4"/>
        <v>279151</v>
      </c>
      <c r="M22" s="26"/>
      <c r="N22" s="26"/>
      <c r="O22" s="26"/>
      <c r="P22" s="94"/>
      <c r="Q22" s="26"/>
      <c r="R22" s="96"/>
      <c r="S22" s="97"/>
      <c r="T22" s="97"/>
      <c r="U22" s="94"/>
      <c r="V22" s="26"/>
      <c r="W22" s="26"/>
      <c r="X22" s="26"/>
      <c r="Y22" s="26"/>
      <c r="Z22" s="26"/>
    </row>
    <row r="23" ht="15.0" customHeight="1">
      <c r="A23" s="156" t="s">
        <v>520</v>
      </c>
      <c r="B23" s="159">
        <f>B22-ROWS('Chemical Clearances'!$A$5:$A$169)</f>
        <v>0</v>
      </c>
      <c r="C23" s="161">
        <f>ROUND(C22-SUM('Chemical Clearances'!$J$5:$J$169),3)</f>
        <v>0</v>
      </c>
      <c r="D23" s="159">
        <f>D22-ROWS('Payments &amp; Receipts'!$A$5:$A$58)</f>
        <v>0</v>
      </c>
      <c r="E23" s="162">
        <f>E22-SUM('Payments &amp; Receipts'!$F$5:$F$58)</f>
        <v>0</v>
      </c>
      <c r="F23" s="162">
        <f>F22-SUM('Bills &amp; Invoices'!$J$5:$J$32)</f>
        <v>0</v>
      </c>
      <c r="G23" s="163"/>
      <c r="H23" s="26"/>
      <c r="I23" s="26"/>
      <c r="J23" s="26"/>
      <c r="K23" s="26"/>
      <c r="L23" s="26"/>
      <c r="M23" s="26"/>
      <c r="N23" s="26"/>
      <c r="O23" s="26"/>
      <c r="P23" s="94"/>
      <c r="Q23" s="26"/>
      <c r="R23" s="96"/>
      <c r="S23" s="97"/>
      <c r="T23" s="97"/>
      <c r="U23" s="94"/>
      <c r="V23" s="26"/>
      <c r="W23" s="26"/>
      <c r="X23" s="26"/>
      <c r="Y23" s="26"/>
      <c r="Z23" s="26"/>
    </row>
    <row r="24" ht="14.25" customHeight="1">
      <c r="A24" s="26"/>
      <c r="B24" s="26"/>
      <c r="C24" s="26"/>
      <c r="D24" s="26"/>
      <c r="E24" s="26"/>
      <c r="F24" s="26"/>
      <c r="G24" s="26"/>
      <c r="H24" s="26"/>
      <c r="I24" s="26"/>
      <c r="J24" s="26"/>
      <c r="K24" s="26"/>
      <c r="L24" s="26"/>
      <c r="M24" s="26"/>
      <c r="N24" s="26"/>
      <c r="O24" s="26"/>
      <c r="P24" s="94"/>
      <c r="Q24" s="26"/>
      <c r="R24" s="96"/>
      <c r="S24" s="97"/>
      <c r="T24" s="97"/>
      <c r="U24" s="94"/>
      <c r="V24" s="26"/>
      <c r="W24" s="26"/>
      <c r="X24" s="26"/>
      <c r="Y24" s="26"/>
      <c r="Z24" s="26"/>
    </row>
    <row r="25" ht="14.25" customHeight="1">
      <c r="A25" s="21" t="s">
        <v>522</v>
      </c>
      <c r="B25" s="26"/>
      <c r="C25" s="26"/>
      <c r="D25" s="26"/>
      <c r="E25" s="26"/>
      <c r="F25" s="26"/>
      <c r="G25" s="26"/>
      <c r="H25" s="26"/>
      <c r="I25" s="26"/>
      <c r="J25" s="26"/>
      <c r="K25" s="26"/>
      <c r="L25" s="26"/>
      <c r="M25" s="26"/>
      <c r="N25" s="26"/>
      <c r="O25" s="26"/>
      <c r="P25" s="94"/>
      <c r="Q25" s="26"/>
      <c r="R25" s="96"/>
      <c r="S25" s="97"/>
      <c r="T25" s="97"/>
      <c r="U25" s="94"/>
      <c r="V25" s="26"/>
      <c r="W25" s="26"/>
      <c r="X25" s="26"/>
      <c r="Y25" s="26"/>
      <c r="Z25" s="26"/>
    </row>
    <row r="26" ht="30.0" customHeight="1">
      <c r="A26" s="57" t="s">
        <v>500</v>
      </c>
      <c r="B26" s="60" t="s">
        <v>523</v>
      </c>
      <c r="C26" s="60" t="s">
        <v>524</v>
      </c>
      <c r="D26" s="60" t="s">
        <v>525</v>
      </c>
      <c r="E26" s="64" t="s">
        <v>526</v>
      </c>
      <c r="F26" s="26"/>
      <c r="G26" s="26"/>
      <c r="H26" s="26"/>
      <c r="I26" s="26"/>
      <c r="J26" s="26"/>
      <c r="K26" s="26"/>
      <c r="L26" s="26"/>
      <c r="M26" s="26"/>
      <c r="N26" s="26"/>
      <c r="O26" s="26"/>
      <c r="P26" s="94"/>
      <c r="Q26" s="26"/>
      <c r="R26" s="96"/>
      <c r="S26" s="97"/>
      <c r="T26" s="97"/>
      <c r="U26" s="94"/>
      <c r="V26" s="26"/>
      <c r="W26" s="26"/>
      <c r="X26" s="26"/>
      <c r="Y26" s="26"/>
      <c r="Z26" s="26"/>
    </row>
    <row r="27" ht="14.25" customHeight="1">
      <c r="A27" s="80" t="s">
        <v>527</v>
      </c>
      <c r="B27" s="71">
        <f>COUNTIFS('Chemical Clearances'!$F$5:$F$169,$A27)</f>
        <v>10</v>
      </c>
      <c r="C27" s="164">
        <f>SUMIFS('Chemical Clearances'!$I$5:$I$169,'Chemical Clearances'!$F$5:$F$169,$A27)</f>
        <v>3308166</v>
      </c>
      <c r="D27" s="165">
        <f t="shared" ref="D27:D73" si="5">C27/1000</f>
        <v>3308.166</v>
      </c>
      <c r="E27" s="166">
        <f>IF(SUM('Chemical Clearances'!$I$5:$I$169)=0,0,C27/SUM('Chemical Clearances'!$I$5:$I$169))</f>
        <v>0.2096432123</v>
      </c>
      <c r="F27" s="26"/>
      <c r="G27" s="26"/>
      <c r="H27" s="26"/>
      <c r="I27" s="26"/>
      <c r="J27" s="26"/>
      <c r="K27" s="26"/>
      <c r="L27" s="26"/>
      <c r="M27" s="26"/>
      <c r="N27" s="26"/>
      <c r="O27" s="26"/>
      <c r="P27" s="94"/>
      <c r="Q27" s="26"/>
      <c r="R27" s="96"/>
      <c r="S27" s="97"/>
      <c r="T27" s="97"/>
      <c r="U27" s="94"/>
      <c r="V27" s="26"/>
      <c r="W27" s="26"/>
      <c r="X27" s="26"/>
      <c r="Y27" s="26"/>
      <c r="Z27" s="26"/>
    </row>
    <row r="28" ht="14.25" customHeight="1">
      <c r="A28" s="80" t="s">
        <v>528</v>
      </c>
      <c r="B28" s="71">
        <f>COUNTIFS('Chemical Clearances'!$F$5:$F$169,$A28)</f>
        <v>6</v>
      </c>
      <c r="C28" s="164">
        <f>SUMIFS('Chemical Clearances'!$I$5:$I$169,'Chemical Clearances'!$F$5:$F$169,$A28)</f>
        <v>2338291</v>
      </c>
      <c r="D28" s="165">
        <f t="shared" si="5"/>
        <v>2338.291</v>
      </c>
      <c r="E28" s="166">
        <f>IF(SUM('Chemical Clearances'!$I$5:$I$169)=0,0,C28/SUM('Chemical Clearances'!$I$5:$I$169))</f>
        <v>0.148180846</v>
      </c>
      <c r="F28" s="26"/>
      <c r="G28" s="26"/>
      <c r="H28" s="26"/>
      <c r="I28" s="26"/>
      <c r="J28" s="26"/>
      <c r="K28" s="26"/>
      <c r="L28" s="26"/>
      <c r="M28" s="26"/>
      <c r="N28" s="26"/>
      <c r="O28" s="26"/>
      <c r="P28" s="94"/>
      <c r="Q28" s="26"/>
      <c r="R28" s="96"/>
      <c r="S28" s="97"/>
      <c r="T28" s="97"/>
      <c r="U28" s="94"/>
      <c r="V28" s="26"/>
      <c r="W28" s="26"/>
      <c r="X28" s="26"/>
      <c r="Y28" s="26"/>
      <c r="Z28" s="26"/>
    </row>
    <row r="29" ht="14.25" customHeight="1">
      <c r="A29" s="80" t="s">
        <v>529</v>
      </c>
      <c r="B29" s="71">
        <f>COUNTIFS('Chemical Clearances'!$F$5:$F$169,$A29)</f>
        <v>4</v>
      </c>
      <c r="C29" s="164">
        <f>SUMIFS('Chemical Clearances'!$I$5:$I$169,'Chemical Clearances'!$F$5:$F$169,$A29)</f>
        <v>1937500</v>
      </c>
      <c r="D29" s="165">
        <f t="shared" si="5"/>
        <v>1937.5</v>
      </c>
      <c r="E29" s="166">
        <f>IF(SUM('Chemical Clearances'!$I$5:$I$169)=0,0,C29/SUM('Chemical Clearances'!$I$5:$I$169))</f>
        <v>0.1227821469</v>
      </c>
      <c r="F29" s="26"/>
      <c r="G29" s="26"/>
      <c r="H29" s="26"/>
      <c r="I29" s="26"/>
      <c r="J29" s="26"/>
      <c r="K29" s="26"/>
      <c r="L29" s="26"/>
      <c r="M29" s="26"/>
      <c r="N29" s="26"/>
      <c r="O29" s="26"/>
      <c r="P29" s="94"/>
      <c r="Q29" s="26"/>
      <c r="R29" s="96"/>
      <c r="S29" s="97"/>
      <c r="T29" s="97"/>
      <c r="U29" s="94"/>
      <c r="V29" s="26"/>
      <c r="W29" s="26"/>
      <c r="X29" s="26"/>
      <c r="Y29" s="26"/>
      <c r="Z29" s="26"/>
    </row>
    <row r="30" ht="14.25" customHeight="1">
      <c r="A30" s="80" t="s">
        <v>530</v>
      </c>
      <c r="B30" s="71">
        <f>COUNTIFS('Chemical Clearances'!$F$5:$F$169,$A30)</f>
        <v>10</v>
      </c>
      <c r="C30" s="164">
        <f>SUMIFS('Chemical Clearances'!$I$5:$I$169,'Chemical Clearances'!$F$5:$F$169,$A30)</f>
        <v>1211138</v>
      </c>
      <c r="D30" s="165">
        <f t="shared" si="5"/>
        <v>1211.138</v>
      </c>
      <c r="E30" s="166">
        <f>IF(SUM('Chemical Clearances'!$I$5:$I$169)=0,0,C30/SUM('Chemical Clearances'!$I$5:$I$169))</f>
        <v>0.07675154781</v>
      </c>
      <c r="F30" s="26"/>
      <c r="G30" s="26"/>
      <c r="H30" s="26"/>
      <c r="I30" s="26"/>
      <c r="J30" s="26"/>
      <c r="K30" s="26"/>
      <c r="L30" s="26"/>
      <c r="M30" s="26"/>
      <c r="N30" s="26"/>
      <c r="O30" s="26"/>
      <c r="P30" s="94"/>
      <c r="Q30" s="26"/>
      <c r="R30" s="96"/>
      <c r="S30" s="97"/>
      <c r="T30" s="97"/>
      <c r="U30" s="94"/>
      <c r="V30" s="26"/>
      <c r="W30" s="26"/>
      <c r="X30" s="26"/>
      <c r="Y30" s="26"/>
      <c r="Z30" s="26"/>
    </row>
    <row r="31" ht="14.25" customHeight="1">
      <c r="A31" s="80" t="s">
        <v>531</v>
      </c>
      <c r="B31" s="71">
        <f>COUNTIFS('Chemical Clearances'!$F$5:$F$169,$A31)</f>
        <v>9</v>
      </c>
      <c r="C31" s="164">
        <f>SUMIFS('Chemical Clearances'!$I$5:$I$169,'Chemical Clearances'!$F$5:$F$169,$A31)</f>
        <v>1146800</v>
      </c>
      <c r="D31" s="165">
        <f t="shared" si="5"/>
        <v>1146.8</v>
      </c>
      <c r="E31" s="166">
        <f>IF(SUM('Chemical Clearances'!$I$5:$I$169)=0,0,C31/SUM('Chemical Clearances'!$I$5:$I$169))</f>
        <v>0.0726743567</v>
      </c>
      <c r="F31" s="26"/>
      <c r="G31" s="26"/>
      <c r="H31" s="26"/>
      <c r="I31" s="26"/>
      <c r="J31" s="26"/>
      <c r="K31" s="26"/>
      <c r="L31" s="26"/>
      <c r="M31" s="26"/>
      <c r="N31" s="26"/>
      <c r="O31" s="26"/>
      <c r="P31" s="94"/>
      <c r="Q31" s="26"/>
      <c r="R31" s="96"/>
      <c r="S31" s="97"/>
      <c r="T31" s="97"/>
      <c r="U31" s="94"/>
      <c r="V31" s="26"/>
      <c r="W31" s="26"/>
      <c r="X31" s="26"/>
      <c r="Y31" s="26"/>
      <c r="Z31" s="26"/>
    </row>
    <row r="32" ht="14.25" customHeight="1">
      <c r="A32" s="80" t="s">
        <v>532</v>
      </c>
      <c r="B32" s="71">
        <f>COUNTIFS('Chemical Clearances'!$F$5:$F$169,$A32)</f>
        <v>10</v>
      </c>
      <c r="C32" s="164">
        <f>SUMIFS('Chemical Clearances'!$I$5:$I$169,'Chemical Clearances'!$F$5:$F$169,$A32)</f>
        <v>1013149</v>
      </c>
      <c r="D32" s="165">
        <f t="shared" si="5"/>
        <v>1013.149</v>
      </c>
      <c r="E32" s="166">
        <f>IF(SUM('Chemical Clearances'!$I$5:$I$169)=0,0,C32/SUM('Chemical Clearances'!$I$5:$I$169))</f>
        <v>0.06420470162</v>
      </c>
      <c r="F32" s="26"/>
      <c r="G32" s="26"/>
      <c r="H32" s="26"/>
      <c r="I32" s="26"/>
      <c r="J32" s="26"/>
      <c r="K32" s="26"/>
      <c r="L32" s="26"/>
      <c r="M32" s="26"/>
      <c r="N32" s="26"/>
      <c r="O32" s="26"/>
      <c r="P32" s="94"/>
      <c r="Q32" s="26"/>
      <c r="R32" s="96"/>
      <c r="S32" s="97"/>
      <c r="T32" s="97"/>
      <c r="U32" s="94"/>
      <c r="V32" s="26"/>
      <c r="W32" s="26"/>
      <c r="X32" s="26"/>
      <c r="Y32" s="26"/>
      <c r="Z32" s="26"/>
    </row>
    <row r="33" ht="14.25" customHeight="1">
      <c r="A33" s="80" t="s">
        <v>535</v>
      </c>
      <c r="B33" s="71">
        <f>COUNTIFS('Chemical Clearances'!$F$5:$F$169,$A33)</f>
        <v>1</v>
      </c>
      <c r="C33" s="164">
        <f>SUMIFS('Chemical Clearances'!$I$5:$I$169,'Chemical Clearances'!$F$5:$F$169,$A33)</f>
        <v>860000</v>
      </c>
      <c r="D33" s="165">
        <f t="shared" si="5"/>
        <v>860</v>
      </c>
      <c r="E33" s="166">
        <f>IF(SUM('Chemical Clearances'!$I$5:$I$169)=0,0,C33/SUM('Chemical Clearances'!$I$5:$I$169))</f>
        <v>0.05449943038</v>
      </c>
      <c r="F33" s="26"/>
      <c r="G33" s="26"/>
      <c r="H33" s="26"/>
      <c r="I33" s="26"/>
      <c r="J33" s="26"/>
      <c r="K33" s="26"/>
      <c r="L33" s="26"/>
      <c r="M33" s="26"/>
      <c r="N33" s="26"/>
      <c r="O33" s="26"/>
      <c r="P33" s="94"/>
      <c r="Q33" s="26"/>
      <c r="R33" s="96"/>
      <c r="S33" s="97"/>
      <c r="T33" s="97"/>
      <c r="U33" s="94"/>
      <c r="V33" s="26"/>
      <c r="W33" s="26"/>
      <c r="X33" s="26"/>
      <c r="Y33" s="26"/>
      <c r="Z33" s="26"/>
    </row>
    <row r="34" ht="14.25" customHeight="1">
      <c r="A34" s="80" t="s">
        <v>536</v>
      </c>
      <c r="B34" s="71">
        <f>COUNTIFS('Chemical Clearances'!$F$5:$F$169,$A34)</f>
        <v>4</v>
      </c>
      <c r="C34" s="164">
        <f>SUMIFS('Chemical Clearances'!$I$5:$I$169,'Chemical Clearances'!$F$5:$F$169,$A34)</f>
        <v>628256.8</v>
      </c>
      <c r="D34" s="165">
        <f t="shared" si="5"/>
        <v>628.2568</v>
      </c>
      <c r="E34" s="166">
        <f>IF(SUM('Chemical Clearances'!$I$5:$I$169)=0,0,C34/SUM('Chemical Clearances'!$I$5:$I$169))</f>
        <v>0.03981353225</v>
      </c>
      <c r="F34" s="26"/>
      <c r="G34" s="26"/>
      <c r="H34" s="26"/>
      <c r="I34" s="26"/>
      <c r="J34" s="26"/>
      <c r="K34" s="26"/>
      <c r="L34" s="26"/>
      <c r="M34" s="26"/>
      <c r="N34" s="26"/>
      <c r="O34" s="26"/>
      <c r="P34" s="94"/>
      <c r="Q34" s="26"/>
      <c r="R34" s="96"/>
      <c r="S34" s="97"/>
      <c r="T34" s="97"/>
      <c r="U34" s="94"/>
      <c r="V34" s="26"/>
      <c r="W34" s="26"/>
      <c r="X34" s="26"/>
      <c r="Y34" s="26"/>
      <c r="Z34" s="26"/>
    </row>
    <row r="35" ht="14.25" customHeight="1">
      <c r="A35" s="80" t="s">
        <v>538</v>
      </c>
      <c r="B35" s="71">
        <f>COUNTIFS('Chemical Clearances'!$F$5:$F$169,$A35)</f>
        <v>14</v>
      </c>
      <c r="C35" s="164">
        <f>SUMIFS('Chemical Clearances'!$I$5:$I$169,'Chemical Clearances'!$F$5:$F$169,$A35)</f>
        <v>744260</v>
      </c>
      <c r="D35" s="165">
        <f t="shared" si="5"/>
        <v>744.26</v>
      </c>
      <c r="E35" s="166">
        <f>IF(SUM('Chemical Clearances'!$I$5:$I$169)=0,0,C35/SUM('Chemical Clearances'!$I$5:$I$169))</f>
        <v>0.047164821</v>
      </c>
      <c r="F35" s="26"/>
      <c r="G35" s="26"/>
      <c r="H35" s="26"/>
      <c r="I35" s="26"/>
      <c r="J35" s="26"/>
      <c r="K35" s="26"/>
      <c r="L35" s="26"/>
      <c r="M35" s="26"/>
      <c r="N35" s="26"/>
      <c r="O35" s="26"/>
      <c r="P35" s="94"/>
      <c r="Q35" s="26"/>
      <c r="R35" s="96"/>
      <c r="S35" s="97"/>
      <c r="T35" s="97"/>
      <c r="U35" s="94"/>
      <c r="V35" s="26"/>
      <c r="W35" s="26"/>
      <c r="X35" s="26"/>
      <c r="Y35" s="26"/>
      <c r="Z35" s="26"/>
    </row>
    <row r="36" ht="14.25" customHeight="1">
      <c r="A36" s="80" t="s">
        <v>539</v>
      </c>
      <c r="B36" s="71">
        <f>COUNTIFS('Chemical Clearances'!$F$5:$F$169,$A36)</f>
        <v>4</v>
      </c>
      <c r="C36" s="164">
        <f>SUMIFS('Chemical Clearances'!$I$5:$I$169,'Chemical Clearances'!$F$5:$F$169,$A36)</f>
        <v>568175.7</v>
      </c>
      <c r="D36" s="165">
        <f t="shared" si="5"/>
        <v>568.1757</v>
      </c>
      <c r="E36" s="166">
        <f>IF(SUM('Chemical Clearances'!$I$5:$I$169)=0,0,C36/SUM('Chemical Clearances'!$I$5:$I$169))</f>
        <v>0.03600610699</v>
      </c>
      <c r="F36" s="26"/>
      <c r="G36" s="26"/>
      <c r="H36" s="26"/>
      <c r="I36" s="26"/>
      <c r="J36" s="26"/>
      <c r="K36" s="26"/>
      <c r="L36" s="26"/>
      <c r="M36" s="26"/>
      <c r="N36" s="26"/>
      <c r="O36" s="26"/>
      <c r="P36" s="94"/>
      <c r="Q36" s="26"/>
      <c r="R36" s="96"/>
      <c r="S36" s="97"/>
      <c r="T36" s="97"/>
      <c r="U36" s="94"/>
      <c r="V36" s="26"/>
      <c r="W36" s="26"/>
      <c r="X36" s="26"/>
      <c r="Y36" s="26"/>
      <c r="Z36" s="26"/>
    </row>
    <row r="37" ht="14.25" customHeight="1">
      <c r="A37" s="80" t="s">
        <v>540</v>
      </c>
      <c r="B37" s="71">
        <f>COUNTIFS('Chemical Clearances'!$F$5:$F$169,$A37)</f>
        <v>2</v>
      </c>
      <c r="C37" s="164">
        <f>SUMIFS('Chemical Clearances'!$I$5:$I$169,'Chemical Clearances'!$F$5:$F$169,$A37)</f>
        <v>501960</v>
      </c>
      <c r="D37" s="165">
        <f t="shared" si="5"/>
        <v>501.96</v>
      </c>
      <c r="E37" s="166">
        <f>IF(SUM('Chemical Clearances'!$I$5:$I$169)=0,0,C37/SUM('Chemical Clearances'!$I$5:$I$169))</f>
        <v>0.03180992334</v>
      </c>
      <c r="F37" s="26"/>
      <c r="G37" s="26"/>
      <c r="H37" s="26"/>
      <c r="I37" s="26"/>
      <c r="J37" s="26"/>
      <c r="K37" s="26"/>
      <c r="L37" s="26"/>
      <c r="M37" s="26"/>
      <c r="N37" s="26"/>
      <c r="O37" s="26"/>
      <c r="P37" s="94"/>
      <c r="Q37" s="26"/>
      <c r="R37" s="96"/>
      <c r="S37" s="97"/>
      <c r="T37" s="97"/>
      <c r="U37" s="94"/>
      <c r="V37" s="26"/>
      <c r="W37" s="26"/>
      <c r="X37" s="26"/>
      <c r="Y37" s="26"/>
      <c r="Z37" s="26"/>
    </row>
    <row r="38" ht="14.25" customHeight="1">
      <c r="A38" s="80" t="s">
        <v>544</v>
      </c>
      <c r="B38" s="71">
        <f>COUNTIFS('Chemical Clearances'!$F$5:$F$169,$A38)</f>
        <v>3</v>
      </c>
      <c r="C38" s="164">
        <f>SUMIFS('Chemical Clearances'!$I$5:$I$169,'Chemical Clearances'!$F$5:$F$169,$A38)</f>
        <v>191380</v>
      </c>
      <c r="D38" s="165">
        <f t="shared" si="5"/>
        <v>191.38</v>
      </c>
      <c r="E38" s="166">
        <f>IF(SUM('Chemical Clearances'!$I$5:$I$169)=0,0,C38/SUM('Chemical Clearances'!$I$5:$I$169))</f>
        <v>0.0121280244</v>
      </c>
      <c r="F38" s="26"/>
      <c r="G38" s="26"/>
      <c r="H38" s="26"/>
      <c r="I38" s="26"/>
      <c r="J38" s="26"/>
      <c r="K38" s="26"/>
      <c r="L38" s="26"/>
      <c r="M38" s="26"/>
      <c r="N38" s="26"/>
      <c r="O38" s="26"/>
      <c r="P38" s="94"/>
      <c r="Q38" s="26"/>
      <c r="R38" s="96"/>
      <c r="S38" s="97"/>
      <c r="T38" s="97"/>
      <c r="U38" s="94"/>
      <c r="V38" s="26"/>
      <c r="W38" s="26"/>
      <c r="X38" s="26"/>
      <c r="Y38" s="26"/>
      <c r="Z38" s="26"/>
    </row>
    <row r="39" ht="14.25" customHeight="1">
      <c r="A39" s="80" t="s">
        <v>546</v>
      </c>
      <c r="B39" s="71">
        <f>COUNTIFS('Chemical Clearances'!$F$5:$F$169,$A39)</f>
        <v>9</v>
      </c>
      <c r="C39" s="164">
        <f>SUMIFS('Chemical Clearances'!$I$5:$I$169,'Chemical Clearances'!$F$5:$F$169,$A39)</f>
        <v>167299</v>
      </c>
      <c r="D39" s="165">
        <f t="shared" si="5"/>
        <v>167.299</v>
      </c>
      <c r="E39" s="166">
        <f>IF(SUM('Chemical Clearances'!$I$5:$I$169)=0,0,C39/SUM('Chemical Clearances'!$I$5:$I$169))</f>
        <v>0.01060197698</v>
      </c>
      <c r="F39" s="26"/>
      <c r="G39" s="26"/>
      <c r="H39" s="26"/>
      <c r="I39" s="26"/>
      <c r="J39" s="26"/>
      <c r="K39" s="26"/>
      <c r="L39" s="26"/>
      <c r="M39" s="26"/>
      <c r="N39" s="26"/>
      <c r="O39" s="26"/>
      <c r="P39" s="94"/>
      <c r="Q39" s="26"/>
      <c r="R39" s="96"/>
      <c r="S39" s="97"/>
      <c r="T39" s="97"/>
      <c r="U39" s="94"/>
      <c r="V39" s="26"/>
      <c r="W39" s="26"/>
      <c r="X39" s="26"/>
      <c r="Y39" s="26"/>
      <c r="Z39" s="26"/>
    </row>
    <row r="40" ht="14.25" customHeight="1">
      <c r="A40" s="80" t="s">
        <v>552</v>
      </c>
      <c r="B40" s="71">
        <f>COUNTIFS('Chemical Clearances'!$F$5:$F$169,$A40)</f>
        <v>4</v>
      </c>
      <c r="C40" s="164">
        <f>SUMIFS('Chemical Clearances'!$I$5:$I$169,'Chemical Clearances'!$F$5:$F$169,$A40)</f>
        <v>161004</v>
      </c>
      <c r="D40" s="165">
        <f t="shared" si="5"/>
        <v>161.004</v>
      </c>
      <c r="E40" s="166">
        <f>IF(SUM('Chemical Clearances'!$I$5:$I$169)=0,0,C40/SUM('Chemical Clearances'!$I$5:$I$169))</f>
        <v>0.01020305382</v>
      </c>
      <c r="F40" s="26"/>
      <c r="G40" s="26"/>
      <c r="H40" s="26"/>
      <c r="I40" s="26"/>
      <c r="J40" s="26"/>
      <c r="K40" s="26"/>
      <c r="L40" s="26"/>
      <c r="M40" s="26"/>
      <c r="N40" s="26"/>
      <c r="O40" s="26"/>
      <c r="P40" s="94"/>
      <c r="Q40" s="26"/>
      <c r="R40" s="96"/>
      <c r="S40" s="97"/>
      <c r="T40" s="97"/>
      <c r="U40" s="94"/>
      <c r="V40" s="26"/>
      <c r="W40" s="26"/>
      <c r="X40" s="26"/>
      <c r="Y40" s="26"/>
      <c r="Z40" s="26"/>
    </row>
    <row r="41" ht="14.25" customHeight="1">
      <c r="A41" s="80" t="s">
        <v>555</v>
      </c>
      <c r="B41" s="71">
        <f>COUNTIFS('Chemical Clearances'!$F$5:$F$169,$A41)</f>
        <v>1</v>
      </c>
      <c r="C41" s="164">
        <f>SUMIFS('Chemical Clearances'!$I$5:$I$169,'Chemical Clearances'!$F$5:$F$169,$A41)</f>
        <v>122390</v>
      </c>
      <c r="D41" s="165">
        <f t="shared" si="5"/>
        <v>122.39</v>
      </c>
      <c r="E41" s="166">
        <f>IF(SUM('Chemical Clearances'!$I$5:$I$169)=0,0,C41/SUM('Chemical Clearances'!$I$5:$I$169))</f>
        <v>0.007756029401</v>
      </c>
      <c r="F41" s="26"/>
      <c r="G41" s="26"/>
      <c r="H41" s="26"/>
      <c r="I41" s="26"/>
      <c r="J41" s="26"/>
      <c r="K41" s="26"/>
      <c r="L41" s="26"/>
      <c r="M41" s="26"/>
      <c r="N41" s="26"/>
      <c r="O41" s="26"/>
      <c r="P41" s="94"/>
      <c r="Q41" s="26"/>
      <c r="R41" s="96"/>
      <c r="S41" s="97"/>
      <c r="T41" s="97"/>
      <c r="U41" s="94"/>
      <c r="V41" s="26"/>
      <c r="W41" s="26"/>
      <c r="X41" s="26"/>
      <c r="Y41" s="26"/>
      <c r="Z41" s="26"/>
    </row>
    <row r="42" ht="14.25" customHeight="1">
      <c r="A42" s="80" t="s">
        <v>556</v>
      </c>
      <c r="B42" s="71">
        <f>COUNTIFS('Chemical Clearances'!$F$5:$F$169,$A42)</f>
        <v>2</v>
      </c>
      <c r="C42" s="164">
        <f>SUMIFS('Chemical Clearances'!$I$5:$I$169,'Chemical Clearances'!$F$5:$F$169,$A42)</f>
        <v>84040</v>
      </c>
      <c r="D42" s="165">
        <f t="shared" si="5"/>
        <v>84.04</v>
      </c>
      <c r="E42" s="166">
        <f>IF(SUM('Chemical Clearances'!$I$5:$I$169)=0,0,C42/SUM('Chemical Clearances'!$I$5:$I$169))</f>
        <v>0.005325735034</v>
      </c>
      <c r="F42" s="26"/>
      <c r="G42" s="26"/>
      <c r="H42" s="26"/>
      <c r="I42" s="26"/>
      <c r="J42" s="26"/>
      <c r="K42" s="26"/>
      <c r="L42" s="26"/>
      <c r="M42" s="26"/>
      <c r="N42" s="26"/>
      <c r="O42" s="26"/>
      <c r="P42" s="94"/>
      <c r="Q42" s="26"/>
      <c r="R42" s="96"/>
      <c r="S42" s="97"/>
      <c r="T42" s="97"/>
      <c r="U42" s="94"/>
      <c r="V42" s="26"/>
      <c r="W42" s="26"/>
      <c r="X42" s="26"/>
      <c r="Y42" s="26"/>
      <c r="Z42" s="26"/>
    </row>
    <row r="43" ht="14.25" customHeight="1">
      <c r="A43" s="80" t="s">
        <v>559</v>
      </c>
      <c r="B43" s="71">
        <f>COUNTIFS('Chemical Clearances'!$F$5:$F$169,$A43)</f>
        <v>1</v>
      </c>
      <c r="C43" s="164">
        <f>SUMIFS('Chemical Clearances'!$I$5:$I$169,'Chemical Clearances'!$F$5:$F$169,$A43)</f>
        <v>64800</v>
      </c>
      <c r="D43" s="165">
        <f t="shared" si="5"/>
        <v>64.8</v>
      </c>
      <c r="E43" s="166">
        <f>IF(SUM('Chemical Clearances'!$I$5:$I$169)=0,0,C43/SUM('Chemical Clearances'!$I$5:$I$169))</f>
        <v>0.004106468708</v>
      </c>
      <c r="F43" s="26"/>
      <c r="G43" s="26"/>
      <c r="H43" s="26"/>
      <c r="I43" s="26"/>
      <c r="J43" s="26"/>
      <c r="K43" s="26"/>
      <c r="L43" s="26"/>
      <c r="M43" s="26"/>
      <c r="N43" s="26"/>
      <c r="O43" s="26"/>
      <c r="P43" s="94"/>
      <c r="Q43" s="26"/>
      <c r="R43" s="96"/>
      <c r="S43" s="97"/>
      <c r="T43" s="97"/>
      <c r="U43" s="94"/>
      <c r="V43" s="26"/>
      <c r="W43" s="26"/>
      <c r="X43" s="26"/>
      <c r="Y43" s="26"/>
      <c r="Z43" s="26"/>
    </row>
    <row r="44" ht="14.25" customHeight="1">
      <c r="A44" s="80" t="s">
        <v>561</v>
      </c>
      <c r="B44" s="71">
        <f>COUNTIFS('Chemical Clearances'!$F$5:$F$169,$A44)</f>
        <v>2</v>
      </c>
      <c r="C44" s="164">
        <f>SUMIFS('Chemical Clearances'!$I$5:$I$169,'Chemical Clearances'!$F$5:$F$169,$A44)</f>
        <v>51695</v>
      </c>
      <c r="D44" s="165">
        <f t="shared" si="5"/>
        <v>51.695</v>
      </c>
      <c r="E44" s="166">
        <f>IF(SUM('Chemical Clearances'!$I$5:$I$169)=0,0,C44/SUM('Chemical Clearances'!$I$5:$I$169))</f>
        <v>0.003275986109</v>
      </c>
      <c r="F44" s="26"/>
      <c r="G44" s="26"/>
      <c r="H44" s="26"/>
      <c r="I44" s="26"/>
      <c r="J44" s="26"/>
      <c r="K44" s="26"/>
      <c r="L44" s="26"/>
      <c r="M44" s="26"/>
      <c r="N44" s="26"/>
      <c r="O44" s="26"/>
      <c r="P44" s="94"/>
      <c r="Q44" s="26"/>
      <c r="R44" s="96"/>
      <c r="S44" s="97"/>
      <c r="T44" s="97"/>
      <c r="U44" s="94"/>
      <c r="V44" s="26"/>
      <c r="W44" s="26"/>
      <c r="X44" s="26"/>
      <c r="Y44" s="26"/>
      <c r="Z44" s="26"/>
    </row>
    <row r="45" ht="14.25" customHeight="1">
      <c r="A45" s="80" t="s">
        <v>562</v>
      </c>
      <c r="B45" s="71">
        <f>COUNTIFS('Chemical Clearances'!$F$5:$F$169,$A45)</f>
        <v>1</v>
      </c>
      <c r="C45" s="164">
        <f>SUMIFS('Chemical Clearances'!$I$5:$I$169,'Chemical Clearances'!$F$5:$F$169,$A45)</f>
        <v>48600</v>
      </c>
      <c r="D45" s="165">
        <f t="shared" si="5"/>
        <v>48.6</v>
      </c>
      <c r="E45" s="166">
        <f>IF(SUM('Chemical Clearances'!$I$5:$I$169)=0,0,C45/SUM('Chemical Clearances'!$I$5:$I$169))</f>
        <v>0.003079851531</v>
      </c>
      <c r="F45" s="26"/>
      <c r="G45" s="26"/>
      <c r="H45" s="26"/>
      <c r="I45" s="26"/>
      <c r="J45" s="26"/>
      <c r="K45" s="26"/>
      <c r="L45" s="26"/>
      <c r="M45" s="26"/>
      <c r="N45" s="26"/>
      <c r="O45" s="26"/>
      <c r="P45" s="94"/>
      <c r="Q45" s="26"/>
      <c r="R45" s="96"/>
      <c r="S45" s="97"/>
      <c r="T45" s="97"/>
      <c r="U45" s="94"/>
      <c r="V45" s="26"/>
      <c r="W45" s="26"/>
      <c r="X45" s="26"/>
      <c r="Y45" s="26"/>
      <c r="Z45" s="26"/>
    </row>
    <row r="46" ht="14.25" customHeight="1">
      <c r="A46" s="80" t="s">
        <v>563</v>
      </c>
      <c r="B46" s="71">
        <f>COUNTIFS('Chemical Clearances'!$F$5:$F$169,$A46)</f>
        <v>2</v>
      </c>
      <c r="C46" s="164">
        <f>SUMIFS('Chemical Clearances'!$I$5:$I$169,'Chemical Clearances'!$F$5:$F$169,$A46)</f>
        <v>48587.2</v>
      </c>
      <c r="D46" s="165">
        <f t="shared" si="5"/>
        <v>48.5872</v>
      </c>
      <c r="E46" s="166">
        <f>IF(SUM('Chemical Clearances'!$I$5:$I$169)=0,0,C46/SUM('Chemical Clearances'!$I$5:$I$169))</f>
        <v>0.003079040377</v>
      </c>
      <c r="F46" s="26"/>
      <c r="G46" s="26"/>
      <c r="H46" s="26"/>
      <c r="I46" s="26"/>
      <c r="J46" s="26"/>
      <c r="K46" s="26"/>
      <c r="L46" s="26"/>
      <c r="M46" s="26"/>
      <c r="N46" s="26"/>
      <c r="O46" s="26"/>
      <c r="P46" s="94"/>
      <c r="Q46" s="26"/>
      <c r="R46" s="96"/>
      <c r="S46" s="97"/>
      <c r="T46" s="97"/>
      <c r="U46" s="94"/>
      <c r="V46" s="26"/>
      <c r="W46" s="26"/>
      <c r="X46" s="26"/>
      <c r="Y46" s="26"/>
      <c r="Z46" s="26"/>
    </row>
    <row r="47" ht="14.25" customHeight="1">
      <c r="A47" s="80" t="s">
        <v>564</v>
      </c>
      <c r="B47" s="71">
        <f>COUNTIFS('Chemical Clearances'!$F$5:$F$169,$A47)</f>
        <v>3</v>
      </c>
      <c r="C47" s="164">
        <f>SUMIFS('Chemical Clearances'!$I$5:$I$169,'Chemical Clearances'!$F$5:$F$169,$A47)</f>
        <v>34627</v>
      </c>
      <c r="D47" s="165">
        <f t="shared" si="5"/>
        <v>34.627</v>
      </c>
      <c r="E47" s="166">
        <f>IF(SUM('Chemical Clearances'!$I$5:$I$169)=0,0,C47/SUM('Chemical Clearances'!$I$5:$I$169))</f>
        <v>0.00219436253</v>
      </c>
      <c r="F47" s="26"/>
      <c r="G47" s="26"/>
      <c r="H47" s="26"/>
      <c r="I47" s="26"/>
      <c r="J47" s="26"/>
      <c r="K47" s="26"/>
      <c r="L47" s="26"/>
      <c r="M47" s="26"/>
      <c r="N47" s="26"/>
      <c r="O47" s="26"/>
      <c r="P47" s="94"/>
      <c r="Q47" s="26"/>
      <c r="R47" s="96"/>
      <c r="S47" s="97"/>
      <c r="T47" s="97"/>
      <c r="U47" s="94"/>
      <c r="V47" s="26"/>
      <c r="W47" s="26"/>
      <c r="X47" s="26"/>
      <c r="Y47" s="26"/>
      <c r="Z47" s="26"/>
    </row>
    <row r="48" ht="14.25" customHeight="1">
      <c r="A48" s="80" t="s">
        <v>565</v>
      </c>
      <c r="B48" s="71">
        <f>COUNTIFS('Chemical Clearances'!$F$5:$F$169,$A48)</f>
        <v>2</v>
      </c>
      <c r="C48" s="164">
        <f>SUMIFS('Chemical Clearances'!$I$5:$I$169,'Chemical Clearances'!$F$5:$F$169,$A48)</f>
        <v>40560</v>
      </c>
      <c r="D48" s="165">
        <f t="shared" si="5"/>
        <v>40.56</v>
      </c>
      <c r="E48" s="166">
        <f>IF(SUM('Chemical Clearances'!$I$5:$I$169)=0,0,C48/SUM('Chemical Clearances'!$I$5:$I$169))</f>
        <v>0.002570345228</v>
      </c>
      <c r="F48" s="26"/>
      <c r="G48" s="26"/>
      <c r="H48" s="26"/>
      <c r="I48" s="26"/>
      <c r="J48" s="26"/>
      <c r="K48" s="26"/>
      <c r="L48" s="26"/>
      <c r="M48" s="26"/>
      <c r="N48" s="26"/>
      <c r="O48" s="26"/>
      <c r="P48" s="94"/>
      <c r="Q48" s="26"/>
      <c r="R48" s="96"/>
      <c r="S48" s="97"/>
      <c r="T48" s="97"/>
      <c r="U48" s="94"/>
      <c r="V48" s="26"/>
      <c r="W48" s="26"/>
      <c r="X48" s="26"/>
      <c r="Y48" s="26"/>
      <c r="Z48" s="26"/>
    </row>
    <row r="49" ht="14.25" customHeight="1">
      <c r="A49" s="80" t="s">
        <v>567</v>
      </c>
      <c r="B49" s="71">
        <f>COUNTIFS('Chemical Clearances'!$F$5:$F$169,$A49)</f>
        <v>1</v>
      </c>
      <c r="C49" s="164">
        <f>SUMIFS('Chemical Clearances'!$I$5:$I$169,'Chemical Clearances'!$F$5:$F$169,$A49)</f>
        <v>16390</v>
      </c>
      <c r="D49" s="165">
        <f t="shared" si="5"/>
        <v>16.39</v>
      </c>
      <c r="E49" s="166">
        <f>IF(SUM('Chemical Clearances'!$I$5:$I$169)=0,0,C49/SUM('Chemical Clearances'!$I$5:$I$169))</f>
        <v>0.001038657749</v>
      </c>
      <c r="F49" s="26"/>
      <c r="G49" s="26"/>
      <c r="H49" s="26"/>
      <c r="I49" s="26"/>
      <c r="J49" s="26"/>
      <c r="K49" s="26"/>
      <c r="L49" s="26"/>
      <c r="M49" s="26"/>
      <c r="N49" s="26"/>
      <c r="O49" s="26"/>
      <c r="P49" s="94"/>
      <c r="Q49" s="26"/>
      <c r="R49" s="96"/>
      <c r="S49" s="97"/>
      <c r="T49" s="97"/>
      <c r="U49" s="94"/>
      <c r="V49" s="26"/>
      <c r="W49" s="26"/>
      <c r="X49" s="26"/>
      <c r="Y49" s="26"/>
      <c r="Z49" s="26"/>
    </row>
    <row r="50" ht="14.25" customHeight="1">
      <c r="A50" s="80" t="s">
        <v>568</v>
      </c>
      <c r="B50" s="71">
        <f>COUNTIFS('Chemical Clearances'!$F$5:$F$169,$A50)</f>
        <v>2</v>
      </c>
      <c r="C50" s="164">
        <f>SUMIFS('Chemical Clearances'!$I$5:$I$169,'Chemical Clearances'!$F$5:$F$169,$A50)</f>
        <v>16027.5</v>
      </c>
      <c r="D50" s="165">
        <f t="shared" si="5"/>
        <v>16.0275</v>
      </c>
      <c r="E50" s="166">
        <f>IF(SUM('Chemical Clearances'!$I$5:$I$169)=0,0,C50/SUM('Chemical Clearances'!$I$5:$I$169))</f>
        <v>0.001015685605</v>
      </c>
      <c r="F50" s="26"/>
      <c r="G50" s="26"/>
      <c r="H50" s="26"/>
      <c r="I50" s="26"/>
      <c r="J50" s="26"/>
      <c r="K50" s="26"/>
      <c r="L50" s="26"/>
      <c r="M50" s="26"/>
      <c r="N50" s="26"/>
      <c r="O50" s="26"/>
      <c r="P50" s="94"/>
      <c r="Q50" s="26"/>
      <c r="R50" s="96"/>
      <c r="S50" s="97"/>
      <c r="T50" s="97"/>
      <c r="U50" s="94"/>
      <c r="V50" s="26"/>
      <c r="W50" s="26"/>
      <c r="X50" s="26"/>
      <c r="Y50" s="26"/>
      <c r="Z50" s="26"/>
    </row>
    <row r="51" ht="14.25" customHeight="1">
      <c r="A51" s="80" t="s">
        <v>573</v>
      </c>
      <c r="B51" s="71">
        <f>COUNTIFS('Chemical Clearances'!$F$5:$F$169,$A51)</f>
        <v>1</v>
      </c>
      <c r="C51" s="164">
        <f>SUMIFS('Chemical Clearances'!$I$5:$I$169,'Chemical Clearances'!$F$5:$F$169,$A51)</f>
        <v>14850</v>
      </c>
      <c r="D51" s="165">
        <f t="shared" si="5"/>
        <v>14.85</v>
      </c>
      <c r="E51" s="166">
        <f>IF(SUM('Chemical Clearances'!$I$5:$I$169)=0,0,C51/SUM('Chemical Clearances'!$I$5:$I$169))</f>
        <v>0.0009410657456</v>
      </c>
      <c r="F51" s="26"/>
      <c r="G51" s="26"/>
      <c r="H51" s="26"/>
      <c r="I51" s="26"/>
      <c r="J51" s="26"/>
      <c r="K51" s="26"/>
      <c r="L51" s="26"/>
      <c r="M51" s="26"/>
      <c r="N51" s="26"/>
      <c r="O51" s="26"/>
      <c r="P51" s="94"/>
      <c r="Q51" s="26"/>
      <c r="R51" s="96"/>
      <c r="S51" s="97"/>
      <c r="T51" s="97"/>
      <c r="U51" s="94"/>
      <c r="V51" s="26"/>
      <c r="W51" s="26"/>
      <c r="X51" s="26"/>
      <c r="Y51" s="26"/>
      <c r="Z51" s="26"/>
    </row>
    <row r="52" ht="14.25" customHeight="1">
      <c r="A52" s="80" t="s">
        <v>577</v>
      </c>
      <c r="B52" s="71">
        <f>COUNTIFS('Chemical Clearances'!$F$5:$F$169,$A52)</f>
        <v>1</v>
      </c>
      <c r="C52" s="164">
        <f>SUMIFS('Chemical Clearances'!$I$5:$I$169,'Chemical Clearances'!$F$5:$F$169,$A52)</f>
        <v>12800</v>
      </c>
      <c r="D52" s="165">
        <f t="shared" si="5"/>
        <v>12.8</v>
      </c>
      <c r="E52" s="166">
        <f>IF(SUM('Chemical Clearances'!$I$5:$I$169)=0,0,C52/SUM('Chemical Clearances'!$I$5:$I$169))</f>
        <v>0.0008111543127</v>
      </c>
      <c r="F52" s="26"/>
      <c r="G52" s="26"/>
      <c r="H52" s="26"/>
      <c r="I52" s="26"/>
      <c r="J52" s="26"/>
      <c r="K52" s="26"/>
      <c r="L52" s="26"/>
      <c r="M52" s="26"/>
      <c r="N52" s="26"/>
      <c r="O52" s="26"/>
      <c r="P52" s="94"/>
      <c r="Q52" s="26"/>
      <c r="R52" s="96"/>
      <c r="S52" s="97"/>
      <c r="T52" s="97"/>
      <c r="U52" s="94"/>
      <c r="V52" s="26"/>
      <c r="W52" s="26"/>
      <c r="X52" s="26"/>
      <c r="Y52" s="26"/>
      <c r="Z52" s="26"/>
    </row>
    <row r="53" ht="14.25" customHeight="1">
      <c r="A53" s="80" t="s">
        <v>581</v>
      </c>
      <c r="B53" s="71">
        <f>COUNTIFS('Chemical Clearances'!$F$5:$F$169,$A53)</f>
        <v>3</v>
      </c>
      <c r="C53" s="164">
        <f>SUMIFS('Chemical Clearances'!$I$5:$I$169,'Chemical Clearances'!$F$5:$F$169,$A53)</f>
        <v>10619.161</v>
      </c>
      <c r="D53" s="165">
        <f t="shared" si="5"/>
        <v>10.619161</v>
      </c>
      <c r="E53" s="166">
        <f>IF(SUM('Chemical Clearances'!$I$5:$I$169)=0,0,C53/SUM('Chemical Clearances'!$I$5:$I$169))</f>
        <v>0.0006729514252</v>
      </c>
      <c r="F53" s="26"/>
      <c r="G53" s="26"/>
      <c r="H53" s="26"/>
      <c r="I53" s="26"/>
      <c r="J53" s="26"/>
      <c r="K53" s="26"/>
      <c r="L53" s="26"/>
      <c r="M53" s="26"/>
      <c r="N53" s="26"/>
      <c r="O53" s="26"/>
      <c r="P53" s="94"/>
      <c r="Q53" s="26"/>
      <c r="R53" s="96"/>
      <c r="S53" s="97"/>
      <c r="T53" s="97"/>
      <c r="U53" s="94"/>
      <c r="V53" s="26"/>
      <c r="W53" s="26"/>
      <c r="X53" s="26"/>
      <c r="Y53" s="26"/>
      <c r="Z53" s="26"/>
    </row>
    <row r="54" ht="14.25" customHeight="1">
      <c r="A54" s="80" t="s">
        <v>583</v>
      </c>
      <c r="B54" s="71">
        <f>COUNTIFS('Chemical Clearances'!$F$5:$F$169,$A54)</f>
        <v>1</v>
      </c>
      <c r="C54" s="164">
        <f>SUMIFS('Chemical Clearances'!$I$5:$I$169,'Chemical Clearances'!$F$5:$F$169,$A54)</f>
        <v>10400</v>
      </c>
      <c r="D54" s="165">
        <f t="shared" si="5"/>
        <v>10.4</v>
      </c>
      <c r="E54" s="166">
        <f>IF(SUM('Chemical Clearances'!$I$5:$I$169)=0,0,C54/SUM('Chemical Clearances'!$I$5:$I$169))</f>
        <v>0.0006590628791</v>
      </c>
      <c r="F54" s="26"/>
      <c r="G54" s="26"/>
      <c r="H54" s="26"/>
      <c r="I54" s="26"/>
      <c r="J54" s="26"/>
      <c r="K54" s="26"/>
      <c r="L54" s="26"/>
      <c r="M54" s="26"/>
      <c r="N54" s="26"/>
      <c r="O54" s="26"/>
      <c r="P54" s="94"/>
      <c r="Q54" s="26"/>
      <c r="R54" s="96"/>
      <c r="S54" s="97"/>
      <c r="T54" s="97"/>
      <c r="U54" s="94"/>
      <c r="V54" s="26"/>
      <c r="W54" s="26"/>
      <c r="X54" s="26"/>
      <c r="Y54" s="26"/>
      <c r="Z54" s="26"/>
    </row>
    <row r="55" ht="14.25" customHeight="1">
      <c r="A55" s="80" t="s">
        <v>584</v>
      </c>
      <c r="B55" s="71">
        <f>COUNTIFS('Chemical Clearances'!$F$5:$F$169,$A55)</f>
        <v>4</v>
      </c>
      <c r="C55" s="164">
        <f>SUMIFS('Chemical Clearances'!$I$5:$I$169,'Chemical Clearances'!$F$5:$F$169,$A55)</f>
        <v>9610</v>
      </c>
      <c r="D55" s="165">
        <f t="shared" si="5"/>
        <v>9.61</v>
      </c>
      <c r="E55" s="166">
        <f>IF(SUM('Chemical Clearances'!$I$5:$I$169)=0,0,C55/SUM('Chemical Clearances'!$I$5:$I$169))</f>
        <v>0.0006089994488</v>
      </c>
      <c r="F55" s="26"/>
      <c r="G55" s="26"/>
      <c r="H55" s="26"/>
      <c r="I55" s="26"/>
      <c r="J55" s="26"/>
      <c r="K55" s="26"/>
      <c r="L55" s="26"/>
      <c r="M55" s="26"/>
      <c r="N55" s="26"/>
      <c r="O55" s="26"/>
      <c r="P55" s="94"/>
      <c r="Q55" s="26"/>
      <c r="R55" s="96"/>
      <c r="S55" s="97"/>
      <c r="T55" s="97"/>
      <c r="U55" s="94"/>
      <c r="V55" s="26"/>
      <c r="W55" s="26"/>
      <c r="X55" s="26"/>
      <c r="Y55" s="26"/>
      <c r="Z55" s="26"/>
    </row>
    <row r="56" ht="14.25" customHeight="1">
      <c r="A56" s="80" t="s">
        <v>585</v>
      </c>
      <c r="B56" s="71">
        <f>COUNTIFS('Chemical Clearances'!$F$5:$F$169,$A56)</f>
        <v>2</v>
      </c>
      <c r="C56" s="164">
        <f>SUMIFS('Chemical Clearances'!$I$5:$I$169,'Chemical Clearances'!$F$5:$F$169,$A56)</f>
        <v>26266</v>
      </c>
      <c r="D56" s="165">
        <f t="shared" si="5"/>
        <v>26.266</v>
      </c>
      <c r="E56" s="166">
        <f>IF(SUM('Chemical Clearances'!$I$5:$I$169)=0,0,C56/SUM('Chemical Clearances'!$I$5:$I$169))</f>
        <v>0.001664513998</v>
      </c>
      <c r="F56" s="26"/>
      <c r="G56" s="26"/>
      <c r="H56" s="26"/>
      <c r="I56" s="26"/>
      <c r="J56" s="26"/>
      <c r="K56" s="26"/>
      <c r="L56" s="26"/>
      <c r="M56" s="26"/>
      <c r="N56" s="26"/>
      <c r="O56" s="26"/>
      <c r="P56" s="94"/>
      <c r="Q56" s="26"/>
      <c r="R56" s="96"/>
      <c r="S56" s="97"/>
      <c r="T56" s="97"/>
      <c r="U56" s="94"/>
      <c r="V56" s="26"/>
      <c r="W56" s="26"/>
      <c r="X56" s="26"/>
      <c r="Y56" s="26"/>
      <c r="Z56" s="26"/>
    </row>
    <row r="57" ht="14.25" customHeight="1">
      <c r="A57" s="80" t="s">
        <v>587</v>
      </c>
      <c r="B57" s="71">
        <f>COUNTIFS('Chemical Clearances'!$F$5:$F$169,$A57)</f>
        <v>1</v>
      </c>
      <c r="C57" s="164">
        <f>SUMIFS('Chemical Clearances'!$I$5:$I$169,'Chemical Clearances'!$F$5:$F$169,$A57)</f>
        <v>4119</v>
      </c>
      <c r="D57" s="165">
        <f t="shared" si="5"/>
        <v>4.119</v>
      </c>
      <c r="E57" s="166">
        <f>IF(SUM('Chemical Clearances'!$I$5:$I$169)=0,0,C57/SUM('Chemical Clearances'!$I$5:$I$169))</f>
        <v>0.000261026923</v>
      </c>
      <c r="F57" s="26"/>
      <c r="G57" s="26"/>
      <c r="H57" s="26"/>
      <c r="I57" s="26"/>
      <c r="J57" s="26"/>
      <c r="K57" s="26"/>
      <c r="L57" s="26"/>
      <c r="M57" s="26"/>
      <c r="N57" s="26"/>
      <c r="O57" s="26"/>
      <c r="P57" s="94"/>
      <c r="Q57" s="26"/>
      <c r="R57" s="96"/>
      <c r="S57" s="97"/>
      <c r="T57" s="97"/>
      <c r="U57" s="94"/>
      <c r="V57" s="26"/>
      <c r="W57" s="26"/>
      <c r="X57" s="26"/>
      <c r="Y57" s="26"/>
      <c r="Z57" s="26"/>
    </row>
    <row r="58" ht="14.25" customHeight="1">
      <c r="A58" s="80" t="s">
        <v>589</v>
      </c>
      <c r="B58" s="71">
        <f>COUNTIFS('Chemical Clearances'!$F$5:$F$169,$A58)</f>
        <v>3</v>
      </c>
      <c r="C58" s="164">
        <f>SUMIFS('Chemical Clearances'!$I$5:$I$169,'Chemical Clearances'!$F$5:$F$169,$A58)</f>
        <v>2909</v>
      </c>
      <c r="D58" s="165">
        <f t="shared" si="5"/>
        <v>2.909</v>
      </c>
      <c r="E58" s="166">
        <f>IF(SUM('Chemical Clearances'!$I$5:$I$169)=0,0,C58/SUM('Chemical Clearances'!$I$5:$I$169))</f>
        <v>0.0001843474918</v>
      </c>
      <c r="F58" s="26"/>
      <c r="G58" s="26"/>
      <c r="H58" s="26"/>
      <c r="I58" s="26"/>
      <c r="J58" s="26"/>
      <c r="K58" s="26"/>
      <c r="L58" s="26"/>
      <c r="M58" s="26"/>
      <c r="N58" s="26"/>
      <c r="O58" s="26"/>
      <c r="P58" s="94"/>
      <c r="Q58" s="26"/>
      <c r="R58" s="96"/>
      <c r="S58" s="97"/>
      <c r="T58" s="97"/>
      <c r="U58" s="94"/>
      <c r="V58" s="26"/>
      <c r="W58" s="26"/>
      <c r="X58" s="26"/>
      <c r="Y58" s="26"/>
      <c r="Z58" s="26"/>
    </row>
    <row r="59" ht="14.25" customHeight="1">
      <c r="A59" s="80" t="s">
        <v>590</v>
      </c>
      <c r="B59" s="71">
        <f>COUNTIFS('Chemical Clearances'!$F$5:$F$169,$A59)</f>
        <v>1</v>
      </c>
      <c r="C59" s="164">
        <f>SUMIFS('Chemical Clearances'!$I$5:$I$169,'Chemical Clearances'!$F$5:$F$169,$A59)</f>
        <v>2360</v>
      </c>
      <c r="D59" s="165">
        <f t="shared" si="5"/>
        <v>2.36</v>
      </c>
      <c r="E59" s="166">
        <f>IF(SUM('Chemical Clearances'!$I$5:$I$169)=0,0,C59/SUM('Chemical Clearances'!$I$5:$I$169))</f>
        <v>0.0001495565764</v>
      </c>
      <c r="F59" s="26"/>
      <c r="G59" s="26"/>
      <c r="H59" s="26"/>
      <c r="I59" s="26"/>
      <c r="J59" s="26"/>
      <c r="K59" s="26"/>
      <c r="L59" s="26"/>
      <c r="M59" s="26"/>
      <c r="N59" s="26"/>
      <c r="O59" s="26"/>
      <c r="P59" s="94"/>
      <c r="Q59" s="26"/>
      <c r="R59" s="96"/>
      <c r="S59" s="97"/>
      <c r="T59" s="97"/>
      <c r="U59" s="94"/>
      <c r="V59" s="26"/>
      <c r="W59" s="26"/>
      <c r="X59" s="26"/>
      <c r="Y59" s="26"/>
      <c r="Z59" s="26"/>
    </row>
    <row r="60" ht="14.25" customHeight="1">
      <c r="A60" s="80" t="s">
        <v>591</v>
      </c>
      <c r="B60" s="71">
        <f>COUNTIFS('Chemical Clearances'!$F$5:$F$169,$A60)</f>
        <v>2</v>
      </c>
      <c r="C60" s="164">
        <f>SUMIFS('Chemical Clearances'!$I$5:$I$169,'Chemical Clearances'!$F$5:$F$169,$A60)</f>
        <v>1750</v>
      </c>
      <c r="D60" s="165">
        <f t="shared" si="5"/>
        <v>1.75</v>
      </c>
      <c r="E60" s="166">
        <f>IF(SUM('Chemical Clearances'!$I$5:$I$169)=0,0,C60/SUM('Chemical Clearances'!$I$5:$I$169))</f>
        <v>0.0001109000037</v>
      </c>
      <c r="F60" s="26"/>
      <c r="G60" s="26"/>
      <c r="H60" s="26"/>
      <c r="I60" s="26"/>
      <c r="J60" s="26"/>
      <c r="K60" s="26"/>
      <c r="L60" s="26"/>
      <c r="M60" s="26"/>
      <c r="N60" s="26"/>
      <c r="O60" s="26"/>
      <c r="P60" s="94"/>
      <c r="Q60" s="26"/>
      <c r="R60" s="96"/>
      <c r="S60" s="97"/>
      <c r="T60" s="97"/>
      <c r="U60" s="94"/>
      <c r="V60" s="26"/>
      <c r="W60" s="26"/>
      <c r="X60" s="26"/>
      <c r="Y60" s="26"/>
      <c r="Z60" s="26"/>
    </row>
    <row r="61" ht="14.25" customHeight="1">
      <c r="A61" s="80" t="s">
        <v>593</v>
      </c>
      <c r="B61" s="71">
        <f>COUNTIFS('Chemical Clearances'!$F$5:$F$169,$A61)</f>
        <v>2</v>
      </c>
      <c r="C61" s="164">
        <f>SUMIFS('Chemical Clearances'!$I$5:$I$169,'Chemical Clearances'!$F$5:$F$169,$A61)</f>
        <v>1594</v>
      </c>
      <c r="D61" s="165">
        <f t="shared" si="5"/>
        <v>1.594</v>
      </c>
      <c r="E61" s="166">
        <f>IF(SUM('Chemical Clearances'!$I$5:$I$169)=0,0,C61/SUM('Chemical Clearances'!$I$5:$I$169))</f>
        <v>0.0001010140605</v>
      </c>
      <c r="F61" s="26"/>
      <c r="G61" s="26"/>
      <c r="H61" s="26"/>
      <c r="I61" s="26"/>
      <c r="J61" s="26"/>
      <c r="K61" s="26"/>
      <c r="L61" s="26"/>
      <c r="M61" s="26"/>
      <c r="N61" s="26"/>
      <c r="O61" s="26"/>
      <c r="P61" s="26"/>
      <c r="Q61" s="26"/>
      <c r="R61" s="26"/>
      <c r="S61" s="26"/>
      <c r="T61" s="26"/>
      <c r="U61" s="26"/>
      <c r="V61" s="26"/>
      <c r="W61" s="26"/>
      <c r="X61" s="26"/>
      <c r="Y61" s="26"/>
      <c r="Z61" s="26"/>
    </row>
    <row r="62" ht="14.25" customHeight="1">
      <c r="A62" s="80" t="s">
        <v>595</v>
      </c>
      <c r="B62" s="71">
        <f>COUNTIFS('Chemical Clearances'!$F$5:$F$169,$A62)</f>
        <v>6</v>
      </c>
      <c r="C62" s="164">
        <f>SUMIFS('Chemical Clearances'!$I$5:$I$169,'Chemical Clearances'!$F$5:$F$169,$A62)</f>
        <v>784</v>
      </c>
      <c r="D62" s="165">
        <f t="shared" si="5"/>
        <v>0.784</v>
      </c>
      <c r="E62" s="166">
        <f>IF(SUM('Chemical Clearances'!$I$5:$I$169)=0,0,C62/SUM('Chemical Clearances'!$I$5:$I$169))</f>
        <v>0.00004968320165</v>
      </c>
      <c r="F62" s="26"/>
      <c r="G62" s="26"/>
      <c r="H62" s="26"/>
      <c r="I62" s="26"/>
      <c r="J62" s="26"/>
      <c r="K62" s="26"/>
      <c r="L62" s="26"/>
      <c r="M62" s="26"/>
      <c r="N62" s="26"/>
      <c r="O62" s="26"/>
      <c r="P62" s="26"/>
      <c r="Q62" s="26"/>
      <c r="R62" s="26"/>
      <c r="S62" s="26"/>
      <c r="T62" s="26"/>
      <c r="U62" s="26"/>
      <c r="V62" s="26"/>
      <c r="W62" s="26"/>
      <c r="X62" s="26"/>
      <c r="Y62" s="26"/>
      <c r="Z62" s="26"/>
    </row>
    <row r="63" ht="14.25" customHeight="1">
      <c r="A63" s="80" t="s">
        <v>596</v>
      </c>
      <c r="B63" s="71">
        <f>COUNTIFS('Chemical Clearances'!$F$5:$F$169,$A63)</f>
        <v>1</v>
      </c>
      <c r="C63" s="164">
        <f>SUMIFS('Chemical Clearances'!$I$5:$I$169,'Chemical Clearances'!$F$5:$F$169,$A63)</f>
        <v>550</v>
      </c>
      <c r="D63" s="165">
        <f t="shared" si="5"/>
        <v>0.55</v>
      </c>
      <c r="E63" s="166">
        <f>IF(SUM('Chemical Clearances'!$I$5:$I$169)=0,0,C63/SUM('Chemical Clearances'!$I$5:$I$169))</f>
        <v>0.00003485428687</v>
      </c>
      <c r="F63" s="26"/>
      <c r="G63" s="26"/>
      <c r="H63" s="26"/>
      <c r="I63" s="26"/>
      <c r="J63" s="26"/>
      <c r="K63" s="26"/>
      <c r="L63" s="26"/>
      <c r="M63" s="26"/>
      <c r="N63" s="26"/>
      <c r="O63" s="26"/>
      <c r="P63" s="26"/>
      <c r="Q63" s="26"/>
      <c r="R63" s="26"/>
      <c r="S63" s="26"/>
      <c r="T63" s="26"/>
      <c r="U63" s="26"/>
      <c r="V63" s="26"/>
      <c r="W63" s="26"/>
      <c r="X63" s="26"/>
      <c r="Y63" s="26"/>
      <c r="Z63" s="26"/>
    </row>
    <row r="64" ht="14.25" customHeight="1">
      <c r="A64" s="80" t="s">
        <v>597</v>
      </c>
      <c r="B64" s="71">
        <f>COUNTIFS('Chemical Clearances'!$F$5:$F$169,$A64)</f>
        <v>2</v>
      </c>
      <c r="C64" s="164">
        <f>SUMIFS('Chemical Clearances'!$I$5:$I$169,'Chemical Clearances'!$F$5:$F$169,$A64)</f>
        <v>1000</v>
      </c>
      <c r="D64" s="165">
        <f t="shared" si="5"/>
        <v>1</v>
      </c>
      <c r="E64" s="166">
        <f>IF(SUM('Chemical Clearances'!$I$5:$I$169)=0,0,C64/SUM('Chemical Clearances'!$I$5:$I$169))</f>
        <v>0.00006337143068</v>
      </c>
      <c r="F64" s="26"/>
      <c r="G64" s="26"/>
      <c r="H64" s="26"/>
      <c r="I64" s="26"/>
      <c r="J64" s="26"/>
      <c r="K64" s="26"/>
      <c r="L64" s="26"/>
      <c r="M64" s="26"/>
      <c r="N64" s="26"/>
      <c r="O64" s="26"/>
      <c r="P64" s="26"/>
      <c r="Q64" s="26"/>
      <c r="R64" s="26"/>
      <c r="S64" s="26"/>
      <c r="T64" s="26"/>
      <c r="U64" s="26"/>
      <c r="V64" s="26"/>
      <c r="W64" s="26"/>
      <c r="X64" s="26"/>
      <c r="Y64" s="26"/>
      <c r="Z64" s="26"/>
    </row>
    <row r="65" ht="14.25" customHeight="1">
      <c r="A65" s="80" t="s">
        <v>598</v>
      </c>
      <c r="B65" s="71">
        <f>COUNTIFS('Chemical Clearances'!$F$5:$F$169,$A65)</f>
        <v>4</v>
      </c>
      <c r="C65" s="164">
        <f>SUMIFS('Chemical Clearances'!$I$5:$I$169,'Chemical Clearances'!$F$5:$F$169,$A65)</f>
        <v>589</v>
      </c>
      <c r="D65" s="165">
        <f t="shared" si="5"/>
        <v>0.589</v>
      </c>
      <c r="E65" s="166">
        <f>IF(SUM('Chemical Clearances'!$I$5:$I$169)=0,0,C65/SUM('Chemical Clearances'!$I$5:$I$169))</f>
        <v>0.00003732577267</v>
      </c>
      <c r="F65" s="26"/>
      <c r="G65" s="26"/>
      <c r="H65" s="26"/>
      <c r="I65" s="26"/>
      <c r="J65" s="26"/>
      <c r="K65" s="26"/>
      <c r="L65" s="26"/>
      <c r="M65" s="26"/>
      <c r="N65" s="26"/>
      <c r="O65" s="26"/>
      <c r="P65" s="26"/>
      <c r="Q65" s="26"/>
      <c r="R65" s="26"/>
      <c r="S65" s="26"/>
      <c r="T65" s="26"/>
      <c r="U65" s="26"/>
      <c r="V65" s="26"/>
      <c r="W65" s="26"/>
      <c r="X65" s="26"/>
      <c r="Y65" s="26"/>
      <c r="Z65" s="26"/>
    </row>
    <row r="66" ht="14.25" customHeight="1">
      <c r="A66" s="80" t="s">
        <v>599</v>
      </c>
      <c r="B66" s="71">
        <f>COUNTIFS('Chemical Clearances'!$F$5:$F$169,$A66)</f>
        <v>2</v>
      </c>
      <c r="C66" s="164">
        <f>SUMIFS('Chemical Clearances'!$I$5:$I$169,'Chemical Clearances'!$F$5:$F$169,$A66)</f>
        <v>260</v>
      </c>
      <c r="D66" s="165">
        <f t="shared" si="5"/>
        <v>0.26</v>
      </c>
      <c r="E66" s="166">
        <f>IF(SUM('Chemical Clearances'!$I$5:$I$169)=0,0,C66/SUM('Chemical Clearances'!$I$5:$I$169))</f>
        <v>0.00001647657198</v>
      </c>
      <c r="F66" s="26"/>
      <c r="G66" s="26"/>
      <c r="H66" s="26"/>
      <c r="I66" s="26"/>
      <c r="J66" s="26"/>
      <c r="K66" s="26"/>
      <c r="L66" s="26"/>
      <c r="M66" s="26"/>
      <c r="N66" s="26"/>
      <c r="O66" s="26"/>
      <c r="P66" s="26"/>
      <c r="Q66" s="26"/>
      <c r="R66" s="26"/>
      <c r="S66" s="26"/>
      <c r="T66" s="26"/>
      <c r="U66" s="26"/>
      <c r="V66" s="26"/>
      <c r="W66" s="26"/>
      <c r="X66" s="26"/>
      <c r="Y66" s="26"/>
      <c r="Z66" s="26"/>
    </row>
    <row r="67" ht="14.25" customHeight="1">
      <c r="A67" s="80" t="s">
        <v>600</v>
      </c>
      <c r="B67" s="71">
        <f>COUNTIFS('Chemical Clearances'!$F$5:$F$169,$A67)</f>
        <v>2</v>
      </c>
      <c r="C67" s="164">
        <f>SUMIFS('Chemical Clearances'!$I$5:$I$169,'Chemical Clearances'!$F$5:$F$169,$A67)</f>
        <v>180</v>
      </c>
      <c r="D67" s="165">
        <f t="shared" si="5"/>
        <v>0.18</v>
      </c>
      <c r="E67" s="166">
        <f>IF(SUM('Chemical Clearances'!$I$5:$I$169)=0,0,C67/SUM('Chemical Clearances'!$I$5:$I$169))</f>
        <v>0.00001140685752</v>
      </c>
      <c r="F67" s="26"/>
      <c r="G67" s="26"/>
      <c r="H67" s="26"/>
      <c r="I67" s="26"/>
      <c r="J67" s="26"/>
      <c r="K67" s="26"/>
      <c r="L67" s="26"/>
      <c r="M67" s="26"/>
      <c r="N67" s="26"/>
      <c r="O67" s="26"/>
      <c r="P67" s="26"/>
      <c r="Q67" s="26"/>
      <c r="R67" s="26"/>
      <c r="S67" s="26"/>
      <c r="T67" s="26"/>
      <c r="U67" s="26"/>
      <c r="V67" s="26"/>
      <c r="W67" s="26"/>
      <c r="X67" s="26"/>
      <c r="Y67" s="26"/>
      <c r="Z67" s="26"/>
    </row>
    <row r="68" ht="14.25" customHeight="1">
      <c r="A68" s="80" t="s">
        <v>603</v>
      </c>
      <c r="B68" s="71">
        <f>COUNTIFS('Chemical Clearances'!$F$5:$F$169,$A68)</f>
        <v>3</v>
      </c>
      <c r="C68" s="164">
        <f>SUMIFS('Chemical Clearances'!$I$5:$I$169,'Chemical Clearances'!$F$5:$F$169,$A68)</f>
        <v>200</v>
      </c>
      <c r="D68" s="165">
        <f t="shared" si="5"/>
        <v>0.2</v>
      </c>
      <c r="E68" s="166">
        <f>IF(SUM('Chemical Clearances'!$I$5:$I$169)=0,0,C68/SUM('Chemical Clearances'!$I$5:$I$169))</f>
        <v>0.00001267428614</v>
      </c>
      <c r="F68" s="26"/>
      <c r="G68" s="26"/>
      <c r="H68" s="26"/>
      <c r="I68" s="26"/>
      <c r="J68" s="26"/>
      <c r="K68" s="26"/>
      <c r="L68" s="26"/>
      <c r="M68" s="26"/>
      <c r="N68" s="26"/>
      <c r="O68" s="26"/>
      <c r="P68" s="26"/>
      <c r="Q68" s="26"/>
      <c r="R68" s="26"/>
      <c r="S68" s="26"/>
      <c r="T68" s="26"/>
      <c r="U68" s="26"/>
      <c r="V68" s="26"/>
      <c r="W68" s="26"/>
      <c r="X68" s="26"/>
      <c r="Y68" s="26"/>
      <c r="Z68" s="26"/>
    </row>
    <row r="69" ht="14.25" customHeight="1">
      <c r="A69" s="80" t="s">
        <v>608</v>
      </c>
      <c r="B69" s="71">
        <f>COUNTIFS('Chemical Clearances'!$F$5:$F$169,$A69)</f>
        <v>1</v>
      </c>
      <c r="C69" s="164">
        <f>SUMIFS('Chemical Clearances'!$I$5:$I$169,'Chemical Clearances'!$F$5:$F$169,$A69)</f>
        <v>45</v>
      </c>
      <c r="D69" s="165">
        <f t="shared" si="5"/>
        <v>0.045</v>
      </c>
      <c r="E69" s="166">
        <f>IF(SUM('Chemical Clearances'!$I$5:$I$169)=0,0,C69/SUM('Chemical Clearances'!$I$5:$I$169))</f>
        <v>0.000002851714381</v>
      </c>
      <c r="F69" s="26"/>
      <c r="G69" s="26"/>
      <c r="H69" s="26"/>
      <c r="I69" s="26"/>
      <c r="J69" s="26"/>
      <c r="K69" s="26"/>
      <c r="L69" s="26"/>
      <c r="M69" s="26"/>
      <c r="N69" s="26"/>
      <c r="O69" s="26"/>
      <c r="P69" s="26"/>
      <c r="Q69" s="26"/>
      <c r="R69" s="26"/>
      <c r="S69" s="26"/>
      <c r="T69" s="26"/>
      <c r="U69" s="26"/>
      <c r="V69" s="26"/>
      <c r="W69" s="26"/>
      <c r="X69" s="26"/>
      <c r="Y69" s="26"/>
      <c r="Z69" s="26"/>
    </row>
    <row r="70" ht="14.25" customHeight="1">
      <c r="A70" s="80" t="s">
        <v>611</v>
      </c>
      <c r="B70" s="71">
        <f>COUNTIFS('Chemical Clearances'!$F$5:$F$169,$A70)</f>
        <v>1</v>
      </c>
      <c r="C70" s="164">
        <f>SUMIFS('Chemical Clearances'!$I$5:$I$169,'Chemical Clearances'!$F$5:$F$169,$A70)</f>
        <v>30</v>
      </c>
      <c r="D70" s="165">
        <f t="shared" si="5"/>
        <v>0.03</v>
      </c>
      <c r="E70" s="166">
        <f>IF(SUM('Chemical Clearances'!$I$5:$I$169)=0,0,C70/SUM('Chemical Clearances'!$I$5:$I$169))</f>
        <v>0.00000190114292</v>
      </c>
      <c r="F70" s="26"/>
      <c r="G70" s="26"/>
      <c r="H70" s="26"/>
      <c r="I70" s="26"/>
      <c r="J70" s="26"/>
      <c r="K70" s="26"/>
      <c r="L70" s="26"/>
      <c r="M70" s="26"/>
      <c r="N70" s="26"/>
      <c r="O70" s="26"/>
      <c r="P70" s="26"/>
      <c r="Q70" s="26"/>
      <c r="R70" s="26"/>
      <c r="S70" s="26"/>
      <c r="T70" s="26"/>
      <c r="U70" s="26"/>
      <c r="V70" s="26"/>
      <c r="W70" s="26"/>
      <c r="X70" s="26"/>
      <c r="Y70" s="26"/>
      <c r="Z70" s="26"/>
    </row>
    <row r="71" ht="14.25" customHeight="1">
      <c r="A71" s="80" t="s">
        <v>619</v>
      </c>
      <c r="B71" s="71">
        <f>COUNTIFS('Chemical Clearances'!$F$5:$F$169,$A71)</f>
        <v>1</v>
      </c>
      <c r="C71" s="164">
        <f>SUMIFS('Chemical Clearances'!$I$5:$I$169,'Chemical Clearances'!$F$5:$F$169,$A71)</f>
        <v>28.08</v>
      </c>
      <c r="D71" s="165">
        <f t="shared" si="5"/>
        <v>0.02808</v>
      </c>
      <c r="E71" s="166">
        <f>IF(SUM('Chemical Clearances'!$I$5:$I$169)=0,0,C71/SUM('Chemical Clearances'!$I$5:$I$169))</f>
        <v>0.000001779469773</v>
      </c>
      <c r="F71" s="26"/>
      <c r="G71" s="26"/>
      <c r="H71" s="26"/>
      <c r="I71" s="26"/>
      <c r="J71" s="26"/>
      <c r="K71" s="26"/>
      <c r="L71" s="26"/>
      <c r="M71" s="26"/>
      <c r="N71" s="26"/>
      <c r="O71" s="26"/>
      <c r="P71" s="26"/>
      <c r="Q71" s="26"/>
      <c r="R71" s="26"/>
      <c r="S71" s="26"/>
      <c r="T71" s="26"/>
      <c r="U71" s="26"/>
      <c r="V71" s="26"/>
      <c r="W71" s="26"/>
      <c r="X71" s="26"/>
      <c r="Y71" s="26"/>
      <c r="Z71" s="26"/>
    </row>
    <row r="72" ht="14.25" customHeight="1">
      <c r="A72" s="80" t="s">
        <v>623</v>
      </c>
      <c r="B72" s="71">
        <f>COUNTIFS('Chemical Clearances'!$F$5:$F$169,$A72)</f>
        <v>3</v>
      </c>
      <c r="C72" s="164">
        <f>SUMIFS('Chemical Clearances'!$I$5:$I$169,'Chemical Clearances'!$F$5:$F$169,$A72)</f>
        <v>9</v>
      </c>
      <c r="D72" s="165">
        <f t="shared" si="5"/>
        <v>0.009</v>
      </c>
      <c r="E72" s="166">
        <f>IF(SUM('Chemical Clearances'!$I$5:$I$169)=0,0,C72/SUM('Chemical Clearances'!$I$5:$I$169))</f>
        <v>0.0000005703428761</v>
      </c>
      <c r="F72" s="26"/>
      <c r="G72" s="26"/>
      <c r="H72" s="26"/>
      <c r="I72" s="26"/>
      <c r="J72" s="26"/>
      <c r="K72" s="26"/>
      <c r="L72" s="26"/>
      <c r="M72" s="26"/>
      <c r="N72" s="26"/>
      <c r="O72" s="26"/>
      <c r="P72" s="26"/>
      <c r="Q72" s="26"/>
      <c r="R72" s="26"/>
      <c r="S72" s="26"/>
      <c r="T72" s="26"/>
      <c r="U72" s="26"/>
      <c r="V72" s="26"/>
      <c r="W72" s="26"/>
      <c r="X72" s="26"/>
      <c r="Y72" s="26"/>
      <c r="Z72" s="26"/>
    </row>
    <row r="73" ht="14.25" customHeight="1">
      <c r="A73" s="80" t="s">
        <v>624</v>
      </c>
      <c r="B73" s="71">
        <f>COUNTIFS('Chemical Clearances'!$F$5:$F$169,$A73)</f>
        <v>1</v>
      </c>
      <c r="C73" s="164">
        <f>SUMIFS('Chemical Clearances'!$I$5:$I$169,'Chemical Clearances'!$F$5:$F$169,$A73)</f>
        <v>6</v>
      </c>
      <c r="D73" s="165">
        <f t="shared" si="5"/>
        <v>0.006</v>
      </c>
      <c r="E73" s="166">
        <f>IF(SUM('Chemical Clearances'!$I$5:$I$169)=0,0,C73/SUM('Chemical Clearances'!$I$5:$I$169))</f>
        <v>0.0000003802285841</v>
      </c>
      <c r="F73" s="26"/>
      <c r="G73" s="26"/>
      <c r="H73" s="26"/>
      <c r="I73" s="26"/>
      <c r="J73" s="26"/>
      <c r="K73" s="26"/>
      <c r="L73" s="26"/>
      <c r="M73" s="26"/>
      <c r="N73" s="26"/>
      <c r="O73" s="26"/>
      <c r="P73" s="26"/>
      <c r="Q73" s="26"/>
      <c r="R73" s="26"/>
      <c r="S73" s="26"/>
      <c r="T73" s="26"/>
      <c r="U73" s="26"/>
      <c r="V73" s="26"/>
      <c r="W73" s="26"/>
      <c r="X73" s="26"/>
      <c r="Y73" s="26"/>
      <c r="Z73" s="26"/>
    </row>
    <row r="74" ht="14.25" customHeight="1">
      <c r="A74" s="115" t="s">
        <v>385</v>
      </c>
      <c r="B74" s="118">
        <f t="shared" ref="B74:E74" si="6">SUM(B27:B73)</f>
        <v>155</v>
      </c>
      <c r="C74" s="212">
        <f t="shared" si="6"/>
        <v>15406054.44</v>
      </c>
      <c r="D74" s="213">
        <f t="shared" si="6"/>
        <v>15406.05444</v>
      </c>
      <c r="E74" s="214">
        <f t="shared" si="6"/>
        <v>0.976303711</v>
      </c>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P8:U8"/>
  </mergeCell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4F"/>
    <pageSetUpPr fitToPage="1"/>
  </sheetPr>
  <sheetViews>
    <sheetView showGridLines="0" workbookViewId="0"/>
  </sheetViews>
  <sheetFormatPr customHeight="1" defaultColWidth="14.43" defaultRowHeight="15.0"/>
  <cols>
    <col customWidth="1" min="1" max="1" width="2.71"/>
    <col customWidth="1" min="2" max="2" width="31.43"/>
    <col customWidth="1" min="3" max="3" width="48.14"/>
    <col customWidth="1" min="4" max="4" width="61.14"/>
    <col customWidth="1" min="5" max="5" width="3.71"/>
    <col customWidth="1" min="6" max="6" width="24.14"/>
    <col customWidth="1" min="7" max="26" width="8.71"/>
  </cols>
  <sheetData>
    <row r="1" ht="27.75" customHeight="1">
      <c r="A1" s="25" t="s">
        <v>155</v>
      </c>
      <c r="B1" s="25"/>
      <c r="C1" s="25"/>
      <c r="D1" s="25"/>
      <c r="E1" s="25"/>
      <c r="F1" s="25"/>
      <c r="G1" s="25"/>
      <c r="H1" s="25"/>
    </row>
    <row r="2" ht="14.25" customHeight="1">
      <c r="A2" s="30" t="s">
        <v>157</v>
      </c>
      <c r="B2" s="10"/>
      <c r="C2" s="10"/>
      <c r="D2" s="10"/>
      <c r="E2" s="10"/>
      <c r="F2" s="10"/>
      <c r="G2" s="10"/>
      <c r="H2" s="10"/>
    </row>
    <row r="3" ht="14.25" customHeight="1">
      <c r="A3" s="10"/>
      <c r="B3" s="10"/>
      <c r="C3" s="10"/>
      <c r="D3" s="10"/>
      <c r="E3" s="10"/>
      <c r="F3" s="10"/>
      <c r="G3" s="10"/>
      <c r="H3" s="10"/>
    </row>
    <row r="4" ht="24.0" customHeight="1">
      <c r="A4" s="10"/>
      <c r="B4" s="54" t="s">
        <v>160</v>
      </c>
      <c r="C4" s="55" t="str">
        <f>IF(IF(C6="","Company Name; ","")="","✔ Ready to save","✖ Missing: "&amp;IF(C6="","Company Name; ",""))</f>
        <v>✖ Missing: Company Name; </v>
      </c>
      <c r="D4" s="56"/>
      <c r="E4" s="10"/>
      <c r="F4" s="58"/>
      <c r="G4" s="10"/>
      <c r="H4" s="10"/>
    </row>
    <row r="5" ht="24.0" customHeight="1">
      <c r="A5" s="59"/>
      <c r="B5" s="61" t="s">
        <v>171</v>
      </c>
      <c r="C5" s="63"/>
      <c r="D5" s="76" t="str">
        <f t="array" ref="D5">"Leave blank for a NEW record (next ID: "&amp;"CMU-"&amp;TEXT(SUMPRODUCT(MAX(--MID(Companies!$A$5:$A$74,5,4)))+1,"000")&amp;"). Type an existing ID and click Find to edit."</f>
        <v>Leave blank for a NEW record (next ID: CMU-071). Type an existing ID and click Find to edit.</v>
      </c>
      <c r="E5" s="10"/>
      <c r="F5" s="10"/>
      <c r="G5" s="10"/>
      <c r="H5" s="10"/>
    </row>
    <row r="6" ht="24.0" customHeight="1">
      <c r="A6" s="59"/>
      <c r="B6" s="61" t="s">
        <v>203</v>
      </c>
      <c r="C6" s="63"/>
      <c r="D6" s="76" t="str">
        <f>IF(C6="","Enter the official company name",IF(COUNTIF(Companies!$B$5:$B$74,C6)&gt;0,"⚠ Already in register (OK only if updating)","✔ New company"))</f>
        <v>Enter the official company name</v>
      </c>
      <c r="E6" s="10"/>
      <c r="F6" s="10"/>
      <c r="G6" s="10"/>
      <c r="H6" s="10"/>
    </row>
    <row r="7" ht="24.0" customHeight="1">
      <c r="A7" s="59"/>
      <c r="B7" s="61" t="s">
        <v>205</v>
      </c>
      <c r="C7" s="63"/>
      <c r="D7" s="76" t="s">
        <v>207</v>
      </c>
      <c r="E7" s="10"/>
      <c r="F7" s="10"/>
      <c r="G7" s="10"/>
      <c r="H7" s="10"/>
    </row>
    <row r="8" ht="24.0" customHeight="1">
      <c r="A8" s="59"/>
      <c r="B8" s="61" t="s">
        <v>208</v>
      </c>
      <c r="C8" s="63"/>
      <c r="D8" s="76" t="s">
        <v>209</v>
      </c>
      <c r="E8" s="10"/>
      <c r="F8" s="10"/>
      <c r="G8" s="10"/>
      <c r="H8" s="10"/>
    </row>
    <row r="9" ht="24.0" customHeight="1">
      <c r="A9" s="59"/>
      <c r="B9" s="61" t="s">
        <v>210</v>
      </c>
      <c r="C9" s="63" t="str">
        <f>IFERROR(__xludf.DUMMYFUNCTION("AI(""Fill an appropriate value for this cell based on the table context"")"),"")</f>
        <v/>
      </c>
      <c r="D9" s="76" t="s">
        <v>211</v>
      </c>
      <c r="E9" s="10"/>
      <c r="F9" s="10"/>
      <c r="G9" s="10"/>
      <c r="H9" s="10"/>
    </row>
    <row r="10" ht="14.25" customHeight="1">
      <c r="A10" s="10"/>
      <c r="B10" s="10"/>
      <c r="C10" s="10"/>
      <c r="D10" s="10"/>
      <c r="E10" s="10"/>
      <c r="F10" s="10"/>
      <c r="G10" s="10"/>
      <c r="H10" s="10"/>
    </row>
    <row r="11" ht="14.25" customHeight="1">
      <c r="A11" s="10"/>
      <c r="B11" s="10"/>
      <c r="C11" s="10"/>
      <c r="D11" s="10"/>
      <c r="E11" s="10"/>
      <c r="F11" s="10"/>
      <c r="G11" s="10"/>
      <c r="H11" s="10"/>
    </row>
    <row r="12" ht="14.25" customHeight="1">
      <c r="A12" s="10"/>
      <c r="B12" s="10"/>
      <c r="C12" s="10"/>
      <c r="D12" s="10"/>
      <c r="E12" s="10"/>
      <c r="F12" s="10"/>
      <c r="G12" s="10"/>
      <c r="H12" s="10"/>
    </row>
    <row r="13" ht="14.25" customHeight="1">
      <c r="A13" s="10"/>
      <c r="B13" s="10"/>
      <c r="C13" s="10"/>
      <c r="D13" s="10"/>
      <c r="E13" s="10"/>
      <c r="F13" s="10"/>
      <c r="G13" s="10"/>
      <c r="H13" s="10"/>
    </row>
    <row r="14" ht="14.25" customHeight="1">
      <c r="A14" s="10"/>
      <c r="B14" s="10"/>
      <c r="C14" s="10"/>
      <c r="D14" s="10"/>
      <c r="E14" s="10"/>
      <c r="F14" s="10"/>
      <c r="G14" s="10"/>
      <c r="H14" s="10"/>
    </row>
    <row r="15" ht="14.25" customHeight="1">
      <c r="A15" s="10"/>
      <c r="B15" s="10"/>
      <c r="C15" s="10"/>
      <c r="D15" s="10"/>
      <c r="E15" s="10"/>
      <c r="F15" s="10"/>
      <c r="G15" s="10"/>
      <c r="H15" s="10"/>
    </row>
    <row r="16" ht="14.25" customHeight="1">
      <c r="A16" s="10"/>
      <c r="B16" s="10"/>
      <c r="C16" s="10"/>
      <c r="D16" s="10"/>
      <c r="E16" s="10"/>
      <c r="F16" s="10"/>
      <c r="G16" s="10"/>
      <c r="H16" s="10"/>
    </row>
    <row r="17" ht="14.25" customHeight="1">
      <c r="A17" s="10"/>
      <c r="B17" s="10"/>
      <c r="C17" s="10"/>
      <c r="D17" s="10"/>
      <c r="E17" s="10"/>
      <c r="F17" s="10"/>
      <c r="G17" s="10"/>
      <c r="H17" s="10"/>
    </row>
    <row r="18" ht="14.25" customHeight="1">
      <c r="A18" s="10"/>
      <c r="B18" s="10"/>
      <c r="C18" s="10"/>
      <c r="D18" s="10"/>
      <c r="E18" s="10"/>
      <c r="F18" s="10"/>
      <c r="G18" s="10"/>
      <c r="H18" s="10"/>
    </row>
    <row r="19" ht="14.25" customHeight="1">
      <c r="A19" s="10"/>
      <c r="B19" s="10"/>
      <c r="C19" s="10"/>
      <c r="D19" s="10"/>
      <c r="E19" s="10"/>
      <c r="F19" s="10"/>
      <c r="G19" s="10"/>
      <c r="H19" s="10"/>
    </row>
    <row r="20" ht="14.25" customHeight="1">
      <c r="A20" s="10"/>
      <c r="B20" s="10"/>
      <c r="C20" s="10"/>
      <c r="D20" s="10"/>
      <c r="E20" s="10"/>
      <c r="F20" s="10"/>
      <c r="G20" s="10"/>
      <c r="H20" s="10"/>
    </row>
    <row r="21" ht="14.25" customHeight="1">
      <c r="A21" s="10"/>
      <c r="B21" s="10"/>
      <c r="C21" s="10"/>
      <c r="D21" s="10"/>
      <c r="E21" s="10"/>
      <c r="F21" s="10"/>
      <c r="G21" s="10"/>
      <c r="H21" s="10"/>
    </row>
    <row r="22" ht="14.25" customHeight="1">
      <c r="A22" s="10"/>
      <c r="B22" s="10"/>
      <c r="C22" s="10"/>
      <c r="D22" s="10"/>
      <c r="E22" s="10"/>
      <c r="F22" s="10"/>
      <c r="G22" s="10"/>
      <c r="H22" s="10"/>
    </row>
    <row r="23" ht="14.25" customHeight="1">
      <c r="A23" s="10"/>
      <c r="B23" s="10"/>
      <c r="C23" s="10"/>
      <c r="D23" s="10"/>
      <c r="E23" s="10"/>
      <c r="F23" s="10"/>
      <c r="G23" s="10"/>
      <c r="H23" s="10"/>
    </row>
    <row r="24" ht="14.25" customHeight="1">
      <c r="A24" s="10"/>
      <c r="B24" s="10"/>
      <c r="C24" s="10"/>
      <c r="D24" s="10"/>
      <c r="E24" s="10"/>
      <c r="F24" s="10"/>
      <c r="G24" s="10"/>
      <c r="H24" s="10"/>
    </row>
    <row r="25" ht="14.25" customHeight="1">
      <c r="A25" s="10"/>
      <c r="B25" s="10"/>
      <c r="C25" s="10"/>
      <c r="D25" s="10"/>
      <c r="E25" s="10"/>
      <c r="F25" s="10"/>
      <c r="G25" s="10"/>
      <c r="H25" s="10"/>
    </row>
    <row r="26" ht="14.25" customHeight="1">
      <c r="A26" s="10"/>
      <c r="B26" s="10"/>
      <c r="C26" s="10"/>
      <c r="D26" s="10"/>
      <c r="E26" s="10"/>
      <c r="F26" s="10"/>
      <c r="G26" s="10"/>
      <c r="H26" s="10"/>
    </row>
    <row r="27" ht="14.25" customHeight="1">
      <c r="A27" s="10"/>
      <c r="B27" s="10"/>
      <c r="C27" s="10"/>
      <c r="D27" s="10"/>
      <c r="E27" s="10"/>
      <c r="F27" s="10"/>
      <c r="G27" s="10"/>
      <c r="H27" s="10"/>
    </row>
    <row r="28" ht="14.25" customHeight="1">
      <c r="A28" s="10"/>
      <c r="B28" s="10"/>
      <c r="C28" s="10"/>
      <c r="D28" s="10"/>
      <c r="E28" s="10"/>
      <c r="F28" s="10"/>
      <c r="G28" s="10"/>
      <c r="H28" s="10"/>
    </row>
    <row r="29" ht="14.25" customHeight="1">
      <c r="A29" s="10"/>
      <c r="B29" s="10"/>
      <c r="C29" s="10"/>
      <c r="D29" s="10"/>
      <c r="E29" s="10"/>
      <c r="F29" s="10"/>
      <c r="G29" s="10"/>
      <c r="H29" s="10"/>
    </row>
    <row r="30" ht="14.25" customHeight="1">
      <c r="A30" s="10"/>
      <c r="B30" s="10"/>
      <c r="C30" s="10"/>
      <c r="D30" s="10"/>
      <c r="E30" s="10"/>
      <c r="F30" s="10"/>
      <c r="G30" s="10"/>
      <c r="H30" s="10"/>
    </row>
    <row r="31" ht="14.25" customHeight="1">
      <c r="A31" s="10"/>
      <c r="B31" s="10"/>
      <c r="C31" s="10"/>
      <c r="D31" s="10"/>
      <c r="E31" s="10"/>
      <c r="F31" s="10"/>
      <c r="G31" s="10"/>
      <c r="H31" s="10"/>
    </row>
    <row r="32" ht="14.25" customHeight="1">
      <c r="A32" s="10"/>
      <c r="B32" s="10"/>
      <c r="C32" s="10"/>
      <c r="D32" s="10"/>
      <c r="E32" s="10"/>
      <c r="F32" s="10"/>
      <c r="G32" s="10"/>
      <c r="H32" s="10"/>
    </row>
    <row r="33" ht="14.25" customHeight="1">
      <c r="A33" s="10"/>
      <c r="B33" s="10"/>
      <c r="C33" s="10"/>
      <c r="D33" s="10"/>
      <c r="E33" s="10"/>
      <c r="F33" s="10"/>
      <c r="G33" s="10"/>
      <c r="H33" s="10"/>
    </row>
    <row r="34" ht="14.25" customHeight="1">
      <c r="A34" s="10"/>
      <c r="B34" s="10"/>
      <c r="C34" s="10"/>
      <c r="D34" s="10"/>
      <c r="E34" s="10"/>
      <c r="F34" s="10"/>
      <c r="G34" s="10"/>
      <c r="H34" s="10"/>
    </row>
    <row r="35" ht="14.25" customHeight="1">
      <c r="A35" s="10"/>
      <c r="B35" s="10"/>
      <c r="C35" s="10"/>
      <c r="D35" s="10"/>
      <c r="E35" s="10"/>
      <c r="F35" s="10"/>
      <c r="G35" s="10"/>
      <c r="H35" s="10"/>
    </row>
    <row r="36" ht="14.25" customHeight="1">
      <c r="A36" s="10"/>
      <c r="B36" s="10"/>
      <c r="C36" s="10"/>
      <c r="D36" s="10"/>
      <c r="E36" s="10"/>
      <c r="F36" s="10"/>
      <c r="G36" s="10"/>
      <c r="H36" s="10"/>
    </row>
    <row r="37" ht="14.25" customHeight="1">
      <c r="A37" s="10"/>
      <c r="B37" s="10"/>
      <c r="C37" s="10"/>
      <c r="D37" s="10"/>
      <c r="E37" s="10"/>
      <c r="F37" s="10"/>
      <c r="G37" s="10"/>
      <c r="H37" s="10"/>
    </row>
    <row r="38" ht="14.25" customHeight="1">
      <c r="A38" s="10"/>
      <c r="B38" s="10"/>
      <c r="C38" s="10"/>
      <c r="D38" s="10"/>
      <c r="E38" s="10"/>
      <c r="F38" s="10"/>
      <c r="G38" s="10"/>
      <c r="H38" s="10"/>
    </row>
    <row r="39" ht="14.25" customHeight="1">
      <c r="A39" s="10"/>
      <c r="B39" s="10"/>
      <c r="C39" s="10"/>
      <c r="D39" s="10"/>
      <c r="E39" s="10"/>
      <c r="F39" s="10"/>
      <c r="G39" s="10"/>
      <c r="H39" s="10"/>
    </row>
    <row r="40" ht="14.25" customHeight="1">
      <c r="A40" s="10"/>
      <c r="B40" s="10"/>
      <c r="C40" s="10"/>
      <c r="D40" s="10"/>
      <c r="E40" s="10"/>
      <c r="F40" s="10"/>
      <c r="G40" s="10"/>
      <c r="H40" s="10"/>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4:D4"/>
  </mergeCells>
  <conditionalFormatting sqref="C4">
    <cfRule type="containsText" dxfId="0" priority="1" operator="containsText" text="Missing">
      <formula>NOT(ISERROR(SEARCH(("Missing"),(C4))))</formula>
    </cfRule>
  </conditionalFormatting>
  <conditionalFormatting sqref="C4">
    <cfRule type="containsText" dxfId="1" priority="2" operator="containsText" text="Ready">
      <formula>NOT(ISERROR(SEARCH(("Ready"),(C4))))</formula>
    </cfRule>
  </conditionalFormatting>
  <dataValidations>
    <dataValidation type="list" allowBlank="1" sqref="C7">
      <formula1>Lists!$I$5:$I$27</formula1>
    </dataValidation>
  </dataValidations>
  <printOptions horizontalCentered="1"/>
  <pageMargins bottom="0.5555555555555556" footer="0.0" header="0.0" left="0.5" right="0.5" top="0.5555555555555556"/>
  <pageSetup paperSize="9" orientation="portrait"/>
  <headerFooter>
    <oddFooter>&amp;LERRS – CMU Database 2026 | &amp;A&amp;CPage &amp;P of &amp;RPrinted &amp;D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4F"/>
    <pageSetUpPr fitToPage="1"/>
  </sheetPr>
  <sheetViews>
    <sheetView showGridLines="0" workbookViewId="0"/>
  </sheetViews>
  <sheetFormatPr customHeight="1" defaultColWidth="14.43" defaultRowHeight="15.0"/>
  <cols>
    <col customWidth="1" min="1" max="1" width="2.71"/>
    <col customWidth="1" min="2" max="2" width="31.43"/>
    <col customWidth="1" min="3" max="3" width="48.14"/>
    <col customWidth="1" min="4" max="4" width="61.14"/>
    <col customWidth="1" min="5" max="5" width="24.14"/>
    <col customWidth="1" min="6" max="6" width="14.71"/>
    <col customWidth="1" min="7" max="7" width="10.29"/>
    <col customWidth="1" min="8" max="8" width="29.71"/>
    <col customWidth="1" min="9" max="26" width="8.71"/>
  </cols>
  <sheetData>
    <row r="1" ht="27.75" customHeight="1">
      <c r="A1" s="25" t="s">
        <v>279</v>
      </c>
      <c r="B1" s="25"/>
      <c r="C1" s="25"/>
      <c r="D1" s="25"/>
      <c r="E1" s="25"/>
      <c r="F1" s="25"/>
      <c r="G1" s="25"/>
      <c r="H1" s="25"/>
    </row>
    <row r="2" ht="14.25" customHeight="1">
      <c r="A2" s="30" t="s">
        <v>157</v>
      </c>
      <c r="B2" s="10"/>
      <c r="C2" s="10"/>
      <c r="D2" s="10"/>
      <c r="E2" s="10"/>
      <c r="F2" s="10"/>
      <c r="G2" s="10"/>
      <c r="H2" s="10"/>
    </row>
    <row r="3" ht="14.25" customHeight="1">
      <c r="A3" s="10"/>
      <c r="B3" s="10"/>
      <c r="C3" s="10"/>
      <c r="D3" s="10"/>
      <c r="E3" s="10"/>
      <c r="F3" s="10"/>
      <c r="G3" s="10"/>
      <c r="H3" s="10"/>
    </row>
    <row r="4" ht="24.0" customHeight="1">
      <c r="A4" s="10"/>
      <c r="B4" s="54" t="s">
        <v>160</v>
      </c>
      <c r="C4" s="55" t="str">
        <f>IF(IF(C6="","Company; ","")&amp;IF(C7="","Licence Category; ","")&amp;IF(C8="","Licence / Certificate Type; ","")&amp;IF(AND(C6&lt;&gt;"",COUNTIF(Companies!$B$5:$B$74,C6)=0),"Company not in register; ","")="","✔ Ready to save","✖ Missing: "&amp;IF(C6="","Company; ","")&amp;IF(C7="","Licence Category; ","")&amp;IF(C8="","Licence / Certificate Type; ","")&amp;IF(AND(C6&lt;&gt;"",COUNTIF(Companies!$B$5:$B$74,C6)=0),"Company not in register; ",""))</f>
        <v>✖ Missing: Company; Licence Category; Licence / Certificate Type; </v>
      </c>
      <c r="D4" s="56"/>
      <c r="E4" s="10"/>
      <c r="F4" s="58"/>
      <c r="G4" s="10"/>
      <c r="H4" s="10"/>
    </row>
    <row r="5" ht="24.0" customHeight="1">
      <c r="A5" s="59"/>
      <c r="B5" s="61" t="s">
        <v>294</v>
      </c>
      <c r="C5" s="63"/>
      <c r="D5" s="76" t="str">
        <f t="array" ref="D5">"Leave blank for a NEW record (next ID: "&amp;"LIC-"&amp;TEXT(SUMPRODUCT(MAX(--MID('Licences &amp; Certificates'!$A$5:$A$73,5,4)))+1,"000")&amp;"). Type an existing ID and click Find to edit."</f>
        <v>Leave blank for a NEW record (next ID: LIC-071). Type an existing ID and click Find to edit.</v>
      </c>
      <c r="E5" s="10"/>
      <c r="F5" s="10"/>
      <c r="G5" s="10"/>
      <c r="H5" s="10"/>
    </row>
    <row r="6" ht="24.0" customHeight="1">
      <c r="A6" s="59"/>
      <c r="B6" s="61" t="s">
        <v>304</v>
      </c>
      <c r="C6" s="63"/>
      <c r="D6" s="76" t="str">
        <f t="array" ref="D6">IF(C6="","",IFERROR("ID: "&amp;INDEX(Companies!$A$5:$A$74,MATCH(C6,Companies!$B$5:$B$74,0)),"⚠ Not in Company register – add it on the Company Form first"))</f>
        <v/>
      </c>
      <c r="E6" s="10"/>
      <c r="F6" s="10"/>
      <c r="G6" s="10"/>
      <c r="H6" s="10"/>
    </row>
    <row r="7" ht="24.0" customHeight="1">
      <c r="A7" s="59"/>
      <c r="B7" s="61" t="s">
        <v>318</v>
      </c>
      <c r="C7" s="63"/>
      <c r="D7" s="76" t="s">
        <v>323</v>
      </c>
      <c r="E7" s="10"/>
      <c r="F7" s="10"/>
      <c r="G7" s="10"/>
      <c r="H7" s="10"/>
    </row>
    <row r="8" ht="24.0" customHeight="1">
      <c r="A8" s="59"/>
      <c r="B8" s="61" t="s">
        <v>326</v>
      </c>
      <c r="C8" s="63"/>
      <c r="D8" s="76" t="s">
        <v>328</v>
      </c>
      <c r="E8" s="10"/>
      <c r="F8" s="10"/>
      <c r="G8" s="10"/>
      <c r="H8" s="10"/>
    </row>
    <row r="9" ht="24.0" customHeight="1">
      <c r="A9" s="59"/>
      <c r="B9" s="61" t="s">
        <v>208</v>
      </c>
      <c r="C9" s="63"/>
      <c r="D9" s="76" t="s">
        <v>330</v>
      </c>
      <c r="E9" s="10"/>
      <c r="F9" s="10"/>
      <c r="G9" s="10"/>
      <c r="H9" s="10"/>
    </row>
    <row r="10" ht="24.0" customHeight="1">
      <c r="A10" s="59"/>
      <c r="B10" s="61" t="s">
        <v>331</v>
      </c>
      <c r="C10" s="100"/>
      <c r="D10" s="76" t="s">
        <v>335</v>
      </c>
      <c r="E10" s="10"/>
      <c r="F10" s="10"/>
      <c r="G10" s="10"/>
      <c r="H10" s="10"/>
    </row>
    <row r="11" ht="24.0" customHeight="1">
      <c r="A11" s="59"/>
      <c r="B11" s="61" t="s">
        <v>336</v>
      </c>
      <c r="C11" s="100"/>
      <c r="D11" s="76" t="s">
        <v>337</v>
      </c>
      <c r="E11" s="10"/>
      <c r="F11" s="10"/>
      <c r="G11" s="10"/>
      <c r="H11" s="10"/>
    </row>
    <row r="12" ht="24.0" customHeight="1">
      <c r="A12" s="59"/>
      <c r="B12" s="61" t="s">
        <v>339</v>
      </c>
      <c r="C12" s="63"/>
      <c r="D12" s="76" t="s">
        <v>340</v>
      </c>
      <c r="E12" s="10"/>
      <c r="F12" s="10"/>
      <c r="G12" s="10"/>
      <c r="H12" s="10"/>
    </row>
    <row r="13" ht="24.0" customHeight="1">
      <c r="A13" s="59"/>
      <c r="B13" s="61" t="s">
        <v>341</v>
      </c>
      <c r="C13" s="63"/>
      <c r="D13" s="76" t="str">
        <f>IF(C13="","Leave blank if not yet issued (status = Pending)",IF(COUNTIF('Licences &amp; Certificates'!$K$5:$K$73,C13)&gt;0,"⚠ This number already exists in the register","✔ Number not used before"))</f>
        <v>Leave blank if not yet issued (status = Pending)</v>
      </c>
      <c r="E13" s="10"/>
      <c r="F13" s="10"/>
      <c r="G13" s="10"/>
      <c r="H13" s="10"/>
    </row>
    <row r="14" ht="24.0" customHeight="1">
      <c r="A14" s="59"/>
      <c r="B14" s="61" t="s">
        <v>343</v>
      </c>
      <c r="C14" s="100"/>
      <c r="D14" s="76" t="s">
        <v>335</v>
      </c>
      <c r="E14" s="10"/>
      <c r="F14" s="10"/>
      <c r="G14" s="10"/>
      <c r="H14" s="10"/>
    </row>
    <row r="15" ht="24.0" customHeight="1">
      <c r="A15" s="59"/>
      <c r="B15" s="61" t="s">
        <v>344</v>
      </c>
      <c r="C15" s="100"/>
      <c r="D15" s="76" t="str">
        <f>IF(AND(C14&lt;&gt;"",C15&lt;&gt;"",C15&lt;C14),"⚠ Expiry is before issue date","Usually 31-Dec-2026 for annual licences")</f>
        <v>Usually 31-Dec-2026 for annual licences</v>
      </c>
      <c r="E15" s="10"/>
      <c r="F15" s="10"/>
      <c r="G15" s="10"/>
      <c r="H15" s="10"/>
    </row>
    <row r="16" ht="24.0" customHeight="1">
      <c r="A16" s="59"/>
      <c r="B16" s="61" t="s">
        <v>349</v>
      </c>
      <c r="C16" s="101"/>
      <c r="D16" s="76"/>
      <c r="E16" s="10"/>
      <c r="F16" s="10"/>
      <c r="G16" s="10"/>
      <c r="H16" s="10"/>
    </row>
    <row r="17" ht="9.75" customHeight="1">
      <c r="A17" s="10"/>
      <c r="B17" s="10"/>
      <c r="C17" s="10"/>
      <c r="D17" s="10"/>
      <c r="E17" s="10"/>
      <c r="F17" s="10"/>
      <c r="G17" s="10"/>
      <c r="H17" s="10"/>
    </row>
    <row r="18" ht="19.5" customHeight="1">
      <c r="A18" s="10"/>
      <c r="B18" s="102" t="s">
        <v>350</v>
      </c>
      <c r="C18" s="102"/>
      <c r="D18" s="102"/>
      <c r="E18" s="102"/>
      <c r="F18" s="102"/>
      <c r="G18" s="102"/>
      <c r="H18" s="102"/>
    </row>
    <row r="19" ht="30.0" customHeight="1">
      <c r="A19" s="10"/>
      <c r="B19" s="103" t="s">
        <v>214</v>
      </c>
      <c r="C19" s="104" t="s">
        <v>353</v>
      </c>
      <c r="D19" s="104" t="s">
        <v>354</v>
      </c>
      <c r="E19" s="104" t="s">
        <v>355</v>
      </c>
      <c r="F19" s="104" t="s">
        <v>356</v>
      </c>
      <c r="G19" s="104" t="s">
        <v>357</v>
      </c>
      <c r="H19" s="104" t="s">
        <v>358</v>
      </c>
    </row>
    <row r="20" ht="19.5" customHeight="1">
      <c r="A20" s="10"/>
      <c r="B20" s="105">
        <v>1.0</v>
      </c>
      <c r="C20" s="106"/>
      <c r="D20" s="107"/>
      <c r="E20" s="107"/>
      <c r="F20" s="108"/>
      <c r="G20" s="107"/>
      <c r="H20" s="109"/>
    </row>
    <row r="21" ht="19.5" customHeight="1">
      <c r="A21" s="10"/>
      <c r="B21" s="105">
        <v>2.0</v>
      </c>
      <c r="C21" s="106"/>
      <c r="D21" s="107"/>
      <c r="E21" s="107"/>
      <c r="F21" s="108"/>
      <c r="G21" s="107"/>
      <c r="H21" s="109"/>
    </row>
    <row r="22" ht="19.5" customHeight="1">
      <c r="A22" s="10"/>
      <c r="B22" s="105">
        <v>3.0</v>
      </c>
      <c r="C22" s="106"/>
      <c r="D22" s="107"/>
      <c r="E22" s="107"/>
      <c r="F22" s="108"/>
      <c r="G22" s="107"/>
      <c r="H22" s="109"/>
    </row>
    <row r="23" ht="19.5" customHeight="1">
      <c r="A23" s="10"/>
      <c r="B23" s="105">
        <v>4.0</v>
      </c>
      <c r="C23" s="106"/>
      <c r="D23" s="107"/>
      <c r="E23" s="107"/>
      <c r="F23" s="108"/>
      <c r="G23" s="107"/>
      <c r="H23" s="109"/>
    </row>
    <row r="24" ht="19.5" customHeight="1">
      <c r="A24" s="10"/>
      <c r="B24" s="105">
        <v>5.0</v>
      </c>
      <c r="C24" s="106"/>
      <c r="D24" s="107"/>
      <c r="E24" s="107"/>
      <c r="F24" s="108"/>
      <c r="G24" s="107"/>
      <c r="H24" s="109"/>
    </row>
    <row r="25" ht="19.5" customHeight="1">
      <c r="A25" s="10"/>
      <c r="B25" s="105">
        <v>6.0</v>
      </c>
      <c r="C25" s="106"/>
      <c r="D25" s="107"/>
      <c r="E25" s="107"/>
      <c r="F25" s="108"/>
      <c r="G25" s="107"/>
      <c r="H25" s="109"/>
    </row>
    <row r="26" ht="19.5" customHeight="1">
      <c r="A26" s="10"/>
      <c r="B26" s="105">
        <v>7.0</v>
      </c>
      <c r="C26" s="106"/>
      <c r="D26" s="107"/>
      <c r="E26" s="107"/>
      <c r="F26" s="108"/>
      <c r="G26" s="107"/>
      <c r="H26" s="109"/>
    </row>
    <row r="27" ht="19.5" customHeight="1">
      <c r="A27" s="10"/>
      <c r="B27" s="105">
        <v>8.0</v>
      </c>
      <c r="C27" s="106"/>
      <c r="D27" s="107"/>
      <c r="E27" s="107"/>
      <c r="F27" s="108"/>
      <c r="G27" s="107"/>
      <c r="H27" s="109"/>
    </row>
    <row r="28" ht="19.5" customHeight="1">
      <c r="A28" s="10"/>
      <c r="B28" s="105">
        <v>9.0</v>
      </c>
      <c r="C28" s="106"/>
      <c r="D28" s="107"/>
      <c r="E28" s="107"/>
      <c r="F28" s="108"/>
      <c r="G28" s="107"/>
      <c r="H28" s="109"/>
    </row>
    <row r="29" ht="19.5" customHeight="1">
      <c r="A29" s="10"/>
      <c r="B29" s="105">
        <v>10.0</v>
      </c>
      <c r="C29" s="106"/>
      <c r="D29" s="107"/>
      <c r="E29" s="107"/>
      <c r="F29" s="108"/>
      <c r="G29" s="107"/>
      <c r="H29" s="109"/>
    </row>
    <row r="30" ht="19.5" customHeight="1">
      <c r="A30" s="10"/>
      <c r="B30" s="105">
        <v>11.0</v>
      </c>
      <c r="C30" s="106"/>
      <c r="D30" s="107"/>
      <c r="E30" s="107"/>
      <c r="F30" s="108"/>
      <c r="G30" s="107"/>
      <c r="H30" s="109"/>
    </row>
    <row r="31" ht="19.5" customHeight="1">
      <c r="A31" s="10"/>
      <c r="B31" s="105">
        <v>12.0</v>
      </c>
      <c r="C31" s="106"/>
      <c r="D31" s="107"/>
      <c r="E31" s="107"/>
      <c r="F31" s="108"/>
      <c r="G31" s="107"/>
      <c r="H31" s="109"/>
    </row>
    <row r="32" ht="19.5" customHeight="1">
      <c r="A32" s="10"/>
      <c r="B32" s="105">
        <v>13.0</v>
      </c>
      <c r="C32" s="106"/>
      <c r="D32" s="107"/>
      <c r="E32" s="107"/>
      <c r="F32" s="108"/>
      <c r="G32" s="107"/>
      <c r="H32" s="109"/>
    </row>
    <row r="33" ht="19.5" customHeight="1">
      <c r="A33" s="10"/>
      <c r="B33" s="105">
        <v>14.0</v>
      </c>
      <c r="C33" s="106"/>
      <c r="D33" s="107"/>
      <c r="E33" s="107"/>
      <c r="F33" s="108"/>
      <c r="G33" s="107"/>
      <c r="H33" s="109"/>
    </row>
    <row r="34" ht="19.5" customHeight="1">
      <c r="A34" s="10"/>
      <c r="B34" s="105">
        <v>15.0</v>
      </c>
      <c r="C34" s="106"/>
      <c r="D34" s="107"/>
      <c r="E34" s="107"/>
      <c r="F34" s="108"/>
      <c r="G34" s="107"/>
      <c r="H34" s="109"/>
    </row>
    <row r="35" ht="19.5" customHeight="1">
      <c r="A35" s="10"/>
      <c r="B35" s="110" t="s">
        <v>369</v>
      </c>
      <c r="C35" s="10" t="str">
        <f>IF(COUNTA(C20:C34)=0,"No chemical lines entered",COUNTA(C20:C34)&amp;" chemical line(s) will be saved with this licence")&amp;IF(AND(COUNTA(C20:C34)&gt;0,ISERROR(SEARCH("(CRL)",C7)),ISERROR(SEARCH("(CIL)",C7))),"   ⚠ Category is not CRL or CIL","")</f>
        <v>No chemical lines entered</v>
      </c>
      <c r="D35" s="111" t="s">
        <v>378</v>
      </c>
      <c r="E35" s="10"/>
      <c r="F35" s="10"/>
      <c r="G35" s="10"/>
      <c r="H35" s="10"/>
    </row>
    <row r="36" ht="14.25" customHeight="1">
      <c r="A36" s="10"/>
      <c r="B36" s="10"/>
      <c r="C36" s="10"/>
      <c r="D36" s="10"/>
      <c r="E36" s="10"/>
      <c r="F36" s="10"/>
      <c r="G36" s="10"/>
      <c r="H36" s="10"/>
    </row>
    <row r="37" ht="21.75" customHeight="1">
      <c r="A37" s="10"/>
      <c r="B37" s="110" t="s">
        <v>380</v>
      </c>
      <c r="C37" s="114" t="str">
        <f>IF(ISERROR(SEARCH("EDL",C7)),"(only for Effluent Discharge licences)",IF(ISNUMBER(SEARCH("Retention",C8)),"EDL &amp; RETENTION POND  →  prints on Print EDL RP (all tables below are used)","STANDARD EDL  →  prints on Print EDL (Retention Pond tables below are not used)"))&amp;"     To switch, change Licence / Certificate Type (C8): Effluent Discharge  ⇄  Effluent Discharge &amp; Retention Pond"</f>
        <v>(only for Effluent Discharge licences)     To switch, change Licence / Certificate Type (C8): Effluent Discharge  ⇄  Effluent Discharge &amp; Retention Pond</v>
      </c>
      <c r="D37" s="12"/>
      <c r="E37" s="12"/>
      <c r="F37" s="12"/>
      <c r="G37" s="12"/>
      <c r="H37" s="13"/>
    </row>
    <row r="38" ht="19.5" customHeight="1">
      <c r="A38" s="10"/>
      <c r="B38" s="116" t="s">
        <v>384</v>
      </c>
      <c r="C38" s="12"/>
      <c r="D38" s="12"/>
      <c r="E38" s="12"/>
      <c r="F38" s="12"/>
      <c r="G38" s="12"/>
      <c r="H38" s="13"/>
    </row>
    <row r="39" ht="19.5" customHeight="1">
      <c r="A39" s="10"/>
      <c r="B39" s="105" t="s">
        <v>386</v>
      </c>
      <c r="C39" s="117"/>
      <c r="D39" s="119"/>
      <c r="E39" s="76" t="s">
        <v>388</v>
      </c>
    </row>
    <row r="40" ht="19.5" customHeight="1">
      <c r="A40" s="10"/>
      <c r="B40" s="105" t="s">
        <v>389</v>
      </c>
      <c r="C40" s="117"/>
      <c r="D40" s="119"/>
    </row>
    <row r="41" ht="19.5" customHeight="1">
      <c r="B41" s="105" t="s">
        <v>390</v>
      </c>
      <c r="C41" s="117"/>
      <c r="D41" s="119"/>
    </row>
    <row r="42" ht="9.75" customHeight="1"/>
    <row r="43" ht="19.5" customHeight="1">
      <c r="B43" s="121" t="s">
        <v>392</v>
      </c>
      <c r="C43" s="12"/>
      <c r="D43" s="12"/>
      <c r="E43" s="12"/>
      <c r="F43" s="12"/>
      <c r="G43" s="12"/>
      <c r="H43" s="13"/>
    </row>
    <row r="44" ht="30.0" customHeight="1">
      <c r="B44" s="122" t="s">
        <v>214</v>
      </c>
      <c r="C44" s="104" t="s">
        <v>394</v>
      </c>
      <c r="D44" s="104" t="s">
        <v>397</v>
      </c>
      <c r="E44" s="104" t="s">
        <v>398</v>
      </c>
      <c r="F44" s="104" t="s">
        <v>399</v>
      </c>
      <c r="G44" s="104" t="s">
        <v>400</v>
      </c>
      <c r="H44" s="104" t="s">
        <v>401</v>
      </c>
    </row>
    <row r="45" ht="19.5" customHeight="1">
      <c r="B45" s="105">
        <v>1.0</v>
      </c>
      <c r="C45" s="123"/>
      <c r="D45" s="124"/>
      <c r="E45" s="124"/>
      <c r="F45" s="124"/>
      <c r="G45" s="124"/>
      <c r="H45" s="125"/>
    </row>
    <row r="46" ht="19.5" customHeight="1">
      <c r="B46" s="105">
        <v>2.0</v>
      </c>
      <c r="C46" s="123"/>
      <c r="D46" s="124"/>
      <c r="E46" s="124"/>
      <c r="F46" s="124"/>
      <c r="G46" s="124"/>
      <c r="H46" s="125"/>
    </row>
    <row r="47" ht="19.5" customHeight="1">
      <c r="B47" s="105">
        <v>3.0</v>
      </c>
      <c r="C47" s="123"/>
      <c r="D47" s="124"/>
      <c r="E47" s="124"/>
      <c r="F47" s="124"/>
      <c r="G47" s="124"/>
      <c r="H47" s="125"/>
    </row>
    <row r="48" ht="19.5" customHeight="1">
      <c r="B48" s="105">
        <v>4.0</v>
      </c>
      <c r="C48" s="123"/>
      <c r="D48" s="124"/>
      <c r="E48" s="124"/>
      <c r="F48" s="124"/>
      <c r="G48" s="124"/>
      <c r="H48" s="125"/>
    </row>
    <row r="49" ht="19.5" customHeight="1">
      <c r="B49" s="105">
        <v>5.0</v>
      </c>
      <c r="C49" s="123"/>
      <c r="D49" s="124"/>
      <c r="E49" s="124"/>
      <c r="F49" s="124"/>
      <c r="G49" s="124"/>
      <c r="H49" s="125"/>
    </row>
    <row r="50" ht="19.5" customHeight="1">
      <c r="B50" s="105">
        <v>6.0</v>
      </c>
      <c r="C50" s="126"/>
      <c r="D50" s="127"/>
      <c r="E50" s="127"/>
      <c r="F50" s="127"/>
      <c r="G50" s="127"/>
      <c r="H50" s="125"/>
    </row>
    <row r="51" ht="19.5" customHeight="1">
      <c r="B51" s="105">
        <v>7.0</v>
      </c>
      <c r="C51" s="126"/>
      <c r="D51" s="127"/>
      <c r="E51" s="127"/>
      <c r="F51" s="127"/>
      <c r="G51" s="127"/>
      <c r="H51" s="125"/>
    </row>
    <row r="52" ht="19.5" customHeight="1">
      <c r="B52" s="105">
        <v>8.0</v>
      </c>
      <c r="C52" s="126"/>
      <c r="D52" s="127"/>
      <c r="E52" s="127"/>
      <c r="F52" s="127"/>
      <c r="G52" s="127"/>
      <c r="H52" s="125"/>
    </row>
    <row r="53" ht="19.5" customHeight="1">
      <c r="B53" s="105">
        <v>9.0</v>
      </c>
      <c r="C53" s="126"/>
      <c r="D53" s="127"/>
      <c r="E53" s="127"/>
      <c r="F53" s="127"/>
      <c r="G53" s="127"/>
      <c r="H53" s="125"/>
    </row>
    <row r="54" ht="19.5" customHeight="1">
      <c r="B54" s="105">
        <v>10.0</v>
      </c>
      <c r="C54" s="126"/>
      <c r="D54" s="127"/>
      <c r="E54" s="127"/>
      <c r="F54" s="127"/>
      <c r="G54" s="127"/>
      <c r="H54" s="125"/>
    </row>
    <row r="55" ht="19.5" customHeight="1">
      <c r="B55" s="105">
        <v>11.0</v>
      </c>
      <c r="C55" s="126"/>
      <c r="D55" s="127"/>
      <c r="E55" s="127"/>
      <c r="F55" s="127"/>
      <c r="G55" s="127"/>
      <c r="H55" s="125"/>
    </row>
    <row r="56" ht="19.5" customHeight="1">
      <c r="B56" s="105">
        <v>12.0</v>
      </c>
      <c r="C56" s="126"/>
      <c r="D56" s="127"/>
      <c r="E56" s="127"/>
      <c r="F56" s="127"/>
      <c r="G56" s="127"/>
      <c r="H56" s="125"/>
    </row>
    <row r="57" ht="19.5" customHeight="1">
      <c r="B57" s="105">
        <v>13.0</v>
      </c>
      <c r="C57" s="126"/>
      <c r="D57" s="127"/>
      <c r="E57" s="127"/>
      <c r="F57" s="127"/>
      <c r="G57" s="127"/>
      <c r="H57" s="125"/>
    </row>
    <row r="58" ht="19.5" customHeight="1">
      <c r="B58" s="105">
        <v>14.0</v>
      </c>
      <c r="C58" s="126"/>
      <c r="D58" s="127"/>
      <c r="E58" s="127"/>
      <c r="F58" s="127"/>
      <c r="G58" s="127"/>
      <c r="H58" s="125"/>
    </row>
    <row r="59" ht="19.5" customHeight="1">
      <c r="B59" s="105">
        <v>15.0</v>
      </c>
      <c r="C59" s="126"/>
      <c r="D59" s="127"/>
      <c r="E59" s="127"/>
      <c r="F59" s="127"/>
      <c r="G59" s="127"/>
      <c r="H59" s="125"/>
    </row>
    <row r="60" ht="19.5" customHeight="1">
      <c r="B60" s="105">
        <v>16.0</v>
      </c>
      <c r="C60" s="126"/>
      <c r="D60" s="127"/>
      <c r="E60" s="127"/>
      <c r="F60" s="127"/>
      <c r="G60" s="127"/>
      <c r="H60" s="125"/>
    </row>
    <row r="61" ht="19.5" customHeight="1">
      <c r="B61" s="105">
        <v>17.0</v>
      </c>
      <c r="C61" s="126"/>
      <c r="D61" s="127"/>
      <c r="E61" s="127"/>
      <c r="F61" s="127"/>
      <c r="G61" s="127"/>
      <c r="H61" s="125"/>
    </row>
    <row r="62" ht="19.5" customHeight="1">
      <c r="B62" s="105">
        <v>18.0</v>
      </c>
      <c r="C62" s="126"/>
      <c r="D62" s="127"/>
      <c r="E62" s="127"/>
      <c r="F62" s="127"/>
      <c r="G62" s="127"/>
      <c r="H62" s="125"/>
    </row>
    <row r="63" ht="19.5" customHeight="1">
      <c r="B63" s="105">
        <v>19.0</v>
      </c>
      <c r="C63" s="126"/>
      <c r="D63" s="127"/>
      <c r="E63" s="127"/>
      <c r="F63" s="127"/>
      <c r="G63" s="127"/>
      <c r="H63" s="125"/>
    </row>
    <row r="64" ht="19.5" customHeight="1">
      <c r="B64" s="105">
        <v>20.0</v>
      </c>
      <c r="C64" s="126"/>
      <c r="D64" s="127"/>
      <c r="E64" s="127"/>
      <c r="F64" s="127"/>
      <c r="G64" s="127"/>
      <c r="H64" s="125"/>
    </row>
    <row r="65" ht="14.25" customHeight="1">
      <c r="B65" s="110" t="s">
        <v>369</v>
      </c>
      <c r="C65" s="10" t="str">
        <f>IF(COUNTA(C45:C64)=0,"No limit lines entered",COUNTA(C45:C64)&amp;" limit line(s)")&amp;"  |  "&amp;COUNTA(C69:C88)&amp;" coordinate line(s)  |  "&amp;COUNTA(C92:C97)&amp;" source line(s)"&amp;IF(AND(COUNTA(C39:C41,C45:C64,C69:C88,C92:C97)&gt;0,ISERROR(SEARCH("EDL",C7)),ISERROR(SEARCH("Effluent",C7))),"   ⚠ Category is not EDL – these details will still be saved","")</f>
        <v>No limit lines entered  |  0 coordinate line(s)  |  0 source line(s)</v>
      </c>
    </row>
    <row r="66" ht="9.75" customHeight="1"/>
    <row r="67" ht="19.5" customHeight="1">
      <c r="B67" s="121" t="s">
        <v>433</v>
      </c>
      <c r="C67" s="12"/>
      <c r="D67" s="12"/>
      <c r="E67" s="12"/>
      <c r="F67" s="12"/>
      <c r="G67" s="12"/>
      <c r="H67" s="13"/>
    </row>
    <row r="68" ht="30.0" customHeight="1">
      <c r="B68" s="122" t="s">
        <v>214</v>
      </c>
      <c r="C68" s="104" t="s">
        <v>438</v>
      </c>
      <c r="D68" s="104" t="s">
        <v>440</v>
      </c>
      <c r="E68" s="104" t="s">
        <v>441</v>
      </c>
      <c r="F68" s="104" t="s">
        <v>442</v>
      </c>
    </row>
    <row r="69" ht="19.5" customHeight="1">
      <c r="B69" s="105">
        <v>1.0</v>
      </c>
      <c r="C69" s="126"/>
      <c r="D69" s="127"/>
      <c r="E69" s="127"/>
      <c r="F69" s="125"/>
    </row>
    <row r="70" ht="19.5" customHeight="1">
      <c r="B70" s="105">
        <v>2.0</v>
      </c>
      <c r="C70" s="126"/>
      <c r="D70" s="127"/>
      <c r="E70" s="127"/>
      <c r="F70" s="125"/>
    </row>
    <row r="71" ht="19.5" customHeight="1">
      <c r="B71" s="105">
        <v>3.0</v>
      </c>
      <c r="C71" s="126"/>
      <c r="D71" s="127"/>
      <c r="E71" s="127"/>
      <c r="F71" s="125"/>
    </row>
    <row r="72" ht="19.5" customHeight="1">
      <c r="B72" s="105">
        <v>4.0</v>
      </c>
      <c r="C72" s="126"/>
      <c r="D72" s="127"/>
      <c r="E72" s="127"/>
      <c r="F72" s="125"/>
    </row>
    <row r="73" ht="19.5" customHeight="1">
      <c r="B73" s="105">
        <v>5.0</v>
      </c>
      <c r="C73" s="126"/>
      <c r="D73" s="127"/>
      <c r="E73" s="127"/>
      <c r="F73" s="125"/>
    </row>
    <row r="74" ht="19.5" customHeight="1">
      <c r="B74" s="105">
        <v>6.0</v>
      </c>
      <c r="C74" s="126"/>
      <c r="D74" s="127"/>
      <c r="E74" s="127"/>
      <c r="F74" s="125"/>
    </row>
    <row r="75" ht="19.5" customHeight="1">
      <c r="B75" s="105">
        <v>7.0</v>
      </c>
      <c r="C75" s="126"/>
      <c r="D75" s="127"/>
      <c r="E75" s="127"/>
      <c r="F75" s="125"/>
    </row>
    <row r="76" ht="19.5" customHeight="1">
      <c r="B76" s="105">
        <v>8.0</v>
      </c>
      <c r="C76" s="126"/>
      <c r="D76" s="127"/>
      <c r="E76" s="127"/>
      <c r="F76" s="125"/>
    </row>
    <row r="77" ht="19.5" customHeight="1">
      <c r="B77" s="105">
        <v>9.0</v>
      </c>
      <c r="C77" s="126"/>
      <c r="D77" s="127"/>
      <c r="E77" s="127"/>
      <c r="F77" s="125"/>
    </row>
    <row r="78" ht="19.5" customHeight="1">
      <c r="B78" s="105">
        <v>10.0</v>
      </c>
      <c r="C78" s="126"/>
      <c r="D78" s="127"/>
      <c r="E78" s="127"/>
      <c r="F78" s="125"/>
    </row>
    <row r="79" ht="19.5" customHeight="1">
      <c r="B79" s="105">
        <v>11.0</v>
      </c>
      <c r="C79" s="126"/>
      <c r="D79" s="127"/>
      <c r="E79" s="127"/>
      <c r="F79" s="125"/>
    </row>
    <row r="80" ht="19.5" customHeight="1">
      <c r="B80" s="105">
        <v>12.0</v>
      </c>
      <c r="C80" s="126"/>
      <c r="D80" s="127"/>
      <c r="E80" s="127"/>
      <c r="F80" s="125"/>
    </row>
    <row r="81" ht="19.5" customHeight="1">
      <c r="B81" s="105">
        <v>13.0</v>
      </c>
      <c r="C81" s="126"/>
      <c r="D81" s="127"/>
      <c r="E81" s="127"/>
      <c r="F81" s="125"/>
    </row>
    <row r="82" ht="19.5" customHeight="1">
      <c r="B82" s="105">
        <v>14.0</v>
      </c>
      <c r="C82" s="126"/>
      <c r="D82" s="127"/>
      <c r="E82" s="127"/>
      <c r="F82" s="125"/>
    </row>
    <row r="83" ht="19.5" customHeight="1">
      <c r="B83" s="105">
        <v>15.0</v>
      </c>
      <c r="C83" s="126"/>
      <c r="D83" s="127"/>
      <c r="E83" s="127"/>
      <c r="F83" s="125"/>
    </row>
    <row r="84" ht="19.5" customHeight="1">
      <c r="B84" s="105">
        <v>16.0</v>
      </c>
      <c r="C84" s="126"/>
      <c r="D84" s="127"/>
      <c r="E84" s="127"/>
      <c r="F84" s="125"/>
    </row>
    <row r="85" ht="19.5" customHeight="1">
      <c r="B85" s="105">
        <v>17.0</v>
      </c>
      <c r="C85" s="126"/>
      <c r="D85" s="127"/>
      <c r="E85" s="127"/>
      <c r="F85" s="125"/>
    </row>
    <row r="86" ht="19.5" customHeight="1">
      <c r="B86" s="105">
        <v>18.0</v>
      </c>
      <c r="C86" s="126"/>
      <c r="D86" s="127"/>
      <c r="E86" s="127"/>
      <c r="F86" s="125"/>
    </row>
    <row r="87" ht="19.5" customHeight="1">
      <c r="B87" s="105">
        <v>19.0</v>
      </c>
      <c r="C87" s="126"/>
      <c r="D87" s="127"/>
      <c r="E87" s="127"/>
      <c r="F87" s="125"/>
    </row>
    <row r="88" ht="19.5" customHeight="1">
      <c r="B88" s="105">
        <v>20.0</v>
      </c>
      <c r="C88" s="126"/>
      <c r="D88" s="127"/>
      <c r="E88" s="127"/>
      <c r="F88" s="125"/>
    </row>
    <row r="89" ht="9.75" customHeight="1"/>
    <row r="90" ht="19.5" customHeight="1">
      <c r="B90" s="121" t="s">
        <v>457</v>
      </c>
      <c r="C90" s="12"/>
      <c r="D90" s="12"/>
      <c r="E90" s="12"/>
      <c r="F90" s="12"/>
      <c r="G90" s="12"/>
      <c r="H90" s="13"/>
    </row>
    <row r="91" ht="30.0" customHeight="1">
      <c r="B91" s="122" t="s">
        <v>214</v>
      </c>
      <c r="C91" s="104" t="s">
        <v>460</v>
      </c>
      <c r="D91" s="104" t="s">
        <v>461</v>
      </c>
      <c r="E91" s="131" t="s">
        <v>463</v>
      </c>
      <c r="F91" s="131" t="s">
        <v>465</v>
      </c>
    </row>
    <row r="92" ht="19.5" customHeight="1">
      <c r="B92" s="105">
        <v>1.0</v>
      </c>
      <c r="C92" s="126"/>
      <c r="D92" s="127"/>
      <c r="E92" s="132"/>
      <c r="F92" s="133"/>
    </row>
    <row r="93" ht="19.5" customHeight="1">
      <c r="B93" s="105">
        <v>2.0</v>
      </c>
      <c r="C93" s="126"/>
      <c r="D93" s="127"/>
      <c r="E93" s="132"/>
      <c r="F93" s="133"/>
    </row>
    <row r="94" ht="19.5" customHeight="1">
      <c r="B94" s="105">
        <v>3.0</v>
      </c>
      <c r="C94" s="126"/>
      <c r="D94" s="127"/>
      <c r="E94" s="132"/>
      <c r="F94" s="133"/>
    </row>
    <row r="95" ht="19.5" customHeight="1">
      <c r="B95" s="105">
        <v>4.0</v>
      </c>
      <c r="C95" s="126"/>
      <c r="D95" s="127"/>
      <c r="E95" s="132"/>
      <c r="F95" s="133"/>
    </row>
    <row r="96" ht="19.5" customHeight="1">
      <c r="B96" s="105">
        <v>5.0</v>
      </c>
      <c r="C96" s="126"/>
      <c r="D96" s="127"/>
      <c r="E96" s="132"/>
      <c r="F96" s="133"/>
    </row>
    <row r="97" ht="19.5" customHeight="1">
      <c r="B97" s="105">
        <v>6.0</v>
      </c>
      <c r="C97" s="126"/>
      <c r="D97" s="127"/>
      <c r="E97" s="132"/>
      <c r="F97" s="133"/>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C41:D41"/>
    <mergeCell ref="C65:H65"/>
    <mergeCell ref="B67:H67"/>
    <mergeCell ref="B90:H90"/>
    <mergeCell ref="C4:D4"/>
    <mergeCell ref="C37:H37"/>
    <mergeCell ref="B38:H38"/>
    <mergeCell ref="C39:D39"/>
    <mergeCell ref="E39:H41"/>
    <mergeCell ref="C40:D40"/>
    <mergeCell ref="B43:H43"/>
  </mergeCells>
  <conditionalFormatting sqref="C4">
    <cfRule type="containsText" dxfId="0" priority="1" operator="containsText" text="Missing">
      <formula>NOT(ISERROR(SEARCH(("Missing"),(C4))))</formula>
    </cfRule>
  </conditionalFormatting>
  <conditionalFormatting sqref="C4">
    <cfRule type="containsText" dxfId="1" priority="2" operator="containsText" text="Ready">
      <formula>NOT(ISERROR(SEARCH(("Ready"),(C4))))</formula>
    </cfRule>
  </conditionalFormatting>
  <conditionalFormatting sqref="B67:H97">
    <cfRule type="expression" dxfId="2" priority="3">
      <formula>AND(ISNUMBER(SEARCH("EDL",$C$7)),ISERROR(SEARCH("Retention",$C$8)))</formula>
    </cfRule>
  </conditionalFormatting>
  <conditionalFormatting sqref="H44:H64">
    <cfRule type="expression" dxfId="2" priority="4">
      <formula>AND(ISNUMBER(SEARCH("EDL",$C$7)),ISERROR(SEARCH("Retention",$C$8)))</formula>
    </cfRule>
  </conditionalFormatting>
  <dataValidations>
    <dataValidation type="list" allowBlank="1" sqref="F45:F64">
      <formula1>"Grab,Composite,Wastewater"</formula1>
    </dataValidation>
    <dataValidation type="list" allowBlank="1" sqref="G45:G64">
      <formula1>Lists!$AQ$5:$AQ$10</formula1>
    </dataValidation>
    <dataValidation type="list" allowBlank="1" sqref="C20:C34">
      <formula1>Lists!$G$5:$G$56</formula1>
    </dataValidation>
    <dataValidation type="date" allowBlank="1" showDropDown="1" showErrorMessage="1" sqref="C10:C11 C14:C15">
      <formula1>43831.0</formula1>
      <formula2>49674.0</formula2>
    </dataValidation>
    <dataValidation type="list" allowBlank="1" sqref="C45:C64">
      <formula1>Lists!$AM$5:$AM$37</formula1>
    </dataValidation>
    <dataValidation type="list" allowBlank="1" showErrorMessage="1" sqref="C6">
      <formula1>Companies!$B$5:$B$74</formula1>
    </dataValidation>
    <dataValidation type="list" allowBlank="1" sqref="C69:C88">
      <formula1>"1A,1B"</formula1>
    </dataValidation>
    <dataValidation type="list" allowBlank="1" sqref="D45:D64">
      <formula1>Lists!$AO$5:$AO$13</formula1>
    </dataValidation>
    <dataValidation type="list" allowBlank="1" sqref="C7">
      <formula1>Lists!$A$5:$A$10</formula1>
    </dataValidation>
    <dataValidation type="list" allowBlank="1" sqref="C8">
      <formula1>Lists!$C$5:$C$12</formula1>
    </dataValidation>
    <dataValidation type="list" allowBlank="1" showErrorMessage="1" sqref="G20:G34">
      <formula1>Lists!$E$5:$E$8</formula1>
    </dataValidation>
  </dataValidations>
  <printOptions horizontalCentered="1"/>
  <pageMargins bottom="0.5555555555555556" footer="0.0" header="0.0" left="0.5" right="0.5" top="0.5555555555555556"/>
  <pageSetup paperSize="9" orientation="portrait"/>
  <headerFooter>
    <oddFooter>&amp;LERRS – CMU Database 2026 | &amp;A&amp;CPage &amp;P of &amp;RPrinted &amp;D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4F"/>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71"/>
    <col customWidth="1" min="2" max="2" width="27.71"/>
    <col customWidth="1" min="3" max="3" width="42.57"/>
    <col customWidth="1" min="4" max="4" width="38.86"/>
    <col customWidth="1" min="5" max="5" width="17.57"/>
    <col customWidth="1" min="6" max="6" width="11.14"/>
    <col customWidth="1" min="7" max="7" width="27.71"/>
    <col customWidth="1" min="8" max="8" width="14.71"/>
    <col customWidth="1" min="9" max="9" width="3.71"/>
    <col customWidth="1" min="10" max="10" width="27.71"/>
    <col customWidth="1" min="11" max="26" width="8.71"/>
  </cols>
  <sheetData>
    <row r="1" ht="27.75" customHeight="1">
      <c r="A1" s="25" t="s">
        <v>295</v>
      </c>
      <c r="B1" s="25"/>
      <c r="C1" s="25"/>
      <c r="D1" s="25"/>
      <c r="E1" s="25"/>
      <c r="F1" s="25"/>
      <c r="G1" s="25"/>
      <c r="H1" s="25"/>
      <c r="I1" s="25"/>
      <c r="J1" s="25"/>
    </row>
    <row r="2" ht="19.5" customHeight="1">
      <c r="A2" s="30" t="s">
        <v>297</v>
      </c>
      <c r="B2" s="10"/>
      <c r="C2" s="10"/>
      <c r="D2" s="10"/>
      <c r="E2" s="10"/>
      <c r="F2" s="10"/>
      <c r="G2" s="10"/>
      <c r="H2" s="10"/>
      <c r="I2" s="10"/>
      <c r="J2" s="10"/>
    </row>
    <row r="3" ht="19.5" customHeight="1">
      <c r="A3" s="10"/>
      <c r="B3" s="10"/>
      <c r="C3" s="10"/>
      <c r="D3" s="10"/>
      <c r="E3" s="10"/>
      <c r="F3" s="10"/>
      <c r="G3" s="10"/>
      <c r="H3" s="10"/>
      <c r="I3" s="10"/>
      <c r="J3" s="10"/>
    </row>
    <row r="4" ht="24.0" customHeight="1">
      <c r="A4" s="59"/>
      <c r="B4" s="54" t="s">
        <v>160</v>
      </c>
      <c r="C4" s="55" t="str">
        <f t="array" ref="C4">IF(IF(C6="","Company; ","")&amp;IF(AND(C6&lt;&gt;"",COUNTIF(Companies!$B$5:$B$74,C6)=0),"Company not in register; ","")&amp;IF(C7="","Clearance Date; ","")&amp;IF(SUMPRODUCT(--((C13:C32&lt;&gt;"")+(D13:D32&lt;&gt;"")&gt;0))=0,"at least one chemical line; ","")&amp;IF(SUMPRODUCT(((C13:C32&lt;&gt;"")+(D13:D32&lt;&gt;"")&gt;0)*(((E13:E32="")+(F13:F32=""))&gt;0))&gt;0,"quantity or unit on "&amp;SUMPRODUCT(((C13:C32&lt;&gt;"")+(D13:D32&lt;&gt;"")&gt;0)*(((E13:E32="")+(F13:F32=""))&gt;0))&amp;" line(s); ","")&amp;IF(SUMPRODUCT((1-((C13:C32&lt;&gt;"")+(D13:D32&lt;&gt;"")&gt;0))*(((E13:E32&lt;&gt;"")+(F13:F32&lt;&gt;""))&gt;0))&gt;0,"chemical name on "&amp;SUMPRODUCT((1-((C13:C32&lt;&gt;"")+(D13:D32&lt;&gt;"")&gt;0))*(((E13:E32&lt;&gt;"")+(F13:F32&lt;&gt;""))&gt;0))&amp;" line(s); ","")&amp;IF(SUMPRODUCT((E13:E32&lt;&gt;"")*NOT(ISNUMBER(E13:E32)))&gt;0,"quantity not a number on "&amp;SUMPRODUCT((E13:E32&lt;&gt;"")*NOT(ISNUMBER(E13:E32)))&amp;" line(s); ","")="","✔ Ready to save – "&amp;SUMPRODUCT(--((C13:C32&lt;&gt;"")+(D13:D32&lt;&gt;"")&gt;0))&amp;" chemical line(s)","✖ Missing: "&amp;IF(C6="","Company; ","")&amp;IF(AND(C6&lt;&gt;"",COUNTIF(Companies!$B$5:$B$74,C6)=0),"Company not in register; ","")&amp;IF(C7="","Clearance Date; ","")&amp;IF(SUMPRODUCT(--((C13:C32&lt;&gt;"")+(D13:D32&lt;&gt;"")&gt;0))=0,"at least one chemical line; ","")&amp;IF(SUMPRODUCT(((C13:C32&lt;&gt;"")+(D13:D32&lt;&gt;"")&gt;0)*(((E13:E32="")+(F13:F32=""))&gt;0))&gt;0,"quantity or unit on "&amp;SUMPRODUCT(((C13:C32&lt;&gt;"")+(D13:D32&lt;&gt;"")&gt;0)*(((E13:E32="")+(F13:F32=""))&gt;0))&amp;" line(s); ","")&amp;IF(SUMPRODUCT((1-((C13:C32&lt;&gt;"")+(D13:D32&lt;&gt;"")&gt;0))*(((E13:E32&lt;&gt;"")+(F13:F32&lt;&gt;""))&gt;0))&gt;0,"chemical name on "&amp;SUMPRODUCT((1-((C13:C32&lt;&gt;"")+(D13:D32&lt;&gt;"")&gt;0))*(((E13:E32&lt;&gt;"")+(F13:F32&lt;&gt;""))&gt;0))&amp;" line(s); ","")&amp;IF(SUMPRODUCT((E13:E32&lt;&gt;"")*NOT(ISNUMBER(E13:E32)))&gt;0,"quantity not a number on "&amp;SUMPRODUCT((E13:E32&lt;&gt;"")*NOT(ISNUMBER(E13:E32)))&amp;" line(s); ",""))</f>
        <v>✖ Missing: Company; Clearance Date; at least one chemical line; </v>
      </c>
      <c r="D4" s="128"/>
      <c r="E4" s="128"/>
      <c r="F4" s="128"/>
      <c r="G4" s="128"/>
      <c r="H4" s="56"/>
      <c r="I4" s="10"/>
      <c r="J4" s="58"/>
    </row>
    <row r="5" ht="30.0" customHeight="1">
      <c r="A5" s="59"/>
      <c r="B5" s="61" t="s">
        <v>422</v>
      </c>
      <c r="C5" s="129"/>
      <c r="D5" s="76" t="str">
        <f t="array" ref="D5">IF(C5="","AUTO – leave blank for a new clearance (next: CLN-"&amp;TEXT(MAX(IFERROR(--MID('Chemical Clearances'!$B$5:$B$169,5,4),0))+1,"000")&amp;"). To edit, type a Clearance No. / EPA Ref. / CLR- ID and click Find.",IF(COUNTA(H13:H32)&gt;0,"Loaded "&amp;COUNTA(H13:H32)&amp;" saved line(s) – edit, then click Update","Click Find by ID to load this clearance"))</f>
        <v>AUTO – leave blank for a new clearance (next: CLN-148). To edit, type a Clearance No. / EPA Ref. / CLR- ID and click Find.</v>
      </c>
      <c r="I5" s="10"/>
      <c r="J5" s="10"/>
    </row>
    <row r="6" ht="24.0" customHeight="1">
      <c r="A6" s="59"/>
      <c r="B6" s="61" t="s">
        <v>304</v>
      </c>
      <c r="C6" s="129"/>
      <c r="D6" s="76" t="str">
        <f t="array" ref="D6">IF(C6="","Choose the company",IFERROR("ID: "&amp;INDEX(Companies!$A$5:$A$74,MATCH(C6,Companies!$B$5:$B$74,0)),"⚠ Not in Company register – add it on the Company Form first"))</f>
        <v>Choose the company</v>
      </c>
      <c r="I6" s="10"/>
      <c r="J6" s="10"/>
    </row>
    <row r="7" ht="24.0" customHeight="1">
      <c r="A7" s="59"/>
      <c r="B7" s="61" t="s">
        <v>456</v>
      </c>
      <c r="C7" s="130"/>
      <c r="D7" s="76" t="s">
        <v>335</v>
      </c>
      <c r="I7" s="10"/>
      <c r="J7" s="10"/>
    </row>
    <row r="8" ht="24.0" customHeight="1">
      <c r="A8" s="59"/>
      <c r="B8" s="61" t="s">
        <v>459</v>
      </c>
      <c r="C8" s="129"/>
      <c r="D8" s="76" t="str">
        <f>IF(OR(C8="",COUNTA(H13:H32)&gt;0),"EPA letter number, e.g. ED/EPA-01/388/26/RL (optional)",IF(COUNTIF('Chemical Clearances'!$L$5:$L$169,C8)&gt;0,"⚠ This EPA Ref. No. is already in the register – check for duplicate","✔ New ref. no."))</f>
        <v>EPA letter number, e.g. ED/EPA-01/388/26/RL (optional)</v>
      </c>
      <c r="I8" s="10"/>
      <c r="J8" s="10"/>
    </row>
    <row r="9" ht="24.0" customHeight="1">
      <c r="A9" s="59"/>
      <c r="B9" s="61" t="s">
        <v>476</v>
      </c>
      <c r="C9" s="129"/>
      <c r="D9" s="76" t="str">
        <f>IF(OR(C9="",COUNTA(H13:H32)&gt;0),"Default B/L for all lines – type a different one on a line in column G if needed",IF(COUNTIF('Chemical Clearances'!$K$5:$K$169,C9)&gt;0,"⚠ This B/L is already in the register – check for duplicate","✔ New B/L"))</f>
        <v>Default B/L for all lines – type a different one on a line in column G if needed</v>
      </c>
      <c r="I9" s="10"/>
      <c r="J9" s="10"/>
    </row>
    <row r="10" ht="24.0" customHeight="1">
      <c r="A10" s="59"/>
      <c r="B10" s="61" t="s">
        <v>349</v>
      </c>
      <c r="C10" s="129"/>
      <c r="D10" s="76" t="s">
        <v>491</v>
      </c>
      <c r="I10" s="10"/>
      <c r="J10" s="10"/>
    </row>
    <row r="11" ht="24.0" customHeight="1">
      <c r="A11" s="59"/>
      <c r="B11" s="61" t="s">
        <v>492</v>
      </c>
      <c r="C11" s="129"/>
      <c r="D11" s="76" t="s">
        <v>494</v>
      </c>
      <c r="I11" s="10"/>
      <c r="J11" s="10"/>
    </row>
    <row r="12" ht="31.5" customHeight="1">
      <c r="A12" s="59"/>
      <c r="B12" s="134" t="s">
        <v>497</v>
      </c>
      <c r="C12" s="135" t="s">
        <v>499</v>
      </c>
      <c r="D12" s="136" t="s">
        <v>500</v>
      </c>
      <c r="E12" s="136" t="s">
        <v>501</v>
      </c>
      <c r="F12" s="136" t="s">
        <v>502</v>
      </c>
      <c r="G12" s="136" t="s">
        <v>503</v>
      </c>
      <c r="H12" s="134" t="s">
        <v>294</v>
      </c>
      <c r="I12" s="10"/>
      <c r="J12" s="10"/>
    </row>
    <row r="13" ht="19.5" customHeight="1">
      <c r="A13" s="59"/>
      <c r="B13" s="138">
        <v>1.0</v>
      </c>
      <c r="C13" s="139"/>
      <c r="D13" s="140"/>
      <c r="E13" s="141"/>
      <c r="F13" s="142"/>
      <c r="G13" s="143"/>
      <c r="H13" s="144"/>
      <c r="I13" s="10"/>
      <c r="J13" s="10"/>
    </row>
    <row r="14" ht="19.5" customHeight="1">
      <c r="A14" s="59"/>
      <c r="B14" s="138">
        <v>2.0</v>
      </c>
      <c r="C14" s="139"/>
      <c r="D14" s="140"/>
      <c r="E14" s="141"/>
      <c r="F14" s="142"/>
      <c r="G14" s="143"/>
      <c r="H14" s="144"/>
      <c r="I14" s="10"/>
      <c r="J14" s="10"/>
    </row>
    <row r="15" ht="19.5" customHeight="1">
      <c r="A15" s="59"/>
      <c r="B15" s="138">
        <v>3.0</v>
      </c>
      <c r="C15" s="139"/>
      <c r="D15" s="140"/>
      <c r="E15" s="141"/>
      <c r="F15" s="142"/>
      <c r="G15" s="143"/>
      <c r="H15" s="144"/>
      <c r="I15" s="10"/>
      <c r="J15" s="10"/>
    </row>
    <row r="16" ht="19.5" customHeight="1">
      <c r="A16" s="59"/>
      <c r="B16" s="138">
        <v>4.0</v>
      </c>
      <c r="C16" s="139"/>
      <c r="D16" s="140"/>
      <c r="E16" s="141"/>
      <c r="F16" s="142"/>
      <c r="G16" s="143"/>
      <c r="H16" s="144"/>
      <c r="I16" s="10"/>
      <c r="J16" s="10"/>
    </row>
    <row r="17" ht="19.5" customHeight="1">
      <c r="A17" s="59"/>
      <c r="B17" s="138">
        <v>5.0</v>
      </c>
      <c r="C17" s="139"/>
      <c r="D17" s="140"/>
      <c r="E17" s="141"/>
      <c r="F17" s="142"/>
      <c r="G17" s="143"/>
      <c r="H17" s="144"/>
      <c r="I17" s="10"/>
      <c r="J17" s="10"/>
    </row>
    <row r="18" ht="19.5" customHeight="1">
      <c r="A18" s="59"/>
      <c r="B18" s="138">
        <v>6.0</v>
      </c>
      <c r="C18" s="139"/>
      <c r="D18" s="140"/>
      <c r="E18" s="141"/>
      <c r="F18" s="142"/>
      <c r="G18" s="143"/>
      <c r="H18" s="144"/>
      <c r="I18" s="10"/>
      <c r="J18" s="10"/>
    </row>
    <row r="19" ht="19.5" customHeight="1">
      <c r="A19" s="59"/>
      <c r="B19" s="138">
        <v>7.0</v>
      </c>
      <c r="C19" s="145"/>
      <c r="D19" s="146"/>
      <c r="E19" s="147"/>
      <c r="F19" s="148"/>
      <c r="G19" s="149"/>
      <c r="H19" s="150"/>
      <c r="I19" s="10"/>
      <c r="J19" s="10"/>
    </row>
    <row r="20" ht="19.5" customHeight="1">
      <c r="A20" s="59"/>
      <c r="B20" s="138">
        <v>8.0</v>
      </c>
      <c r="C20" s="145"/>
      <c r="D20" s="146"/>
      <c r="E20" s="147"/>
      <c r="F20" s="148"/>
      <c r="G20" s="149"/>
      <c r="H20" s="150"/>
      <c r="I20" s="10"/>
      <c r="J20" s="10"/>
    </row>
    <row r="21" ht="19.5" customHeight="1">
      <c r="A21" s="59"/>
      <c r="B21" s="138">
        <v>9.0</v>
      </c>
      <c r="C21" s="145"/>
      <c r="D21" s="146"/>
      <c r="E21" s="147"/>
      <c r="F21" s="148"/>
      <c r="G21" s="149"/>
      <c r="H21" s="150"/>
      <c r="I21" s="10"/>
      <c r="J21" s="10"/>
    </row>
    <row r="22" ht="19.5" customHeight="1">
      <c r="A22" s="59"/>
      <c r="B22" s="138">
        <v>10.0</v>
      </c>
      <c r="C22" s="145"/>
      <c r="D22" s="146"/>
      <c r="E22" s="147"/>
      <c r="F22" s="148"/>
      <c r="G22" s="149"/>
      <c r="H22" s="150"/>
      <c r="I22" s="10"/>
      <c r="J22" s="10"/>
    </row>
    <row r="23" ht="19.5" customHeight="1">
      <c r="A23" s="59"/>
      <c r="B23" s="138">
        <v>11.0</v>
      </c>
      <c r="C23" s="145"/>
      <c r="D23" s="146"/>
      <c r="E23" s="147"/>
      <c r="F23" s="148"/>
      <c r="G23" s="149"/>
      <c r="H23" s="150"/>
      <c r="I23" s="10"/>
      <c r="J23" s="10"/>
    </row>
    <row r="24" ht="19.5" customHeight="1">
      <c r="A24" s="59"/>
      <c r="B24" s="138">
        <v>12.0</v>
      </c>
      <c r="C24" s="145"/>
      <c r="D24" s="146"/>
      <c r="E24" s="147"/>
      <c r="F24" s="148"/>
      <c r="G24" s="149"/>
      <c r="H24" s="150"/>
      <c r="I24" s="10"/>
      <c r="J24" s="10"/>
    </row>
    <row r="25" ht="19.5" customHeight="1">
      <c r="A25" s="59"/>
      <c r="B25" s="138">
        <v>13.0</v>
      </c>
      <c r="C25" s="145"/>
      <c r="D25" s="146"/>
      <c r="E25" s="147"/>
      <c r="F25" s="148"/>
      <c r="G25" s="149"/>
      <c r="H25" s="150"/>
      <c r="I25" s="10"/>
      <c r="J25" s="10"/>
    </row>
    <row r="26" ht="19.5" customHeight="1">
      <c r="A26" s="59"/>
      <c r="B26" s="138">
        <v>14.0</v>
      </c>
      <c r="C26" s="145"/>
      <c r="D26" s="146"/>
      <c r="E26" s="147"/>
      <c r="F26" s="148"/>
      <c r="G26" s="149"/>
      <c r="H26" s="150"/>
      <c r="I26" s="10"/>
      <c r="J26" s="10"/>
    </row>
    <row r="27" ht="19.5" customHeight="1">
      <c r="A27" s="59"/>
      <c r="B27" s="138">
        <v>15.0</v>
      </c>
      <c r="C27" s="145"/>
      <c r="D27" s="146"/>
      <c r="E27" s="147"/>
      <c r="F27" s="148"/>
      <c r="G27" s="149"/>
      <c r="H27" s="150"/>
      <c r="I27" s="10"/>
      <c r="J27" s="10"/>
    </row>
    <row r="28" ht="19.5" customHeight="1">
      <c r="A28" s="59"/>
      <c r="B28" s="138">
        <v>16.0</v>
      </c>
      <c r="C28" s="145"/>
      <c r="D28" s="146"/>
      <c r="E28" s="147"/>
      <c r="F28" s="148"/>
      <c r="G28" s="149"/>
      <c r="H28" s="150"/>
      <c r="I28" s="10"/>
      <c r="J28" s="10"/>
    </row>
    <row r="29" ht="19.5" customHeight="1">
      <c r="A29" s="59"/>
      <c r="B29" s="138">
        <v>17.0</v>
      </c>
      <c r="C29" s="145"/>
      <c r="D29" s="146"/>
      <c r="E29" s="147"/>
      <c r="F29" s="148"/>
      <c r="G29" s="149"/>
      <c r="H29" s="150"/>
      <c r="I29" s="10"/>
      <c r="J29" s="10"/>
    </row>
    <row r="30" ht="19.5" customHeight="1">
      <c r="A30" s="59"/>
      <c r="B30" s="138">
        <v>18.0</v>
      </c>
      <c r="C30" s="145"/>
      <c r="D30" s="146"/>
      <c r="E30" s="147"/>
      <c r="F30" s="148"/>
      <c r="G30" s="149"/>
      <c r="H30" s="150"/>
      <c r="I30" s="10"/>
      <c r="J30" s="10"/>
    </row>
    <row r="31" ht="19.5" customHeight="1">
      <c r="A31" s="59"/>
      <c r="B31" s="138">
        <v>19.0</v>
      </c>
      <c r="C31" s="145"/>
      <c r="D31" s="146"/>
      <c r="E31" s="147"/>
      <c r="F31" s="148"/>
      <c r="G31" s="149"/>
      <c r="H31" s="150"/>
      <c r="I31" s="10"/>
      <c r="J31" s="10"/>
    </row>
    <row r="32" ht="19.5" customHeight="1">
      <c r="A32" s="59"/>
      <c r="B32" s="138">
        <v>20.0</v>
      </c>
      <c r="C32" s="145"/>
      <c r="D32" s="146"/>
      <c r="E32" s="147"/>
      <c r="F32" s="148"/>
      <c r="G32" s="149"/>
      <c r="H32" s="150"/>
      <c r="I32" s="10"/>
      <c r="J32" s="10"/>
    </row>
    <row r="33" ht="21.75" customHeight="1">
      <c r="A33" s="59"/>
      <c r="B33" s="54"/>
      <c r="C33" s="151"/>
      <c r="D33" s="151"/>
      <c r="E33" s="151"/>
      <c r="F33" s="152" t="s">
        <v>519</v>
      </c>
      <c r="G33" s="157">
        <f t="array" ref="G33">SUMPRODUCT(--ISNUMBER(E13:E32),N(+E13:E32),(F13:F32="kg")+(F13:F32="MT")*1000)</f>
        <v>0</v>
      </c>
      <c r="H33" s="158" t="str">
        <f>TEXT(G33/1000,"#,##0.000")&amp;" MT"</f>
        <v>0.000 MT</v>
      </c>
      <c r="I33" s="10"/>
      <c r="J33" s="10"/>
    </row>
    <row r="34" ht="19.5" customHeight="1">
      <c r="A34" s="10"/>
      <c r="B34" s="10"/>
      <c r="C34" s="10"/>
      <c r="D34" s="10"/>
      <c r="E34" s="10"/>
      <c r="F34" s="10"/>
      <c r="G34" s="10"/>
      <c r="H34" s="10"/>
      <c r="I34" s="10"/>
      <c r="J34" s="10"/>
    </row>
    <row r="35" ht="19.5" customHeight="1">
      <c r="A35" s="10"/>
      <c r="B35" s="160" t="s">
        <v>521</v>
      </c>
      <c r="C35" s="10"/>
      <c r="D35" s="10"/>
      <c r="E35" s="10"/>
      <c r="F35" s="10"/>
      <c r="G35" s="10"/>
      <c r="H35" s="10"/>
      <c r="I35" s="10"/>
      <c r="J35" s="10"/>
    </row>
    <row r="36" ht="19.5" customHeight="1">
      <c r="A36" s="10"/>
      <c r="B36" s="10"/>
      <c r="C36" s="10"/>
      <c r="D36" s="10"/>
      <c r="E36" s="10"/>
      <c r="F36" s="10"/>
      <c r="G36" s="10"/>
      <c r="H36" s="10"/>
      <c r="I36" s="10"/>
      <c r="J36" s="10"/>
    </row>
    <row r="37" ht="19.5" customHeight="1">
      <c r="A37" s="10"/>
      <c r="B37" s="10"/>
      <c r="C37" s="10"/>
      <c r="D37" s="10"/>
      <c r="E37" s="10"/>
      <c r="F37" s="10"/>
      <c r="G37" s="10"/>
      <c r="H37" s="10"/>
      <c r="I37" s="10"/>
      <c r="J37" s="10"/>
    </row>
    <row r="38" ht="19.5" customHeight="1">
      <c r="A38" s="10"/>
      <c r="B38" s="10"/>
      <c r="C38" s="10"/>
      <c r="D38" s="10"/>
      <c r="E38" s="10"/>
      <c r="F38" s="10"/>
      <c r="G38" s="10"/>
      <c r="H38" s="10"/>
      <c r="I38" s="10"/>
      <c r="J38" s="10"/>
    </row>
    <row r="39" ht="19.5" customHeight="1">
      <c r="A39" s="10"/>
      <c r="B39" s="10"/>
      <c r="C39" s="10"/>
      <c r="D39" s="10"/>
      <c r="E39" s="10"/>
      <c r="F39" s="10"/>
      <c r="G39" s="10"/>
      <c r="H39" s="10"/>
      <c r="I39" s="10"/>
      <c r="J39" s="10"/>
    </row>
    <row r="40" ht="19.5" customHeight="1">
      <c r="A40" s="10"/>
      <c r="B40" s="10"/>
      <c r="C40" s="10"/>
      <c r="D40" s="10"/>
      <c r="E40" s="10"/>
      <c r="F40" s="10"/>
      <c r="G40" s="10"/>
      <c r="H40" s="10"/>
      <c r="I40" s="10"/>
      <c r="J40" s="10"/>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4:H4"/>
    <mergeCell ref="D5:H5"/>
    <mergeCell ref="D6:H6"/>
    <mergeCell ref="D7:H7"/>
    <mergeCell ref="D8:H8"/>
    <mergeCell ref="D9:H9"/>
    <mergeCell ref="D10:H10"/>
    <mergeCell ref="D11:H11"/>
  </mergeCells>
  <conditionalFormatting sqref="C4">
    <cfRule type="containsText" dxfId="0" priority="1" operator="containsText" text="Missing">
      <formula>NOT(ISERROR(SEARCH(("Missing"),(C4))))</formula>
    </cfRule>
  </conditionalFormatting>
  <conditionalFormatting sqref="C4">
    <cfRule type="containsText" dxfId="1" priority="2" operator="containsText" text="Ready">
      <formula>NOT(ISERROR(SEARCH(("Ready"),(C4))))</formula>
    </cfRule>
  </conditionalFormatting>
  <dataValidations>
    <dataValidation type="list" allowBlank="1" sqref="D13:D32">
      <formula1>Lists!$G$5:$G$56</formula1>
    </dataValidation>
    <dataValidation type="date" allowBlank="1" showDropDown="1" showErrorMessage="1" sqref="C7">
      <formula1>43831.0</formula1>
      <formula2>49674.0</formula2>
    </dataValidation>
    <dataValidation type="decimal" operator="greaterThanOrEqual" allowBlank="1" showDropDown="1" showErrorMessage="1" sqref="E13:E32">
      <formula1>0.0</formula1>
    </dataValidation>
    <dataValidation type="list" allowBlank="1" showErrorMessage="1" sqref="C6">
      <formula1>Companies!$B$5:$B$74</formula1>
    </dataValidation>
    <dataValidation type="list" allowBlank="1" showErrorMessage="1" sqref="F13:F32">
      <formula1>Lists!$E$5:$E$8</formula1>
    </dataValidation>
  </dataValidations>
  <printOptions horizontalCentered="1"/>
  <pageMargins bottom="0.5555555555555556" footer="0.0" header="0.0" left="0.5" right="0.5" top="0.5555555555555556"/>
  <pageSetup paperSize="9" orientation="portrait"/>
  <headerFooter>
    <oddFooter>&amp;LERRS – CMU Database 2026 | &amp;A&amp;CPage &amp;P of &amp;RPrinted &amp;D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4F"/>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71"/>
    <col customWidth="1" min="2" max="2" width="27.71"/>
    <col customWidth="1" min="3" max="3" width="46.29"/>
    <col customWidth="1" min="4" max="4" width="40.71"/>
    <col customWidth="1" min="5" max="5" width="21.29"/>
    <col customWidth="1" min="6" max="6" width="20.29"/>
    <col customWidth="1" min="7" max="7" width="17.57"/>
    <col customWidth="1" min="8" max="8" width="3.71"/>
    <col customWidth="1" min="9" max="9" width="27.71"/>
    <col customWidth="1" min="10" max="26" width="8.71"/>
  </cols>
  <sheetData>
    <row r="1" ht="27.75" customHeight="1">
      <c r="A1" s="25" t="s">
        <v>533</v>
      </c>
      <c r="B1" s="25"/>
      <c r="C1" s="25"/>
      <c r="D1" s="25"/>
      <c r="E1" s="25"/>
      <c r="F1" s="25"/>
      <c r="G1" s="25"/>
      <c r="H1" s="25"/>
      <c r="I1" s="25"/>
    </row>
    <row r="2" ht="19.5" customHeight="1">
      <c r="A2" s="167" t="s">
        <v>534</v>
      </c>
      <c r="B2" s="59"/>
      <c r="C2" s="59"/>
      <c r="D2" s="59"/>
      <c r="E2" s="59"/>
      <c r="F2" s="59"/>
      <c r="G2" s="59"/>
      <c r="H2" s="59"/>
      <c r="I2" s="59"/>
    </row>
    <row r="3" ht="19.5" customHeight="1">
      <c r="A3" s="59"/>
      <c r="B3" s="59"/>
      <c r="C3" s="59"/>
      <c r="D3" s="59"/>
      <c r="E3" s="59"/>
      <c r="F3" s="59"/>
      <c r="G3" s="59"/>
      <c r="H3" s="59"/>
      <c r="I3" s="59"/>
    </row>
    <row r="4" ht="24.0" customHeight="1">
      <c r="A4" s="59"/>
      <c r="B4" s="54" t="s">
        <v>160</v>
      </c>
      <c r="C4" s="55" t="str">
        <f t="array" ref="C4">IF(IF(C6="","Company; ","")&amp;IF(AND(C6&lt;&gt;"",COUNTIF(Companies!$B$5:$B$74,C6)=0),"Company not in register; ","")&amp;IF(C7="","Bill Date; ","")&amp;IF(C8="","Bill Type; ","")&amp;IF(AND(C8&lt;&gt;"",SUMPRODUCT((C17:C26&lt;&gt;"")*(COUNTIFS('Fee Schedule'!$A$6:$A$16,C17:C26,'Fee Schedule'!$B$6:$B$16,IFERROR(INDEX('Fee Schedule'!$B$20:$B$26,MATCH(C8,'Fee Schedule'!$A$20:$A$26,0)),"#"))=0))&gt;0),"services not allowed for this Bill Type; ","")&amp;IF(COUNTA(C17:C26)=0,"at least one service line; ","")&amp;IF(SUMPRODUCT((C17:C26&lt;&gt;"")*(E17:E26=""))&gt;0,"amount on "&amp;SUMPRODUCT((C17:C26&lt;&gt;"")*(E17:E26=""))&amp;" line(s); ","")&amp;IF(SUMPRODUCT((C17:C26="")*(E17:E26&lt;&gt;""))&gt;0,"service on "&amp;SUMPRODUCT((C17:C26="")*(E17:E26&lt;&gt;""))&amp;" line(s); ","")&amp;IF(SUMPRODUCT((E17:E26&lt;&gt;"")*NOT(ISNUMBER(E17:E26)))&gt;0,"amount not a number; ","")="","✔ Ready to save – "&amp;C8&amp;" bill, "&amp;COUNTA(C17:C26)&amp;" line(s), total $"&amp;TEXT(SUM(E17:E26),"#,##0.00"),"✖ Missing: "&amp;IF(C6="","Company; ","")&amp;IF(AND(C6&lt;&gt;"",COUNTIF(Companies!$B$5:$B$74,C6)=0),"Company not in register; ","")&amp;IF(C7="","Bill Date; ","")&amp;IF(C8="","Bill Type; ","")&amp;IF(AND(C8&lt;&gt;"",SUMPRODUCT((C17:C26&lt;&gt;"")*(COUNTIFS('Fee Schedule'!$A$6:$A$16,C17:C26,'Fee Schedule'!$B$6:$B$16,IFERROR(INDEX('Fee Schedule'!$B$20:$B$26,MATCH(C8,'Fee Schedule'!$A$20:$A$26,0)),"#"))=0))&gt;0),"services not allowed for this Bill Type; ","")&amp;IF(COUNTA(C17:C26)=0,"at least one service line; ","")&amp;IF(SUMPRODUCT((C17:C26&lt;&gt;"")*(E17:E26=""))&gt;0,"amount on "&amp;SUMPRODUCT((C17:C26&lt;&gt;"")*(E17:E26=""))&amp;" line(s); ","")&amp;IF(SUMPRODUCT((C17:C26="")*(E17:E26&lt;&gt;""))&gt;0,"service on "&amp;SUMPRODUCT((C17:C26="")*(E17:E26&lt;&gt;""))&amp;" line(s); ","")&amp;IF(SUMPRODUCT((E17:E26&lt;&gt;"")*NOT(ISNUMBER(E17:E26)))&gt;0,"amount not a number; ",""))</f>
        <v>✖ Missing: Company; Bill Date; Bill Type; at least one service line; </v>
      </c>
      <c r="D4" s="128"/>
      <c r="E4" s="128"/>
      <c r="F4" s="128"/>
      <c r="G4" s="56"/>
      <c r="H4" s="59"/>
      <c r="I4" s="197"/>
    </row>
    <row r="5" ht="24.0" customHeight="1">
      <c r="A5" s="59"/>
      <c r="B5" s="61" t="s">
        <v>216</v>
      </c>
      <c r="C5" s="198"/>
      <c r="D5" s="76" t="str">
        <f t="array" ref="D5">IF(C5="","AUTO – leave blank for a new bill (next: BN-"&amp;TEXT(MAX(IFERROR(--MID('Bills &amp; Invoices'!$B$5:$B$32,4,4),0))+1,"000")&amp;"). To edit, type a Bill No. / Bill Ref. No. / BIL- ID and click Find.",IF(COUNTA(G17:G26)&gt;0,"Loaded "&amp;COUNTA(G17:G26)&amp;" saved line(s) – edit, then click Update","Click Find by ID to load this bill"))</f>
        <v>AUTO – leave blank for a new bill (next: BN-2027). To edit, type a Bill No. / Bill Ref. No. / BIL- ID and click Find.</v>
      </c>
      <c r="H5" s="59"/>
      <c r="I5" s="59"/>
    </row>
    <row r="6" ht="24.0" customHeight="1">
      <c r="A6" s="59"/>
      <c r="B6" s="61" t="s">
        <v>304</v>
      </c>
      <c r="C6" s="129"/>
      <c r="D6" s="76" t="str">
        <f t="array" ref="D6">IF(C6="","Choose the company",IFERROR("ID: "&amp;INDEX(Companies!$A$5:$A$74,MATCH(C6,Companies!$B$5:$B$74,0)),"⚠ Not in Company register – add it on the Company Form first"))</f>
        <v>Choose the company</v>
      </c>
      <c r="H6" s="59"/>
      <c r="I6" s="59"/>
    </row>
    <row r="7" ht="24.0" customHeight="1">
      <c r="A7" s="59"/>
      <c r="B7" s="61" t="s">
        <v>592</v>
      </c>
      <c r="C7" s="202"/>
      <c r="D7" s="76" t="s">
        <v>335</v>
      </c>
      <c r="H7" s="59"/>
      <c r="I7" s="59"/>
    </row>
    <row r="8" ht="24.0" customHeight="1">
      <c r="A8" s="59"/>
      <c r="B8" s="61" t="s">
        <v>594</v>
      </c>
      <c r="C8" s="129"/>
      <c r="D8" s="76" t="str">
        <f t="array" ref="D8">IF(C8="","Choose the Bill Type first – it decides the allowed services and the exact letter wording",IF(SUMPRODUCT((C17:C26&lt;&gt;"")*(COUNTIFS('Fee Schedule'!$A$6:$A$16,C17:C26,'Fee Schedule'!$B$6:$B$16,IFERROR(INDEX('Fee Schedule'!$B$20:$B$26,MATCH(C8,'Fee Schedule'!$A$20:$A$26,0)),"#"))=0))&gt;0,"⚠ "&amp;SUMPRODUCT((C17:C26&lt;&gt;"")*(COUNTIFS('Fee Schedule'!$A$6:$A$16,C17:C26,'Fee Schedule'!$B$6:$B$16,IFERROR(INDEX('Fee Schedule'!$B$20:$B$26,MATCH(C8,'Fee Schedule'!$A$20:$A$26,0)),"#"))=0))&amp;" line(s) are not allowed on a "&amp;C8&amp;" bill – change them or make a separate bill","✔ Letter: "&amp;C8&amp;" wording (see Fee Schedule)"))</f>
        <v>Choose the Bill Type first – it decides the allowed services and the exact letter wording</v>
      </c>
      <c r="H8" s="59"/>
      <c r="I8" s="59"/>
    </row>
    <row r="9" ht="24.0" customHeight="1">
      <c r="A9" s="59"/>
      <c r="B9" s="61" t="s">
        <v>602</v>
      </c>
      <c r="C9" s="198"/>
      <c r="D9" s="76" t="str">
        <f>IF(OR(C9="",COUNTA(G17:G26)&gt;0),"EPA letter reference, e.g. ED/EPA-01/03336/26/RL",IF(COUNTIF('Bills &amp; Invoices'!$P$5:$P$32,C9)&gt;0,"⚠ This Bill Ref. No. is already used – check for duplicate","✔ New reference"))</f>
        <v>EPA letter reference, e.g. ED/EPA-01/03336/26/RL</v>
      </c>
      <c r="H9" s="59"/>
      <c r="I9" s="59"/>
    </row>
    <row r="10" ht="24.0" customHeight="1">
      <c r="A10" s="59"/>
      <c r="B10" s="61" t="s">
        <v>604</v>
      </c>
      <c r="C10" s="198"/>
      <c r="D10" s="76" t="s">
        <v>605</v>
      </c>
      <c r="H10" s="59"/>
      <c r="I10" s="59"/>
    </row>
    <row r="11" ht="24.0" customHeight="1">
      <c r="A11" s="59"/>
      <c r="B11" s="61" t="s">
        <v>606</v>
      </c>
      <c r="C11" s="198"/>
      <c r="D11" s="76" t="s">
        <v>607</v>
      </c>
      <c r="H11" s="59"/>
      <c r="I11" s="59"/>
    </row>
    <row r="12" ht="24.0" customHeight="1">
      <c r="A12" s="59"/>
      <c r="B12" s="61" t="s">
        <v>208</v>
      </c>
      <c r="C12" s="198"/>
      <c r="D12" s="76" t="str">
        <f t="array" ref="D12">IF(C12&lt;&gt;"","",IFERROR("Leave blank to use: "&amp;INDEX(Companies!$D$5:$D$74,MATCH(C6,Companies!$B$5:$B$74,0)),""))</f>
        <v/>
      </c>
      <c r="H12" s="59"/>
      <c r="I12" s="59"/>
    </row>
    <row r="13" ht="24.0" customHeight="1">
      <c r="A13" s="59"/>
      <c r="B13" s="61" t="s">
        <v>609</v>
      </c>
      <c r="C13" s="129"/>
      <c r="D13" s="204"/>
      <c r="H13" s="59"/>
      <c r="I13" s="59"/>
    </row>
    <row r="14" ht="24.0" customHeight="1">
      <c r="A14" s="59"/>
      <c r="B14" s="61" t="s">
        <v>610</v>
      </c>
      <c r="C14" s="198"/>
      <c r="D14" s="76" t="s">
        <v>612</v>
      </c>
      <c r="H14" s="59"/>
      <c r="I14" s="59"/>
    </row>
    <row r="15" ht="19.5" customHeight="1">
      <c r="A15" s="59"/>
      <c r="B15" s="205" t="s">
        <v>613</v>
      </c>
      <c r="C15" s="59"/>
      <c r="D15" s="59"/>
      <c r="E15" s="59"/>
      <c r="F15" s="59"/>
      <c r="G15" s="59"/>
      <c r="H15" s="59"/>
      <c r="I15" s="59"/>
    </row>
    <row r="16" ht="24.0" customHeight="1">
      <c r="A16" s="59"/>
      <c r="B16" s="206" t="s">
        <v>497</v>
      </c>
      <c r="C16" s="207" t="s">
        <v>614</v>
      </c>
      <c r="D16" s="207" t="s">
        <v>615</v>
      </c>
      <c r="E16" s="207" t="s">
        <v>549</v>
      </c>
      <c r="F16" s="206" t="s">
        <v>617</v>
      </c>
      <c r="G16" s="206" t="s">
        <v>618</v>
      </c>
      <c r="H16" s="59"/>
      <c r="I16" s="59"/>
    </row>
    <row r="17" ht="19.5" customHeight="1">
      <c r="A17" s="59"/>
      <c r="B17" s="138">
        <v>1.0</v>
      </c>
      <c r="C17" s="139"/>
      <c r="D17" s="146"/>
      <c r="E17" s="209"/>
      <c r="F17" s="210" t="str">
        <f t="array" ref="F17">IF(C17="","",IFERROR(IF(INDEX('Fee Schedule'!$C$6:$C$16,MATCH(C17,'Fee Schedule'!$A$6:$A$16,0))="","case by case",INDEX('Fee Schedule'!$C$6:$C$16,MATCH(C17,'Fee Schedule'!$A$6:$A$16,0))),""))</f>
        <v/>
      </c>
      <c r="G17" s="211"/>
      <c r="H17" s="59"/>
      <c r="I17" s="59"/>
    </row>
    <row r="18" ht="19.5" customHeight="1">
      <c r="A18" s="59"/>
      <c r="B18" s="138">
        <v>2.0</v>
      </c>
      <c r="C18" s="145"/>
      <c r="D18" s="146"/>
      <c r="E18" s="209"/>
      <c r="F18" s="210" t="str">
        <f t="array" ref="F18">IF(C18="","",IFERROR(IF(INDEX('Fee Schedule'!$C$6:$C$16,MATCH(C18,'Fee Schedule'!$A$6:$A$16,0))="","case by case",INDEX('Fee Schedule'!$C$6:$C$16,MATCH(C18,'Fee Schedule'!$A$6:$A$16,0))),""))</f>
        <v/>
      </c>
      <c r="G18" s="211"/>
      <c r="H18" s="59"/>
      <c r="I18" s="59"/>
    </row>
    <row r="19" ht="19.5" customHeight="1">
      <c r="A19" s="59"/>
      <c r="B19" s="138">
        <v>3.0</v>
      </c>
      <c r="C19" s="145"/>
      <c r="D19" s="146"/>
      <c r="E19" s="209"/>
      <c r="F19" s="210" t="str">
        <f t="array" ref="F19">IF(C19="","",IFERROR(IF(INDEX('Fee Schedule'!$C$6:$C$16,MATCH(C19,'Fee Schedule'!$A$6:$A$16,0))="","case by case",INDEX('Fee Schedule'!$C$6:$C$16,MATCH(C19,'Fee Schedule'!$A$6:$A$16,0))),""))</f>
        <v/>
      </c>
      <c r="G19" s="211"/>
      <c r="H19" s="59"/>
      <c r="I19" s="59"/>
    </row>
    <row r="20" ht="19.5" customHeight="1">
      <c r="A20" s="59"/>
      <c r="B20" s="138">
        <v>4.0</v>
      </c>
      <c r="C20" s="145"/>
      <c r="D20" s="146"/>
      <c r="E20" s="209"/>
      <c r="F20" s="210" t="str">
        <f t="array" ref="F20">IF(C20="","",IFERROR(IF(INDEX('Fee Schedule'!$C$6:$C$16,MATCH(C20,'Fee Schedule'!$A$6:$A$16,0))="","case by case",INDEX('Fee Schedule'!$C$6:$C$16,MATCH(C20,'Fee Schedule'!$A$6:$A$16,0))),""))</f>
        <v/>
      </c>
      <c r="G20" s="211"/>
      <c r="H20" s="59"/>
      <c r="I20" s="59"/>
    </row>
    <row r="21" ht="19.5" customHeight="1">
      <c r="A21" s="59"/>
      <c r="B21" s="138">
        <v>5.0</v>
      </c>
      <c r="C21" s="145"/>
      <c r="D21" s="146"/>
      <c r="E21" s="209"/>
      <c r="F21" s="210" t="str">
        <f t="array" ref="F21">IF(C21="","",IFERROR(IF(INDEX('Fee Schedule'!$C$6:$C$16,MATCH(C21,'Fee Schedule'!$A$6:$A$16,0))="","case by case",INDEX('Fee Schedule'!$C$6:$C$16,MATCH(C21,'Fee Schedule'!$A$6:$A$16,0))),""))</f>
        <v/>
      </c>
      <c r="G21" s="211"/>
      <c r="H21" s="59"/>
      <c r="I21" s="59"/>
    </row>
    <row r="22" ht="19.5" customHeight="1">
      <c r="A22" s="59"/>
      <c r="B22" s="138">
        <v>6.0</v>
      </c>
      <c r="C22" s="145"/>
      <c r="D22" s="146"/>
      <c r="E22" s="209"/>
      <c r="F22" s="210" t="str">
        <f t="array" ref="F22">IF(C22="","",IFERROR(IF(INDEX('Fee Schedule'!$C$6:$C$16,MATCH(C22,'Fee Schedule'!$A$6:$A$16,0))="","case by case",INDEX('Fee Schedule'!$C$6:$C$16,MATCH(C22,'Fee Schedule'!$A$6:$A$16,0))),""))</f>
        <v/>
      </c>
      <c r="G22" s="211"/>
      <c r="H22" s="59"/>
      <c r="I22" s="59"/>
    </row>
    <row r="23" ht="19.5" customHeight="1">
      <c r="A23" s="59"/>
      <c r="B23" s="138">
        <v>7.0</v>
      </c>
      <c r="C23" s="145"/>
      <c r="D23" s="146"/>
      <c r="E23" s="209"/>
      <c r="F23" s="210" t="str">
        <f t="array" ref="F23">IF(C23="","",IFERROR(IF(INDEX('Fee Schedule'!$C$6:$C$16,MATCH(C23,'Fee Schedule'!$A$6:$A$16,0))="","case by case",INDEX('Fee Schedule'!$C$6:$C$16,MATCH(C23,'Fee Schedule'!$A$6:$A$16,0))),""))</f>
        <v/>
      </c>
      <c r="G23" s="211"/>
      <c r="H23" s="59"/>
      <c r="I23" s="59"/>
    </row>
    <row r="24" ht="19.5" customHeight="1">
      <c r="A24" s="59"/>
      <c r="B24" s="138">
        <v>8.0</v>
      </c>
      <c r="C24" s="145"/>
      <c r="D24" s="146"/>
      <c r="E24" s="209"/>
      <c r="F24" s="210" t="str">
        <f t="array" ref="F24">IF(C24="","",IFERROR(IF(INDEX('Fee Schedule'!$C$6:$C$16,MATCH(C24,'Fee Schedule'!$A$6:$A$16,0))="","case by case",INDEX('Fee Schedule'!$C$6:$C$16,MATCH(C24,'Fee Schedule'!$A$6:$A$16,0))),""))</f>
        <v/>
      </c>
      <c r="G24" s="211"/>
      <c r="H24" s="59"/>
      <c r="I24" s="59"/>
    </row>
    <row r="25" ht="19.5" customHeight="1">
      <c r="A25" s="59"/>
      <c r="B25" s="138">
        <v>9.0</v>
      </c>
      <c r="C25" s="145"/>
      <c r="D25" s="146"/>
      <c r="E25" s="209"/>
      <c r="F25" s="210" t="str">
        <f t="array" ref="F25">IF(C25="","",IFERROR(IF(INDEX('Fee Schedule'!$C$6:$C$16,MATCH(C25,'Fee Schedule'!$A$6:$A$16,0))="","case by case",INDEX('Fee Schedule'!$C$6:$C$16,MATCH(C25,'Fee Schedule'!$A$6:$A$16,0))),""))</f>
        <v/>
      </c>
      <c r="G25" s="211"/>
      <c r="H25" s="59"/>
      <c r="I25" s="59"/>
    </row>
    <row r="26" ht="19.5" customHeight="1">
      <c r="A26" s="59"/>
      <c r="B26" s="138">
        <v>10.0</v>
      </c>
      <c r="C26" s="145"/>
      <c r="D26" s="146"/>
      <c r="E26" s="209"/>
      <c r="F26" s="210" t="str">
        <f t="array" ref="F26">IF(C26="","",IFERROR(IF(INDEX('Fee Schedule'!$C$6:$C$16,MATCH(C26,'Fee Schedule'!$A$6:$A$16,0))="","case by case",INDEX('Fee Schedule'!$C$6:$C$16,MATCH(C26,'Fee Schedule'!$A$6:$A$16,0))),""))</f>
        <v/>
      </c>
      <c r="G26" s="211"/>
      <c r="H26" s="59"/>
      <c r="I26" s="59"/>
    </row>
    <row r="27" ht="19.5" customHeight="1">
      <c r="A27" s="59"/>
      <c r="B27" s="54"/>
      <c r="C27" s="151"/>
      <c r="D27" s="152" t="s">
        <v>385</v>
      </c>
      <c r="E27" s="215">
        <f>SUM(E17:E26)</f>
        <v>0</v>
      </c>
      <c r="F27" s="54"/>
      <c r="G27" s="54"/>
      <c r="H27" s="59"/>
      <c r="I27" s="59"/>
    </row>
    <row r="28" ht="19.5" customHeight="1">
      <c r="A28" s="59"/>
      <c r="B28" s="59"/>
      <c r="C28" s="59"/>
      <c r="D28" s="59"/>
      <c r="E28" s="59"/>
      <c r="F28" s="59"/>
      <c r="G28" s="59"/>
      <c r="H28" s="59"/>
      <c r="I28" s="59"/>
    </row>
    <row r="29" ht="24.0" customHeight="1">
      <c r="A29" s="59"/>
      <c r="B29" s="216" t="s">
        <v>558</v>
      </c>
      <c r="C29" s="217" t="str">
        <f t="array" ref="C29">IF(C6="","",IFERROR("Billed $"&amp;TEXT(SUMIFS('Bills &amp; Invoices'!$J$5:$J$32,'Bills &amp; Invoices'!$C$5:$C$32,INDEX(Companies!$A$5:$A$74,MATCH(C6,Companies!$B$5:$B$74,0))),"#,##0")&amp;"   |   Paid $"&amp;TEXT(SUMIFS('Payments &amp; Receipts'!$F$5:$F$58,'Payments &amp; Receipts'!$B$5:$B$58,INDEX(Companies!$A$5:$A$74,MATCH(C6,Companies!$B$5:$B$74,0))),"#,##0")&amp;"   |   Outstanding $"&amp;TEXT(MAX(0,SUMIFS('Bills &amp; Invoices'!$J$5:$J$32,'Bills &amp; Invoices'!$C$5:$C$32,INDEX(Companies!$A$5:$A$74,MATCH(C6,Companies!$B$5:$B$74,0)))-SUMIFS('Payments &amp; Receipts'!$F$5:$F$58,'Payments &amp; Receipts'!$B$5:$B$58,INDEX(Companies!$A$5:$A$74,MATCH(C6,Companies!$B$5:$B$74,0)))),"#,##0"),""))</f>
        <v/>
      </c>
      <c r="D29" s="12"/>
      <c r="E29" s="12"/>
      <c r="F29" s="12"/>
      <c r="G29" s="13"/>
      <c r="H29" s="59"/>
      <c r="I29" s="59"/>
    </row>
    <row r="30" ht="19.5" customHeight="1">
      <c r="A30" s="59"/>
      <c r="B30" s="59"/>
      <c r="C30" s="59"/>
      <c r="D30" s="59"/>
      <c r="E30" s="59"/>
      <c r="F30" s="59"/>
      <c r="G30" s="59"/>
      <c r="H30" s="59"/>
      <c r="I30" s="59"/>
    </row>
    <row r="31" ht="19.5" customHeight="1">
      <c r="A31" s="59"/>
      <c r="B31" s="218" t="s">
        <v>625</v>
      </c>
      <c r="C31" s="59"/>
      <c r="D31" s="59"/>
      <c r="E31" s="59"/>
      <c r="F31" s="59"/>
      <c r="G31" s="59"/>
      <c r="H31" s="59"/>
      <c r="I31" s="59"/>
    </row>
    <row r="32" ht="19.5" customHeight="1">
      <c r="A32" s="59"/>
      <c r="B32" s="59"/>
      <c r="C32" s="59"/>
      <c r="D32" s="59"/>
      <c r="E32" s="59"/>
      <c r="F32" s="59"/>
      <c r="G32" s="59"/>
      <c r="H32" s="59"/>
      <c r="I32" s="59"/>
    </row>
    <row r="33" ht="19.5" customHeight="1">
      <c r="A33" s="59"/>
      <c r="B33" s="59"/>
      <c r="C33" s="59"/>
      <c r="D33" s="59"/>
      <c r="E33" s="59"/>
      <c r="F33" s="59"/>
      <c r="G33" s="59"/>
      <c r="H33" s="59"/>
      <c r="I33" s="59"/>
    </row>
    <row r="34" ht="19.5" customHeight="1">
      <c r="A34" s="59"/>
      <c r="B34" s="59"/>
      <c r="C34" s="59"/>
      <c r="D34" s="59"/>
      <c r="E34" s="59"/>
      <c r="F34" s="59"/>
      <c r="G34" s="59"/>
      <c r="H34" s="59"/>
      <c r="I34" s="59"/>
    </row>
    <row r="35" ht="19.5" customHeight="1">
      <c r="A35" s="59"/>
      <c r="B35" s="59"/>
      <c r="C35" s="59"/>
      <c r="D35" s="59"/>
      <c r="E35" s="59"/>
      <c r="F35" s="59"/>
      <c r="G35" s="59"/>
      <c r="H35" s="59"/>
      <c r="I35" s="59"/>
    </row>
    <row r="36" ht="19.5" customHeight="1">
      <c r="A36" s="59"/>
      <c r="B36" s="59"/>
      <c r="C36" s="59"/>
      <c r="D36" s="59"/>
      <c r="E36" s="59"/>
      <c r="F36" s="59"/>
      <c r="G36" s="59"/>
      <c r="H36" s="59"/>
      <c r="I36" s="59"/>
    </row>
    <row r="37" ht="19.5" customHeight="1">
      <c r="A37" s="59"/>
      <c r="B37" s="59"/>
      <c r="C37" s="59"/>
      <c r="D37" s="59"/>
      <c r="E37" s="59"/>
      <c r="F37" s="59"/>
      <c r="G37" s="59"/>
      <c r="H37" s="59"/>
      <c r="I37" s="59"/>
    </row>
    <row r="38" ht="19.5" customHeight="1">
      <c r="A38" s="59"/>
      <c r="B38" s="59"/>
      <c r="C38" s="59"/>
      <c r="D38" s="59"/>
      <c r="E38" s="59"/>
      <c r="F38" s="59"/>
      <c r="G38" s="59"/>
      <c r="H38" s="59"/>
      <c r="I38" s="59"/>
    </row>
    <row r="39" ht="19.5" customHeight="1">
      <c r="A39" s="59"/>
      <c r="B39" s="59"/>
      <c r="C39" s="59"/>
      <c r="D39" s="59"/>
      <c r="E39" s="59"/>
      <c r="F39" s="59"/>
      <c r="G39" s="59"/>
      <c r="H39" s="59"/>
      <c r="I39" s="59"/>
    </row>
    <row r="40" ht="19.5" customHeight="1">
      <c r="A40" s="59"/>
      <c r="B40" s="59"/>
      <c r="C40" s="59"/>
      <c r="D40" s="59"/>
      <c r="E40" s="59"/>
      <c r="F40" s="59"/>
      <c r="G40" s="59"/>
      <c r="H40" s="59"/>
      <c r="I40" s="59"/>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D11:G11"/>
    <mergeCell ref="D12:G12"/>
    <mergeCell ref="D13:G13"/>
    <mergeCell ref="D14:G14"/>
    <mergeCell ref="C29:G29"/>
    <mergeCell ref="C4:G4"/>
    <mergeCell ref="D5:G5"/>
    <mergeCell ref="D6:G6"/>
    <mergeCell ref="D7:G7"/>
    <mergeCell ref="D8:G8"/>
    <mergeCell ref="D9:G9"/>
    <mergeCell ref="D10:G10"/>
  </mergeCells>
  <conditionalFormatting sqref="C4">
    <cfRule type="containsText" dxfId="0" priority="1" operator="containsText" text="Missing">
      <formula>NOT(ISERROR(SEARCH(("Missing"),(C4))))</formula>
    </cfRule>
  </conditionalFormatting>
  <conditionalFormatting sqref="C4">
    <cfRule type="containsText" dxfId="1" priority="2" operator="containsText" text="Ready">
      <formula>NOT(ISERROR(SEARCH(("Ready"),(C4))))</formula>
    </cfRule>
  </conditionalFormatting>
  <dataValidations>
    <dataValidation type="list" allowBlank="1" showErrorMessage="1" sqref="C8">
      <formula1>'Fee Schedule'!$A$20:$A$26</formula1>
    </dataValidation>
    <dataValidation type="list" allowBlank="1" showErrorMessage="1" sqref="C17:C26">
      <formula1>Lists!$AK$5:$AK$40</formula1>
    </dataValidation>
    <dataValidation type="date" allowBlank="1" showDropDown="1" showErrorMessage="1" sqref="C7">
      <formula1>43831.0</formula1>
      <formula2>49674.0</formula2>
    </dataValidation>
    <dataValidation type="decimal" operator="greaterThanOrEqual" allowBlank="1" showDropDown="1" showErrorMessage="1" sqref="E17:E26">
      <formula1>0.0</formula1>
    </dataValidation>
    <dataValidation type="list" allowBlank="1" showErrorMessage="1" sqref="C6">
      <formula1>Companies!$B$5:$B$74</formula1>
    </dataValidation>
    <dataValidation type="list" allowBlank="1" sqref="C13">
      <formula1>Lists!$I$5:$I$27</formula1>
    </dataValidation>
  </dataValidations>
  <printOptions horizontalCentered="1"/>
  <pageMargins bottom="0.5555555555555556" footer="0.0" header="0.0" left="0.5" right="0.5" top="0.5555555555555556"/>
  <pageSetup paperSize="9" orientation="portrait"/>
  <headerFooter>
    <oddFooter>&amp;LERRS – CMU Database 2026 | &amp;A&amp;CPage &amp;P of &amp;RPrinted &amp;D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6E4F"/>
    <pageSetUpPr fitToPage="1"/>
  </sheetPr>
  <sheetViews>
    <sheetView showGridLines="0" workbookViewId="0"/>
  </sheetViews>
  <sheetFormatPr customHeight="1" defaultColWidth="14.43" defaultRowHeight="15.0"/>
  <cols>
    <col customWidth="1" min="1" max="1" width="2.71"/>
    <col customWidth="1" min="2" max="2" width="31.43"/>
    <col customWidth="1" min="3" max="3" width="48.14"/>
    <col customWidth="1" min="4" max="4" width="61.14"/>
    <col customWidth="1" min="5" max="5" width="3.71"/>
    <col customWidth="1" min="6" max="6" width="24.14"/>
    <col customWidth="1" min="7" max="26" width="8.71"/>
  </cols>
  <sheetData>
    <row r="1" ht="27.75" customHeight="1">
      <c r="A1" s="25" t="s">
        <v>537</v>
      </c>
      <c r="B1" s="25"/>
      <c r="C1" s="25"/>
      <c r="D1" s="25"/>
      <c r="E1" s="25"/>
      <c r="F1" s="25"/>
      <c r="G1" s="25"/>
      <c r="H1" s="25"/>
    </row>
    <row r="2" ht="14.25" customHeight="1">
      <c r="A2" s="30" t="s">
        <v>157</v>
      </c>
      <c r="B2" s="10"/>
      <c r="C2" s="10"/>
      <c r="D2" s="10"/>
      <c r="E2" s="10"/>
      <c r="F2" s="10"/>
      <c r="G2" s="10"/>
      <c r="H2" s="10"/>
    </row>
    <row r="3" ht="14.25" customHeight="1">
      <c r="A3" s="10"/>
      <c r="B3" s="10"/>
      <c r="C3" s="10"/>
      <c r="D3" s="10"/>
      <c r="E3" s="10"/>
      <c r="F3" s="10"/>
      <c r="G3" s="10"/>
      <c r="H3" s="10"/>
    </row>
    <row r="4" ht="24.0" customHeight="1">
      <c r="A4" s="10"/>
      <c r="B4" s="54" t="s">
        <v>160</v>
      </c>
      <c r="C4" s="55" t="str">
        <f>IF(IF(C6="","Company; ","")&amp;IF(C7="","Purpose / Services; ","")&amp;IF(C8="","Amount (USD); ","")&amp;IF(C9="","Payment Date; ","")&amp;IF(AND(C6&lt;&gt;"",COUNTIF(Companies!$B$5:$B$74,C6)=0),"Company not in register; ","")&amp;IF(AND(C8&lt;&gt;"",NOT(ISNUMBER(C8))),"Amount (USD) not a number; ","")="","✔ Ready to save","✖ Missing: "&amp;IF(C6="","Company; ","")&amp;IF(C7="","Purpose / Services; ","")&amp;IF(C8="","Amount (USD); ","")&amp;IF(C9="","Payment Date; ","")&amp;IF(AND(C6&lt;&gt;"",COUNTIF(Companies!$B$5:$B$74,C6)=0),"Company not in register; ","")&amp;IF(AND(C8&lt;&gt;"",NOT(ISNUMBER(C8))),"Amount (USD) not a number; ",""))</f>
        <v>✖ Missing: Company; Purpose / Services; Amount (USD); Payment Date; </v>
      </c>
      <c r="D4" s="56"/>
      <c r="E4" s="10"/>
      <c r="F4" s="58"/>
      <c r="G4" s="10"/>
      <c r="H4" s="10"/>
    </row>
    <row r="5" ht="24.0" customHeight="1">
      <c r="A5" s="59"/>
      <c r="B5" s="61" t="s">
        <v>294</v>
      </c>
      <c r="C5" s="101"/>
      <c r="D5" s="76" t="str">
        <f t="array" ref="D5">"Leave blank for a NEW record (next ID: "&amp;"PAY-"&amp;TEXT(SUMPRODUCT(MAX(--MID('Payments &amp; Receipts'!$A$5:$A$58,5,4)))+1,"000")&amp;"). Type an existing ID and click Find to edit."</f>
        <v>Leave blank for a NEW record (next ID: PAY-055). Type an existing ID and click Find to edit.</v>
      </c>
      <c r="E5" s="10"/>
      <c r="F5" s="10"/>
      <c r="G5" s="10"/>
      <c r="H5" s="10"/>
    </row>
    <row r="6" ht="24.0" customHeight="1">
      <c r="A6" s="59"/>
      <c r="B6" s="61" t="s">
        <v>304</v>
      </c>
      <c r="C6" s="101"/>
      <c r="D6" s="76" t="str">
        <f t="array" ref="D6">IF(C6="","",IFERROR("ID: "&amp;INDEX(Companies!$A$5:$A$74,MATCH(C6,Companies!$B$5:$B$74,0)),"⚠ Not in Company register – add it on the Company Form first"))</f>
        <v/>
      </c>
      <c r="E6" s="10"/>
      <c r="F6" s="10"/>
      <c r="G6" s="10"/>
      <c r="H6" s="10"/>
    </row>
    <row r="7" ht="24.0" customHeight="1">
      <c r="A7" s="59"/>
      <c r="B7" s="61" t="s">
        <v>547</v>
      </c>
      <c r="C7" s="101"/>
      <c r="D7" s="76" t="s">
        <v>548</v>
      </c>
      <c r="E7" s="10"/>
      <c r="F7" s="10"/>
      <c r="G7" s="10"/>
      <c r="H7" s="10"/>
    </row>
    <row r="8" ht="24.0" customHeight="1">
      <c r="A8" s="59"/>
      <c r="B8" s="61" t="s">
        <v>549</v>
      </c>
      <c r="C8" s="177"/>
      <c r="D8" s="76" t="s">
        <v>550</v>
      </c>
      <c r="E8" s="10"/>
      <c r="F8" s="10"/>
      <c r="G8" s="10"/>
      <c r="H8" s="10"/>
    </row>
    <row r="9" ht="24.0" customHeight="1">
      <c r="A9" s="59"/>
      <c r="B9" s="61" t="s">
        <v>551</v>
      </c>
      <c r="C9" s="178"/>
      <c r="D9" s="76" t="s">
        <v>335</v>
      </c>
      <c r="E9" s="10"/>
      <c r="F9" s="10"/>
      <c r="G9" s="10"/>
      <c r="H9" s="10"/>
    </row>
    <row r="10" ht="24.0" customHeight="1">
      <c r="A10" s="59"/>
      <c r="B10" s="61" t="s">
        <v>553</v>
      </c>
      <c r="C10" s="101"/>
      <c r="D10" s="76" t="str">
        <f>IF(C10="","Receipt number from the payment slip",IF(COUNTIF('Payments &amp; Receipts'!$H$5:$H$58,C10)&gt;0,"⚠ Receipt already recorded – check for duplicate","✔ New receipt"))</f>
        <v>Receipt number from the payment slip</v>
      </c>
      <c r="E10" s="10"/>
      <c r="F10" s="10"/>
      <c r="G10" s="10"/>
      <c r="H10" s="10"/>
    </row>
    <row r="11" ht="24.0" customHeight="1">
      <c r="A11" s="59"/>
      <c r="B11" s="61" t="s">
        <v>349</v>
      </c>
      <c r="C11" s="101"/>
      <c r="D11" s="76"/>
      <c r="E11" s="10"/>
      <c r="F11" s="10"/>
      <c r="G11" s="10"/>
      <c r="H11" s="10"/>
    </row>
    <row r="12" ht="24.0" customHeight="1">
      <c r="A12" s="10"/>
      <c r="B12" s="61" t="s">
        <v>554</v>
      </c>
      <c r="C12" s="101"/>
      <c r="D12" s="76" t="str">
        <f t="array" ref="D12">IF(C12="","Link this payment to a bill so the bill shows Paid / Part paid",IFERROR(INDEX('Bills &amp; Invoices'!$D$5:$D$32,MATCH(C12,'Bills &amp; Invoices'!$B$5:$B$32,0))&amp;": billed $"&amp;TEXT(SUMIFS('Bills &amp; Invoices'!$J$5:$J$32,'Bills &amp; Invoices'!$B$5:$B$32,C12),"#,##0.00")&amp;", paid $"&amp;TEXT(SUMIFS('Payments &amp; Receipts'!$F$5:$F$58,'Payments &amp; Receipts'!$L$5:$L$58,C12),"#,##0.00")&amp;IF(AND(C6&lt;&gt;"",INDEX('Bills &amp; Invoices'!$D$5:$D$32,MATCH(C12,'Bills &amp; Invoices'!$B$5:$B$32,0))&lt;&gt;C6),"  ⚠ bill belongs to another company",""),"⚠ Bill not found"))</f>
        <v>Link this payment to a bill so the bill shows Paid / Part paid</v>
      </c>
      <c r="E12" s="10"/>
      <c r="F12" s="10"/>
      <c r="G12" s="10"/>
      <c r="H12" s="10"/>
    </row>
    <row r="13" ht="24.0" customHeight="1">
      <c r="A13" s="10"/>
      <c r="B13" s="180" t="s">
        <v>558</v>
      </c>
      <c r="C13" s="181" t="str">
        <f t="array" ref="C13">IF(C6="","",IFERROR("Billed $"&amp;TEXT(SUMIFS('Bills &amp; Invoices'!$J$5:$J$32,'Bills &amp; Invoices'!$C$5:$C$32,INDEX(Companies!$A$5:$A$74,MATCH(C6,Companies!$B$5:$B$74,0))),"#,##0")&amp;"   |   Paid $"&amp;TEXT(SUMIFS('Payments &amp; Receipts'!$F$5:$F$58,'Payments &amp; Receipts'!$B$5:$B$58,INDEX(Companies!$A$5:$A$74,MATCH(C6,Companies!$B$5:$B$74,0))),"#,##0")&amp;"   |   Outstanding $"&amp;TEXT(MAX(0,SUMIFS('Bills &amp; Invoices'!$J$5:$J$32,'Bills &amp; Invoices'!$C$5:$C$32,INDEX(Companies!$A$5:$A$74,MATCH(C6,Companies!$B$5:$B$74,0)))-SUMIFS('Payments &amp; Receipts'!$F$5:$F$58,'Payments &amp; Receipts'!$B$5:$B$58,INDEX(Companies!$A$5:$A$74,MATCH(C6,Companies!$B$5:$B$74,0)))),"#,##0"),""))</f>
        <v/>
      </c>
      <c r="D13" s="182"/>
      <c r="E13" s="10"/>
      <c r="F13" s="10"/>
      <c r="G13" s="10"/>
      <c r="H13" s="10"/>
    </row>
    <row r="14" ht="14.25" customHeight="1">
      <c r="A14" s="10"/>
      <c r="B14" s="10"/>
      <c r="C14" s="10"/>
      <c r="D14" s="10"/>
      <c r="E14" s="10"/>
      <c r="F14" s="10"/>
      <c r="G14" s="10"/>
      <c r="H14" s="10"/>
    </row>
    <row r="15" ht="14.25" customHeight="1">
      <c r="A15" s="10"/>
      <c r="B15" s="10"/>
      <c r="C15" s="10"/>
      <c r="D15" s="10"/>
      <c r="E15" s="10"/>
      <c r="F15" s="10"/>
      <c r="G15" s="10"/>
      <c r="H15" s="10"/>
    </row>
    <row r="16" ht="14.25" customHeight="1">
      <c r="A16" s="10"/>
      <c r="B16" s="10"/>
      <c r="C16" s="10"/>
      <c r="D16" s="10"/>
      <c r="E16" s="10"/>
      <c r="F16" s="10"/>
      <c r="G16" s="10"/>
      <c r="H16" s="10"/>
    </row>
    <row r="17" ht="14.25" customHeight="1">
      <c r="A17" s="10"/>
      <c r="B17" s="10"/>
      <c r="C17" s="10"/>
      <c r="D17" s="10"/>
      <c r="E17" s="10"/>
      <c r="F17" s="10"/>
      <c r="G17" s="10"/>
      <c r="H17" s="10"/>
    </row>
    <row r="18" ht="14.25" customHeight="1">
      <c r="A18" s="10"/>
      <c r="B18" s="10"/>
      <c r="C18" s="10"/>
      <c r="D18" s="10"/>
      <c r="E18" s="10"/>
      <c r="F18" s="10"/>
      <c r="G18" s="10"/>
      <c r="H18" s="10"/>
    </row>
    <row r="19" ht="14.25" customHeight="1">
      <c r="A19" s="10"/>
      <c r="B19" s="10"/>
      <c r="C19" s="10"/>
      <c r="D19" s="10"/>
      <c r="E19" s="10"/>
      <c r="F19" s="10"/>
      <c r="G19" s="10"/>
      <c r="H19" s="10"/>
    </row>
    <row r="20" ht="14.25" customHeight="1">
      <c r="A20" s="10"/>
      <c r="B20" s="10"/>
      <c r="C20" s="10"/>
      <c r="D20" s="10"/>
      <c r="E20" s="10"/>
      <c r="F20" s="10"/>
      <c r="G20" s="10"/>
      <c r="H20" s="10"/>
    </row>
    <row r="21" ht="14.25" customHeight="1">
      <c r="A21" s="10"/>
      <c r="B21" s="10"/>
      <c r="C21" s="10"/>
      <c r="D21" s="10"/>
      <c r="E21" s="10"/>
      <c r="F21" s="10"/>
      <c r="G21" s="10"/>
      <c r="H21" s="10"/>
    </row>
    <row r="22" ht="14.25" customHeight="1">
      <c r="A22" s="10"/>
      <c r="B22" s="10"/>
      <c r="C22" s="10"/>
      <c r="D22" s="10"/>
      <c r="E22" s="10"/>
      <c r="F22" s="10"/>
      <c r="G22" s="10"/>
      <c r="H22" s="10"/>
    </row>
    <row r="23" ht="14.25" customHeight="1">
      <c r="A23" s="10"/>
      <c r="B23" s="10"/>
      <c r="C23" s="10"/>
      <c r="D23" s="10"/>
      <c r="E23" s="10"/>
      <c r="F23" s="10"/>
      <c r="G23" s="10"/>
      <c r="H23" s="10"/>
    </row>
    <row r="24" ht="14.25" customHeight="1">
      <c r="A24" s="10"/>
      <c r="B24" s="10"/>
      <c r="C24" s="10"/>
      <c r="D24" s="10"/>
      <c r="E24" s="10"/>
      <c r="F24" s="10"/>
      <c r="G24" s="10"/>
      <c r="H24" s="10"/>
    </row>
    <row r="25" ht="14.25" customHeight="1">
      <c r="A25" s="10"/>
      <c r="B25" s="10"/>
      <c r="C25" s="10"/>
      <c r="D25" s="10"/>
      <c r="E25" s="10"/>
      <c r="F25" s="10"/>
      <c r="G25" s="10"/>
      <c r="H25" s="10"/>
    </row>
    <row r="26" ht="14.25" customHeight="1">
      <c r="A26" s="10"/>
      <c r="B26" s="10"/>
      <c r="C26" s="10"/>
      <c r="D26" s="10"/>
      <c r="E26" s="10"/>
      <c r="F26" s="10"/>
      <c r="G26" s="10"/>
      <c r="H26" s="10"/>
    </row>
    <row r="27" ht="14.25" customHeight="1">
      <c r="A27" s="10"/>
      <c r="B27" s="10"/>
      <c r="C27" s="10"/>
      <c r="D27" s="10"/>
      <c r="E27" s="10"/>
      <c r="F27" s="10"/>
      <c r="G27" s="10"/>
      <c r="H27" s="10"/>
    </row>
    <row r="28" ht="14.25" customHeight="1">
      <c r="A28" s="10"/>
      <c r="B28" s="10"/>
      <c r="C28" s="10"/>
      <c r="D28" s="10"/>
      <c r="E28" s="10"/>
      <c r="F28" s="10"/>
      <c r="G28" s="10"/>
      <c r="H28" s="10"/>
    </row>
    <row r="29" ht="14.25" customHeight="1">
      <c r="A29" s="10"/>
      <c r="B29" s="10"/>
      <c r="C29" s="10"/>
      <c r="D29" s="10"/>
      <c r="E29" s="10"/>
      <c r="F29" s="10"/>
      <c r="G29" s="10"/>
      <c r="H29" s="10"/>
    </row>
    <row r="30" ht="14.25" customHeight="1">
      <c r="A30" s="10"/>
      <c r="B30" s="10"/>
      <c r="C30" s="10"/>
      <c r="D30" s="10"/>
      <c r="E30" s="10"/>
      <c r="F30" s="10"/>
      <c r="G30" s="10"/>
      <c r="H30" s="10"/>
    </row>
    <row r="31" ht="14.25" customHeight="1">
      <c r="A31" s="10"/>
      <c r="B31" s="10"/>
      <c r="C31" s="10"/>
      <c r="D31" s="10"/>
      <c r="E31" s="10"/>
      <c r="F31" s="10"/>
      <c r="G31" s="10"/>
      <c r="H31" s="10"/>
    </row>
    <row r="32" ht="14.25" customHeight="1">
      <c r="A32" s="10"/>
      <c r="B32" s="10"/>
      <c r="C32" s="10"/>
      <c r="D32" s="10"/>
      <c r="E32" s="10"/>
      <c r="F32" s="10"/>
      <c r="G32" s="10"/>
      <c r="H32" s="10"/>
    </row>
    <row r="33" ht="14.25" customHeight="1">
      <c r="A33" s="10"/>
      <c r="B33" s="10"/>
      <c r="C33" s="10"/>
      <c r="D33" s="10"/>
      <c r="E33" s="10"/>
      <c r="F33" s="10"/>
      <c r="G33" s="10"/>
      <c r="H33" s="10"/>
    </row>
    <row r="34" ht="14.25" customHeight="1">
      <c r="A34" s="10"/>
      <c r="B34" s="10"/>
      <c r="C34" s="10"/>
      <c r="D34" s="10"/>
      <c r="E34" s="10"/>
      <c r="F34" s="10"/>
      <c r="G34" s="10"/>
      <c r="H34" s="10"/>
    </row>
    <row r="35" ht="14.25" customHeight="1">
      <c r="A35" s="10"/>
      <c r="B35" s="10"/>
      <c r="C35" s="10"/>
      <c r="D35" s="10"/>
      <c r="E35" s="10"/>
      <c r="F35" s="10"/>
      <c r="G35" s="10"/>
      <c r="H35" s="10"/>
    </row>
    <row r="36" ht="14.25" customHeight="1">
      <c r="A36" s="10"/>
      <c r="B36" s="10"/>
      <c r="C36" s="10"/>
      <c r="D36" s="10"/>
      <c r="E36" s="10"/>
      <c r="F36" s="10"/>
      <c r="G36" s="10"/>
      <c r="H36" s="10"/>
    </row>
    <row r="37" ht="14.25" customHeight="1">
      <c r="A37" s="10"/>
      <c r="B37" s="10"/>
      <c r="C37" s="10"/>
      <c r="D37" s="10"/>
      <c r="E37" s="10"/>
      <c r="F37" s="10"/>
      <c r="G37" s="10"/>
      <c r="H37" s="10"/>
    </row>
    <row r="38" ht="14.25" customHeight="1">
      <c r="A38" s="10"/>
      <c r="B38" s="10"/>
      <c r="C38" s="10"/>
      <c r="D38" s="10"/>
      <c r="E38" s="10"/>
      <c r="F38" s="10"/>
      <c r="G38" s="10"/>
      <c r="H38" s="10"/>
    </row>
    <row r="39" ht="14.25" customHeight="1">
      <c r="A39" s="10"/>
      <c r="B39" s="10"/>
      <c r="C39" s="10"/>
      <c r="D39" s="10"/>
      <c r="E39" s="10"/>
      <c r="F39" s="10"/>
      <c r="G39" s="10"/>
      <c r="H39" s="10"/>
    </row>
    <row r="40" ht="14.25" customHeight="1">
      <c r="A40" s="10"/>
      <c r="B40" s="10"/>
      <c r="C40" s="10"/>
      <c r="D40" s="10"/>
      <c r="E40" s="10"/>
      <c r="F40" s="10"/>
      <c r="G40" s="10"/>
      <c r="H40" s="10"/>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C4:D4"/>
    <mergeCell ref="C13:D13"/>
  </mergeCells>
  <conditionalFormatting sqref="C4">
    <cfRule type="containsText" dxfId="0" priority="1" operator="containsText" text="Missing">
      <formula>NOT(ISERROR(SEARCH(("Missing"),(C4))))</formula>
    </cfRule>
  </conditionalFormatting>
  <conditionalFormatting sqref="C4">
    <cfRule type="containsText" dxfId="1" priority="2" operator="containsText" text="Ready">
      <formula>NOT(ISERROR(SEARCH(("Ready"),(C4))))</formula>
    </cfRule>
  </conditionalFormatting>
  <dataValidations>
    <dataValidation type="decimal" operator="greaterThanOrEqual" allowBlank="1" showDropDown="1" showErrorMessage="1" sqref="C8">
      <formula1>0.0</formula1>
    </dataValidation>
    <dataValidation type="date" allowBlank="1" showDropDown="1" showErrorMessage="1" sqref="C9">
      <formula1>43831.0</formula1>
      <formula2>49674.0</formula2>
    </dataValidation>
    <dataValidation type="list" allowBlank="1" showErrorMessage="1" sqref="C6">
      <formula1>Companies!$B$5:$B$74</formula1>
    </dataValidation>
    <dataValidation type="list" allowBlank="1" showErrorMessage="1" sqref="C12">
      <formula1>Lists!$X$5:$X$404</formula1>
    </dataValidation>
    <dataValidation type="list" allowBlank="1" sqref="C7">
      <formula1>Lists!$K$5:$K$18</formula1>
    </dataValidation>
  </dataValidations>
  <printOptions horizontalCentered="1"/>
  <pageMargins bottom="0.5555555555555556" footer="0.0" header="0.0" left="0.5" right="0.5" top="0.5555555555555556"/>
  <pageSetup paperSize="9" orientation="portrait"/>
  <headerFooter>
    <oddFooter>&amp;LERRS – CMU Database 2026 | &amp;A&amp;CPage &amp;P of &amp;RPrinted &amp;D</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43"/>
    <col customWidth="1" min="2" max="2" width="5.57"/>
    <col customWidth="1" min="3" max="3" width="36.14"/>
    <col customWidth="1" min="4" max="4" width="23.14"/>
    <col customWidth="1" min="5" max="5" width="17.57"/>
    <col customWidth="1" min="6" max="6" width="21.29"/>
    <col customWidth="1" min="7" max="7" width="1.43"/>
    <col customWidth="1" min="8" max="8" width="11.14"/>
    <col customWidth="1" min="9" max="9" width="27.71"/>
    <col customWidth="1" min="10" max="10" width="35.29"/>
    <col customWidth="1" min="11" max="11" width="1.86"/>
    <col customWidth="1" min="12" max="12" width="11.14"/>
    <col customWidth="1" min="13" max="26" width="8.71"/>
  </cols>
  <sheetData>
    <row r="1" ht="14.25" customHeight="1">
      <c r="A1" s="168"/>
      <c r="B1" s="168"/>
      <c r="C1" s="168"/>
      <c r="D1" s="168"/>
      <c r="E1" s="168"/>
      <c r="F1" s="168"/>
      <c r="G1" s="168"/>
      <c r="I1" s="26"/>
      <c r="J1" s="26"/>
      <c r="K1" s="26"/>
      <c r="L1" s="26"/>
    </row>
    <row r="2" ht="21.75" customHeight="1">
      <c r="A2" s="168"/>
      <c r="B2" s="169" t="str">
        <f>IF($J$3="No","",setLetterhead_1)</f>
        <v>REPUBLIC OF LIBERIA</v>
      </c>
      <c r="G2" s="168"/>
      <c r="I2" s="170" t="s">
        <v>541</v>
      </c>
      <c r="J2" s="13"/>
      <c r="K2" s="26"/>
      <c r="L2" s="26"/>
    </row>
    <row r="3" ht="18.0" customHeight="1">
      <c r="A3" s="168"/>
      <c r="B3" s="171" t="str">
        <f>IF($J$3="No","",setLetterhead_2)</f>
        <v>ENVIRONMENTAL PROTECTION AGENCY</v>
      </c>
      <c r="G3" s="168"/>
      <c r="I3" s="172" t="s">
        <v>542</v>
      </c>
      <c r="J3" s="173" t="s">
        <v>543</v>
      </c>
      <c r="K3" s="26"/>
      <c r="L3" s="26"/>
    </row>
    <row r="4" ht="14.25" customHeight="1">
      <c r="A4" s="168"/>
      <c r="B4" s="174" t="str">
        <f>IF($J$3="No","",setLetterhead_3)</f>
        <v>P.O. Box 4024</v>
      </c>
      <c r="G4" s="168"/>
      <c r="I4" s="175" t="s">
        <v>545</v>
      </c>
      <c r="J4" s="176"/>
      <c r="K4" s="26"/>
      <c r="L4" s="26"/>
    </row>
    <row r="5" ht="14.25" customHeight="1">
      <c r="A5" s="168"/>
      <c r="B5" s="174" t="str">
        <f>IF($J$3="No","",setLetterhead_4)</f>
        <v>Bright Building 302-A, Sekou Toure Avenue, Mamba Point</v>
      </c>
      <c r="G5" s="168"/>
      <c r="I5" s="175" t="s">
        <v>0</v>
      </c>
      <c r="J5" s="179" t="str">
        <f t="array" ref="J5">IF($J$4="","Choose a licence record",IF($J$6="","⚠ Record not found",IF(ISNUMBER(SEARCH("CRL",INDEX('Licences &amp; Certificates'!$E$5:$E$73,$J$6))),IF(INDEX('Licences &amp; Certificates'!$K$5:$K$73,$J$6)="","⚠ No licence number yet","✔ Ready to print"),"⚠ This record is "&amp;INDEX('Licences &amp; Certificates'!$E$5:$E$73,$J$6))))</f>
        <v>Choose a licence record</v>
      </c>
      <c r="K5" s="26"/>
      <c r="L5" s="26"/>
    </row>
    <row r="6" ht="14.25" customHeight="1">
      <c r="A6" s="168"/>
      <c r="B6" s="174" t="str">
        <f>IF($J$3="No","",setLetterhead_5)</f>
        <v>1000 Monrovia, 10 Liberia</v>
      </c>
      <c r="G6" s="168"/>
      <c r="I6" s="175" t="s">
        <v>557</v>
      </c>
      <c r="J6" s="179" t="str">
        <f>IFERROR(MATCH($J$4,'Licences &amp; Certificates'!$A$5:$A$73,0),"")</f>
        <v/>
      </c>
      <c r="K6" s="26"/>
      <c r="L6" s="26"/>
    </row>
    <row r="7" ht="15.0" customHeight="1">
      <c r="A7" s="168"/>
      <c r="B7" s="168"/>
      <c r="C7" s="168"/>
      <c r="D7" s="168"/>
      <c r="E7" s="168"/>
      <c r="F7" s="168"/>
      <c r="G7" s="168"/>
      <c r="I7" s="175" t="s">
        <v>560</v>
      </c>
      <c r="J7" s="179" t="str">
        <f t="array" ref="J7">IF($J$6="","",INDEX('Licences &amp; Certificates'!$K$5:$K$73,$J$6)&amp;"")</f>
        <v/>
      </c>
      <c r="K7" s="26"/>
      <c r="L7" s="26"/>
    </row>
    <row r="8" ht="15.0" customHeight="1">
      <c r="A8" s="168"/>
      <c r="B8" s="168"/>
      <c r="C8" s="168"/>
      <c r="D8" s="168"/>
      <c r="E8" s="168"/>
      <c r="F8" s="168"/>
      <c r="G8" s="168"/>
      <c r="I8" s="175" t="s">
        <v>218</v>
      </c>
      <c r="J8" s="179" t="str">
        <f t="array" ref="J8">IF($J$6="","",INDEX('Licences &amp; Certificates'!$C$5:$C$73,$J$6))</f>
        <v/>
      </c>
      <c r="K8" s="26"/>
      <c r="L8" s="26"/>
    </row>
    <row r="9" ht="14.25" customHeight="1">
      <c r="A9" s="168"/>
      <c r="B9" s="183" t="str">
        <f>IF($J$7="","License No. ________","License No. "&amp;$J$7)</f>
        <v>License No. ________</v>
      </c>
      <c r="G9" s="168"/>
      <c r="I9" s="175" t="s">
        <v>208</v>
      </c>
      <c r="J9" s="179" t="str">
        <f t="array" ref="J9">IF($J$6="","",IF(INDEX('Licences &amp; Certificates'!$G$5:$G$73,$J$6)&lt;&gt;"",INDEX('Licences &amp; Certificates'!$G$5:$G$73,$J$6),IFERROR(INDEX(Companies!$D$5:$D$74,MATCH(INDEX('Licences &amp; Certificates'!$B$5:$B$73,$J$6),Companies!$A$5:$A$74,0))&amp;"","")))</f>
        <v/>
      </c>
      <c r="K9" s="26"/>
      <c r="L9" s="26"/>
    </row>
    <row r="10" ht="14.25" customHeight="1">
      <c r="A10" s="168"/>
      <c r="B10" s="168"/>
      <c r="C10" s="168"/>
      <c r="D10" s="168"/>
      <c r="E10" s="168"/>
      <c r="F10" s="168"/>
      <c r="G10" s="168"/>
      <c r="I10" s="175" t="s">
        <v>343</v>
      </c>
      <c r="J10" s="184" t="str">
        <f t="array" ref="J10">IF($J$6="","",IF(INDEX('Licences &amp; Certificates'!$L$5:$L$73,$J$6)="","",INDEX('Licences &amp; Certificates'!$L$5:$L$73,$J$6)))</f>
        <v/>
      </c>
      <c r="K10" s="26"/>
      <c r="L10" s="26"/>
    </row>
    <row r="11" ht="25.5" customHeight="1">
      <c r="A11" s="168"/>
      <c r="B11" s="185" t="s">
        <v>566</v>
      </c>
      <c r="G11" s="168"/>
      <c r="I11" s="175" t="s">
        <v>344</v>
      </c>
      <c r="J11" s="184" t="str">
        <f t="array" ref="J11">IF($J$6="","",IF(INDEX('Licences &amp; Certificates'!$M$5:$M$73,$J$6)="","",INDEX('Licences &amp; Certificates'!$M$5:$M$73,$J$6)))</f>
        <v/>
      </c>
      <c r="K11" s="26"/>
      <c r="L11" s="26"/>
    </row>
    <row r="12" ht="14.25" customHeight="1">
      <c r="A12" s="168"/>
      <c r="B12" s="186" t="s">
        <v>569</v>
      </c>
      <c r="G12" s="168"/>
      <c r="I12" s="175" t="s">
        <v>570</v>
      </c>
      <c r="J12" s="179">
        <f>COUNTIF('Licence Chemicals'!$A$5:$A$167,$J$4)</f>
        <v>0</v>
      </c>
      <c r="K12" s="26"/>
      <c r="L12" s="26"/>
    </row>
    <row r="13" ht="14.25" customHeight="1">
      <c r="A13" s="168"/>
      <c r="B13" s="168"/>
      <c r="C13" s="168"/>
      <c r="D13" s="168"/>
      <c r="E13" s="168"/>
      <c r="F13" s="168"/>
      <c r="G13" s="168"/>
      <c r="I13" s="175" t="s">
        <v>571</v>
      </c>
      <c r="J13" s="187" t="s">
        <v>572</v>
      </c>
      <c r="K13" s="26"/>
      <c r="L13" s="26"/>
    </row>
    <row r="14" ht="14.25" customHeight="1">
      <c r="A14" s="168"/>
      <c r="B14" s="183" t="s">
        <v>574</v>
      </c>
      <c r="G14" s="168"/>
      <c r="I14" s="188" t="s">
        <v>575</v>
      </c>
      <c r="K14" s="26"/>
      <c r="L14" s="26"/>
    </row>
    <row r="15" ht="25.5" customHeight="1">
      <c r="A15" s="168"/>
      <c r="B15" s="185" t="str">
        <f>UPPER($J$8)</f>
        <v/>
      </c>
      <c r="G15" s="168"/>
      <c r="K15" s="26"/>
      <c r="L15" s="26"/>
    </row>
    <row r="16" ht="14.25" customHeight="1">
      <c r="A16" s="168"/>
      <c r="B16" s="183" t="str">
        <f>IF($J$9="","","(Located at "&amp;$J$9&amp;")")</f>
        <v/>
      </c>
      <c r="G16" s="168"/>
      <c r="K16" s="26"/>
      <c r="L16" s="26"/>
    </row>
    <row r="17" ht="14.25" customHeight="1">
      <c r="A17" s="168"/>
      <c r="B17" s="168"/>
      <c r="C17" s="168"/>
      <c r="D17" s="168"/>
      <c r="E17" s="168"/>
      <c r="F17" s="168"/>
      <c r="G17" s="168"/>
      <c r="K17" s="26"/>
      <c r="L17" s="26"/>
    </row>
    <row r="18" ht="61.5" customHeight="1">
      <c r="A18" s="168"/>
      <c r="B18" s="189" t="s">
        <v>576</v>
      </c>
      <c r="G18" s="168"/>
      <c r="K18" s="26"/>
      <c r="L18" s="26"/>
    </row>
    <row r="19" ht="14.25" customHeight="1">
      <c r="A19" s="168"/>
      <c r="B19" s="168"/>
      <c r="C19" s="168"/>
      <c r="D19" s="168"/>
      <c r="E19" s="168"/>
      <c r="F19" s="168"/>
      <c r="G19" s="168"/>
      <c r="K19" s="26"/>
      <c r="L19" s="26"/>
    </row>
    <row r="20" ht="14.25" customHeight="1">
      <c r="A20" s="168"/>
      <c r="B20" s="190" t="s">
        <v>578</v>
      </c>
      <c r="G20" s="168"/>
      <c r="K20" s="26"/>
      <c r="L20" s="26"/>
    </row>
    <row r="21" ht="30.0" customHeight="1">
      <c r="A21" s="168"/>
      <c r="B21" s="191" t="s">
        <v>214</v>
      </c>
      <c r="C21" s="191" t="s">
        <v>353</v>
      </c>
      <c r="D21" s="191" t="s">
        <v>579</v>
      </c>
      <c r="E21" s="192" t="s">
        <v>580</v>
      </c>
      <c r="F21" s="193"/>
      <c r="G21" s="168"/>
      <c r="I21" s="26"/>
      <c r="J21" s="26"/>
      <c r="K21" s="26"/>
      <c r="L21" s="194" t="s">
        <v>582</v>
      </c>
    </row>
    <row r="22" ht="16.5" customHeight="1">
      <c r="A22" s="168"/>
      <c r="B22" s="195" t="str">
        <f t="shared" ref="B22:B81" si="1">IF($L22="","",ROWS($L$22:L22))</f>
        <v/>
      </c>
      <c r="C22" s="196" t="str">
        <f t="array" ref="C22">IF($L22="","",INDEX('Licence Chemicals'!$D$5:$D$167,$L22)&amp;"")</f>
        <v/>
      </c>
      <c r="D22" s="195" t="str">
        <f t="array" ref="D22">IF($L22="","",INDEX('Licence Chemicals'!$E$5:$E$167,$L22)&amp;"")</f>
        <v/>
      </c>
      <c r="E22" s="200" t="str">
        <f t="array" ref="E22">IF($L22="","",IF(INDEX('Licence Chemicals'!$F$5:$F$167,$L22)="","Industrial Chemical",INDEX('Licence Chemicals'!$F$5:$F$167,$L22)&amp;""))</f>
        <v/>
      </c>
      <c r="F22" s="193"/>
      <c r="G22" s="168"/>
      <c r="I22" s="26"/>
      <c r="J22" s="26"/>
      <c r="K22" s="26"/>
      <c r="L22" s="194" t="str">
        <f>IFERROR(__xludf.DUMMYFUNCTION("ARRAY_CONSTRAIN(ARRAYFORMULA(IFERROR(SMALL(FILTER((ROW('Licence Chemicals'!$A$5:$A$167)-ROW('Licence Chemicals'!$A$4:$I$4)),IFERROR(('Licence Chemicals'!$A$5:$A$167=$J$4),FALSE)),ROWS($L$22:L22)),"""")), 1, 1)"),"")</f>
        <v/>
      </c>
    </row>
    <row r="23" ht="16.5" customHeight="1">
      <c r="A23" s="168"/>
      <c r="B23" s="195" t="str">
        <f t="shared" si="1"/>
        <v/>
      </c>
      <c r="C23" s="196" t="str">
        <f t="array" ref="C23">IF($L23="","",INDEX('Licence Chemicals'!$D$5:$D$167,$L23)&amp;"")</f>
        <v/>
      </c>
      <c r="D23" s="195" t="str">
        <f t="array" ref="D23">IF($L23="","",INDEX('Licence Chemicals'!$E$5:$E$167,$L23)&amp;"")</f>
        <v/>
      </c>
      <c r="E23" s="200" t="str">
        <f t="array" ref="E23">IF($L23="","",IF(INDEX('Licence Chemicals'!$F$5:$F$167,$L23)="","Industrial Chemical",INDEX('Licence Chemicals'!$F$5:$F$167,$L23)&amp;""))</f>
        <v/>
      </c>
      <c r="F23" s="193"/>
      <c r="G23" s="168"/>
      <c r="I23" s="26"/>
      <c r="J23" s="26"/>
      <c r="K23" s="26"/>
      <c r="L23" s="194" t="str">
        <f>IFERROR(__xludf.DUMMYFUNCTION("ARRAY_CONSTRAIN(ARRAYFORMULA(IFERROR(SMALL(FILTER((ROW('Licence Chemicals'!$A$5:$A$167)-ROW('Licence Chemicals'!$A$4:$I$4)),IFERROR(('Licence Chemicals'!$A$5:$A$167=$J$4),FALSE)),ROWS($L$22:L23)),"""")), 1, 1)"),"")</f>
        <v/>
      </c>
    </row>
    <row r="24" ht="16.5" customHeight="1">
      <c r="A24" s="168"/>
      <c r="B24" s="195" t="str">
        <f t="shared" si="1"/>
        <v/>
      </c>
      <c r="C24" s="196" t="str">
        <f t="array" ref="C24">IF($L24="","",INDEX('Licence Chemicals'!$D$5:$D$167,$L24)&amp;"")</f>
        <v/>
      </c>
      <c r="D24" s="195" t="str">
        <f t="array" ref="D24">IF($L24="","",INDEX('Licence Chemicals'!$E$5:$E$167,$L24)&amp;"")</f>
        <v/>
      </c>
      <c r="E24" s="200" t="str">
        <f t="array" ref="E24">IF($L24="","",IF(INDEX('Licence Chemicals'!$F$5:$F$167,$L24)="","Industrial Chemical",INDEX('Licence Chemicals'!$F$5:$F$167,$L24)&amp;""))</f>
        <v/>
      </c>
      <c r="F24" s="193"/>
      <c r="G24" s="168"/>
      <c r="I24" s="26"/>
      <c r="J24" s="26"/>
      <c r="K24" s="26"/>
      <c r="L24" s="194" t="str">
        <f>IFERROR(__xludf.DUMMYFUNCTION("ARRAY_CONSTRAIN(ARRAYFORMULA(IFERROR(SMALL(FILTER((ROW('Licence Chemicals'!$A$5:$A$167)-ROW('Licence Chemicals'!$A$4:$I$4)),IFERROR(('Licence Chemicals'!$A$5:$A$167=$J$4),FALSE)),ROWS($L$22:L24)),"""")), 1, 1)"),"")</f>
        <v/>
      </c>
    </row>
    <row r="25" ht="16.5" customHeight="1">
      <c r="A25" s="168"/>
      <c r="B25" s="195" t="str">
        <f t="shared" si="1"/>
        <v/>
      </c>
      <c r="C25" s="196" t="str">
        <f t="array" ref="C25">IF($L25="","",INDEX('Licence Chemicals'!$D$5:$D$167,$L25)&amp;"")</f>
        <v/>
      </c>
      <c r="D25" s="195" t="str">
        <f t="array" ref="D25">IF($L25="","",INDEX('Licence Chemicals'!$E$5:$E$167,$L25)&amp;"")</f>
        <v/>
      </c>
      <c r="E25" s="200" t="str">
        <f t="array" ref="E25">IF($L25="","",IF(INDEX('Licence Chemicals'!$F$5:$F$167,$L25)="","Industrial Chemical",INDEX('Licence Chemicals'!$F$5:$F$167,$L25)&amp;""))</f>
        <v/>
      </c>
      <c r="F25" s="193"/>
      <c r="G25" s="168"/>
      <c r="I25" s="26"/>
      <c r="J25" s="26"/>
      <c r="K25" s="26"/>
      <c r="L25" s="194" t="str">
        <f>IFERROR(__xludf.DUMMYFUNCTION("ARRAY_CONSTRAIN(ARRAYFORMULA(IFERROR(SMALL(FILTER((ROW('Licence Chemicals'!$A$5:$A$167)-ROW('Licence Chemicals'!$A$4:$I$4)),IFERROR(('Licence Chemicals'!$A$5:$A$167=$J$4),FALSE)),ROWS($L$22:L25)),"""")), 1, 1)"),"")</f>
        <v/>
      </c>
    </row>
    <row r="26" ht="16.5" customHeight="1">
      <c r="A26" s="168"/>
      <c r="B26" s="195" t="str">
        <f t="shared" si="1"/>
        <v/>
      </c>
      <c r="C26" s="196" t="str">
        <f t="array" ref="C26">IF($L26="","",INDEX('Licence Chemicals'!$D$5:$D$167,$L26)&amp;"")</f>
        <v/>
      </c>
      <c r="D26" s="195" t="str">
        <f t="array" ref="D26">IF($L26="","",INDEX('Licence Chemicals'!$E$5:$E$167,$L26)&amp;"")</f>
        <v/>
      </c>
      <c r="E26" s="200" t="str">
        <f t="array" ref="E26">IF($L26="","",IF(INDEX('Licence Chemicals'!$F$5:$F$167,$L26)="","Industrial Chemical",INDEX('Licence Chemicals'!$F$5:$F$167,$L26)&amp;""))</f>
        <v/>
      </c>
      <c r="F26" s="193"/>
      <c r="G26" s="168"/>
      <c r="I26" s="26"/>
      <c r="J26" s="26"/>
      <c r="K26" s="26"/>
      <c r="L26" s="194" t="str">
        <f>IFERROR(__xludf.DUMMYFUNCTION("ARRAY_CONSTRAIN(ARRAYFORMULA(IFERROR(SMALL(FILTER((ROW('Licence Chemicals'!$A$5:$A$167)-ROW('Licence Chemicals'!$A$4:$I$4)),IFERROR(('Licence Chemicals'!$A$5:$A$167=$J$4),FALSE)),ROWS($L$22:L26)),"""")), 1, 1)"),"")</f>
        <v/>
      </c>
    </row>
    <row r="27" ht="16.5" customHeight="1">
      <c r="A27" s="168"/>
      <c r="B27" s="195" t="str">
        <f t="shared" si="1"/>
        <v/>
      </c>
      <c r="C27" s="196" t="str">
        <f t="array" ref="C27">IF($L27="","",INDEX('Licence Chemicals'!$D$5:$D$167,$L27)&amp;"")</f>
        <v/>
      </c>
      <c r="D27" s="195" t="str">
        <f t="array" ref="D27">IF($L27="","",INDEX('Licence Chemicals'!$E$5:$E$167,$L27)&amp;"")</f>
        <v/>
      </c>
      <c r="E27" s="200" t="str">
        <f t="array" ref="E27">IF($L27="","",IF(INDEX('Licence Chemicals'!$F$5:$F$167,$L27)="","Industrial Chemical",INDEX('Licence Chemicals'!$F$5:$F$167,$L27)&amp;""))</f>
        <v/>
      </c>
      <c r="F27" s="193"/>
      <c r="G27" s="168"/>
      <c r="I27" s="26"/>
      <c r="J27" s="26"/>
      <c r="K27" s="26"/>
      <c r="L27" s="194" t="str">
        <f>IFERROR(__xludf.DUMMYFUNCTION("ARRAY_CONSTRAIN(ARRAYFORMULA(IFERROR(SMALL(FILTER((ROW('Licence Chemicals'!$A$5:$A$167)-ROW('Licence Chemicals'!$A$4:$I$4)),IFERROR(('Licence Chemicals'!$A$5:$A$167=$J$4),FALSE)),ROWS($L$22:L27)),"""")), 1, 1)"),"")</f>
        <v/>
      </c>
    </row>
    <row r="28" ht="16.5" customHeight="1">
      <c r="A28" s="168"/>
      <c r="B28" s="195" t="str">
        <f t="shared" si="1"/>
        <v/>
      </c>
      <c r="C28" s="196" t="str">
        <f t="array" ref="C28">IF($L28="","",INDEX('Licence Chemicals'!$D$5:$D$167,$L28)&amp;"")</f>
        <v/>
      </c>
      <c r="D28" s="195" t="str">
        <f t="array" ref="D28">IF($L28="","",INDEX('Licence Chemicals'!$E$5:$E$167,$L28)&amp;"")</f>
        <v/>
      </c>
      <c r="E28" s="200" t="str">
        <f t="array" ref="E28">IF($L28="","",IF(INDEX('Licence Chemicals'!$F$5:$F$167,$L28)="","Industrial Chemical",INDEX('Licence Chemicals'!$F$5:$F$167,$L28)&amp;""))</f>
        <v/>
      </c>
      <c r="F28" s="193"/>
      <c r="G28" s="168"/>
      <c r="I28" s="26"/>
      <c r="J28" s="26"/>
      <c r="K28" s="26"/>
      <c r="L28" s="194" t="str">
        <f>IFERROR(__xludf.DUMMYFUNCTION("ARRAY_CONSTRAIN(ARRAYFORMULA(IFERROR(SMALL(FILTER((ROW('Licence Chemicals'!$A$5:$A$167)-ROW('Licence Chemicals'!$A$4:$I$4)),IFERROR(('Licence Chemicals'!$A$5:$A$167=$J$4),FALSE)),ROWS($L$22:L28)),"""")), 1, 1)"),"")</f>
        <v/>
      </c>
    </row>
    <row r="29" ht="16.5" customHeight="1">
      <c r="A29" s="168"/>
      <c r="B29" s="195" t="str">
        <f t="shared" si="1"/>
        <v/>
      </c>
      <c r="C29" s="196" t="str">
        <f t="array" ref="C29">IF($L29="","",INDEX('Licence Chemicals'!$D$5:$D$167,$L29)&amp;"")</f>
        <v/>
      </c>
      <c r="D29" s="195" t="str">
        <f t="array" ref="D29">IF($L29="","",INDEX('Licence Chemicals'!$E$5:$E$167,$L29)&amp;"")</f>
        <v/>
      </c>
      <c r="E29" s="200" t="str">
        <f t="array" ref="E29">IF($L29="","",IF(INDEX('Licence Chemicals'!$F$5:$F$167,$L29)="","Industrial Chemical",INDEX('Licence Chemicals'!$F$5:$F$167,$L29)&amp;""))</f>
        <v/>
      </c>
      <c r="F29" s="193"/>
      <c r="G29" s="168"/>
      <c r="I29" s="26"/>
      <c r="J29" s="26"/>
      <c r="K29" s="26"/>
      <c r="L29" s="194" t="str">
        <f>IFERROR(__xludf.DUMMYFUNCTION("ARRAY_CONSTRAIN(ARRAYFORMULA(IFERROR(SMALL(FILTER((ROW('Licence Chemicals'!$A$5:$A$167)-ROW('Licence Chemicals'!$A$4:$I$4)),IFERROR(('Licence Chemicals'!$A$5:$A$167=$J$4),FALSE)),ROWS($L$22:L29)),"""")), 1, 1)"),"")</f>
        <v/>
      </c>
    </row>
    <row r="30" ht="16.5" customHeight="1">
      <c r="A30" s="168"/>
      <c r="B30" s="195" t="str">
        <f t="shared" si="1"/>
        <v/>
      </c>
      <c r="C30" s="196" t="str">
        <f t="array" ref="C30">IF($L30="","",INDEX('Licence Chemicals'!$D$5:$D$167,$L30)&amp;"")</f>
        <v/>
      </c>
      <c r="D30" s="195" t="str">
        <f t="array" ref="D30">IF($L30="","",INDEX('Licence Chemicals'!$E$5:$E$167,$L30)&amp;"")</f>
        <v/>
      </c>
      <c r="E30" s="200" t="str">
        <f t="array" ref="E30">IF($L30="","",IF(INDEX('Licence Chemicals'!$F$5:$F$167,$L30)="","Industrial Chemical",INDEX('Licence Chemicals'!$F$5:$F$167,$L30)&amp;""))</f>
        <v/>
      </c>
      <c r="F30" s="193"/>
      <c r="G30" s="168"/>
      <c r="I30" s="26"/>
      <c r="J30" s="26"/>
      <c r="K30" s="26"/>
      <c r="L30" s="194" t="str">
        <f>IFERROR(__xludf.DUMMYFUNCTION("ARRAY_CONSTRAIN(ARRAYFORMULA(IFERROR(SMALL(FILTER((ROW('Licence Chemicals'!$A$5:$A$167)-ROW('Licence Chemicals'!$A$4:$I$4)),IFERROR(('Licence Chemicals'!$A$5:$A$167=$J$4),FALSE)),ROWS($L$22:L30)),"""")), 1, 1)"),"")</f>
        <v/>
      </c>
    </row>
    <row r="31" ht="16.5" customHeight="1">
      <c r="A31" s="168"/>
      <c r="B31" s="195" t="str">
        <f t="shared" si="1"/>
        <v/>
      </c>
      <c r="C31" s="196" t="str">
        <f t="array" ref="C31">IF($L31="","",INDEX('Licence Chemicals'!$D$5:$D$167,$L31)&amp;"")</f>
        <v/>
      </c>
      <c r="D31" s="195" t="str">
        <f t="array" ref="D31">IF($L31="","",INDEX('Licence Chemicals'!$E$5:$E$167,$L31)&amp;"")</f>
        <v/>
      </c>
      <c r="E31" s="200" t="str">
        <f t="array" ref="E31">IF($L31="","",IF(INDEX('Licence Chemicals'!$F$5:$F$167,$L31)="","Industrial Chemical",INDEX('Licence Chemicals'!$F$5:$F$167,$L31)&amp;""))</f>
        <v/>
      </c>
      <c r="F31" s="193"/>
      <c r="G31" s="168"/>
      <c r="I31" s="26"/>
      <c r="J31" s="26"/>
      <c r="K31" s="26"/>
      <c r="L31" s="194" t="str">
        <f>IFERROR(__xludf.DUMMYFUNCTION("ARRAY_CONSTRAIN(ARRAYFORMULA(IFERROR(SMALL(FILTER((ROW('Licence Chemicals'!$A$5:$A$167)-ROW('Licence Chemicals'!$A$4:$I$4)),IFERROR(('Licence Chemicals'!$A$5:$A$167=$J$4),FALSE)),ROWS($L$22:L31)),"""")), 1, 1)"),"")</f>
        <v/>
      </c>
    </row>
    <row r="32" ht="16.5" customHeight="1">
      <c r="A32" s="168"/>
      <c r="B32" s="195" t="str">
        <f t="shared" si="1"/>
        <v/>
      </c>
      <c r="C32" s="196" t="str">
        <f t="array" ref="C32">IF($L32="","",INDEX('Licence Chemicals'!$D$5:$D$167,$L32)&amp;"")</f>
        <v/>
      </c>
      <c r="D32" s="195" t="str">
        <f t="array" ref="D32">IF($L32="","",INDEX('Licence Chemicals'!$E$5:$E$167,$L32)&amp;"")</f>
        <v/>
      </c>
      <c r="E32" s="200" t="str">
        <f t="array" ref="E32">IF($L32="","",IF(INDEX('Licence Chemicals'!$F$5:$F$167,$L32)="","Industrial Chemical",INDEX('Licence Chemicals'!$F$5:$F$167,$L32)&amp;""))</f>
        <v/>
      </c>
      <c r="F32" s="193"/>
      <c r="G32" s="168"/>
      <c r="I32" s="26"/>
      <c r="J32" s="26"/>
      <c r="K32" s="26"/>
      <c r="L32" s="194" t="str">
        <f>IFERROR(__xludf.DUMMYFUNCTION("ARRAY_CONSTRAIN(ARRAYFORMULA(IFERROR(SMALL(FILTER((ROW('Licence Chemicals'!$A$5:$A$167)-ROW('Licence Chemicals'!$A$4:$I$4)),IFERROR(('Licence Chemicals'!$A$5:$A$167=$J$4),FALSE)),ROWS($L$22:L32)),"""")), 1, 1)"),"")</f>
        <v/>
      </c>
    </row>
    <row r="33" ht="16.5" customHeight="1">
      <c r="A33" s="168"/>
      <c r="B33" s="195" t="str">
        <f t="shared" si="1"/>
        <v/>
      </c>
      <c r="C33" s="196" t="str">
        <f t="array" ref="C33">IF($L33="","",INDEX('Licence Chemicals'!$D$5:$D$167,$L33)&amp;"")</f>
        <v/>
      </c>
      <c r="D33" s="195" t="str">
        <f t="array" ref="D33">IF($L33="","",INDEX('Licence Chemicals'!$E$5:$E$167,$L33)&amp;"")</f>
        <v/>
      </c>
      <c r="E33" s="200" t="str">
        <f t="array" ref="E33">IF($L33="","",IF(INDEX('Licence Chemicals'!$F$5:$F$167,$L33)="","Industrial Chemical",INDEX('Licence Chemicals'!$F$5:$F$167,$L33)&amp;""))</f>
        <v/>
      </c>
      <c r="F33" s="193"/>
      <c r="G33" s="168"/>
      <c r="I33" s="26"/>
      <c r="J33" s="26"/>
      <c r="K33" s="26"/>
      <c r="L33" s="194" t="str">
        <f>IFERROR(__xludf.DUMMYFUNCTION("ARRAY_CONSTRAIN(ARRAYFORMULA(IFERROR(SMALL(FILTER((ROW('Licence Chemicals'!$A$5:$A$167)-ROW('Licence Chemicals'!$A$4:$I$4)),IFERROR(('Licence Chemicals'!$A$5:$A$167=$J$4),FALSE)),ROWS($L$22:L33)),"""")), 1, 1)"),"")</f>
        <v/>
      </c>
    </row>
    <row r="34" ht="16.5" customHeight="1">
      <c r="A34" s="168"/>
      <c r="B34" s="195" t="str">
        <f t="shared" si="1"/>
        <v/>
      </c>
      <c r="C34" s="196" t="str">
        <f t="array" ref="C34">IF($L34="","",INDEX('Licence Chemicals'!$D$5:$D$167,$L34)&amp;"")</f>
        <v/>
      </c>
      <c r="D34" s="195" t="str">
        <f t="array" ref="D34">IF($L34="","",INDEX('Licence Chemicals'!$E$5:$E$167,$L34)&amp;"")</f>
        <v/>
      </c>
      <c r="E34" s="200" t="str">
        <f t="array" ref="E34">IF($L34="","",IF(INDEX('Licence Chemicals'!$F$5:$F$167,$L34)="","Industrial Chemical",INDEX('Licence Chemicals'!$F$5:$F$167,$L34)&amp;""))</f>
        <v/>
      </c>
      <c r="F34" s="193"/>
      <c r="G34" s="168"/>
      <c r="I34" s="26"/>
      <c r="J34" s="26"/>
      <c r="K34" s="26"/>
      <c r="L34" s="194" t="str">
        <f>IFERROR(__xludf.DUMMYFUNCTION("ARRAY_CONSTRAIN(ARRAYFORMULA(IFERROR(SMALL(FILTER((ROW('Licence Chemicals'!$A$5:$A$167)-ROW('Licence Chemicals'!$A$4:$I$4)),IFERROR(('Licence Chemicals'!$A$5:$A$167=$J$4),FALSE)),ROWS($L$22:L34)),"""")), 1, 1)"),"")</f>
        <v/>
      </c>
    </row>
    <row r="35" ht="16.5" customHeight="1">
      <c r="A35" s="168"/>
      <c r="B35" s="195" t="str">
        <f t="shared" si="1"/>
        <v/>
      </c>
      <c r="C35" s="196" t="str">
        <f t="array" ref="C35">IF($L35="","",INDEX('Licence Chemicals'!$D$5:$D$167,$L35)&amp;"")</f>
        <v/>
      </c>
      <c r="D35" s="195" t="str">
        <f t="array" ref="D35">IF($L35="","",INDEX('Licence Chemicals'!$E$5:$E$167,$L35)&amp;"")</f>
        <v/>
      </c>
      <c r="E35" s="200" t="str">
        <f t="array" ref="E35">IF($L35="","",IF(INDEX('Licence Chemicals'!$F$5:$F$167,$L35)="","Industrial Chemical",INDEX('Licence Chemicals'!$F$5:$F$167,$L35)&amp;""))</f>
        <v/>
      </c>
      <c r="F35" s="193"/>
      <c r="G35" s="168"/>
      <c r="I35" s="26"/>
      <c r="J35" s="26"/>
      <c r="K35" s="26"/>
      <c r="L35" s="194" t="str">
        <f>IFERROR(__xludf.DUMMYFUNCTION("ARRAY_CONSTRAIN(ARRAYFORMULA(IFERROR(SMALL(FILTER((ROW('Licence Chemicals'!$A$5:$A$167)-ROW('Licence Chemicals'!$A$4:$I$4)),IFERROR(('Licence Chemicals'!$A$5:$A$167=$J$4),FALSE)),ROWS($L$22:L35)),"""")), 1, 1)"),"")</f>
        <v/>
      </c>
    </row>
    <row r="36" ht="16.5" customHeight="1">
      <c r="A36" s="168"/>
      <c r="B36" s="195" t="str">
        <f t="shared" si="1"/>
        <v/>
      </c>
      <c r="C36" s="196" t="str">
        <f t="array" ref="C36">IF($L36="","",INDEX('Licence Chemicals'!$D$5:$D$167,$L36)&amp;"")</f>
        <v/>
      </c>
      <c r="D36" s="195" t="str">
        <f t="array" ref="D36">IF($L36="","",INDEX('Licence Chemicals'!$E$5:$E$167,$L36)&amp;"")</f>
        <v/>
      </c>
      <c r="E36" s="200" t="str">
        <f t="array" ref="E36">IF($L36="","",IF(INDEX('Licence Chemicals'!$F$5:$F$167,$L36)="","Industrial Chemical",INDEX('Licence Chemicals'!$F$5:$F$167,$L36)&amp;""))</f>
        <v/>
      </c>
      <c r="F36" s="193"/>
      <c r="G36" s="168"/>
      <c r="I36" s="26"/>
      <c r="J36" s="26"/>
      <c r="K36" s="26"/>
      <c r="L36" s="194" t="str">
        <f>IFERROR(__xludf.DUMMYFUNCTION("ARRAY_CONSTRAIN(ARRAYFORMULA(IFERROR(SMALL(FILTER((ROW('Licence Chemicals'!$A$5:$A$167)-ROW('Licence Chemicals'!$A$4:$I$4)),IFERROR(('Licence Chemicals'!$A$5:$A$167=$J$4),FALSE)),ROWS($L$22:L36)),"""")), 1, 1)"),"")</f>
        <v/>
      </c>
    </row>
    <row r="37" ht="16.5" customHeight="1">
      <c r="A37" s="168"/>
      <c r="B37" s="195" t="str">
        <f t="shared" si="1"/>
        <v/>
      </c>
      <c r="C37" s="196" t="str">
        <f t="array" ref="C37">IF($L37="","",INDEX('Licence Chemicals'!$D$5:$D$167,$L37)&amp;"")</f>
        <v/>
      </c>
      <c r="D37" s="195" t="str">
        <f t="array" ref="D37">IF($L37="","",INDEX('Licence Chemicals'!$E$5:$E$167,$L37)&amp;"")</f>
        <v/>
      </c>
      <c r="E37" s="200" t="str">
        <f t="array" ref="E37">IF($L37="","",IF(INDEX('Licence Chemicals'!$F$5:$F$167,$L37)="","Industrial Chemical",INDEX('Licence Chemicals'!$F$5:$F$167,$L37)&amp;""))</f>
        <v/>
      </c>
      <c r="F37" s="193"/>
      <c r="G37" s="168"/>
      <c r="I37" s="26"/>
      <c r="J37" s="26"/>
      <c r="K37" s="26"/>
      <c r="L37" s="194" t="str">
        <f>IFERROR(__xludf.DUMMYFUNCTION("ARRAY_CONSTRAIN(ARRAYFORMULA(IFERROR(SMALL(FILTER((ROW('Licence Chemicals'!$A$5:$A$167)-ROW('Licence Chemicals'!$A$4:$I$4)),IFERROR(('Licence Chemicals'!$A$5:$A$167=$J$4),FALSE)),ROWS($L$22:L37)),"""")), 1, 1)"),"")</f>
        <v/>
      </c>
    </row>
    <row r="38" ht="16.5" customHeight="1">
      <c r="A38" s="168"/>
      <c r="B38" s="195" t="str">
        <f t="shared" si="1"/>
        <v/>
      </c>
      <c r="C38" s="196" t="str">
        <f t="array" ref="C38">IF($L38="","",INDEX('Licence Chemicals'!$D$5:$D$167,$L38)&amp;"")</f>
        <v/>
      </c>
      <c r="D38" s="195" t="str">
        <f t="array" ref="D38">IF($L38="","",INDEX('Licence Chemicals'!$E$5:$E$167,$L38)&amp;"")</f>
        <v/>
      </c>
      <c r="E38" s="200" t="str">
        <f t="array" ref="E38">IF($L38="","",IF(INDEX('Licence Chemicals'!$F$5:$F$167,$L38)="","Industrial Chemical",INDEX('Licence Chemicals'!$F$5:$F$167,$L38)&amp;""))</f>
        <v/>
      </c>
      <c r="F38" s="193"/>
      <c r="G38" s="168"/>
      <c r="I38" s="26"/>
      <c r="J38" s="26"/>
      <c r="K38" s="26"/>
      <c r="L38" s="194" t="str">
        <f>IFERROR(__xludf.DUMMYFUNCTION("ARRAY_CONSTRAIN(ARRAYFORMULA(IFERROR(SMALL(FILTER((ROW('Licence Chemicals'!$A$5:$A$167)-ROW('Licence Chemicals'!$A$4:$I$4)),IFERROR(('Licence Chemicals'!$A$5:$A$167=$J$4),FALSE)),ROWS($L$22:L38)),"""")), 1, 1)"),"")</f>
        <v/>
      </c>
    </row>
    <row r="39" ht="16.5" customHeight="1">
      <c r="A39" s="168"/>
      <c r="B39" s="195" t="str">
        <f t="shared" si="1"/>
        <v/>
      </c>
      <c r="C39" s="196" t="str">
        <f t="array" ref="C39">IF($L39="","",INDEX('Licence Chemicals'!$D$5:$D$167,$L39)&amp;"")</f>
        <v/>
      </c>
      <c r="D39" s="195" t="str">
        <f t="array" ref="D39">IF($L39="","",INDEX('Licence Chemicals'!$E$5:$E$167,$L39)&amp;"")</f>
        <v/>
      </c>
      <c r="E39" s="200" t="str">
        <f t="array" ref="E39">IF($L39="","",IF(INDEX('Licence Chemicals'!$F$5:$F$167,$L39)="","Industrial Chemical",INDEX('Licence Chemicals'!$F$5:$F$167,$L39)&amp;""))</f>
        <v/>
      </c>
      <c r="F39" s="193"/>
      <c r="G39" s="168"/>
      <c r="I39" s="26"/>
      <c r="J39" s="26"/>
      <c r="K39" s="26"/>
      <c r="L39" s="194" t="str">
        <f>IFERROR(__xludf.DUMMYFUNCTION("ARRAY_CONSTRAIN(ARRAYFORMULA(IFERROR(SMALL(FILTER((ROW('Licence Chemicals'!$A$5:$A$167)-ROW('Licence Chemicals'!$A$4:$I$4)),IFERROR(('Licence Chemicals'!$A$5:$A$167=$J$4),FALSE)),ROWS($L$22:L39)),"""")), 1, 1)"),"")</f>
        <v/>
      </c>
    </row>
    <row r="40" ht="16.5" customHeight="1">
      <c r="A40" s="168"/>
      <c r="B40" s="195" t="str">
        <f t="shared" si="1"/>
        <v/>
      </c>
      <c r="C40" s="196" t="str">
        <f t="array" ref="C40">IF($L40="","",INDEX('Licence Chemicals'!$D$5:$D$167,$L40)&amp;"")</f>
        <v/>
      </c>
      <c r="D40" s="195" t="str">
        <f t="array" ref="D40">IF($L40="","",INDEX('Licence Chemicals'!$E$5:$E$167,$L40)&amp;"")</f>
        <v/>
      </c>
      <c r="E40" s="200" t="str">
        <f t="array" ref="E40">IF($L40="","",IF(INDEX('Licence Chemicals'!$F$5:$F$167,$L40)="","Industrial Chemical",INDEX('Licence Chemicals'!$F$5:$F$167,$L40)&amp;""))</f>
        <v/>
      </c>
      <c r="F40" s="193"/>
      <c r="G40" s="168"/>
      <c r="I40" s="26"/>
      <c r="J40" s="26"/>
      <c r="K40" s="26"/>
      <c r="L40" s="194" t="str">
        <f>IFERROR(__xludf.DUMMYFUNCTION("ARRAY_CONSTRAIN(ARRAYFORMULA(IFERROR(SMALL(FILTER((ROW('Licence Chemicals'!$A$5:$A$167)-ROW('Licence Chemicals'!$A$4:$I$4)),IFERROR(('Licence Chemicals'!$A$5:$A$167=$J$4),FALSE)),ROWS($L$22:L40)),"""")), 1, 1)"),"")</f>
        <v/>
      </c>
    </row>
    <row r="41" ht="16.5" customHeight="1">
      <c r="A41" s="168"/>
      <c r="B41" s="195" t="str">
        <f t="shared" si="1"/>
        <v/>
      </c>
      <c r="C41" s="196" t="str">
        <f t="array" ref="C41">IF($L41="","",INDEX('Licence Chemicals'!$D$5:$D$167,$L41)&amp;"")</f>
        <v/>
      </c>
      <c r="D41" s="195" t="str">
        <f t="array" ref="D41">IF($L41="","",INDEX('Licence Chemicals'!$E$5:$E$167,$L41)&amp;"")</f>
        <v/>
      </c>
      <c r="E41" s="200" t="str">
        <f t="array" ref="E41">IF($L41="","",IF(INDEX('Licence Chemicals'!$F$5:$F$167,$L41)="","Industrial Chemical",INDEX('Licence Chemicals'!$F$5:$F$167,$L41)&amp;""))</f>
        <v/>
      </c>
      <c r="F41" s="193"/>
      <c r="G41" s="168"/>
      <c r="L41" s="225" t="str">
        <f>IFERROR(__xludf.DUMMYFUNCTION("ARRAY_CONSTRAIN(ARRAYFORMULA(IFERROR(SMALL(FILTER((ROW('Licence Chemicals'!$A$5:$A$167)-ROW('Licence Chemicals'!$A$4:$I$4)),IFERROR(('Licence Chemicals'!$A$5:$A$167=$J$4),FALSE)),ROWS($L$22:L41)),"""")), 1, 1)"),"")</f>
        <v/>
      </c>
    </row>
    <row r="42" ht="16.5" customHeight="1">
      <c r="A42" s="168"/>
      <c r="B42" s="195" t="str">
        <f t="shared" si="1"/>
        <v/>
      </c>
      <c r="C42" s="196" t="str">
        <f t="array" ref="C42">IF($L42="","",INDEX('Licence Chemicals'!$D$5:$D$167,$L42)&amp;"")</f>
        <v/>
      </c>
      <c r="D42" s="195" t="str">
        <f t="array" ref="D42">IF($L42="","",INDEX('Licence Chemicals'!$E$5:$E$167,$L42)&amp;"")</f>
        <v/>
      </c>
      <c r="E42" s="200" t="str">
        <f t="array" ref="E42">IF($L42="","",IF(INDEX('Licence Chemicals'!$F$5:$F$167,$L42)="","Industrial Chemical",INDEX('Licence Chemicals'!$F$5:$F$167,$L42)&amp;""))</f>
        <v/>
      </c>
      <c r="F42" s="193"/>
      <c r="G42" s="168"/>
      <c r="L42" s="225" t="str">
        <f>IFERROR(__xludf.DUMMYFUNCTION("ARRAY_CONSTRAIN(ARRAYFORMULA(IFERROR(SMALL(FILTER((ROW('Licence Chemicals'!$A$5:$A$167)-ROW('Licence Chemicals'!$A$4:$I$4)),IFERROR(('Licence Chemicals'!$A$5:$A$167=$J$4),FALSE)),ROWS($L$22:L42)),"""")), 1, 1)"),"")</f>
        <v/>
      </c>
    </row>
    <row r="43" ht="16.5" customHeight="1">
      <c r="A43" s="168"/>
      <c r="B43" s="195" t="str">
        <f t="shared" si="1"/>
        <v/>
      </c>
      <c r="C43" s="196" t="str">
        <f t="array" ref="C43">IF($L43="","",INDEX('Licence Chemicals'!$D$5:$D$167,$L43)&amp;"")</f>
        <v/>
      </c>
      <c r="D43" s="195" t="str">
        <f t="array" ref="D43">IF($L43="","",INDEX('Licence Chemicals'!$E$5:$E$167,$L43)&amp;"")</f>
        <v/>
      </c>
      <c r="E43" s="200" t="str">
        <f t="array" ref="E43">IF($L43="","",IF(INDEX('Licence Chemicals'!$F$5:$F$167,$L43)="","Industrial Chemical",INDEX('Licence Chemicals'!$F$5:$F$167,$L43)&amp;""))</f>
        <v/>
      </c>
      <c r="F43" s="193"/>
      <c r="G43" s="168"/>
      <c r="L43" s="225" t="str">
        <f>IFERROR(__xludf.DUMMYFUNCTION("ARRAY_CONSTRAIN(ARRAYFORMULA(IFERROR(SMALL(FILTER((ROW('Licence Chemicals'!$A$5:$A$167)-ROW('Licence Chemicals'!$A$4:$I$4)),IFERROR(('Licence Chemicals'!$A$5:$A$167=$J$4),FALSE)),ROWS($L$22:L43)),"""")), 1, 1)"),"")</f>
        <v/>
      </c>
    </row>
    <row r="44" ht="16.5" customHeight="1">
      <c r="A44" s="168"/>
      <c r="B44" s="195" t="str">
        <f t="shared" si="1"/>
        <v/>
      </c>
      <c r="C44" s="196" t="str">
        <f t="array" ref="C44">IF($L44="","",INDEX('Licence Chemicals'!$D$5:$D$167,$L44)&amp;"")</f>
        <v/>
      </c>
      <c r="D44" s="195" t="str">
        <f t="array" ref="D44">IF($L44="","",INDEX('Licence Chemicals'!$E$5:$E$167,$L44)&amp;"")</f>
        <v/>
      </c>
      <c r="E44" s="200" t="str">
        <f t="array" ref="E44">IF($L44="","",IF(INDEX('Licence Chemicals'!$F$5:$F$167,$L44)="","Industrial Chemical",INDEX('Licence Chemicals'!$F$5:$F$167,$L44)&amp;""))</f>
        <v/>
      </c>
      <c r="F44" s="193"/>
      <c r="G44" s="168"/>
      <c r="L44" s="225" t="str">
        <f>IFERROR(__xludf.DUMMYFUNCTION("ARRAY_CONSTRAIN(ARRAYFORMULA(IFERROR(SMALL(FILTER((ROW('Licence Chemicals'!$A$5:$A$167)-ROW('Licence Chemicals'!$A$4:$I$4)),IFERROR(('Licence Chemicals'!$A$5:$A$167=$J$4),FALSE)),ROWS($L$22:L44)),"""")), 1, 1)"),"")</f>
        <v/>
      </c>
    </row>
    <row r="45" ht="16.5" customHeight="1">
      <c r="A45" s="168"/>
      <c r="B45" s="195" t="str">
        <f t="shared" si="1"/>
        <v/>
      </c>
      <c r="C45" s="196" t="str">
        <f t="array" ref="C45">IF($L45="","",INDEX('Licence Chemicals'!$D$5:$D$167,$L45)&amp;"")</f>
        <v/>
      </c>
      <c r="D45" s="195" t="str">
        <f t="array" ref="D45">IF($L45="","",INDEX('Licence Chemicals'!$E$5:$E$167,$L45)&amp;"")</f>
        <v/>
      </c>
      <c r="E45" s="200" t="str">
        <f t="array" ref="E45">IF($L45="","",IF(INDEX('Licence Chemicals'!$F$5:$F$167,$L45)="","Industrial Chemical",INDEX('Licence Chemicals'!$F$5:$F$167,$L45)&amp;""))</f>
        <v/>
      </c>
      <c r="F45" s="193"/>
      <c r="G45" s="168"/>
      <c r="L45" s="225" t="str">
        <f>IFERROR(__xludf.DUMMYFUNCTION("ARRAY_CONSTRAIN(ARRAYFORMULA(IFERROR(SMALL(FILTER((ROW('Licence Chemicals'!$A$5:$A$167)-ROW('Licence Chemicals'!$A$4:$I$4)),IFERROR(('Licence Chemicals'!$A$5:$A$167=$J$4),FALSE)),ROWS($L$22:L45)),"""")), 1, 1)"),"")</f>
        <v/>
      </c>
    </row>
    <row r="46" ht="16.5" customHeight="1">
      <c r="A46" s="168"/>
      <c r="B46" s="195" t="str">
        <f t="shared" si="1"/>
        <v/>
      </c>
      <c r="C46" s="196" t="str">
        <f t="array" ref="C46">IF($L46="","",INDEX('Licence Chemicals'!$D$5:$D$167,$L46)&amp;"")</f>
        <v/>
      </c>
      <c r="D46" s="195" t="str">
        <f t="array" ref="D46">IF($L46="","",INDEX('Licence Chemicals'!$E$5:$E$167,$L46)&amp;"")</f>
        <v/>
      </c>
      <c r="E46" s="200" t="str">
        <f t="array" ref="E46">IF($L46="","",IF(INDEX('Licence Chemicals'!$F$5:$F$167,$L46)="","Industrial Chemical",INDEX('Licence Chemicals'!$F$5:$F$167,$L46)&amp;""))</f>
        <v/>
      </c>
      <c r="F46" s="193"/>
      <c r="G46" s="168"/>
      <c r="L46" s="225" t="str">
        <f>IFERROR(__xludf.DUMMYFUNCTION("ARRAY_CONSTRAIN(ARRAYFORMULA(IFERROR(SMALL(FILTER((ROW('Licence Chemicals'!$A$5:$A$167)-ROW('Licence Chemicals'!$A$4:$I$4)),IFERROR(('Licence Chemicals'!$A$5:$A$167=$J$4),FALSE)),ROWS($L$22:L46)),"""")), 1, 1)"),"")</f>
        <v/>
      </c>
    </row>
    <row r="47" ht="16.5" customHeight="1">
      <c r="A47" s="168"/>
      <c r="B47" s="195" t="str">
        <f t="shared" si="1"/>
        <v/>
      </c>
      <c r="C47" s="196" t="str">
        <f t="array" ref="C47">IF($L47="","",INDEX('Licence Chemicals'!$D$5:$D$167,$L47)&amp;"")</f>
        <v/>
      </c>
      <c r="D47" s="195" t="str">
        <f t="array" ref="D47">IF($L47="","",INDEX('Licence Chemicals'!$E$5:$E$167,$L47)&amp;"")</f>
        <v/>
      </c>
      <c r="E47" s="200" t="str">
        <f t="array" ref="E47">IF($L47="","",IF(INDEX('Licence Chemicals'!$F$5:$F$167,$L47)="","Industrial Chemical",INDEX('Licence Chemicals'!$F$5:$F$167,$L47)&amp;""))</f>
        <v/>
      </c>
      <c r="F47" s="193"/>
      <c r="G47" s="168"/>
      <c r="L47" s="225" t="str">
        <f>IFERROR(__xludf.DUMMYFUNCTION("ARRAY_CONSTRAIN(ARRAYFORMULA(IFERROR(SMALL(FILTER((ROW('Licence Chemicals'!$A$5:$A$167)-ROW('Licence Chemicals'!$A$4:$I$4)),IFERROR(('Licence Chemicals'!$A$5:$A$167=$J$4),FALSE)),ROWS($L$22:L47)),"""")), 1, 1)"),"")</f>
        <v/>
      </c>
    </row>
    <row r="48" ht="16.5" customHeight="1">
      <c r="A48" s="168"/>
      <c r="B48" s="195" t="str">
        <f t="shared" si="1"/>
        <v/>
      </c>
      <c r="C48" s="196" t="str">
        <f t="array" ref="C48">IF($L48="","",INDEX('Licence Chemicals'!$D$5:$D$167,$L48)&amp;"")</f>
        <v/>
      </c>
      <c r="D48" s="195" t="str">
        <f t="array" ref="D48">IF($L48="","",INDEX('Licence Chemicals'!$E$5:$E$167,$L48)&amp;"")</f>
        <v/>
      </c>
      <c r="E48" s="200" t="str">
        <f t="array" ref="E48">IF($L48="","",IF(INDEX('Licence Chemicals'!$F$5:$F$167,$L48)="","Industrial Chemical",INDEX('Licence Chemicals'!$F$5:$F$167,$L48)&amp;""))</f>
        <v/>
      </c>
      <c r="F48" s="193"/>
      <c r="G48" s="168"/>
      <c r="L48" s="225" t="str">
        <f>IFERROR(__xludf.DUMMYFUNCTION("ARRAY_CONSTRAIN(ARRAYFORMULA(IFERROR(SMALL(FILTER((ROW('Licence Chemicals'!$A$5:$A$167)-ROW('Licence Chemicals'!$A$4:$I$4)),IFERROR(('Licence Chemicals'!$A$5:$A$167=$J$4),FALSE)),ROWS($L$22:L48)),"""")), 1, 1)"),"")</f>
        <v/>
      </c>
    </row>
    <row r="49" ht="16.5" customHeight="1">
      <c r="A49" s="168"/>
      <c r="B49" s="195" t="str">
        <f t="shared" si="1"/>
        <v/>
      </c>
      <c r="C49" s="196" t="str">
        <f t="array" ref="C49">IF($L49="","",INDEX('Licence Chemicals'!$D$5:$D$167,$L49)&amp;"")</f>
        <v/>
      </c>
      <c r="D49" s="195" t="str">
        <f t="array" ref="D49">IF($L49="","",INDEX('Licence Chemicals'!$E$5:$E$167,$L49)&amp;"")</f>
        <v/>
      </c>
      <c r="E49" s="200" t="str">
        <f t="array" ref="E49">IF($L49="","",IF(INDEX('Licence Chemicals'!$F$5:$F$167,$L49)="","Industrial Chemical",INDEX('Licence Chemicals'!$F$5:$F$167,$L49)&amp;""))</f>
        <v/>
      </c>
      <c r="F49" s="193"/>
      <c r="G49" s="168"/>
      <c r="L49" s="225" t="str">
        <f>IFERROR(__xludf.DUMMYFUNCTION("ARRAY_CONSTRAIN(ARRAYFORMULA(IFERROR(SMALL(FILTER((ROW('Licence Chemicals'!$A$5:$A$167)-ROW('Licence Chemicals'!$A$4:$I$4)),IFERROR(('Licence Chemicals'!$A$5:$A$167=$J$4),FALSE)),ROWS($L$22:L49)),"""")), 1, 1)"),"")</f>
        <v/>
      </c>
    </row>
    <row r="50" ht="16.5" customHeight="1">
      <c r="A50" s="168"/>
      <c r="B50" s="195" t="str">
        <f t="shared" si="1"/>
        <v/>
      </c>
      <c r="C50" s="196" t="str">
        <f t="array" ref="C50">IF($L50="","",INDEX('Licence Chemicals'!$D$5:$D$167,$L50)&amp;"")</f>
        <v/>
      </c>
      <c r="D50" s="195" t="str">
        <f t="array" ref="D50">IF($L50="","",INDEX('Licence Chemicals'!$E$5:$E$167,$L50)&amp;"")</f>
        <v/>
      </c>
      <c r="E50" s="200" t="str">
        <f t="array" ref="E50">IF($L50="","",IF(INDEX('Licence Chemicals'!$F$5:$F$167,$L50)="","Industrial Chemical",INDEX('Licence Chemicals'!$F$5:$F$167,$L50)&amp;""))</f>
        <v/>
      </c>
      <c r="F50" s="193"/>
      <c r="G50" s="168"/>
      <c r="L50" s="225" t="str">
        <f>IFERROR(__xludf.DUMMYFUNCTION("ARRAY_CONSTRAIN(ARRAYFORMULA(IFERROR(SMALL(FILTER((ROW('Licence Chemicals'!$A$5:$A$167)-ROW('Licence Chemicals'!$A$4:$I$4)),IFERROR(('Licence Chemicals'!$A$5:$A$167=$J$4),FALSE)),ROWS($L$22:L50)),"""")), 1, 1)"),"")</f>
        <v/>
      </c>
    </row>
    <row r="51" ht="16.5" customHeight="1">
      <c r="A51" s="168"/>
      <c r="B51" s="195" t="str">
        <f t="shared" si="1"/>
        <v/>
      </c>
      <c r="C51" s="196" t="str">
        <f t="array" ref="C51">IF($L51="","",INDEX('Licence Chemicals'!$D$5:$D$167,$L51)&amp;"")</f>
        <v/>
      </c>
      <c r="D51" s="195" t="str">
        <f t="array" ref="D51">IF($L51="","",INDEX('Licence Chemicals'!$E$5:$E$167,$L51)&amp;"")</f>
        <v/>
      </c>
      <c r="E51" s="200" t="str">
        <f t="array" ref="E51">IF($L51="","",IF(INDEX('Licence Chemicals'!$F$5:$F$167,$L51)="","Industrial Chemical",INDEX('Licence Chemicals'!$F$5:$F$167,$L51)&amp;""))</f>
        <v/>
      </c>
      <c r="F51" s="193"/>
      <c r="G51" s="168"/>
      <c r="L51" s="225" t="str">
        <f>IFERROR(__xludf.DUMMYFUNCTION("ARRAY_CONSTRAIN(ARRAYFORMULA(IFERROR(SMALL(FILTER((ROW('Licence Chemicals'!$A$5:$A$167)-ROW('Licence Chemicals'!$A$4:$I$4)),IFERROR(('Licence Chemicals'!$A$5:$A$167=$J$4),FALSE)),ROWS($L$22:L51)),"""")), 1, 1)"),"")</f>
        <v/>
      </c>
    </row>
    <row r="52" ht="16.5" customHeight="1">
      <c r="A52" s="168"/>
      <c r="B52" s="195" t="str">
        <f t="shared" si="1"/>
        <v/>
      </c>
      <c r="C52" s="196" t="str">
        <f t="array" ref="C52">IF($L52="","",INDEX('Licence Chemicals'!$D$5:$D$167,$L52)&amp;"")</f>
        <v/>
      </c>
      <c r="D52" s="195" t="str">
        <f t="array" ref="D52">IF($L52="","",INDEX('Licence Chemicals'!$E$5:$E$167,$L52)&amp;"")</f>
        <v/>
      </c>
      <c r="E52" s="200" t="str">
        <f t="array" ref="E52">IF($L52="","",IF(INDEX('Licence Chemicals'!$F$5:$F$167,$L52)="","Industrial Chemical",INDEX('Licence Chemicals'!$F$5:$F$167,$L52)&amp;""))</f>
        <v/>
      </c>
      <c r="F52" s="193"/>
      <c r="G52" s="168"/>
      <c r="L52" s="225" t="str">
        <f>IFERROR(__xludf.DUMMYFUNCTION("ARRAY_CONSTRAIN(ARRAYFORMULA(IFERROR(SMALL(FILTER((ROW('Licence Chemicals'!$A$5:$A$167)-ROW('Licence Chemicals'!$A$4:$I$4)),IFERROR(('Licence Chemicals'!$A$5:$A$167=$J$4),FALSE)),ROWS($L$22:L52)),"""")), 1, 1)"),"")</f>
        <v/>
      </c>
    </row>
    <row r="53" ht="16.5" customHeight="1">
      <c r="A53" s="168"/>
      <c r="B53" s="195" t="str">
        <f t="shared" si="1"/>
        <v/>
      </c>
      <c r="C53" s="196" t="str">
        <f t="array" ref="C53">IF($L53="","",INDEX('Licence Chemicals'!$D$5:$D$167,$L53)&amp;"")</f>
        <v/>
      </c>
      <c r="D53" s="195" t="str">
        <f t="array" ref="D53">IF($L53="","",INDEX('Licence Chemicals'!$E$5:$E$167,$L53)&amp;"")</f>
        <v/>
      </c>
      <c r="E53" s="200" t="str">
        <f t="array" ref="E53">IF($L53="","",IF(INDEX('Licence Chemicals'!$F$5:$F$167,$L53)="","Industrial Chemical",INDEX('Licence Chemicals'!$F$5:$F$167,$L53)&amp;""))</f>
        <v/>
      </c>
      <c r="F53" s="193"/>
      <c r="G53" s="168"/>
      <c r="L53" s="225" t="str">
        <f>IFERROR(__xludf.DUMMYFUNCTION("ARRAY_CONSTRAIN(ARRAYFORMULA(IFERROR(SMALL(FILTER((ROW('Licence Chemicals'!$A$5:$A$167)-ROW('Licence Chemicals'!$A$4:$I$4)),IFERROR(('Licence Chemicals'!$A$5:$A$167=$J$4),FALSE)),ROWS($L$22:L53)),"""")), 1, 1)"),"")</f>
        <v/>
      </c>
    </row>
    <row r="54" ht="16.5" customHeight="1">
      <c r="A54" s="168"/>
      <c r="B54" s="195" t="str">
        <f t="shared" si="1"/>
        <v/>
      </c>
      <c r="C54" s="196" t="str">
        <f t="array" ref="C54">IF($L54="","",INDEX('Licence Chemicals'!$D$5:$D$167,$L54)&amp;"")</f>
        <v/>
      </c>
      <c r="D54" s="195" t="str">
        <f t="array" ref="D54">IF($L54="","",INDEX('Licence Chemicals'!$E$5:$E$167,$L54)&amp;"")</f>
        <v/>
      </c>
      <c r="E54" s="200" t="str">
        <f t="array" ref="E54">IF($L54="","",IF(INDEX('Licence Chemicals'!$F$5:$F$167,$L54)="","Industrial Chemical",INDEX('Licence Chemicals'!$F$5:$F$167,$L54)&amp;""))</f>
        <v/>
      </c>
      <c r="F54" s="193"/>
      <c r="G54" s="168"/>
      <c r="L54" s="225" t="str">
        <f>IFERROR(__xludf.DUMMYFUNCTION("ARRAY_CONSTRAIN(ARRAYFORMULA(IFERROR(SMALL(FILTER((ROW('Licence Chemicals'!$A$5:$A$167)-ROW('Licence Chemicals'!$A$4:$I$4)),IFERROR(('Licence Chemicals'!$A$5:$A$167=$J$4),FALSE)),ROWS($L$22:L54)),"""")), 1, 1)"),"")</f>
        <v/>
      </c>
    </row>
    <row r="55" ht="16.5" customHeight="1">
      <c r="A55" s="168"/>
      <c r="B55" s="195" t="str">
        <f t="shared" si="1"/>
        <v/>
      </c>
      <c r="C55" s="196" t="str">
        <f t="array" ref="C55">IF($L55="","",INDEX('Licence Chemicals'!$D$5:$D$167,$L55)&amp;"")</f>
        <v/>
      </c>
      <c r="D55" s="195" t="str">
        <f t="array" ref="D55">IF($L55="","",INDEX('Licence Chemicals'!$E$5:$E$167,$L55)&amp;"")</f>
        <v/>
      </c>
      <c r="E55" s="200" t="str">
        <f t="array" ref="E55">IF($L55="","",IF(INDEX('Licence Chemicals'!$F$5:$F$167,$L55)="","Industrial Chemical",INDEX('Licence Chemicals'!$F$5:$F$167,$L55)&amp;""))</f>
        <v/>
      </c>
      <c r="F55" s="193"/>
      <c r="G55" s="168"/>
      <c r="L55" s="225" t="str">
        <f>IFERROR(__xludf.DUMMYFUNCTION("ARRAY_CONSTRAIN(ARRAYFORMULA(IFERROR(SMALL(FILTER((ROW('Licence Chemicals'!$A$5:$A$167)-ROW('Licence Chemicals'!$A$4:$I$4)),IFERROR(('Licence Chemicals'!$A$5:$A$167=$J$4),FALSE)),ROWS($L$22:L55)),"""")), 1, 1)"),"")</f>
        <v/>
      </c>
    </row>
    <row r="56" ht="16.5" customHeight="1">
      <c r="A56" s="168"/>
      <c r="B56" s="195" t="str">
        <f t="shared" si="1"/>
        <v/>
      </c>
      <c r="C56" s="196" t="str">
        <f t="array" ref="C56">IF($L56="","",INDEX('Licence Chemicals'!$D$5:$D$167,$L56)&amp;"")</f>
        <v/>
      </c>
      <c r="D56" s="195" t="str">
        <f t="array" ref="D56">IF($L56="","",INDEX('Licence Chemicals'!$E$5:$E$167,$L56)&amp;"")</f>
        <v/>
      </c>
      <c r="E56" s="200" t="str">
        <f t="array" ref="E56">IF($L56="","",IF(INDEX('Licence Chemicals'!$F$5:$F$167,$L56)="","Industrial Chemical",INDEX('Licence Chemicals'!$F$5:$F$167,$L56)&amp;""))</f>
        <v/>
      </c>
      <c r="F56" s="193"/>
      <c r="G56" s="168"/>
      <c r="L56" s="225" t="str">
        <f>IFERROR(__xludf.DUMMYFUNCTION("ARRAY_CONSTRAIN(ARRAYFORMULA(IFERROR(SMALL(FILTER((ROW('Licence Chemicals'!$A$5:$A$167)-ROW('Licence Chemicals'!$A$4:$I$4)),IFERROR(('Licence Chemicals'!$A$5:$A$167=$J$4),FALSE)),ROWS($L$22:L56)),"""")), 1, 1)"),"")</f>
        <v/>
      </c>
    </row>
    <row r="57" ht="16.5" customHeight="1">
      <c r="A57" s="168"/>
      <c r="B57" s="195" t="str">
        <f t="shared" si="1"/>
        <v/>
      </c>
      <c r="C57" s="196" t="str">
        <f t="array" ref="C57">IF($L57="","",INDEX('Licence Chemicals'!$D$5:$D$167,$L57)&amp;"")</f>
        <v/>
      </c>
      <c r="D57" s="195" t="str">
        <f t="array" ref="D57">IF($L57="","",INDEX('Licence Chemicals'!$E$5:$E$167,$L57)&amp;"")</f>
        <v/>
      </c>
      <c r="E57" s="200" t="str">
        <f t="array" ref="E57">IF($L57="","",IF(INDEX('Licence Chemicals'!$F$5:$F$167,$L57)="","Industrial Chemical",INDEX('Licence Chemicals'!$F$5:$F$167,$L57)&amp;""))</f>
        <v/>
      </c>
      <c r="F57" s="193"/>
      <c r="G57" s="168"/>
      <c r="L57" s="225" t="str">
        <f>IFERROR(__xludf.DUMMYFUNCTION("ARRAY_CONSTRAIN(ARRAYFORMULA(IFERROR(SMALL(FILTER((ROW('Licence Chemicals'!$A$5:$A$167)-ROW('Licence Chemicals'!$A$4:$I$4)),IFERROR(('Licence Chemicals'!$A$5:$A$167=$J$4),FALSE)),ROWS($L$22:L57)),"""")), 1, 1)"),"")</f>
        <v/>
      </c>
    </row>
    <row r="58" ht="16.5" customHeight="1">
      <c r="A58" s="168"/>
      <c r="B58" s="195" t="str">
        <f t="shared" si="1"/>
        <v/>
      </c>
      <c r="C58" s="196" t="str">
        <f t="array" ref="C58">IF($L58="","",INDEX('Licence Chemicals'!$D$5:$D$167,$L58)&amp;"")</f>
        <v/>
      </c>
      <c r="D58" s="195" t="str">
        <f t="array" ref="D58">IF($L58="","",INDEX('Licence Chemicals'!$E$5:$E$167,$L58)&amp;"")</f>
        <v/>
      </c>
      <c r="E58" s="200" t="str">
        <f t="array" ref="E58">IF($L58="","",IF(INDEX('Licence Chemicals'!$F$5:$F$167,$L58)="","Industrial Chemical",INDEX('Licence Chemicals'!$F$5:$F$167,$L58)&amp;""))</f>
        <v/>
      </c>
      <c r="F58" s="193"/>
      <c r="G58" s="168"/>
      <c r="L58" s="225" t="str">
        <f>IFERROR(__xludf.DUMMYFUNCTION("ARRAY_CONSTRAIN(ARRAYFORMULA(IFERROR(SMALL(FILTER((ROW('Licence Chemicals'!$A$5:$A$167)-ROW('Licence Chemicals'!$A$4:$I$4)),IFERROR(('Licence Chemicals'!$A$5:$A$167=$J$4),FALSE)),ROWS($L$22:L58)),"""")), 1, 1)"),"")</f>
        <v/>
      </c>
    </row>
    <row r="59" ht="16.5" customHeight="1">
      <c r="A59" s="168"/>
      <c r="B59" s="195" t="str">
        <f t="shared" si="1"/>
        <v/>
      </c>
      <c r="C59" s="196" t="str">
        <f t="array" ref="C59">IF($L59="","",INDEX('Licence Chemicals'!$D$5:$D$167,$L59)&amp;"")</f>
        <v/>
      </c>
      <c r="D59" s="195" t="str">
        <f t="array" ref="D59">IF($L59="","",INDEX('Licence Chemicals'!$E$5:$E$167,$L59)&amp;"")</f>
        <v/>
      </c>
      <c r="E59" s="200" t="str">
        <f t="array" ref="E59">IF($L59="","",IF(INDEX('Licence Chemicals'!$F$5:$F$167,$L59)="","Industrial Chemical",INDEX('Licence Chemicals'!$F$5:$F$167,$L59)&amp;""))</f>
        <v/>
      </c>
      <c r="F59" s="193"/>
      <c r="G59" s="168"/>
      <c r="L59" s="225" t="str">
        <f>IFERROR(__xludf.DUMMYFUNCTION("ARRAY_CONSTRAIN(ARRAYFORMULA(IFERROR(SMALL(FILTER((ROW('Licence Chemicals'!$A$5:$A$167)-ROW('Licence Chemicals'!$A$4:$I$4)),IFERROR(('Licence Chemicals'!$A$5:$A$167=$J$4),FALSE)),ROWS($L$22:L59)),"""")), 1, 1)"),"")</f>
        <v/>
      </c>
    </row>
    <row r="60" ht="16.5" customHeight="1">
      <c r="A60" s="168"/>
      <c r="B60" s="195" t="str">
        <f t="shared" si="1"/>
        <v/>
      </c>
      <c r="C60" s="196" t="str">
        <f t="array" ref="C60">IF($L60="","",INDEX('Licence Chemicals'!$D$5:$D$167,$L60)&amp;"")</f>
        <v/>
      </c>
      <c r="D60" s="195" t="str">
        <f t="array" ref="D60">IF($L60="","",INDEX('Licence Chemicals'!$E$5:$E$167,$L60)&amp;"")</f>
        <v/>
      </c>
      <c r="E60" s="200" t="str">
        <f t="array" ref="E60">IF($L60="","",IF(INDEX('Licence Chemicals'!$F$5:$F$167,$L60)="","Industrial Chemical",INDEX('Licence Chemicals'!$F$5:$F$167,$L60)&amp;""))</f>
        <v/>
      </c>
      <c r="F60" s="193"/>
      <c r="G60" s="168"/>
      <c r="L60" s="225" t="str">
        <f>IFERROR(__xludf.DUMMYFUNCTION("ARRAY_CONSTRAIN(ARRAYFORMULA(IFERROR(SMALL(FILTER((ROW('Licence Chemicals'!$A$5:$A$167)-ROW('Licence Chemicals'!$A$4:$I$4)),IFERROR(('Licence Chemicals'!$A$5:$A$167=$J$4),FALSE)),ROWS($L$22:L60)),"""")), 1, 1)"),"")</f>
        <v/>
      </c>
    </row>
    <row r="61" ht="16.5" customHeight="1">
      <c r="A61" s="168"/>
      <c r="B61" s="195" t="str">
        <f t="shared" si="1"/>
        <v/>
      </c>
      <c r="C61" s="196" t="str">
        <f t="array" ref="C61">IF($L61="","",INDEX('Licence Chemicals'!$D$5:$D$167,$L61)&amp;"")</f>
        <v/>
      </c>
      <c r="D61" s="195" t="str">
        <f t="array" ref="D61">IF($L61="","",INDEX('Licence Chemicals'!$E$5:$E$167,$L61)&amp;"")</f>
        <v/>
      </c>
      <c r="E61" s="200" t="str">
        <f t="array" ref="E61">IF($L61="","",IF(INDEX('Licence Chemicals'!$F$5:$F$167,$L61)="","Industrial Chemical",INDEX('Licence Chemicals'!$F$5:$F$167,$L61)&amp;""))</f>
        <v/>
      </c>
      <c r="F61" s="193"/>
      <c r="G61" s="168"/>
      <c r="L61" s="225" t="str">
        <f>IFERROR(__xludf.DUMMYFUNCTION("ARRAY_CONSTRAIN(ARRAYFORMULA(IFERROR(SMALL(FILTER((ROW('Licence Chemicals'!$A$5:$A$167)-ROW('Licence Chemicals'!$A$4:$I$4)),IFERROR(('Licence Chemicals'!$A$5:$A$167=$J$4),FALSE)),ROWS($L$22:L61)),"""")), 1, 1)"),"")</f>
        <v/>
      </c>
    </row>
    <row r="62" ht="16.5" customHeight="1">
      <c r="A62" s="168"/>
      <c r="B62" s="195" t="str">
        <f t="shared" si="1"/>
        <v/>
      </c>
      <c r="C62" s="196" t="str">
        <f t="array" ref="C62">IF($L62="","",INDEX('Licence Chemicals'!$D$5:$D$167,$L62)&amp;"")</f>
        <v/>
      </c>
      <c r="D62" s="195" t="str">
        <f t="array" ref="D62">IF($L62="","",INDEX('Licence Chemicals'!$E$5:$E$167,$L62)&amp;"")</f>
        <v/>
      </c>
      <c r="E62" s="200" t="str">
        <f t="array" ref="E62">IF($L62="","",IF(INDEX('Licence Chemicals'!$F$5:$F$167,$L62)="","Industrial Chemical",INDEX('Licence Chemicals'!$F$5:$F$167,$L62)&amp;""))</f>
        <v/>
      </c>
      <c r="F62" s="193"/>
      <c r="G62" s="168"/>
      <c r="L62" s="225" t="str">
        <f>IFERROR(__xludf.DUMMYFUNCTION("ARRAY_CONSTRAIN(ARRAYFORMULA(IFERROR(SMALL(FILTER((ROW('Licence Chemicals'!$A$5:$A$167)-ROW('Licence Chemicals'!$A$4:$I$4)),IFERROR(('Licence Chemicals'!$A$5:$A$167=$J$4),FALSE)),ROWS($L$22:L62)),"""")), 1, 1)"),"")</f>
        <v/>
      </c>
    </row>
    <row r="63" ht="16.5" customHeight="1">
      <c r="A63" s="168"/>
      <c r="B63" s="195" t="str">
        <f t="shared" si="1"/>
        <v/>
      </c>
      <c r="C63" s="196" t="str">
        <f t="array" ref="C63">IF($L63="","",INDEX('Licence Chemicals'!$D$5:$D$167,$L63)&amp;"")</f>
        <v/>
      </c>
      <c r="D63" s="195" t="str">
        <f t="array" ref="D63">IF($L63="","",INDEX('Licence Chemicals'!$E$5:$E$167,$L63)&amp;"")</f>
        <v/>
      </c>
      <c r="E63" s="200" t="str">
        <f t="array" ref="E63">IF($L63="","",IF(INDEX('Licence Chemicals'!$F$5:$F$167,$L63)="","Industrial Chemical",INDEX('Licence Chemicals'!$F$5:$F$167,$L63)&amp;""))</f>
        <v/>
      </c>
      <c r="F63" s="193"/>
      <c r="G63" s="168"/>
      <c r="L63" s="225" t="str">
        <f>IFERROR(__xludf.DUMMYFUNCTION("ARRAY_CONSTRAIN(ARRAYFORMULA(IFERROR(SMALL(FILTER((ROW('Licence Chemicals'!$A$5:$A$167)-ROW('Licence Chemicals'!$A$4:$I$4)),IFERROR(('Licence Chemicals'!$A$5:$A$167=$J$4),FALSE)),ROWS($L$22:L63)),"""")), 1, 1)"),"")</f>
        <v/>
      </c>
    </row>
    <row r="64" ht="16.5" customHeight="1">
      <c r="A64" s="168"/>
      <c r="B64" s="195" t="str">
        <f t="shared" si="1"/>
        <v/>
      </c>
      <c r="C64" s="196" t="str">
        <f t="array" ref="C64">IF($L64="","",INDEX('Licence Chemicals'!$D$5:$D$167,$L64)&amp;"")</f>
        <v/>
      </c>
      <c r="D64" s="195" t="str">
        <f t="array" ref="D64">IF($L64="","",INDEX('Licence Chemicals'!$E$5:$E$167,$L64)&amp;"")</f>
        <v/>
      </c>
      <c r="E64" s="200" t="str">
        <f t="array" ref="E64">IF($L64="","",IF(INDEX('Licence Chemicals'!$F$5:$F$167,$L64)="","Industrial Chemical",INDEX('Licence Chemicals'!$F$5:$F$167,$L64)&amp;""))</f>
        <v/>
      </c>
      <c r="F64" s="193"/>
      <c r="G64" s="168"/>
      <c r="L64" s="225" t="str">
        <f>IFERROR(__xludf.DUMMYFUNCTION("ARRAY_CONSTRAIN(ARRAYFORMULA(IFERROR(SMALL(FILTER((ROW('Licence Chemicals'!$A$5:$A$167)-ROW('Licence Chemicals'!$A$4:$I$4)),IFERROR(('Licence Chemicals'!$A$5:$A$167=$J$4),FALSE)),ROWS($L$22:L64)),"""")), 1, 1)"),"")</f>
        <v/>
      </c>
    </row>
    <row r="65" ht="16.5" customHeight="1">
      <c r="A65" s="168"/>
      <c r="B65" s="195" t="str">
        <f t="shared" si="1"/>
        <v/>
      </c>
      <c r="C65" s="196" t="str">
        <f t="array" ref="C65">IF($L65="","",INDEX('Licence Chemicals'!$D$5:$D$167,$L65)&amp;"")</f>
        <v/>
      </c>
      <c r="D65" s="195" t="str">
        <f t="array" ref="D65">IF($L65="","",INDEX('Licence Chemicals'!$E$5:$E$167,$L65)&amp;"")</f>
        <v/>
      </c>
      <c r="E65" s="200" t="str">
        <f t="array" ref="E65">IF($L65="","",IF(INDEX('Licence Chemicals'!$F$5:$F$167,$L65)="","Industrial Chemical",INDEX('Licence Chemicals'!$F$5:$F$167,$L65)&amp;""))</f>
        <v/>
      </c>
      <c r="F65" s="193"/>
      <c r="G65" s="168"/>
      <c r="L65" s="225" t="str">
        <f>IFERROR(__xludf.DUMMYFUNCTION("ARRAY_CONSTRAIN(ARRAYFORMULA(IFERROR(SMALL(FILTER((ROW('Licence Chemicals'!$A$5:$A$167)-ROW('Licence Chemicals'!$A$4:$I$4)),IFERROR(('Licence Chemicals'!$A$5:$A$167=$J$4),FALSE)),ROWS($L$22:L65)),"""")), 1, 1)"),"")</f>
        <v/>
      </c>
    </row>
    <row r="66" ht="16.5" customHeight="1">
      <c r="A66" s="168"/>
      <c r="B66" s="195" t="str">
        <f t="shared" si="1"/>
        <v/>
      </c>
      <c r="C66" s="196" t="str">
        <f t="array" ref="C66">IF($L66="","",INDEX('Licence Chemicals'!$D$5:$D$167,$L66)&amp;"")</f>
        <v/>
      </c>
      <c r="D66" s="195" t="str">
        <f t="array" ref="D66">IF($L66="","",INDEX('Licence Chemicals'!$E$5:$E$167,$L66)&amp;"")</f>
        <v/>
      </c>
      <c r="E66" s="200" t="str">
        <f t="array" ref="E66">IF($L66="","",IF(INDEX('Licence Chemicals'!$F$5:$F$167,$L66)="","Industrial Chemical",INDEX('Licence Chemicals'!$F$5:$F$167,$L66)&amp;""))</f>
        <v/>
      </c>
      <c r="F66" s="193"/>
      <c r="G66" s="168"/>
      <c r="L66" s="225" t="str">
        <f>IFERROR(__xludf.DUMMYFUNCTION("ARRAY_CONSTRAIN(ARRAYFORMULA(IFERROR(SMALL(FILTER((ROW('Licence Chemicals'!$A$5:$A$167)-ROW('Licence Chemicals'!$A$4:$I$4)),IFERROR(('Licence Chemicals'!$A$5:$A$167=$J$4),FALSE)),ROWS($L$22:L66)),"""")), 1, 1)"),"")</f>
        <v/>
      </c>
    </row>
    <row r="67" ht="16.5" customHeight="1">
      <c r="A67" s="168"/>
      <c r="B67" s="195" t="str">
        <f t="shared" si="1"/>
        <v/>
      </c>
      <c r="C67" s="196" t="str">
        <f t="array" ref="C67">IF($L67="","",INDEX('Licence Chemicals'!$D$5:$D$167,$L67)&amp;"")</f>
        <v/>
      </c>
      <c r="D67" s="195" t="str">
        <f t="array" ref="D67">IF($L67="","",INDEX('Licence Chemicals'!$E$5:$E$167,$L67)&amp;"")</f>
        <v/>
      </c>
      <c r="E67" s="200" t="str">
        <f t="array" ref="E67">IF($L67="","",IF(INDEX('Licence Chemicals'!$F$5:$F$167,$L67)="","Industrial Chemical",INDEX('Licence Chemicals'!$F$5:$F$167,$L67)&amp;""))</f>
        <v/>
      </c>
      <c r="F67" s="193"/>
      <c r="G67" s="168"/>
      <c r="L67" s="225" t="str">
        <f>IFERROR(__xludf.DUMMYFUNCTION("ARRAY_CONSTRAIN(ARRAYFORMULA(IFERROR(SMALL(FILTER((ROW('Licence Chemicals'!$A$5:$A$167)-ROW('Licence Chemicals'!$A$4:$I$4)),IFERROR(('Licence Chemicals'!$A$5:$A$167=$J$4),FALSE)),ROWS($L$22:L67)),"""")), 1, 1)"),"")</f>
        <v/>
      </c>
    </row>
    <row r="68" ht="16.5" customHeight="1">
      <c r="A68" s="168"/>
      <c r="B68" s="195" t="str">
        <f t="shared" si="1"/>
        <v/>
      </c>
      <c r="C68" s="196" t="str">
        <f t="array" ref="C68">IF($L68="","",INDEX('Licence Chemicals'!$D$5:$D$167,$L68)&amp;"")</f>
        <v/>
      </c>
      <c r="D68" s="195" t="str">
        <f t="array" ref="D68">IF($L68="","",INDEX('Licence Chemicals'!$E$5:$E$167,$L68)&amp;"")</f>
        <v/>
      </c>
      <c r="E68" s="200" t="str">
        <f t="array" ref="E68">IF($L68="","",IF(INDEX('Licence Chemicals'!$F$5:$F$167,$L68)="","Industrial Chemical",INDEX('Licence Chemicals'!$F$5:$F$167,$L68)&amp;""))</f>
        <v/>
      </c>
      <c r="F68" s="193"/>
      <c r="G68" s="168"/>
      <c r="L68" s="225" t="str">
        <f>IFERROR(__xludf.DUMMYFUNCTION("ARRAY_CONSTRAIN(ARRAYFORMULA(IFERROR(SMALL(FILTER((ROW('Licence Chemicals'!$A$5:$A$167)-ROW('Licence Chemicals'!$A$4:$I$4)),IFERROR(('Licence Chemicals'!$A$5:$A$167=$J$4),FALSE)),ROWS($L$22:L68)),"""")), 1, 1)"),"")</f>
        <v/>
      </c>
    </row>
    <row r="69" ht="16.5" customHeight="1">
      <c r="A69" s="168"/>
      <c r="B69" s="195" t="str">
        <f t="shared" si="1"/>
        <v/>
      </c>
      <c r="C69" s="196" t="str">
        <f t="array" ref="C69">IF($L69="","",INDEX('Licence Chemicals'!$D$5:$D$167,$L69)&amp;"")</f>
        <v/>
      </c>
      <c r="D69" s="195" t="str">
        <f t="array" ref="D69">IF($L69="","",INDEX('Licence Chemicals'!$E$5:$E$167,$L69)&amp;"")</f>
        <v/>
      </c>
      <c r="E69" s="200" t="str">
        <f t="array" ref="E69">IF($L69="","",IF(INDEX('Licence Chemicals'!$F$5:$F$167,$L69)="","Industrial Chemical",INDEX('Licence Chemicals'!$F$5:$F$167,$L69)&amp;""))</f>
        <v/>
      </c>
      <c r="F69" s="193"/>
      <c r="G69" s="168"/>
      <c r="L69" s="225" t="str">
        <f>IFERROR(__xludf.DUMMYFUNCTION("ARRAY_CONSTRAIN(ARRAYFORMULA(IFERROR(SMALL(FILTER((ROW('Licence Chemicals'!$A$5:$A$167)-ROW('Licence Chemicals'!$A$4:$I$4)),IFERROR(('Licence Chemicals'!$A$5:$A$167=$J$4),FALSE)),ROWS($L$22:L69)),"""")), 1, 1)"),"")</f>
        <v/>
      </c>
    </row>
    <row r="70" ht="16.5" customHeight="1">
      <c r="A70" s="168"/>
      <c r="B70" s="195" t="str">
        <f t="shared" si="1"/>
        <v/>
      </c>
      <c r="C70" s="196" t="str">
        <f t="array" ref="C70">IF($L70="","",INDEX('Licence Chemicals'!$D$5:$D$167,$L70)&amp;"")</f>
        <v/>
      </c>
      <c r="D70" s="195" t="str">
        <f t="array" ref="D70">IF($L70="","",INDEX('Licence Chemicals'!$E$5:$E$167,$L70)&amp;"")</f>
        <v/>
      </c>
      <c r="E70" s="200" t="str">
        <f t="array" ref="E70">IF($L70="","",IF(INDEX('Licence Chemicals'!$F$5:$F$167,$L70)="","Industrial Chemical",INDEX('Licence Chemicals'!$F$5:$F$167,$L70)&amp;""))</f>
        <v/>
      </c>
      <c r="F70" s="193"/>
      <c r="G70" s="168"/>
      <c r="L70" s="225" t="str">
        <f>IFERROR(__xludf.DUMMYFUNCTION("ARRAY_CONSTRAIN(ARRAYFORMULA(IFERROR(SMALL(FILTER((ROW('Licence Chemicals'!$A$5:$A$167)-ROW('Licence Chemicals'!$A$4:$I$4)),IFERROR(('Licence Chemicals'!$A$5:$A$167=$J$4),FALSE)),ROWS($L$22:L70)),"""")), 1, 1)"),"")</f>
        <v/>
      </c>
    </row>
    <row r="71" ht="16.5" customHeight="1">
      <c r="A71" s="168"/>
      <c r="B71" s="195" t="str">
        <f t="shared" si="1"/>
        <v/>
      </c>
      <c r="C71" s="196" t="str">
        <f t="array" ref="C71">IF($L71="","",INDEX('Licence Chemicals'!$D$5:$D$167,$L71)&amp;"")</f>
        <v/>
      </c>
      <c r="D71" s="195" t="str">
        <f t="array" ref="D71">IF($L71="","",INDEX('Licence Chemicals'!$E$5:$E$167,$L71)&amp;"")</f>
        <v/>
      </c>
      <c r="E71" s="200" t="str">
        <f t="array" ref="E71">IF($L71="","",IF(INDEX('Licence Chemicals'!$F$5:$F$167,$L71)="","Industrial Chemical",INDEX('Licence Chemicals'!$F$5:$F$167,$L71)&amp;""))</f>
        <v/>
      </c>
      <c r="F71" s="193"/>
      <c r="G71" s="168"/>
      <c r="L71" s="225" t="str">
        <f>IFERROR(__xludf.DUMMYFUNCTION("ARRAY_CONSTRAIN(ARRAYFORMULA(IFERROR(SMALL(FILTER((ROW('Licence Chemicals'!$A$5:$A$167)-ROW('Licence Chemicals'!$A$4:$I$4)),IFERROR(('Licence Chemicals'!$A$5:$A$167=$J$4),FALSE)),ROWS($L$22:L71)),"""")), 1, 1)"),"")</f>
        <v/>
      </c>
    </row>
    <row r="72" ht="16.5" customHeight="1">
      <c r="A72" s="168"/>
      <c r="B72" s="195" t="str">
        <f t="shared" si="1"/>
        <v/>
      </c>
      <c r="C72" s="196" t="str">
        <f t="array" ref="C72">IF($L72="","",INDEX('Licence Chemicals'!$D$5:$D$167,$L72)&amp;"")</f>
        <v/>
      </c>
      <c r="D72" s="195" t="str">
        <f t="array" ref="D72">IF($L72="","",INDEX('Licence Chemicals'!$E$5:$E$167,$L72)&amp;"")</f>
        <v/>
      </c>
      <c r="E72" s="200" t="str">
        <f t="array" ref="E72">IF($L72="","",IF(INDEX('Licence Chemicals'!$F$5:$F$167,$L72)="","Industrial Chemical",INDEX('Licence Chemicals'!$F$5:$F$167,$L72)&amp;""))</f>
        <v/>
      </c>
      <c r="F72" s="193"/>
      <c r="G72" s="168"/>
      <c r="L72" s="225" t="str">
        <f>IFERROR(__xludf.DUMMYFUNCTION("ARRAY_CONSTRAIN(ARRAYFORMULA(IFERROR(SMALL(FILTER((ROW('Licence Chemicals'!$A$5:$A$167)-ROW('Licence Chemicals'!$A$4:$I$4)),IFERROR(('Licence Chemicals'!$A$5:$A$167=$J$4),FALSE)),ROWS($L$22:L72)),"""")), 1, 1)"),"")</f>
        <v/>
      </c>
    </row>
    <row r="73" ht="16.5" customHeight="1">
      <c r="A73" s="168"/>
      <c r="B73" s="195" t="str">
        <f t="shared" si="1"/>
        <v/>
      </c>
      <c r="C73" s="196" t="str">
        <f t="array" ref="C73">IF($L73="","",INDEX('Licence Chemicals'!$D$5:$D$167,$L73)&amp;"")</f>
        <v/>
      </c>
      <c r="D73" s="195" t="str">
        <f t="array" ref="D73">IF($L73="","",INDEX('Licence Chemicals'!$E$5:$E$167,$L73)&amp;"")</f>
        <v/>
      </c>
      <c r="E73" s="200" t="str">
        <f t="array" ref="E73">IF($L73="","",IF(INDEX('Licence Chemicals'!$F$5:$F$167,$L73)="","Industrial Chemical",INDEX('Licence Chemicals'!$F$5:$F$167,$L73)&amp;""))</f>
        <v/>
      </c>
      <c r="F73" s="193"/>
      <c r="G73" s="168"/>
      <c r="L73" s="225" t="str">
        <f>IFERROR(__xludf.DUMMYFUNCTION("ARRAY_CONSTRAIN(ARRAYFORMULA(IFERROR(SMALL(FILTER((ROW('Licence Chemicals'!$A$5:$A$167)-ROW('Licence Chemicals'!$A$4:$I$4)),IFERROR(('Licence Chemicals'!$A$5:$A$167=$J$4),FALSE)),ROWS($L$22:L73)),"""")), 1, 1)"),"")</f>
        <v/>
      </c>
    </row>
    <row r="74" ht="16.5" customHeight="1">
      <c r="A74" s="168"/>
      <c r="B74" s="195" t="str">
        <f t="shared" si="1"/>
        <v/>
      </c>
      <c r="C74" s="196" t="str">
        <f t="array" ref="C74">IF($L74="","",INDEX('Licence Chemicals'!$D$5:$D$167,$L74)&amp;"")</f>
        <v/>
      </c>
      <c r="D74" s="195" t="str">
        <f t="array" ref="D74">IF($L74="","",INDEX('Licence Chemicals'!$E$5:$E$167,$L74)&amp;"")</f>
        <v/>
      </c>
      <c r="E74" s="200" t="str">
        <f t="array" ref="E74">IF($L74="","",IF(INDEX('Licence Chemicals'!$F$5:$F$167,$L74)="","Industrial Chemical",INDEX('Licence Chemicals'!$F$5:$F$167,$L74)&amp;""))</f>
        <v/>
      </c>
      <c r="F74" s="193"/>
      <c r="G74" s="168"/>
      <c r="L74" s="225" t="str">
        <f>IFERROR(__xludf.DUMMYFUNCTION("ARRAY_CONSTRAIN(ARRAYFORMULA(IFERROR(SMALL(FILTER((ROW('Licence Chemicals'!$A$5:$A$167)-ROW('Licence Chemicals'!$A$4:$I$4)),IFERROR(('Licence Chemicals'!$A$5:$A$167=$J$4),FALSE)),ROWS($L$22:L74)),"""")), 1, 1)"),"")</f>
        <v/>
      </c>
    </row>
    <row r="75" ht="16.5" customHeight="1">
      <c r="A75" s="168"/>
      <c r="B75" s="195" t="str">
        <f t="shared" si="1"/>
        <v/>
      </c>
      <c r="C75" s="196" t="str">
        <f t="array" ref="C75">IF($L75="","",INDEX('Licence Chemicals'!$D$5:$D$167,$L75)&amp;"")</f>
        <v/>
      </c>
      <c r="D75" s="195" t="str">
        <f t="array" ref="D75">IF($L75="","",INDEX('Licence Chemicals'!$E$5:$E$167,$L75)&amp;"")</f>
        <v/>
      </c>
      <c r="E75" s="200" t="str">
        <f t="array" ref="E75">IF($L75="","",IF(INDEX('Licence Chemicals'!$F$5:$F$167,$L75)="","Industrial Chemical",INDEX('Licence Chemicals'!$F$5:$F$167,$L75)&amp;""))</f>
        <v/>
      </c>
      <c r="F75" s="193"/>
      <c r="G75" s="168"/>
      <c r="L75" s="225" t="str">
        <f>IFERROR(__xludf.DUMMYFUNCTION("ARRAY_CONSTRAIN(ARRAYFORMULA(IFERROR(SMALL(FILTER((ROW('Licence Chemicals'!$A$5:$A$167)-ROW('Licence Chemicals'!$A$4:$I$4)),IFERROR(('Licence Chemicals'!$A$5:$A$167=$J$4),FALSE)),ROWS($L$22:L75)),"""")), 1, 1)"),"")</f>
        <v/>
      </c>
    </row>
    <row r="76" ht="16.5" customHeight="1">
      <c r="A76" s="168"/>
      <c r="B76" s="195" t="str">
        <f t="shared" si="1"/>
        <v/>
      </c>
      <c r="C76" s="196" t="str">
        <f t="array" ref="C76">IF($L76="","",INDEX('Licence Chemicals'!$D$5:$D$167,$L76)&amp;"")</f>
        <v/>
      </c>
      <c r="D76" s="195" t="str">
        <f t="array" ref="D76">IF($L76="","",INDEX('Licence Chemicals'!$E$5:$E$167,$L76)&amp;"")</f>
        <v/>
      </c>
      <c r="E76" s="200" t="str">
        <f t="array" ref="E76">IF($L76="","",IF(INDEX('Licence Chemicals'!$F$5:$F$167,$L76)="","Industrial Chemical",INDEX('Licence Chemicals'!$F$5:$F$167,$L76)&amp;""))</f>
        <v/>
      </c>
      <c r="F76" s="193"/>
      <c r="G76" s="168"/>
      <c r="L76" s="225" t="str">
        <f>IFERROR(__xludf.DUMMYFUNCTION("ARRAY_CONSTRAIN(ARRAYFORMULA(IFERROR(SMALL(FILTER((ROW('Licence Chemicals'!$A$5:$A$167)-ROW('Licence Chemicals'!$A$4:$I$4)),IFERROR(('Licence Chemicals'!$A$5:$A$167=$J$4),FALSE)),ROWS($L$22:L76)),"""")), 1, 1)"),"")</f>
        <v/>
      </c>
    </row>
    <row r="77" ht="16.5" customHeight="1">
      <c r="A77" s="168"/>
      <c r="B77" s="195" t="str">
        <f t="shared" si="1"/>
        <v/>
      </c>
      <c r="C77" s="196" t="str">
        <f t="array" ref="C77">IF($L77="","",INDEX('Licence Chemicals'!$D$5:$D$167,$L77)&amp;"")</f>
        <v/>
      </c>
      <c r="D77" s="195" t="str">
        <f t="array" ref="D77">IF($L77="","",INDEX('Licence Chemicals'!$E$5:$E$167,$L77)&amp;"")</f>
        <v/>
      </c>
      <c r="E77" s="200" t="str">
        <f t="array" ref="E77">IF($L77="","",IF(INDEX('Licence Chemicals'!$F$5:$F$167,$L77)="","Industrial Chemical",INDEX('Licence Chemicals'!$F$5:$F$167,$L77)&amp;""))</f>
        <v/>
      </c>
      <c r="F77" s="193"/>
      <c r="G77" s="168"/>
      <c r="L77" s="225" t="str">
        <f>IFERROR(__xludf.DUMMYFUNCTION("ARRAY_CONSTRAIN(ARRAYFORMULA(IFERROR(SMALL(FILTER((ROW('Licence Chemicals'!$A$5:$A$167)-ROW('Licence Chemicals'!$A$4:$I$4)),IFERROR(('Licence Chemicals'!$A$5:$A$167=$J$4),FALSE)),ROWS($L$22:L77)),"""")), 1, 1)"),"")</f>
        <v/>
      </c>
    </row>
    <row r="78" ht="16.5" customHeight="1">
      <c r="A78" s="168"/>
      <c r="B78" s="195" t="str">
        <f t="shared" si="1"/>
        <v/>
      </c>
      <c r="C78" s="196" t="str">
        <f t="array" ref="C78">IF($L78="","",INDEX('Licence Chemicals'!$D$5:$D$167,$L78)&amp;"")</f>
        <v/>
      </c>
      <c r="D78" s="195" t="str">
        <f t="array" ref="D78">IF($L78="","",INDEX('Licence Chemicals'!$E$5:$E$167,$L78)&amp;"")</f>
        <v/>
      </c>
      <c r="E78" s="200" t="str">
        <f t="array" ref="E78">IF($L78="","",IF(INDEX('Licence Chemicals'!$F$5:$F$167,$L78)="","Industrial Chemical",INDEX('Licence Chemicals'!$F$5:$F$167,$L78)&amp;""))</f>
        <v/>
      </c>
      <c r="F78" s="193"/>
      <c r="G78" s="168"/>
      <c r="L78" s="225" t="str">
        <f>IFERROR(__xludf.DUMMYFUNCTION("ARRAY_CONSTRAIN(ARRAYFORMULA(IFERROR(SMALL(FILTER((ROW('Licence Chemicals'!$A$5:$A$167)-ROW('Licence Chemicals'!$A$4:$I$4)),IFERROR(('Licence Chemicals'!$A$5:$A$167=$J$4),FALSE)),ROWS($L$22:L78)),"""")), 1, 1)"),"")</f>
        <v/>
      </c>
    </row>
    <row r="79" ht="16.5" customHeight="1">
      <c r="A79" s="168"/>
      <c r="B79" s="195" t="str">
        <f t="shared" si="1"/>
        <v/>
      </c>
      <c r="C79" s="196" t="str">
        <f t="array" ref="C79">IF($L79="","",INDEX('Licence Chemicals'!$D$5:$D$167,$L79)&amp;"")</f>
        <v/>
      </c>
      <c r="D79" s="195" t="str">
        <f t="array" ref="D79">IF($L79="","",INDEX('Licence Chemicals'!$E$5:$E$167,$L79)&amp;"")</f>
        <v/>
      </c>
      <c r="E79" s="200" t="str">
        <f t="array" ref="E79">IF($L79="","",IF(INDEX('Licence Chemicals'!$F$5:$F$167,$L79)="","Industrial Chemical",INDEX('Licence Chemicals'!$F$5:$F$167,$L79)&amp;""))</f>
        <v/>
      </c>
      <c r="F79" s="193"/>
      <c r="G79" s="168"/>
      <c r="L79" s="225" t="str">
        <f>IFERROR(__xludf.DUMMYFUNCTION("ARRAY_CONSTRAIN(ARRAYFORMULA(IFERROR(SMALL(FILTER((ROW('Licence Chemicals'!$A$5:$A$167)-ROW('Licence Chemicals'!$A$4:$I$4)),IFERROR(('Licence Chemicals'!$A$5:$A$167=$J$4),FALSE)),ROWS($L$22:L79)),"""")), 1, 1)"),"")</f>
        <v/>
      </c>
    </row>
    <row r="80" ht="16.5" customHeight="1">
      <c r="A80" s="168"/>
      <c r="B80" s="195" t="str">
        <f t="shared" si="1"/>
        <v/>
      </c>
      <c r="C80" s="196" t="str">
        <f t="array" ref="C80">IF($L80="","",INDEX('Licence Chemicals'!$D$5:$D$167,$L80)&amp;"")</f>
        <v/>
      </c>
      <c r="D80" s="195" t="str">
        <f t="array" ref="D80">IF($L80="","",INDEX('Licence Chemicals'!$E$5:$E$167,$L80)&amp;"")</f>
        <v/>
      </c>
      <c r="E80" s="200" t="str">
        <f t="array" ref="E80">IF($L80="","",IF(INDEX('Licence Chemicals'!$F$5:$F$167,$L80)="","Industrial Chemical",INDEX('Licence Chemicals'!$F$5:$F$167,$L80)&amp;""))</f>
        <v/>
      </c>
      <c r="F80" s="193"/>
      <c r="G80" s="168"/>
      <c r="L80" s="225" t="str">
        <f>IFERROR(__xludf.DUMMYFUNCTION("ARRAY_CONSTRAIN(ARRAYFORMULA(IFERROR(SMALL(FILTER((ROW('Licence Chemicals'!$A$5:$A$167)-ROW('Licence Chemicals'!$A$4:$I$4)),IFERROR(('Licence Chemicals'!$A$5:$A$167=$J$4),FALSE)),ROWS($L$22:L80)),"""")), 1, 1)"),"")</f>
        <v/>
      </c>
    </row>
    <row r="81" ht="16.5" customHeight="1">
      <c r="A81" s="168"/>
      <c r="B81" s="195" t="str">
        <f t="shared" si="1"/>
        <v/>
      </c>
      <c r="C81" s="196" t="str">
        <f t="array" ref="C81">IF($L81="","",INDEX('Licence Chemicals'!$D$5:$D$167,$L81)&amp;"")</f>
        <v/>
      </c>
      <c r="D81" s="195" t="str">
        <f t="array" ref="D81">IF($L81="","",INDEX('Licence Chemicals'!$E$5:$E$167,$L81)&amp;"")</f>
        <v/>
      </c>
      <c r="E81" s="200" t="str">
        <f t="array" ref="E81">IF($L81="","",IF(INDEX('Licence Chemicals'!$F$5:$F$167,$L81)="","Industrial Chemical",INDEX('Licence Chemicals'!$F$5:$F$167,$L81)&amp;""))</f>
        <v/>
      </c>
      <c r="F81" s="193"/>
      <c r="G81" s="168"/>
      <c r="L81" s="225" t="str">
        <f>IFERROR(__xludf.DUMMYFUNCTION("ARRAY_CONSTRAIN(ARRAYFORMULA(IFERROR(SMALL(FILTER((ROW('Licence Chemicals'!$A$5:$A$167)-ROW('Licence Chemicals'!$A$4:$I$4)),IFERROR(('Licence Chemicals'!$A$5:$A$167=$J$4),FALSE)),ROWS($L$22:L81)),"""")), 1, 1)"),"")</f>
        <v/>
      </c>
    </row>
    <row r="82" ht="14.25" customHeight="1">
      <c r="A82" s="168"/>
      <c r="B82" s="168"/>
      <c r="C82" s="168"/>
      <c r="D82" s="168"/>
      <c r="E82" s="168"/>
      <c r="F82" s="168"/>
      <c r="G82" s="168"/>
    </row>
    <row r="83" ht="14.25" customHeight="1">
      <c r="A83" s="168"/>
      <c r="B83" s="190" t="s">
        <v>637</v>
      </c>
      <c r="G83" s="168"/>
    </row>
    <row r="84" ht="33.0" customHeight="1">
      <c r="A84" s="168"/>
      <c r="B84" s="268">
        <v>1.0</v>
      </c>
      <c r="C84" s="231" t="s">
        <v>709</v>
      </c>
      <c r="G84" s="168"/>
    </row>
    <row r="85" ht="63.0" customHeight="1">
      <c r="A85" s="168"/>
      <c r="B85" s="268">
        <v>2.0</v>
      </c>
      <c r="C85" s="231" t="s">
        <v>710</v>
      </c>
      <c r="G85" s="168"/>
    </row>
    <row r="86" ht="48.0" customHeight="1">
      <c r="A86" s="168"/>
      <c r="B86" s="268">
        <v>3.0</v>
      </c>
      <c r="C86" s="231" t="s">
        <v>711</v>
      </c>
      <c r="G86" s="168"/>
    </row>
    <row r="87" ht="33.0" customHeight="1">
      <c r="A87" s="168"/>
      <c r="B87" s="268">
        <v>4.0</v>
      </c>
      <c r="C87" s="231" t="s">
        <v>712</v>
      </c>
      <c r="G87" s="168"/>
    </row>
    <row r="88" ht="14.25" customHeight="1">
      <c r="A88" s="168"/>
      <c r="B88" s="168"/>
      <c r="C88" s="168"/>
      <c r="D88" s="168"/>
      <c r="E88" s="168"/>
      <c r="F88" s="168"/>
      <c r="G88" s="168"/>
    </row>
    <row r="89" ht="14.25" customHeight="1">
      <c r="A89" s="168"/>
      <c r="B89" s="248" t="str">
        <f>"Issued Date:  "&amp;IF($J$10="","________",DAY($J$10)&amp;IF(AND(DAY($J$10)&gt;=11,DAY($J$10)&lt;=13),"th",CHOOSE(MIN(MOD(DAY($J$10),10)+1,5),"th","st","nd","rd","th"))&amp;" "&amp;TEXT($J$10,"mmmm, yyyy"))</f>
        <v>Issued Date:  ________</v>
      </c>
      <c r="D89" s="238" t="str">
        <f>"Expired Date:  "&amp;IF($J$11="","________",DAY($J$11)&amp;IF(AND(DAY($J$11)&gt;=11,DAY($J$11)&lt;=13),"th",CHOOSE(MIN(MOD(DAY($J$11),10)+1,5),"th","st","nd","rd","th"))&amp;" "&amp;TEXT($J$11,"mmmm, yyyy"))</f>
        <v>Expired Date:  ________</v>
      </c>
      <c r="G89" s="168"/>
    </row>
    <row r="90" ht="39.75" customHeight="1">
      <c r="A90" s="168"/>
      <c r="B90" s="168"/>
      <c r="C90" s="168"/>
      <c r="D90" s="168"/>
      <c r="E90" s="168"/>
      <c r="F90" s="168"/>
      <c r="G90" s="168"/>
    </row>
    <row r="91" ht="14.25" customHeight="1">
      <c r="A91" s="168"/>
      <c r="B91" s="183" t="s">
        <v>680</v>
      </c>
      <c r="G91" s="168"/>
    </row>
    <row r="92" ht="14.25" customHeight="1">
      <c r="A92" s="168"/>
      <c r="B92" s="183" t="str">
        <f t="array" ref="B92">IFERROR(INDEX(Lists!$U$5:$U$7,MATCH($J$13,Lists!$T$5:$T$7,0)),"")</f>
        <v>Dr. Emmanuel K. Urey Yarkpawolo</v>
      </c>
      <c r="G92" s="168"/>
    </row>
    <row r="93" ht="14.25" customHeight="1">
      <c r="A93" s="168"/>
      <c r="B93" s="239" t="str">
        <f t="array" ref="B93">IFERROR(INDEX(Lists!$V$5:$V$7,MATCH($J$13,Lists!$T$5:$T$7,0)),"")</f>
        <v>EXECUTIVE DIRECTOR/CEO</v>
      </c>
      <c r="G93" s="168"/>
    </row>
    <row r="94" ht="14.25" customHeight="1">
      <c r="A94" s="168"/>
      <c r="B94" s="168"/>
      <c r="C94" s="168"/>
      <c r="D94" s="168"/>
      <c r="E94" s="168"/>
      <c r="F94" s="168"/>
      <c r="G94" s="168"/>
    </row>
    <row r="95" ht="14.25" customHeight="1">
      <c r="A95" s="168"/>
      <c r="B95" s="168"/>
      <c r="C95" s="168"/>
      <c r="D95" s="168"/>
      <c r="E95" s="168"/>
      <c r="F95" s="168"/>
      <c r="G95" s="168"/>
    </row>
    <row r="96" ht="14.25" customHeight="1">
      <c r="A96" s="168"/>
      <c r="B96" s="168"/>
      <c r="C96" s="168"/>
      <c r="D96" s="168"/>
      <c r="E96" s="168"/>
      <c r="F96" s="168"/>
      <c r="G96" s="168"/>
    </row>
    <row r="97" ht="14.25" customHeight="1">
      <c r="A97" s="168"/>
      <c r="B97" s="168"/>
      <c r="C97" s="168"/>
      <c r="D97" s="168"/>
      <c r="E97" s="168"/>
      <c r="F97" s="168"/>
      <c r="G97" s="168"/>
    </row>
    <row r="98" ht="14.25" customHeight="1">
      <c r="A98" s="168"/>
      <c r="B98" s="168"/>
      <c r="C98" s="168"/>
      <c r="D98" s="168"/>
      <c r="E98" s="168"/>
      <c r="F98" s="168"/>
      <c r="G98" s="168"/>
    </row>
    <row r="99" ht="14.25" customHeight="1">
      <c r="A99" s="168"/>
      <c r="B99" s="168"/>
      <c r="C99" s="168"/>
      <c r="D99" s="168"/>
      <c r="E99" s="168"/>
      <c r="F99" s="168"/>
      <c r="G99" s="168"/>
    </row>
    <row r="100" ht="14.25" customHeight="1">
      <c r="A100" s="168"/>
      <c r="B100" s="168"/>
      <c r="C100" s="168"/>
      <c r="D100" s="168"/>
      <c r="E100" s="168"/>
      <c r="F100" s="168"/>
      <c r="G100" s="168"/>
    </row>
    <row r="101" ht="14.25" customHeight="1">
      <c r="A101" s="168"/>
      <c r="B101" s="168"/>
      <c r="C101" s="168"/>
      <c r="D101" s="168"/>
      <c r="E101" s="168"/>
      <c r="F101" s="168"/>
      <c r="G101" s="168"/>
    </row>
    <row r="102" ht="14.25" customHeight="1">
      <c r="A102" s="168"/>
      <c r="B102" s="168"/>
      <c r="C102" s="168"/>
      <c r="D102" s="168"/>
      <c r="E102" s="168"/>
      <c r="F102" s="168"/>
      <c r="G102" s="168"/>
    </row>
    <row r="103" ht="14.25" customHeight="1">
      <c r="A103" s="168"/>
      <c r="B103" s="168"/>
      <c r="C103" s="168"/>
      <c r="D103" s="168"/>
      <c r="E103" s="168"/>
      <c r="F103" s="168"/>
      <c r="G103" s="168"/>
    </row>
    <row r="104" ht="14.25" customHeight="1">
      <c r="A104" s="168"/>
      <c r="B104" s="168"/>
      <c r="C104" s="168"/>
      <c r="D104" s="168"/>
      <c r="E104" s="168"/>
      <c r="F104" s="168"/>
      <c r="G104" s="168"/>
    </row>
    <row r="105" ht="14.25" customHeight="1">
      <c r="A105" s="168"/>
      <c r="B105" s="168"/>
      <c r="C105" s="168"/>
      <c r="D105" s="168"/>
      <c r="E105" s="168"/>
      <c r="F105" s="168"/>
      <c r="G105" s="168"/>
    </row>
    <row r="106" ht="14.25" customHeight="1">
      <c r="A106" s="168"/>
      <c r="B106" s="168"/>
      <c r="C106" s="168"/>
      <c r="D106" s="168"/>
      <c r="E106" s="168"/>
      <c r="F106" s="168"/>
      <c r="G106" s="168"/>
    </row>
    <row r="107" ht="14.25" customHeight="1">
      <c r="A107" s="168"/>
      <c r="B107" s="168"/>
      <c r="C107" s="168"/>
      <c r="D107" s="168"/>
      <c r="E107" s="168"/>
      <c r="F107" s="168"/>
      <c r="G107" s="168"/>
    </row>
    <row r="108" ht="14.25" customHeight="1">
      <c r="A108" s="168"/>
      <c r="B108" s="168"/>
      <c r="C108" s="168"/>
      <c r="D108" s="168"/>
      <c r="E108" s="168"/>
      <c r="F108" s="168"/>
      <c r="G108" s="168"/>
    </row>
    <row r="109" ht="14.25" customHeight="1">
      <c r="A109" s="168"/>
      <c r="B109" s="168"/>
      <c r="C109" s="168"/>
      <c r="D109" s="168"/>
      <c r="E109" s="168"/>
      <c r="F109" s="168"/>
      <c r="G109" s="168"/>
    </row>
    <row r="110" ht="14.25" customHeight="1">
      <c r="A110" s="168"/>
      <c r="B110" s="168"/>
      <c r="C110" s="168"/>
      <c r="D110" s="168"/>
      <c r="E110" s="168"/>
      <c r="F110" s="168"/>
      <c r="G110" s="168"/>
    </row>
    <row r="111" ht="14.25" customHeight="1">
      <c r="A111" s="168"/>
      <c r="B111" s="168"/>
      <c r="C111" s="168"/>
      <c r="D111" s="168"/>
      <c r="E111" s="168"/>
      <c r="F111" s="168"/>
      <c r="G111" s="168"/>
    </row>
    <row r="112" ht="14.25" customHeight="1">
      <c r="A112" s="168"/>
      <c r="B112" s="168"/>
      <c r="C112" s="168"/>
      <c r="D112" s="168"/>
      <c r="E112" s="168"/>
      <c r="F112" s="168"/>
      <c r="G112" s="168"/>
    </row>
    <row r="113" ht="14.25" customHeight="1">
      <c r="A113" s="168"/>
      <c r="B113" s="168"/>
      <c r="C113" s="168"/>
      <c r="D113" s="168"/>
      <c r="E113" s="168"/>
      <c r="F113" s="168"/>
      <c r="G113" s="168"/>
    </row>
    <row r="114" ht="14.25" customHeight="1">
      <c r="A114" s="168"/>
      <c r="B114" s="168"/>
      <c r="C114" s="168"/>
      <c r="D114" s="168"/>
      <c r="E114" s="168"/>
      <c r="F114" s="168"/>
      <c r="G114" s="168"/>
    </row>
    <row r="115" ht="14.25" customHeight="1">
      <c r="A115" s="168"/>
      <c r="B115" s="168"/>
      <c r="C115" s="168"/>
      <c r="D115" s="168"/>
      <c r="E115" s="168"/>
      <c r="F115" s="168"/>
      <c r="G115" s="168"/>
    </row>
    <row r="116" ht="14.25" customHeight="1">
      <c r="A116" s="168"/>
      <c r="B116" s="168"/>
      <c r="C116" s="168"/>
      <c r="D116" s="168"/>
      <c r="E116" s="168"/>
      <c r="F116" s="168"/>
      <c r="G116" s="168"/>
    </row>
    <row r="117" ht="14.25" customHeight="1">
      <c r="A117" s="168"/>
      <c r="B117" s="168"/>
      <c r="C117" s="168"/>
      <c r="D117" s="168"/>
      <c r="E117" s="168"/>
      <c r="F117" s="168"/>
      <c r="G117" s="168"/>
    </row>
    <row r="118" ht="14.25" customHeight="1">
      <c r="A118" s="168"/>
      <c r="B118" s="168"/>
      <c r="C118" s="168"/>
      <c r="D118" s="168"/>
      <c r="E118" s="168"/>
      <c r="F118" s="168"/>
      <c r="G118" s="168"/>
    </row>
    <row r="119" ht="14.25" customHeight="1">
      <c r="A119" s="168"/>
      <c r="B119" s="168"/>
      <c r="C119" s="168"/>
      <c r="D119" s="168"/>
      <c r="E119" s="168"/>
      <c r="F119" s="168"/>
      <c r="G119" s="168"/>
    </row>
    <row r="120" ht="14.25" customHeight="1">
      <c r="A120" s="168"/>
      <c r="B120" s="168"/>
      <c r="C120" s="168"/>
      <c r="D120" s="168"/>
      <c r="E120" s="168"/>
      <c r="F120" s="168"/>
      <c r="G120" s="168"/>
    </row>
    <row r="121" ht="14.25" customHeight="1">
      <c r="A121" s="168"/>
      <c r="B121" s="168"/>
      <c r="C121" s="168"/>
      <c r="D121" s="168"/>
      <c r="E121" s="168"/>
      <c r="F121" s="168"/>
      <c r="G121" s="168"/>
    </row>
    <row r="122" ht="14.25" customHeight="1">
      <c r="A122" s="168"/>
      <c r="B122" s="168"/>
      <c r="C122" s="168"/>
      <c r="D122" s="168"/>
      <c r="E122" s="168"/>
      <c r="F122" s="168"/>
      <c r="G122" s="168"/>
    </row>
    <row r="123" ht="14.25" customHeight="1">
      <c r="A123" s="168"/>
      <c r="B123" s="168"/>
      <c r="C123" s="168"/>
      <c r="D123" s="168"/>
      <c r="E123" s="168"/>
      <c r="F123" s="168"/>
      <c r="G123" s="168"/>
    </row>
    <row r="124" ht="14.25" customHeight="1">
      <c r="A124" s="168"/>
      <c r="B124" s="168"/>
      <c r="C124" s="168"/>
      <c r="D124" s="168"/>
      <c r="E124" s="168"/>
      <c r="F124" s="168"/>
      <c r="G124" s="168"/>
    </row>
    <row r="125" ht="14.25" customHeight="1">
      <c r="A125" s="168"/>
      <c r="B125" s="168"/>
      <c r="C125" s="168"/>
      <c r="D125" s="168"/>
      <c r="E125" s="168"/>
      <c r="F125" s="168"/>
      <c r="G125" s="168"/>
    </row>
    <row r="126" ht="14.25" customHeight="1">
      <c r="A126" s="168"/>
      <c r="B126" s="168"/>
      <c r="C126" s="168"/>
      <c r="D126" s="168"/>
      <c r="E126" s="168"/>
      <c r="F126" s="168"/>
      <c r="G126" s="168"/>
    </row>
    <row r="127" ht="14.25" customHeight="1">
      <c r="A127" s="168"/>
      <c r="B127" s="168"/>
      <c r="C127" s="168"/>
      <c r="D127" s="168"/>
      <c r="E127" s="168"/>
      <c r="F127" s="168"/>
      <c r="G127" s="168"/>
    </row>
    <row r="128" ht="14.25" customHeight="1">
      <c r="A128" s="168"/>
      <c r="B128" s="168"/>
      <c r="C128" s="168"/>
      <c r="D128" s="168"/>
      <c r="E128" s="168"/>
      <c r="F128" s="168"/>
      <c r="G128" s="168"/>
    </row>
    <row r="129" ht="14.25" customHeight="1">
      <c r="A129" s="168"/>
      <c r="B129" s="168"/>
      <c r="C129" s="168"/>
      <c r="D129" s="168"/>
      <c r="E129" s="168"/>
      <c r="F129" s="168"/>
      <c r="G129" s="168"/>
    </row>
    <row r="130" ht="14.25" customHeight="1">
      <c r="A130" s="168"/>
      <c r="B130" s="168"/>
      <c r="C130" s="168"/>
      <c r="D130" s="168"/>
      <c r="E130" s="168"/>
      <c r="F130" s="168"/>
      <c r="G130" s="168"/>
    </row>
    <row r="131" ht="14.25" customHeight="1">
      <c r="A131" s="168"/>
      <c r="B131" s="168"/>
      <c r="C131" s="168"/>
      <c r="D131" s="168"/>
      <c r="E131" s="168"/>
      <c r="F131" s="168"/>
      <c r="G131" s="168"/>
    </row>
    <row r="132" ht="14.25" customHeight="1">
      <c r="A132" s="168"/>
      <c r="B132" s="168"/>
      <c r="C132" s="168"/>
      <c r="D132" s="168"/>
      <c r="E132" s="168"/>
      <c r="F132" s="168"/>
      <c r="G132" s="168"/>
    </row>
    <row r="133" ht="14.25" customHeight="1">
      <c r="A133" s="168"/>
      <c r="B133" s="168"/>
      <c r="C133" s="168"/>
      <c r="D133" s="168"/>
      <c r="E133" s="168"/>
      <c r="F133" s="168"/>
      <c r="G133" s="168"/>
    </row>
    <row r="134" ht="14.25" customHeight="1">
      <c r="A134" s="168"/>
      <c r="B134" s="168"/>
      <c r="C134" s="168"/>
      <c r="D134" s="168"/>
      <c r="E134" s="168"/>
      <c r="F134" s="168"/>
      <c r="G134" s="168"/>
    </row>
    <row r="135" ht="14.25" customHeight="1">
      <c r="A135" s="168"/>
      <c r="B135" s="168"/>
      <c r="C135" s="168"/>
      <c r="D135" s="168"/>
      <c r="E135" s="168"/>
      <c r="F135" s="168"/>
      <c r="G135" s="168"/>
    </row>
    <row r="136" ht="14.25" customHeight="1">
      <c r="A136" s="168"/>
      <c r="B136" s="168"/>
      <c r="C136" s="168"/>
      <c r="D136" s="168"/>
      <c r="E136" s="168"/>
      <c r="F136" s="168"/>
      <c r="G136" s="168"/>
    </row>
    <row r="137" ht="14.25" customHeight="1">
      <c r="A137" s="168"/>
      <c r="B137" s="168"/>
      <c r="C137" s="168"/>
      <c r="D137" s="168"/>
      <c r="E137" s="168"/>
      <c r="F137" s="168"/>
      <c r="G137" s="168"/>
    </row>
    <row r="138" ht="14.25" customHeight="1">
      <c r="A138" s="168"/>
      <c r="B138" s="168"/>
      <c r="C138" s="168"/>
      <c r="D138" s="168"/>
      <c r="E138" s="168"/>
      <c r="F138" s="168"/>
      <c r="G138" s="168"/>
    </row>
    <row r="139" ht="14.25" customHeight="1">
      <c r="A139" s="168"/>
      <c r="B139" s="168"/>
      <c r="C139" s="168"/>
      <c r="D139" s="168"/>
      <c r="E139" s="168"/>
      <c r="F139" s="168"/>
      <c r="G139" s="168"/>
    </row>
    <row r="140" ht="14.25" customHeight="1">
      <c r="A140" s="168"/>
      <c r="B140" s="168"/>
      <c r="C140" s="168"/>
      <c r="D140" s="168"/>
      <c r="E140" s="168"/>
      <c r="F140" s="168"/>
      <c r="G140" s="168"/>
    </row>
    <row r="141" ht="14.25" customHeight="1">
      <c r="A141" s="168"/>
      <c r="B141" s="168"/>
      <c r="C141" s="168"/>
      <c r="D141" s="168"/>
      <c r="E141" s="168"/>
      <c r="F141" s="168"/>
      <c r="G141" s="168"/>
    </row>
    <row r="142" ht="14.25" customHeight="1">
      <c r="A142" s="168"/>
      <c r="B142" s="168"/>
      <c r="C142" s="168"/>
      <c r="D142" s="168"/>
      <c r="E142" s="168"/>
      <c r="F142" s="168"/>
      <c r="G142" s="168"/>
    </row>
    <row r="143" ht="14.25" customHeight="1">
      <c r="A143" s="168"/>
      <c r="B143" s="168"/>
      <c r="C143" s="168"/>
      <c r="D143" s="168"/>
      <c r="E143" s="168"/>
      <c r="F143" s="168"/>
      <c r="G143" s="168"/>
    </row>
    <row r="144" ht="14.25" customHeight="1">
      <c r="A144" s="168"/>
      <c r="B144" s="168"/>
      <c r="C144" s="168"/>
      <c r="D144" s="168"/>
      <c r="E144" s="168"/>
      <c r="F144" s="168"/>
      <c r="G144" s="168"/>
    </row>
    <row r="145" ht="14.25" customHeight="1">
      <c r="A145" s="168"/>
      <c r="B145" s="168"/>
      <c r="C145" s="168"/>
      <c r="D145" s="168"/>
      <c r="E145" s="168"/>
      <c r="F145" s="168"/>
      <c r="G145" s="168"/>
    </row>
    <row r="146" ht="14.25" customHeight="1">
      <c r="A146" s="168"/>
      <c r="B146" s="168"/>
      <c r="C146" s="168"/>
      <c r="D146" s="168"/>
      <c r="E146" s="168"/>
      <c r="F146" s="168"/>
      <c r="G146" s="168"/>
    </row>
    <row r="147" ht="14.25" customHeight="1">
      <c r="A147" s="168"/>
      <c r="B147" s="168"/>
      <c r="C147" s="168"/>
      <c r="D147" s="168"/>
      <c r="E147" s="168"/>
      <c r="F147" s="168"/>
      <c r="G147" s="168"/>
    </row>
    <row r="148" ht="14.25" customHeight="1">
      <c r="A148" s="168"/>
      <c r="B148" s="168"/>
      <c r="C148" s="168"/>
      <c r="D148" s="168"/>
      <c r="E148" s="168"/>
      <c r="F148" s="168"/>
      <c r="G148" s="168"/>
    </row>
    <row r="149" ht="14.25" customHeight="1">
      <c r="A149" s="168"/>
      <c r="B149" s="168"/>
      <c r="C149" s="168"/>
      <c r="D149" s="168"/>
      <c r="E149" s="168"/>
      <c r="F149" s="168"/>
      <c r="G149" s="168"/>
    </row>
    <row r="150" ht="14.25" customHeight="1">
      <c r="A150" s="168"/>
      <c r="B150" s="168"/>
      <c r="C150" s="168"/>
      <c r="D150" s="168"/>
      <c r="E150" s="168"/>
      <c r="F150" s="168"/>
      <c r="G150" s="168"/>
    </row>
    <row r="151" ht="14.25" customHeight="1">
      <c r="A151" s="168"/>
      <c r="B151" s="168"/>
      <c r="C151" s="168"/>
      <c r="D151" s="168"/>
      <c r="E151" s="168"/>
      <c r="F151" s="168"/>
      <c r="G151" s="168"/>
    </row>
    <row r="152" ht="14.25" customHeight="1">
      <c r="A152" s="168"/>
      <c r="B152" s="168"/>
      <c r="C152" s="168"/>
      <c r="D152" s="168"/>
      <c r="E152" s="168"/>
      <c r="F152" s="168"/>
      <c r="G152" s="168"/>
    </row>
    <row r="153" ht="14.25" customHeight="1">
      <c r="A153" s="168"/>
      <c r="B153" s="168"/>
      <c r="C153" s="168"/>
      <c r="D153" s="168"/>
      <c r="E153" s="168"/>
      <c r="F153" s="168"/>
      <c r="G153" s="168"/>
    </row>
    <row r="154" ht="14.25" customHeight="1">
      <c r="A154" s="168"/>
      <c r="B154" s="168"/>
      <c r="C154" s="168"/>
      <c r="D154" s="168"/>
      <c r="E154" s="168"/>
      <c r="F154" s="168"/>
      <c r="G154" s="168"/>
    </row>
    <row r="155" ht="14.25" customHeight="1">
      <c r="A155" s="168"/>
      <c r="B155" s="168"/>
      <c r="C155" s="168"/>
      <c r="D155" s="168"/>
      <c r="E155" s="168"/>
      <c r="F155" s="168"/>
      <c r="G155" s="168"/>
    </row>
    <row r="156" ht="14.25" customHeight="1">
      <c r="A156" s="168"/>
      <c r="B156" s="168"/>
      <c r="C156" s="168"/>
      <c r="D156" s="168"/>
      <c r="E156" s="168"/>
      <c r="F156" s="168"/>
      <c r="G156" s="168"/>
    </row>
    <row r="157" ht="14.25" customHeight="1">
      <c r="A157" s="168"/>
      <c r="B157" s="168"/>
      <c r="C157" s="168"/>
      <c r="D157" s="168"/>
      <c r="E157" s="168"/>
      <c r="F157" s="168"/>
      <c r="G157" s="168"/>
    </row>
    <row r="158" ht="14.25" customHeight="1">
      <c r="A158" s="168"/>
      <c r="B158" s="168"/>
      <c r="C158" s="168"/>
      <c r="D158" s="168"/>
      <c r="E158" s="168"/>
      <c r="F158" s="168"/>
      <c r="G158" s="168"/>
    </row>
    <row r="159" ht="14.25" customHeight="1">
      <c r="A159" s="168"/>
      <c r="B159" s="168"/>
      <c r="C159" s="168"/>
      <c r="D159" s="168"/>
      <c r="E159" s="168"/>
      <c r="F159" s="168"/>
      <c r="G159" s="168"/>
    </row>
    <row r="160" ht="14.25" customHeight="1">
      <c r="A160" s="168"/>
      <c r="B160" s="168"/>
      <c r="C160" s="168"/>
      <c r="D160" s="168"/>
      <c r="E160" s="168"/>
      <c r="F160" s="168"/>
      <c r="G160" s="168"/>
    </row>
    <row r="161" ht="14.25" customHeight="1">
      <c r="A161" s="168"/>
      <c r="B161" s="168"/>
      <c r="C161" s="168"/>
      <c r="D161" s="168"/>
      <c r="E161" s="168"/>
      <c r="F161" s="168"/>
      <c r="G161" s="168"/>
    </row>
    <row r="162" ht="14.25" customHeight="1">
      <c r="A162" s="168"/>
      <c r="B162" s="168"/>
      <c r="C162" s="168"/>
      <c r="D162" s="168"/>
      <c r="E162" s="168"/>
      <c r="F162" s="168"/>
      <c r="G162" s="168"/>
    </row>
    <row r="163" ht="14.25" customHeight="1">
      <c r="A163" s="168"/>
      <c r="B163" s="168"/>
      <c r="C163" s="168"/>
      <c r="D163" s="168"/>
      <c r="E163" s="168"/>
      <c r="F163" s="168"/>
      <c r="G163" s="168"/>
    </row>
    <row r="164" ht="14.25" customHeight="1">
      <c r="A164" s="168"/>
      <c r="B164" s="168"/>
      <c r="C164" s="168"/>
      <c r="D164" s="168"/>
      <c r="E164" s="168"/>
      <c r="F164" s="168"/>
      <c r="G164" s="168"/>
    </row>
    <row r="165" ht="14.25" customHeight="1">
      <c r="A165" s="168"/>
      <c r="B165" s="168"/>
      <c r="C165" s="168"/>
      <c r="D165" s="168"/>
      <c r="E165" s="168"/>
      <c r="F165" s="168"/>
      <c r="G165" s="168"/>
    </row>
    <row r="166" ht="14.25" customHeight="1">
      <c r="A166" s="168"/>
      <c r="B166" s="168"/>
      <c r="C166" s="168"/>
      <c r="D166" s="168"/>
      <c r="E166" s="168"/>
      <c r="F166" s="168"/>
      <c r="G166" s="168"/>
    </row>
    <row r="167" ht="14.25" customHeight="1">
      <c r="A167" s="168"/>
      <c r="B167" s="168"/>
      <c r="C167" s="168"/>
      <c r="D167" s="168"/>
      <c r="E167" s="168"/>
      <c r="F167" s="168"/>
      <c r="G167" s="168"/>
    </row>
    <row r="168" ht="14.25" customHeight="1">
      <c r="A168" s="168"/>
      <c r="B168" s="168"/>
      <c r="C168" s="168"/>
      <c r="D168" s="168"/>
      <c r="E168" s="168"/>
      <c r="F168" s="168"/>
      <c r="G168" s="168"/>
    </row>
    <row r="169" ht="14.25" customHeight="1">
      <c r="A169" s="168"/>
      <c r="B169" s="168"/>
      <c r="C169" s="168"/>
      <c r="D169" s="168"/>
      <c r="E169" s="168"/>
      <c r="F169" s="168"/>
      <c r="G169" s="168"/>
    </row>
    <row r="170" ht="14.25" customHeight="1">
      <c r="A170" s="168"/>
      <c r="B170" s="168"/>
      <c r="C170" s="168"/>
      <c r="D170" s="168"/>
      <c r="E170" s="168"/>
      <c r="F170" s="168"/>
      <c r="G170" s="168"/>
    </row>
    <row r="171" ht="14.25" customHeight="1">
      <c r="A171" s="168"/>
      <c r="B171" s="168"/>
      <c r="C171" s="168"/>
      <c r="D171" s="168"/>
      <c r="E171" s="168"/>
      <c r="F171" s="168"/>
      <c r="G171" s="168"/>
    </row>
    <row r="172" ht="14.25" customHeight="1">
      <c r="A172" s="168"/>
      <c r="B172" s="168"/>
      <c r="C172" s="168"/>
      <c r="D172" s="168"/>
      <c r="E172" s="168"/>
      <c r="F172" s="168"/>
      <c r="G172" s="168"/>
    </row>
    <row r="173" ht="14.25" customHeight="1">
      <c r="A173" s="168"/>
      <c r="B173" s="168"/>
      <c r="C173" s="168"/>
      <c r="D173" s="168"/>
      <c r="E173" s="168"/>
      <c r="F173" s="168"/>
      <c r="G173" s="168"/>
    </row>
    <row r="174" ht="14.25" customHeight="1">
      <c r="A174" s="168"/>
      <c r="B174" s="168"/>
      <c r="C174" s="168"/>
      <c r="D174" s="168"/>
      <c r="E174" s="168"/>
      <c r="F174" s="168"/>
      <c r="G174" s="168"/>
    </row>
    <row r="175" ht="14.25" customHeight="1">
      <c r="A175" s="168"/>
      <c r="B175" s="168"/>
      <c r="C175" s="168"/>
      <c r="D175" s="168"/>
      <c r="E175" s="168"/>
      <c r="F175" s="168"/>
      <c r="G175" s="168"/>
    </row>
    <row r="176" ht="14.25" customHeight="1">
      <c r="A176" s="168"/>
      <c r="B176" s="168"/>
      <c r="C176" s="168"/>
      <c r="D176" s="168"/>
      <c r="E176" s="168"/>
      <c r="F176" s="168"/>
      <c r="G176" s="168"/>
    </row>
    <row r="177" ht="14.25" customHeight="1">
      <c r="A177" s="168"/>
      <c r="B177" s="168"/>
      <c r="C177" s="168"/>
      <c r="D177" s="168"/>
      <c r="E177" s="168"/>
      <c r="F177" s="168"/>
      <c r="G177" s="168"/>
    </row>
    <row r="178" ht="14.25" customHeight="1">
      <c r="A178" s="168"/>
      <c r="B178" s="168"/>
      <c r="C178" s="168"/>
      <c r="D178" s="168"/>
      <c r="E178" s="168"/>
      <c r="F178" s="168"/>
      <c r="G178" s="168"/>
    </row>
    <row r="179" ht="14.25" customHeight="1">
      <c r="A179" s="168"/>
      <c r="B179" s="168"/>
      <c r="C179" s="168"/>
      <c r="D179" s="168"/>
      <c r="E179" s="168"/>
      <c r="F179" s="168"/>
      <c r="G179" s="168"/>
    </row>
    <row r="180" ht="14.25" customHeight="1">
      <c r="A180" s="168"/>
      <c r="B180" s="168"/>
      <c r="C180" s="168"/>
      <c r="D180" s="168"/>
      <c r="E180" s="168"/>
      <c r="F180" s="168"/>
      <c r="G180" s="168"/>
    </row>
    <row r="181" ht="14.25" customHeight="1">
      <c r="A181" s="168"/>
      <c r="B181" s="168"/>
      <c r="C181" s="168"/>
      <c r="D181" s="168"/>
      <c r="E181" s="168"/>
      <c r="F181" s="168"/>
      <c r="G181" s="168"/>
    </row>
    <row r="182" ht="14.25" customHeight="1">
      <c r="A182" s="168"/>
      <c r="B182" s="168"/>
      <c r="C182" s="168"/>
      <c r="D182" s="168"/>
      <c r="E182" s="168"/>
      <c r="F182" s="168"/>
      <c r="G182" s="168"/>
    </row>
    <row r="183" ht="14.25" customHeight="1">
      <c r="A183" s="168"/>
      <c r="B183" s="168"/>
      <c r="C183" s="168"/>
      <c r="D183" s="168"/>
      <c r="E183" s="168"/>
      <c r="F183" s="168"/>
      <c r="G183" s="168"/>
    </row>
    <row r="184" ht="14.25" customHeight="1">
      <c r="A184" s="168"/>
      <c r="B184" s="168"/>
      <c r="C184" s="168"/>
      <c r="D184" s="168"/>
      <c r="E184" s="168"/>
      <c r="F184" s="168"/>
      <c r="G184" s="168"/>
    </row>
    <row r="185" ht="14.25" customHeight="1">
      <c r="A185" s="168"/>
      <c r="B185" s="168"/>
      <c r="C185" s="168"/>
      <c r="D185" s="168"/>
      <c r="E185" s="168"/>
      <c r="F185" s="168"/>
      <c r="G185" s="168"/>
    </row>
    <row r="186" ht="14.25" customHeight="1">
      <c r="A186" s="168"/>
      <c r="B186" s="168"/>
      <c r="C186" s="168"/>
      <c r="D186" s="168"/>
      <c r="E186" s="168"/>
      <c r="F186" s="168"/>
      <c r="G186" s="168"/>
    </row>
    <row r="187" ht="14.25" customHeight="1">
      <c r="A187" s="168"/>
      <c r="B187" s="168"/>
      <c r="C187" s="168"/>
      <c r="D187" s="168"/>
      <c r="E187" s="168"/>
      <c r="F187" s="168"/>
      <c r="G187" s="168"/>
    </row>
    <row r="188" ht="14.25" customHeight="1">
      <c r="A188" s="168"/>
      <c r="B188" s="168"/>
      <c r="C188" s="168"/>
      <c r="D188" s="168"/>
      <c r="E188" s="168"/>
      <c r="F188" s="168"/>
      <c r="G188" s="168"/>
    </row>
    <row r="189" ht="14.25" customHeight="1">
      <c r="A189" s="168"/>
      <c r="B189" s="168"/>
      <c r="C189" s="168"/>
      <c r="D189" s="168"/>
      <c r="E189" s="168"/>
      <c r="F189" s="168"/>
      <c r="G189" s="168"/>
    </row>
    <row r="190" ht="14.25" customHeight="1">
      <c r="A190" s="168"/>
      <c r="B190" s="168"/>
      <c r="C190" s="168"/>
      <c r="D190" s="168"/>
      <c r="E190" s="168"/>
      <c r="F190" s="168"/>
      <c r="G190" s="168"/>
    </row>
    <row r="191" ht="14.25" customHeight="1">
      <c r="A191" s="168"/>
      <c r="B191" s="168"/>
      <c r="C191" s="168"/>
      <c r="D191" s="168"/>
      <c r="E191" s="168"/>
      <c r="F191" s="168"/>
      <c r="G191" s="168"/>
    </row>
    <row r="192" ht="14.25" customHeight="1">
      <c r="A192" s="168"/>
      <c r="B192" s="168"/>
      <c r="C192" s="168"/>
      <c r="D192" s="168"/>
      <c r="E192" s="168"/>
      <c r="F192" s="168"/>
      <c r="G192" s="168"/>
    </row>
    <row r="193" ht="14.25" customHeight="1">
      <c r="A193" s="168"/>
      <c r="B193" s="168"/>
      <c r="C193" s="168"/>
      <c r="D193" s="168"/>
      <c r="E193" s="168"/>
      <c r="F193" s="168"/>
      <c r="G193" s="168"/>
    </row>
    <row r="194" ht="14.25" customHeight="1">
      <c r="A194" s="168"/>
      <c r="B194" s="168"/>
      <c r="C194" s="168"/>
      <c r="D194" s="168"/>
      <c r="E194" s="168"/>
      <c r="F194" s="168"/>
      <c r="G194" s="168"/>
    </row>
    <row r="195" ht="14.25" customHeight="1">
      <c r="A195" s="168"/>
      <c r="B195" s="168"/>
      <c r="C195" s="168"/>
      <c r="D195" s="168"/>
      <c r="E195" s="168"/>
      <c r="F195" s="168"/>
      <c r="G195" s="168"/>
    </row>
    <row r="196" ht="14.25" customHeight="1">
      <c r="A196" s="168"/>
      <c r="B196" s="168"/>
      <c r="C196" s="168"/>
      <c r="D196" s="168"/>
      <c r="E196" s="168"/>
      <c r="F196" s="168"/>
      <c r="G196" s="168"/>
    </row>
    <row r="197" ht="14.25" customHeight="1">
      <c r="A197" s="168"/>
      <c r="B197" s="168"/>
      <c r="C197" s="168"/>
      <c r="D197" s="168"/>
      <c r="E197" s="168"/>
      <c r="F197" s="168"/>
      <c r="G197" s="168"/>
    </row>
    <row r="198" ht="14.25" customHeight="1">
      <c r="A198" s="168"/>
      <c r="B198" s="168"/>
      <c r="C198" s="168"/>
      <c r="D198" s="168"/>
      <c r="E198" s="168"/>
      <c r="F198" s="168"/>
      <c r="G198" s="168"/>
    </row>
    <row r="199" ht="14.25" customHeight="1">
      <c r="A199" s="168"/>
      <c r="B199" s="168"/>
      <c r="C199" s="168"/>
      <c r="D199" s="168"/>
      <c r="E199" s="168"/>
      <c r="F199" s="168"/>
      <c r="G199" s="168"/>
    </row>
    <row r="200" ht="14.25" customHeight="1">
      <c r="A200" s="168"/>
      <c r="B200" s="168"/>
      <c r="C200" s="168"/>
      <c r="D200" s="168"/>
      <c r="E200" s="168"/>
      <c r="F200" s="168"/>
      <c r="G200" s="168"/>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6">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B83:F83"/>
    <mergeCell ref="B92:F92"/>
    <mergeCell ref="B93:F93"/>
    <mergeCell ref="C84:F84"/>
    <mergeCell ref="C85:F85"/>
    <mergeCell ref="C86:F86"/>
    <mergeCell ref="C87:F87"/>
    <mergeCell ref="B89:C89"/>
    <mergeCell ref="D89:F89"/>
    <mergeCell ref="B91:F91"/>
    <mergeCell ref="B2:F2"/>
    <mergeCell ref="I2:J2"/>
    <mergeCell ref="B3:F3"/>
    <mergeCell ref="B4:F4"/>
    <mergeCell ref="B5:F5"/>
    <mergeCell ref="B6:F6"/>
    <mergeCell ref="B9:F9"/>
    <mergeCell ref="B11:F11"/>
    <mergeCell ref="B12:F12"/>
    <mergeCell ref="B14:F14"/>
    <mergeCell ref="I14:J20"/>
    <mergeCell ref="B15:F15"/>
    <mergeCell ref="B16:F16"/>
    <mergeCell ref="B18:F18"/>
    <mergeCell ref="B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dataValidations>
    <dataValidation type="list" allowBlank="1" showErrorMessage="1" sqref="J4">
      <formula1>'Licences &amp; Certificates'!$A$5:$A$73</formula1>
    </dataValidation>
    <dataValidation type="list" allowBlank="1" showErrorMessage="1" sqref="J13">
      <formula1>Lists!$T$5:$T$7</formula1>
    </dataValidation>
    <dataValidation type="list" allowBlank="1" showErrorMessage="1" sqref="J3">
      <formula1>"Yes,No"</formula1>
    </dataValidation>
  </dataValidations>
  <printOptions horizontalCentered="1"/>
  <pageMargins bottom="0.5555555555555556" footer="0.0" header="0.0" left="0.5" right="0.5" top="0.5"/>
  <pageSetup fitToHeight="0" paperSize="9" orientation="portrait"/>
  <headerFooter>
    <oddFooter>&amp;CPage &amp;P of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43"/>
    <col customWidth="1" min="2" max="2" width="5.57"/>
    <col customWidth="1" min="3" max="3" width="36.14"/>
    <col customWidth="1" min="4" max="4" width="23.14"/>
    <col customWidth="1" min="5" max="5" width="17.57"/>
    <col customWidth="1" min="6" max="6" width="21.29"/>
    <col customWidth="1" min="7" max="7" width="1.43"/>
    <col customWidth="1" min="8" max="8" width="11.14"/>
    <col customWidth="1" min="9" max="9" width="27.71"/>
    <col customWidth="1" min="10" max="10" width="35.29"/>
    <col customWidth="1" min="11" max="11" width="1.86"/>
    <col customWidth="1" min="12" max="12" width="11.14"/>
    <col customWidth="1" min="13" max="26" width="8.71"/>
  </cols>
  <sheetData>
    <row r="1" ht="14.25" customHeight="1">
      <c r="A1" s="168"/>
      <c r="B1" s="168"/>
      <c r="C1" s="168"/>
      <c r="D1" s="168"/>
      <c r="E1" s="168"/>
      <c r="F1" s="168"/>
      <c r="G1" s="168"/>
      <c r="I1" s="26"/>
      <c r="J1" s="26"/>
      <c r="K1" s="26"/>
      <c r="L1" s="26"/>
    </row>
    <row r="2" ht="21.75" customHeight="1">
      <c r="A2" s="168"/>
      <c r="B2" s="169" t="str">
        <f>IF($J$3="No","",setLetterhead_1)</f>
        <v>REPUBLIC OF LIBERIA</v>
      </c>
      <c r="G2" s="168"/>
      <c r="I2" s="170" t="s">
        <v>586</v>
      </c>
      <c r="J2" s="13"/>
      <c r="K2" s="26"/>
      <c r="L2" s="26"/>
    </row>
    <row r="3" ht="18.0" customHeight="1">
      <c r="A3" s="168"/>
      <c r="B3" s="171" t="str">
        <f>IF($J$3="No","",setLetterhead_2)</f>
        <v>ENVIRONMENTAL PROTECTION AGENCY</v>
      </c>
      <c r="G3" s="168"/>
      <c r="I3" s="172" t="s">
        <v>542</v>
      </c>
      <c r="J3" s="199" t="s">
        <v>543</v>
      </c>
      <c r="K3" s="26"/>
      <c r="L3" s="26"/>
    </row>
    <row r="4" ht="14.25" customHeight="1">
      <c r="A4" s="168"/>
      <c r="B4" s="174" t="str">
        <f>IF($J$3="No","",setLetterhead_3)</f>
        <v>P.O. Box 4024</v>
      </c>
      <c r="G4" s="168"/>
      <c r="I4" s="175" t="s">
        <v>545</v>
      </c>
      <c r="J4" s="201" t="s">
        <v>588</v>
      </c>
      <c r="K4" s="26"/>
      <c r="L4" s="26"/>
    </row>
    <row r="5" ht="14.25" customHeight="1">
      <c r="A5" s="168"/>
      <c r="B5" s="174" t="str">
        <f>IF($J$3="No","",setLetterhead_4)</f>
        <v>Bright Building 302-A, Sekou Toure Avenue, Mamba Point</v>
      </c>
      <c r="G5" s="168"/>
      <c r="I5" s="175" t="s">
        <v>0</v>
      </c>
      <c r="J5" s="179" t="str">
        <f t="array" ref="J5">IF($J$4="","Choose a licence record",IF($J$6="","⚠ Record not found",IF(ISNUMBER(SEARCH("CIL",INDEX('Licences &amp; Certificates'!$E$5:$E$73,$J$6))),IF(INDEX('Licences &amp; Certificates'!$K$5:$K$73,$J$6)="","⚠ No licence number yet","✔ Ready to print"),"⚠ This record is "&amp;INDEX('Licences &amp; Certificates'!$E$5:$E$73,$J$6))))</f>
        <v>✔ Ready to print</v>
      </c>
      <c r="K5" s="26"/>
      <c r="L5" s="26"/>
    </row>
    <row r="6" ht="14.25" customHeight="1">
      <c r="A6" s="168"/>
      <c r="B6" s="174" t="str">
        <f>IF($J$3="No","",setLetterhead_5)</f>
        <v>1000 Monrovia, 10 Liberia</v>
      </c>
      <c r="G6" s="168"/>
      <c r="I6" s="175" t="s">
        <v>557</v>
      </c>
      <c r="J6" s="179">
        <f>IFERROR(MATCH($J$4,'Licences &amp; Certificates'!$A$5:$A$73,0),"")</f>
        <v>26</v>
      </c>
      <c r="K6" s="26"/>
      <c r="L6" s="26"/>
    </row>
    <row r="7" ht="15.0" customHeight="1">
      <c r="A7" s="168"/>
      <c r="B7" s="168"/>
      <c r="C7" s="168"/>
      <c r="D7" s="168"/>
      <c r="E7" s="168"/>
      <c r="F7" s="168"/>
      <c r="G7" s="168"/>
      <c r="I7" s="175" t="s">
        <v>560</v>
      </c>
      <c r="J7" s="179"/>
      <c r="K7" s="26"/>
      <c r="L7" s="26"/>
    </row>
    <row r="8" ht="15.0" customHeight="1">
      <c r="A8" s="168"/>
      <c r="B8" s="168"/>
      <c r="C8" s="168"/>
      <c r="D8" s="168"/>
      <c r="E8" s="168"/>
      <c r="F8" s="168"/>
      <c r="G8" s="168"/>
      <c r="I8" s="175" t="s">
        <v>218</v>
      </c>
      <c r="J8" s="179" t="str">
        <f t="array" ref="J8">IF($J$6="","",INDEX('Licences &amp; Certificates'!$C$5:$C$73,$J$6))</f>
        <v>Bea Mountain Mining Corporation (BMMC)</v>
      </c>
      <c r="K8" s="26"/>
      <c r="L8" s="26"/>
    </row>
    <row r="9" ht="14.25" customHeight="1">
      <c r="A9" s="168"/>
      <c r="B9" s="183" t="str">
        <f>IF($J$7="","License No. ________","License No. "&amp;$J$7)</f>
        <v>License No. ________</v>
      </c>
      <c r="G9" s="168"/>
      <c r="I9" s="175" t="s">
        <v>208</v>
      </c>
      <c r="J9" s="179" t="str">
        <f t="array" ref="J9">IF($J$6="","",IF(INDEX('Licences &amp; Certificates'!$G$5:$G$73,$J$6)&lt;&gt;"",INDEX('Licences &amp; Certificates'!$G$5:$G$73,$J$6),IFERROR(INDEX(Companies!$D$5:$D$74,MATCH(INDEX('Licences &amp; Certificates'!$B$5:$B$73,$J$6),Companies!$A$5:$A$74,0))&amp;"","")))</f>
        <v>Monrovia, Liberia</v>
      </c>
      <c r="K9" s="26"/>
      <c r="L9" s="26"/>
    </row>
    <row r="10" ht="14.25" customHeight="1">
      <c r="A10" s="168"/>
      <c r="B10" s="168"/>
      <c r="C10" s="168"/>
      <c r="D10" s="168"/>
      <c r="E10" s="168"/>
      <c r="F10" s="168"/>
      <c r="G10" s="168"/>
      <c r="I10" s="175" t="s">
        <v>343</v>
      </c>
      <c r="J10" s="184">
        <f t="array" ref="J10">IF($J$6="","",IF(INDEX('Licences &amp; Certificates'!$L$5:$L$73,$J$6)="","",INDEX('Licences &amp; Certificates'!$L$5:$L$73,$J$6)))</f>
        <v>46037</v>
      </c>
      <c r="K10" s="26"/>
      <c r="L10" s="26"/>
    </row>
    <row r="11" ht="25.5" customHeight="1">
      <c r="A11" s="168"/>
      <c r="B11" s="203" t="s">
        <v>601</v>
      </c>
      <c r="G11" s="168"/>
      <c r="I11" s="175" t="s">
        <v>344</v>
      </c>
      <c r="J11" s="184">
        <f t="array" ref="J11">IF($J$6="","",IF(INDEX('Licences &amp; Certificates'!$M$5:$M$73,$J$6)="","",INDEX('Licences &amp; Certificates'!$M$5:$M$73,$J$6)))</f>
        <v>46387</v>
      </c>
      <c r="K11" s="26"/>
      <c r="L11" s="26"/>
    </row>
    <row r="12" ht="14.25" customHeight="1">
      <c r="A12" s="168"/>
      <c r="B12" s="186" t="s">
        <v>569</v>
      </c>
      <c r="G12" s="168"/>
      <c r="I12" s="175" t="s">
        <v>570</v>
      </c>
      <c r="J12" s="179">
        <f>COUNTIF('Licence Chemicals'!$A$5:$A$167,$J$4)</f>
        <v>0</v>
      </c>
      <c r="K12" s="26"/>
      <c r="L12" s="26"/>
    </row>
    <row r="13" ht="14.25" customHeight="1">
      <c r="A13" s="168"/>
      <c r="B13" s="168"/>
      <c r="C13" s="168"/>
      <c r="D13" s="168"/>
      <c r="E13" s="168"/>
      <c r="F13" s="168"/>
      <c r="G13" s="168"/>
      <c r="I13" s="175" t="s">
        <v>571</v>
      </c>
      <c r="J13" s="187" t="s">
        <v>572</v>
      </c>
      <c r="K13" s="26"/>
      <c r="L13" s="26"/>
    </row>
    <row r="14" ht="14.25" customHeight="1">
      <c r="A14" s="168"/>
      <c r="B14" s="183" t="s">
        <v>574</v>
      </c>
      <c r="G14" s="168"/>
      <c r="I14" s="188" t="s">
        <v>575</v>
      </c>
      <c r="K14" s="26"/>
      <c r="L14" s="26"/>
    </row>
    <row r="15" ht="25.5" customHeight="1">
      <c r="A15" s="168"/>
      <c r="B15" s="185" t="str">
        <f>UPPER($J$8)</f>
        <v>BEA MOUNTAIN MINING CORPORATION (BMMC)</v>
      </c>
      <c r="G15" s="168"/>
      <c r="K15" s="26"/>
      <c r="L15" s="26"/>
    </row>
    <row r="16" ht="14.25" customHeight="1">
      <c r="A16" s="168"/>
      <c r="B16" s="183" t="str">
        <f>IF($J$9="","","(Located at "&amp;$J$9&amp;")")</f>
        <v>(Located at Monrovia, Liberia)</v>
      </c>
      <c r="G16" s="168"/>
      <c r="K16" s="26"/>
      <c r="L16" s="26"/>
    </row>
    <row r="17" ht="14.25" customHeight="1">
      <c r="A17" s="168"/>
      <c r="B17" s="168"/>
      <c r="C17" s="168"/>
      <c r="D17" s="168"/>
      <c r="E17" s="168"/>
      <c r="F17" s="168"/>
      <c r="G17" s="168"/>
      <c r="K17" s="26"/>
      <c r="L17" s="26"/>
    </row>
    <row r="18" ht="61.5" customHeight="1">
      <c r="A18" s="168"/>
      <c r="B18" s="208" t="s">
        <v>616</v>
      </c>
      <c r="G18" s="168"/>
      <c r="K18" s="26"/>
      <c r="L18" s="26"/>
    </row>
    <row r="19" ht="14.25" customHeight="1">
      <c r="A19" s="168"/>
      <c r="B19" s="168"/>
      <c r="C19" s="168"/>
      <c r="D19" s="168"/>
      <c r="E19" s="168"/>
      <c r="F19" s="168"/>
      <c r="G19" s="168"/>
      <c r="K19" s="26"/>
      <c r="L19" s="26"/>
    </row>
    <row r="20" ht="14.25" customHeight="1">
      <c r="A20" s="168"/>
      <c r="B20" s="190" t="s">
        <v>578</v>
      </c>
      <c r="G20" s="168"/>
      <c r="K20" s="26"/>
      <c r="L20" s="26"/>
    </row>
    <row r="21" ht="30.0" customHeight="1">
      <c r="A21" s="168"/>
      <c r="B21" s="191" t="s">
        <v>214</v>
      </c>
      <c r="C21" s="191" t="s">
        <v>353</v>
      </c>
      <c r="D21" s="191" t="s">
        <v>620</v>
      </c>
      <c r="E21" s="191" t="s">
        <v>621</v>
      </c>
      <c r="F21" s="191" t="s">
        <v>622</v>
      </c>
      <c r="G21" s="168"/>
      <c r="I21" s="26"/>
      <c r="J21" s="26"/>
      <c r="K21" s="26"/>
      <c r="L21" s="194" t="s">
        <v>582</v>
      </c>
    </row>
    <row r="22" ht="16.5" customHeight="1">
      <c r="A22" s="168"/>
      <c r="B22" s="195" t="str">
        <f t="shared" ref="B22:B61" si="1">IF($L22="","",ROWS($L$22:L22))</f>
        <v/>
      </c>
      <c r="C22" s="196" t="str">
        <f t="array" ref="C22">IF($L22="","",INDEX('Licence Chemicals'!$D$5:$D$167,$L22)&amp;"")</f>
        <v/>
      </c>
      <c r="D22" s="195" t="str">
        <f t="array" ref="D22">IF($L22="","",INDEX('Licence Chemicals'!$E$5:$E$167,$L22)&amp;"")</f>
        <v/>
      </c>
      <c r="E22" s="195" t="str">
        <f t="array" ref="E22">IF($L22="","",IF(INDEX('Licence Chemicals'!$G$5:$G$167,$L22)="","",TEXT(INDEX('Licence Chemicals'!$G$5:$G$167,$L22),"#,##0.##")&amp;" "&amp;INDEX('Licence Chemicals'!$H$5:$H$167,$L22)))</f>
        <v/>
      </c>
      <c r="F22" s="195" t="str">
        <f t="array" ref="F22">IF($L22="","",IF(INDEX('Licence Chemicals'!$I$5:$I$167,$L22)="","To Be Provided",INDEX('Licence Chemicals'!$I$5:$I$167,$L22)&amp;""))</f>
        <v/>
      </c>
      <c r="G22" s="168"/>
      <c r="I22" s="26"/>
      <c r="J22" s="26"/>
      <c r="K22" s="26"/>
      <c r="L22" s="194" t="str">
        <f>IFERROR(__xludf.DUMMYFUNCTION("ARRAY_CONSTRAIN(ARRAYFORMULA(IFERROR(SMALL(FILTER((ROW('Licence Chemicals'!$A$5:$A$167)-ROW('Licence Chemicals'!$A$4:$I$4)),IFERROR(('Licence Chemicals'!$A$5:$A$167=$J$4),FALSE)),ROWS($L$22:L22)),"""")), 1, 1)"),"")</f>
        <v/>
      </c>
    </row>
    <row r="23" ht="16.5" customHeight="1">
      <c r="A23" s="168"/>
      <c r="B23" s="195" t="str">
        <f t="shared" si="1"/>
        <v/>
      </c>
      <c r="C23" s="196" t="str">
        <f t="array" ref="C23">IF($L23="","",INDEX('Licence Chemicals'!$D$5:$D$167,$L23)&amp;"")</f>
        <v/>
      </c>
      <c r="D23" s="195" t="str">
        <f t="array" ref="D23">IF($L23="","",INDEX('Licence Chemicals'!$E$5:$E$167,$L23)&amp;"")</f>
        <v/>
      </c>
      <c r="E23" s="195" t="str">
        <f t="array" ref="E23">IF($L23="","",IF(INDEX('Licence Chemicals'!$G$5:$G$167,$L23)="","",TEXT(INDEX('Licence Chemicals'!$G$5:$G$167,$L23),"#,##0.##")&amp;" "&amp;INDEX('Licence Chemicals'!$H$5:$H$167,$L23)))</f>
        <v/>
      </c>
      <c r="F23" s="195" t="str">
        <f t="array" ref="F23">IF($L23="","",IF(INDEX('Licence Chemicals'!$I$5:$I$167,$L23)="","To Be Provided",INDEX('Licence Chemicals'!$I$5:$I$167,$L23)&amp;""))</f>
        <v/>
      </c>
      <c r="G23" s="168"/>
      <c r="I23" s="26"/>
      <c r="J23" s="26"/>
      <c r="K23" s="26"/>
      <c r="L23" s="194" t="str">
        <f>IFERROR(__xludf.DUMMYFUNCTION("ARRAY_CONSTRAIN(ARRAYFORMULA(IFERROR(SMALL(FILTER((ROW('Licence Chemicals'!$A$5:$A$167)-ROW('Licence Chemicals'!$A$4:$I$4)),IFERROR(('Licence Chemicals'!$A$5:$A$167=$J$4),FALSE)),ROWS($L$22:L23)),"""")), 1, 1)"),"")</f>
        <v/>
      </c>
    </row>
    <row r="24" ht="16.5" customHeight="1">
      <c r="A24" s="168"/>
      <c r="B24" s="195" t="str">
        <f t="shared" si="1"/>
        <v/>
      </c>
      <c r="C24" s="196" t="str">
        <f t="array" ref="C24">IF($L24="","",INDEX('Licence Chemicals'!$D$5:$D$167,$L24)&amp;"")</f>
        <v/>
      </c>
      <c r="D24" s="195" t="str">
        <f t="array" ref="D24">IF($L24="","",INDEX('Licence Chemicals'!$E$5:$E$167,$L24)&amp;"")</f>
        <v/>
      </c>
      <c r="E24" s="195" t="str">
        <f t="array" ref="E24">IF($L24="","",IF(INDEX('Licence Chemicals'!$G$5:$G$167,$L24)="","",TEXT(INDEX('Licence Chemicals'!$G$5:$G$167,$L24),"#,##0.##")&amp;" "&amp;INDEX('Licence Chemicals'!$H$5:$H$167,$L24)))</f>
        <v/>
      </c>
      <c r="F24" s="195" t="str">
        <f t="array" ref="F24">IF($L24="","",IF(INDEX('Licence Chemicals'!$I$5:$I$167,$L24)="","To Be Provided",INDEX('Licence Chemicals'!$I$5:$I$167,$L24)&amp;""))</f>
        <v/>
      </c>
      <c r="G24" s="168"/>
      <c r="I24" s="26"/>
      <c r="J24" s="26"/>
      <c r="K24" s="26"/>
      <c r="L24" s="194" t="str">
        <f>IFERROR(__xludf.DUMMYFUNCTION("ARRAY_CONSTRAIN(ARRAYFORMULA(IFERROR(SMALL(FILTER((ROW('Licence Chemicals'!$A$5:$A$167)-ROW('Licence Chemicals'!$A$4:$I$4)),IFERROR(('Licence Chemicals'!$A$5:$A$167=$J$4),FALSE)),ROWS($L$22:L24)),"""")), 1, 1)"),"")</f>
        <v/>
      </c>
    </row>
    <row r="25" ht="16.5" customHeight="1">
      <c r="A25" s="168"/>
      <c r="B25" s="195" t="str">
        <f t="shared" si="1"/>
        <v/>
      </c>
      <c r="C25" s="196" t="str">
        <f t="array" ref="C25">IF($L25="","",INDEX('Licence Chemicals'!$D$5:$D$167,$L25)&amp;"")</f>
        <v/>
      </c>
      <c r="D25" s="195" t="str">
        <f t="array" ref="D25">IF($L25="","",INDEX('Licence Chemicals'!$E$5:$E$167,$L25)&amp;"")</f>
        <v/>
      </c>
      <c r="E25" s="195" t="str">
        <f t="array" ref="E25">IF($L25="","",IF(INDEX('Licence Chemicals'!$G$5:$G$167,$L25)="","",TEXT(INDEX('Licence Chemicals'!$G$5:$G$167,$L25),"#,##0.##")&amp;" "&amp;INDEX('Licence Chemicals'!$H$5:$H$167,$L25)))</f>
        <v/>
      </c>
      <c r="F25" s="195" t="str">
        <f t="array" ref="F25">IF($L25="","",IF(INDEX('Licence Chemicals'!$I$5:$I$167,$L25)="","To Be Provided",INDEX('Licence Chemicals'!$I$5:$I$167,$L25)&amp;""))</f>
        <v/>
      </c>
      <c r="G25" s="168"/>
      <c r="I25" s="26"/>
      <c r="J25" s="26"/>
      <c r="K25" s="26"/>
      <c r="L25" s="194" t="str">
        <f>IFERROR(__xludf.DUMMYFUNCTION("ARRAY_CONSTRAIN(ARRAYFORMULA(IFERROR(SMALL(FILTER((ROW('Licence Chemicals'!$A$5:$A$167)-ROW('Licence Chemicals'!$A$4:$I$4)),IFERROR(('Licence Chemicals'!$A$5:$A$167=$J$4),FALSE)),ROWS($L$22:L25)),"""")), 1, 1)"),"")</f>
        <v/>
      </c>
    </row>
    <row r="26" ht="16.5" customHeight="1">
      <c r="A26" s="168"/>
      <c r="B26" s="195" t="str">
        <f t="shared" si="1"/>
        <v/>
      </c>
      <c r="C26" s="196" t="str">
        <f t="array" ref="C26">IF($L26="","",INDEX('Licence Chemicals'!$D$5:$D$167,$L26)&amp;"")</f>
        <v/>
      </c>
      <c r="D26" s="195" t="str">
        <f t="array" ref="D26">IF($L26="","",INDEX('Licence Chemicals'!$E$5:$E$167,$L26)&amp;"")</f>
        <v/>
      </c>
      <c r="E26" s="195" t="str">
        <f t="array" ref="E26">IF($L26="","",IF(INDEX('Licence Chemicals'!$G$5:$G$167,$L26)="","",TEXT(INDEX('Licence Chemicals'!$G$5:$G$167,$L26),"#,##0.##")&amp;" "&amp;INDEX('Licence Chemicals'!$H$5:$H$167,$L26)))</f>
        <v/>
      </c>
      <c r="F26" s="195" t="str">
        <f t="array" ref="F26">IF($L26="","",IF(INDEX('Licence Chemicals'!$I$5:$I$167,$L26)="","To Be Provided",INDEX('Licence Chemicals'!$I$5:$I$167,$L26)&amp;""))</f>
        <v/>
      </c>
      <c r="G26" s="168"/>
      <c r="I26" s="26"/>
      <c r="J26" s="26"/>
      <c r="K26" s="26"/>
      <c r="L26" s="194" t="str">
        <f>IFERROR(__xludf.DUMMYFUNCTION("ARRAY_CONSTRAIN(ARRAYFORMULA(IFERROR(SMALL(FILTER((ROW('Licence Chemicals'!$A$5:$A$167)-ROW('Licence Chemicals'!$A$4:$I$4)),IFERROR(('Licence Chemicals'!$A$5:$A$167=$J$4),FALSE)),ROWS($L$22:L26)),"""")), 1, 1)"),"")</f>
        <v/>
      </c>
    </row>
    <row r="27" ht="16.5" customHeight="1">
      <c r="A27" s="168"/>
      <c r="B27" s="195" t="str">
        <f t="shared" si="1"/>
        <v/>
      </c>
      <c r="C27" s="196" t="str">
        <f t="array" ref="C27">IF($L27="","",INDEX('Licence Chemicals'!$D$5:$D$167,$L27)&amp;"")</f>
        <v/>
      </c>
      <c r="D27" s="195" t="str">
        <f t="array" ref="D27">IF($L27="","",INDEX('Licence Chemicals'!$E$5:$E$167,$L27)&amp;"")</f>
        <v/>
      </c>
      <c r="E27" s="195" t="str">
        <f t="array" ref="E27">IF($L27="","",IF(INDEX('Licence Chemicals'!$G$5:$G$167,$L27)="","",TEXT(INDEX('Licence Chemicals'!$G$5:$G$167,$L27),"#,##0.##")&amp;" "&amp;INDEX('Licence Chemicals'!$H$5:$H$167,$L27)))</f>
        <v/>
      </c>
      <c r="F27" s="195" t="str">
        <f t="array" ref="F27">IF($L27="","",IF(INDEX('Licence Chemicals'!$I$5:$I$167,$L27)="","To Be Provided",INDEX('Licence Chemicals'!$I$5:$I$167,$L27)&amp;""))</f>
        <v/>
      </c>
      <c r="G27" s="168"/>
      <c r="I27" s="26"/>
      <c r="J27" s="26"/>
      <c r="K27" s="26"/>
      <c r="L27" s="194" t="str">
        <f>IFERROR(__xludf.DUMMYFUNCTION("ARRAY_CONSTRAIN(ARRAYFORMULA(IFERROR(SMALL(FILTER((ROW('Licence Chemicals'!$A$5:$A$167)-ROW('Licence Chemicals'!$A$4:$I$4)),IFERROR(('Licence Chemicals'!$A$5:$A$167=$J$4),FALSE)),ROWS($L$22:L27)),"""")), 1, 1)"),"")</f>
        <v/>
      </c>
    </row>
    <row r="28" ht="16.5" customHeight="1">
      <c r="A28" s="168"/>
      <c r="B28" s="195" t="str">
        <f t="shared" si="1"/>
        <v/>
      </c>
      <c r="C28" s="196" t="str">
        <f t="array" ref="C28">IF($L28="","",INDEX('Licence Chemicals'!$D$5:$D$167,$L28)&amp;"")</f>
        <v/>
      </c>
      <c r="D28" s="195" t="str">
        <f t="array" ref="D28">IF($L28="","",INDEX('Licence Chemicals'!$E$5:$E$167,$L28)&amp;"")</f>
        <v/>
      </c>
      <c r="E28" s="195" t="str">
        <f t="array" ref="E28">IF($L28="","",IF(INDEX('Licence Chemicals'!$G$5:$G$167,$L28)="","",TEXT(INDEX('Licence Chemicals'!$G$5:$G$167,$L28),"#,##0.##")&amp;" "&amp;INDEX('Licence Chemicals'!$H$5:$H$167,$L28)))</f>
        <v/>
      </c>
      <c r="F28" s="195" t="str">
        <f t="array" ref="F28">IF($L28="","",IF(INDEX('Licence Chemicals'!$I$5:$I$167,$L28)="","To Be Provided",INDEX('Licence Chemicals'!$I$5:$I$167,$L28)&amp;""))</f>
        <v/>
      </c>
      <c r="G28" s="168"/>
      <c r="I28" s="26"/>
      <c r="J28" s="26"/>
      <c r="K28" s="26"/>
      <c r="L28" s="194" t="str">
        <f>IFERROR(__xludf.DUMMYFUNCTION("ARRAY_CONSTRAIN(ARRAYFORMULA(IFERROR(SMALL(FILTER((ROW('Licence Chemicals'!$A$5:$A$167)-ROW('Licence Chemicals'!$A$4:$I$4)),IFERROR(('Licence Chemicals'!$A$5:$A$167=$J$4),FALSE)),ROWS($L$22:L28)),"""")), 1, 1)"),"")</f>
        <v/>
      </c>
    </row>
    <row r="29" ht="16.5" customHeight="1">
      <c r="A29" s="168"/>
      <c r="B29" s="195" t="str">
        <f t="shared" si="1"/>
        <v/>
      </c>
      <c r="C29" s="196" t="str">
        <f t="array" ref="C29">IF($L29="","",INDEX('Licence Chemicals'!$D$5:$D$167,$L29)&amp;"")</f>
        <v/>
      </c>
      <c r="D29" s="195" t="str">
        <f t="array" ref="D29">IF($L29="","",INDEX('Licence Chemicals'!$E$5:$E$167,$L29)&amp;"")</f>
        <v/>
      </c>
      <c r="E29" s="195" t="str">
        <f t="array" ref="E29">IF($L29="","",IF(INDEX('Licence Chemicals'!$G$5:$G$167,$L29)="","",TEXT(INDEX('Licence Chemicals'!$G$5:$G$167,$L29),"#,##0.##")&amp;" "&amp;INDEX('Licence Chemicals'!$H$5:$H$167,$L29)))</f>
        <v/>
      </c>
      <c r="F29" s="195" t="str">
        <f t="array" ref="F29">IF($L29="","",IF(INDEX('Licence Chemicals'!$I$5:$I$167,$L29)="","To Be Provided",INDEX('Licence Chemicals'!$I$5:$I$167,$L29)&amp;""))</f>
        <v/>
      </c>
      <c r="G29" s="168"/>
      <c r="I29" s="26"/>
      <c r="J29" s="26"/>
      <c r="K29" s="26"/>
      <c r="L29" s="194" t="str">
        <f>IFERROR(__xludf.DUMMYFUNCTION("ARRAY_CONSTRAIN(ARRAYFORMULA(IFERROR(SMALL(FILTER((ROW('Licence Chemicals'!$A$5:$A$167)-ROW('Licence Chemicals'!$A$4:$I$4)),IFERROR(('Licence Chemicals'!$A$5:$A$167=$J$4),FALSE)),ROWS($L$22:L29)),"""")), 1, 1)"),"")</f>
        <v/>
      </c>
    </row>
    <row r="30" ht="16.5" customHeight="1">
      <c r="A30" s="168"/>
      <c r="B30" s="195" t="str">
        <f t="shared" si="1"/>
        <v/>
      </c>
      <c r="C30" s="196" t="str">
        <f t="array" ref="C30">IF($L30="","",INDEX('Licence Chemicals'!$D$5:$D$167,$L30)&amp;"")</f>
        <v/>
      </c>
      <c r="D30" s="195" t="str">
        <f t="array" ref="D30">IF($L30="","",INDEX('Licence Chemicals'!$E$5:$E$167,$L30)&amp;"")</f>
        <v/>
      </c>
      <c r="E30" s="195" t="str">
        <f t="array" ref="E30">IF($L30="","",IF(INDEX('Licence Chemicals'!$G$5:$G$167,$L30)="","",TEXT(INDEX('Licence Chemicals'!$G$5:$G$167,$L30),"#,##0.##")&amp;" "&amp;INDEX('Licence Chemicals'!$H$5:$H$167,$L30)))</f>
        <v/>
      </c>
      <c r="F30" s="195" t="str">
        <f t="array" ref="F30">IF($L30="","",IF(INDEX('Licence Chemicals'!$I$5:$I$167,$L30)="","To Be Provided",INDEX('Licence Chemicals'!$I$5:$I$167,$L30)&amp;""))</f>
        <v/>
      </c>
      <c r="G30" s="168"/>
      <c r="I30" s="26"/>
      <c r="J30" s="26"/>
      <c r="K30" s="26"/>
      <c r="L30" s="194" t="str">
        <f>IFERROR(__xludf.DUMMYFUNCTION("ARRAY_CONSTRAIN(ARRAYFORMULA(IFERROR(SMALL(FILTER((ROW('Licence Chemicals'!$A$5:$A$167)-ROW('Licence Chemicals'!$A$4:$I$4)),IFERROR(('Licence Chemicals'!$A$5:$A$167=$J$4),FALSE)),ROWS($L$22:L30)),"""")), 1, 1)"),"")</f>
        <v/>
      </c>
    </row>
    <row r="31" ht="16.5" customHeight="1">
      <c r="A31" s="168"/>
      <c r="B31" s="195" t="str">
        <f t="shared" si="1"/>
        <v/>
      </c>
      <c r="C31" s="196" t="str">
        <f t="array" ref="C31">IF($L31="","",INDEX('Licence Chemicals'!$D$5:$D$167,$L31)&amp;"")</f>
        <v/>
      </c>
      <c r="D31" s="195" t="str">
        <f t="array" ref="D31">IF($L31="","",INDEX('Licence Chemicals'!$E$5:$E$167,$L31)&amp;"")</f>
        <v/>
      </c>
      <c r="E31" s="195" t="str">
        <f t="array" ref="E31">IF($L31="","",IF(INDEX('Licence Chemicals'!$G$5:$G$167,$L31)="","",TEXT(INDEX('Licence Chemicals'!$G$5:$G$167,$L31),"#,##0.##")&amp;" "&amp;INDEX('Licence Chemicals'!$H$5:$H$167,$L31)))</f>
        <v/>
      </c>
      <c r="F31" s="195" t="str">
        <f t="array" ref="F31">IF($L31="","",IF(INDEX('Licence Chemicals'!$I$5:$I$167,$L31)="","To Be Provided",INDEX('Licence Chemicals'!$I$5:$I$167,$L31)&amp;""))</f>
        <v/>
      </c>
      <c r="G31" s="168"/>
      <c r="I31" s="26"/>
      <c r="J31" s="26"/>
      <c r="K31" s="26"/>
      <c r="L31" s="194" t="str">
        <f>IFERROR(__xludf.DUMMYFUNCTION("ARRAY_CONSTRAIN(ARRAYFORMULA(IFERROR(SMALL(FILTER((ROW('Licence Chemicals'!$A$5:$A$167)-ROW('Licence Chemicals'!$A$4:$I$4)),IFERROR(('Licence Chemicals'!$A$5:$A$167=$J$4),FALSE)),ROWS($L$22:L31)),"""")), 1, 1)"),"")</f>
        <v/>
      </c>
    </row>
    <row r="32" ht="16.5" customHeight="1">
      <c r="A32" s="168"/>
      <c r="B32" s="195" t="str">
        <f t="shared" si="1"/>
        <v/>
      </c>
      <c r="C32" s="196" t="str">
        <f t="array" ref="C32">IF($L32="","",INDEX('Licence Chemicals'!$D$5:$D$167,$L32)&amp;"")</f>
        <v/>
      </c>
      <c r="D32" s="195" t="str">
        <f t="array" ref="D32">IF($L32="","",INDEX('Licence Chemicals'!$E$5:$E$167,$L32)&amp;"")</f>
        <v/>
      </c>
      <c r="E32" s="195" t="str">
        <f t="array" ref="E32">IF($L32="","",IF(INDEX('Licence Chemicals'!$G$5:$G$167,$L32)="","",TEXT(INDEX('Licence Chemicals'!$G$5:$G$167,$L32),"#,##0.##")&amp;" "&amp;INDEX('Licence Chemicals'!$H$5:$H$167,$L32)))</f>
        <v/>
      </c>
      <c r="F32" s="195" t="str">
        <f t="array" ref="F32">IF($L32="","",IF(INDEX('Licence Chemicals'!$I$5:$I$167,$L32)="","To Be Provided",INDEX('Licence Chemicals'!$I$5:$I$167,$L32)&amp;""))</f>
        <v/>
      </c>
      <c r="G32" s="168"/>
      <c r="I32" s="26"/>
      <c r="J32" s="26"/>
      <c r="K32" s="26"/>
      <c r="L32" s="194" t="str">
        <f>IFERROR(__xludf.DUMMYFUNCTION("ARRAY_CONSTRAIN(ARRAYFORMULA(IFERROR(SMALL(FILTER((ROW('Licence Chemicals'!$A$5:$A$167)-ROW('Licence Chemicals'!$A$4:$I$4)),IFERROR(('Licence Chemicals'!$A$5:$A$167=$J$4),FALSE)),ROWS($L$22:L32)),"""")), 1, 1)"),"")</f>
        <v/>
      </c>
    </row>
    <row r="33" ht="16.5" customHeight="1">
      <c r="A33" s="168"/>
      <c r="B33" s="195" t="str">
        <f t="shared" si="1"/>
        <v/>
      </c>
      <c r="C33" s="196" t="str">
        <f t="array" ref="C33">IF($L33="","",INDEX('Licence Chemicals'!$D$5:$D$167,$L33)&amp;"")</f>
        <v/>
      </c>
      <c r="D33" s="195" t="str">
        <f t="array" ref="D33">IF($L33="","",INDEX('Licence Chemicals'!$E$5:$E$167,$L33)&amp;"")</f>
        <v/>
      </c>
      <c r="E33" s="195" t="str">
        <f t="array" ref="E33">IF($L33="","",IF(INDEX('Licence Chemicals'!$G$5:$G$167,$L33)="","",TEXT(INDEX('Licence Chemicals'!$G$5:$G$167,$L33),"#,##0.##")&amp;" "&amp;INDEX('Licence Chemicals'!$H$5:$H$167,$L33)))</f>
        <v/>
      </c>
      <c r="F33" s="195" t="str">
        <f t="array" ref="F33">IF($L33="","",IF(INDEX('Licence Chemicals'!$I$5:$I$167,$L33)="","To Be Provided",INDEX('Licence Chemicals'!$I$5:$I$167,$L33)&amp;""))</f>
        <v/>
      </c>
      <c r="G33" s="168"/>
      <c r="I33" s="26"/>
      <c r="J33" s="26"/>
      <c r="K33" s="26"/>
      <c r="L33" s="194" t="str">
        <f>IFERROR(__xludf.DUMMYFUNCTION("ARRAY_CONSTRAIN(ARRAYFORMULA(IFERROR(SMALL(FILTER((ROW('Licence Chemicals'!$A$5:$A$167)-ROW('Licence Chemicals'!$A$4:$I$4)),IFERROR(('Licence Chemicals'!$A$5:$A$167=$J$4),FALSE)),ROWS($L$22:L33)),"""")), 1, 1)"),"")</f>
        <v/>
      </c>
    </row>
    <row r="34" ht="16.5" customHeight="1">
      <c r="A34" s="168"/>
      <c r="B34" s="195" t="str">
        <f t="shared" si="1"/>
        <v/>
      </c>
      <c r="C34" s="196" t="str">
        <f t="array" ref="C34">IF($L34="","",INDEX('Licence Chemicals'!$D$5:$D$167,$L34)&amp;"")</f>
        <v/>
      </c>
      <c r="D34" s="195" t="str">
        <f t="array" ref="D34">IF($L34="","",INDEX('Licence Chemicals'!$E$5:$E$167,$L34)&amp;"")</f>
        <v/>
      </c>
      <c r="E34" s="195" t="str">
        <f t="array" ref="E34">IF($L34="","",IF(INDEX('Licence Chemicals'!$G$5:$G$167,$L34)="","",TEXT(INDEX('Licence Chemicals'!$G$5:$G$167,$L34),"#,##0.##")&amp;" "&amp;INDEX('Licence Chemicals'!$H$5:$H$167,$L34)))</f>
        <v/>
      </c>
      <c r="F34" s="195" t="str">
        <f t="array" ref="F34">IF($L34="","",IF(INDEX('Licence Chemicals'!$I$5:$I$167,$L34)="","To Be Provided",INDEX('Licence Chemicals'!$I$5:$I$167,$L34)&amp;""))</f>
        <v/>
      </c>
      <c r="G34" s="168"/>
      <c r="I34" s="26"/>
      <c r="J34" s="26"/>
      <c r="K34" s="26"/>
      <c r="L34" s="194" t="str">
        <f>IFERROR(__xludf.DUMMYFUNCTION("ARRAY_CONSTRAIN(ARRAYFORMULA(IFERROR(SMALL(FILTER((ROW('Licence Chemicals'!$A$5:$A$167)-ROW('Licence Chemicals'!$A$4:$I$4)),IFERROR(('Licence Chemicals'!$A$5:$A$167=$J$4),FALSE)),ROWS($L$22:L34)),"""")), 1, 1)"),"")</f>
        <v/>
      </c>
    </row>
    <row r="35" ht="16.5" customHeight="1">
      <c r="A35" s="168"/>
      <c r="B35" s="195" t="str">
        <f t="shared" si="1"/>
        <v/>
      </c>
      <c r="C35" s="196" t="str">
        <f t="array" ref="C35">IF($L35="","",INDEX('Licence Chemicals'!$D$5:$D$167,$L35)&amp;"")</f>
        <v/>
      </c>
      <c r="D35" s="195" t="str">
        <f t="array" ref="D35">IF($L35="","",INDEX('Licence Chemicals'!$E$5:$E$167,$L35)&amp;"")</f>
        <v/>
      </c>
      <c r="E35" s="195" t="str">
        <f t="array" ref="E35">IF($L35="","",IF(INDEX('Licence Chemicals'!$G$5:$G$167,$L35)="","",TEXT(INDEX('Licence Chemicals'!$G$5:$G$167,$L35),"#,##0.##")&amp;" "&amp;INDEX('Licence Chemicals'!$H$5:$H$167,$L35)))</f>
        <v/>
      </c>
      <c r="F35" s="195" t="str">
        <f t="array" ref="F35">IF($L35="","",IF(INDEX('Licence Chemicals'!$I$5:$I$167,$L35)="","To Be Provided",INDEX('Licence Chemicals'!$I$5:$I$167,$L35)&amp;""))</f>
        <v/>
      </c>
      <c r="G35" s="168"/>
      <c r="I35" s="26"/>
      <c r="J35" s="26"/>
      <c r="K35" s="26"/>
      <c r="L35" s="194" t="str">
        <f>IFERROR(__xludf.DUMMYFUNCTION("ARRAY_CONSTRAIN(ARRAYFORMULA(IFERROR(SMALL(FILTER((ROW('Licence Chemicals'!$A$5:$A$167)-ROW('Licence Chemicals'!$A$4:$I$4)),IFERROR(('Licence Chemicals'!$A$5:$A$167=$J$4),FALSE)),ROWS($L$22:L35)),"""")), 1, 1)"),"")</f>
        <v/>
      </c>
    </row>
    <row r="36" ht="16.5" customHeight="1">
      <c r="A36" s="168"/>
      <c r="B36" s="195" t="str">
        <f t="shared" si="1"/>
        <v/>
      </c>
      <c r="C36" s="196" t="str">
        <f t="array" ref="C36">IF($L36="","",INDEX('Licence Chemicals'!$D$5:$D$167,$L36)&amp;"")</f>
        <v/>
      </c>
      <c r="D36" s="195" t="str">
        <f t="array" ref="D36">IF($L36="","",INDEX('Licence Chemicals'!$E$5:$E$167,$L36)&amp;"")</f>
        <v/>
      </c>
      <c r="E36" s="195" t="str">
        <f t="array" ref="E36">IF($L36="","",IF(INDEX('Licence Chemicals'!$G$5:$G$167,$L36)="","",TEXT(INDEX('Licence Chemicals'!$G$5:$G$167,$L36),"#,##0.##")&amp;" "&amp;INDEX('Licence Chemicals'!$H$5:$H$167,$L36)))</f>
        <v/>
      </c>
      <c r="F36" s="195" t="str">
        <f t="array" ref="F36">IF($L36="","",IF(INDEX('Licence Chemicals'!$I$5:$I$167,$L36)="","To Be Provided",INDEX('Licence Chemicals'!$I$5:$I$167,$L36)&amp;""))</f>
        <v/>
      </c>
      <c r="G36" s="168"/>
      <c r="I36" s="26"/>
      <c r="J36" s="26"/>
      <c r="K36" s="26"/>
      <c r="L36" s="194" t="str">
        <f>IFERROR(__xludf.DUMMYFUNCTION("ARRAY_CONSTRAIN(ARRAYFORMULA(IFERROR(SMALL(FILTER((ROW('Licence Chemicals'!$A$5:$A$167)-ROW('Licence Chemicals'!$A$4:$I$4)),IFERROR(('Licence Chemicals'!$A$5:$A$167=$J$4),FALSE)),ROWS($L$22:L36)),"""")), 1, 1)"),"")</f>
        <v/>
      </c>
    </row>
    <row r="37" ht="16.5" customHeight="1">
      <c r="A37" s="168"/>
      <c r="B37" s="195" t="str">
        <f t="shared" si="1"/>
        <v/>
      </c>
      <c r="C37" s="196" t="str">
        <f t="array" ref="C37">IF($L37="","",INDEX('Licence Chemicals'!$D$5:$D$167,$L37)&amp;"")</f>
        <v/>
      </c>
      <c r="D37" s="195" t="str">
        <f t="array" ref="D37">IF($L37="","",INDEX('Licence Chemicals'!$E$5:$E$167,$L37)&amp;"")</f>
        <v/>
      </c>
      <c r="E37" s="195" t="str">
        <f t="array" ref="E37">IF($L37="","",IF(INDEX('Licence Chemicals'!$G$5:$G$167,$L37)="","",TEXT(INDEX('Licence Chemicals'!$G$5:$G$167,$L37),"#,##0.##")&amp;" "&amp;INDEX('Licence Chemicals'!$H$5:$H$167,$L37)))</f>
        <v/>
      </c>
      <c r="F37" s="195" t="str">
        <f t="array" ref="F37">IF($L37="","",IF(INDEX('Licence Chemicals'!$I$5:$I$167,$L37)="","To Be Provided",INDEX('Licence Chemicals'!$I$5:$I$167,$L37)&amp;""))</f>
        <v/>
      </c>
      <c r="G37" s="168"/>
      <c r="I37" s="26"/>
      <c r="J37" s="26"/>
      <c r="K37" s="26"/>
      <c r="L37" s="194" t="str">
        <f>IFERROR(__xludf.DUMMYFUNCTION("ARRAY_CONSTRAIN(ARRAYFORMULA(IFERROR(SMALL(FILTER((ROW('Licence Chemicals'!$A$5:$A$167)-ROW('Licence Chemicals'!$A$4:$I$4)),IFERROR(('Licence Chemicals'!$A$5:$A$167=$J$4),FALSE)),ROWS($L$22:L37)),"""")), 1, 1)"),"")</f>
        <v/>
      </c>
    </row>
    <row r="38" ht="16.5" customHeight="1">
      <c r="A38" s="168"/>
      <c r="B38" s="195" t="str">
        <f t="shared" si="1"/>
        <v/>
      </c>
      <c r="C38" s="196" t="str">
        <f t="array" ref="C38">IF($L38="","",INDEX('Licence Chemicals'!$D$5:$D$167,$L38)&amp;"")</f>
        <v/>
      </c>
      <c r="D38" s="195" t="str">
        <f t="array" ref="D38">IF($L38="","",INDEX('Licence Chemicals'!$E$5:$E$167,$L38)&amp;"")</f>
        <v/>
      </c>
      <c r="E38" s="195" t="str">
        <f t="array" ref="E38">IF($L38="","",IF(INDEX('Licence Chemicals'!$G$5:$G$167,$L38)="","",TEXT(INDEX('Licence Chemicals'!$G$5:$G$167,$L38),"#,##0.##")&amp;" "&amp;INDEX('Licence Chemicals'!$H$5:$H$167,$L38)))</f>
        <v/>
      </c>
      <c r="F38" s="195" t="str">
        <f t="array" ref="F38">IF($L38="","",IF(INDEX('Licence Chemicals'!$I$5:$I$167,$L38)="","To Be Provided",INDEX('Licence Chemicals'!$I$5:$I$167,$L38)&amp;""))</f>
        <v/>
      </c>
      <c r="G38" s="168"/>
      <c r="I38" s="26"/>
      <c r="J38" s="26"/>
      <c r="K38" s="26"/>
      <c r="L38" s="194" t="str">
        <f>IFERROR(__xludf.DUMMYFUNCTION("ARRAY_CONSTRAIN(ARRAYFORMULA(IFERROR(SMALL(FILTER((ROW('Licence Chemicals'!$A$5:$A$167)-ROW('Licence Chemicals'!$A$4:$I$4)),IFERROR(('Licence Chemicals'!$A$5:$A$167=$J$4),FALSE)),ROWS($L$22:L38)),"""")), 1, 1)"),"")</f>
        <v/>
      </c>
    </row>
    <row r="39" ht="16.5" customHeight="1">
      <c r="A39" s="168"/>
      <c r="B39" s="195" t="str">
        <f t="shared" si="1"/>
        <v/>
      </c>
      <c r="C39" s="196" t="str">
        <f t="array" ref="C39">IF($L39="","",INDEX('Licence Chemicals'!$D$5:$D$167,$L39)&amp;"")</f>
        <v/>
      </c>
      <c r="D39" s="195" t="str">
        <f t="array" ref="D39">IF($L39="","",INDEX('Licence Chemicals'!$E$5:$E$167,$L39)&amp;"")</f>
        <v/>
      </c>
      <c r="E39" s="195" t="str">
        <f t="array" ref="E39">IF($L39="","",IF(INDEX('Licence Chemicals'!$G$5:$G$167,$L39)="","",TEXT(INDEX('Licence Chemicals'!$G$5:$G$167,$L39),"#,##0.##")&amp;" "&amp;INDEX('Licence Chemicals'!$H$5:$H$167,$L39)))</f>
        <v/>
      </c>
      <c r="F39" s="195" t="str">
        <f t="array" ref="F39">IF($L39="","",IF(INDEX('Licence Chemicals'!$I$5:$I$167,$L39)="","To Be Provided",INDEX('Licence Chemicals'!$I$5:$I$167,$L39)&amp;""))</f>
        <v/>
      </c>
      <c r="G39" s="168"/>
      <c r="I39" s="26"/>
      <c r="J39" s="26"/>
      <c r="K39" s="26"/>
      <c r="L39" s="194" t="str">
        <f>IFERROR(__xludf.DUMMYFUNCTION("ARRAY_CONSTRAIN(ARRAYFORMULA(IFERROR(SMALL(FILTER((ROW('Licence Chemicals'!$A$5:$A$167)-ROW('Licence Chemicals'!$A$4:$I$4)),IFERROR(('Licence Chemicals'!$A$5:$A$167=$J$4),FALSE)),ROWS($L$22:L39)),"""")), 1, 1)"),"")</f>
        <v/>
      </c>
    </row>
    <row r="40" ht="16.5" customHeight="1">
      <c r="A40" s="168"/>
      <c r="B40" s="195" t="str">
        <f t="shared" si="1"/>
        <v/>
      </c>
      <c r="C40" s="196" t="str">
        <f t="array" ref="C40">IF($L40="","",INDEX('Licence Chemicals'!$D$5:$D$167,$L40)&amp;"")</f>
        <v/>
      </c>
      <c r="D40" s="195" t="str">
        <f t="array" ref="D40">IF($L40="","",INDEX('Licence Chemicals'!$E$5:$E$167,$L40)&amp;"")</f>
        <v/>
      </c>
      <c r="E40" s="195" t="str">
        <f t="array" ref="E40">IF($L40="","",IF(INDEX('Licence Chemicals'!$G$5:$G$167,$L40)="","",TEXT(INDEX('Licence Chemicals'!$G$5:$G$167,$L40),"#,##0.##")&amp;" "&amp;INDEX('Licence Chemicals'!$H$5:$H$167,$L40)))</f>
        <v/>
      </c>
      <c r="F40" s="195" t="str">
        <f t="array" ref="F40">IF($L40="","",IF(INDEX('Licence Chemicals'!$I$5:$I$167,$L40)="","To Be Provided",INDEX('Licence Chemicals'!$I$5:$I$167,$L40)&amp;""))</f>
        <v/>
      </c>
      <c r="G40" s="168"/>
      <c r="I40" s="26"/>
      <c r="J40" s="26"/>
      <c r="K40" s="26"/>
      <c r="L40" s="194" t="str">
        <f>IFERROR(__xludf.DUMMYFUNCTION("ARRAY_CONSTRAIN(ARRAYFORMULA(IFERROR(SMALL(FILTER((ROW('Licence Chemicals'!$A$5:$A$167)-ROW('Licence Chemicals'!$A$4:$I$4)),IFERROR(('Licence Chemicals'!$A$5:$A$167=$J$4),FALSE)),ROWS($L$22:L40)),"""")), 1, 1)"),"")</f>
        <v/>
      </c>
    </row>
    <row r="41" ht="16.5" customHeight="1">
      <c r="A41" s="168"/>
      <c r="B41" s="195" t="str">
        <f t="shared" si="1"/>
        <v/>
      </c>
      <c r="C41" s="196" t="str">
        <f t="array" ref="C41">IF($L41="","",INDEX('Licence Chemicals'!$D$5:$D$167,$L41)&amp;"")</f>
        <v/>
      </c>
      <c r="D41" s="195" t="str">
        <f t="array" ref="D41">IF($L41="","",INDEX('Licence Chemicals'!$E$5:$E$167,$L41)&amp;"")</f>
        <v/>
      </c>
      <c r="E41" s="195" t="str">
        <f t="array" ref="E41">IF($L41="","",IF(INDEX('Licence Chemicals'!$G$5:$G$167,$L41)="","",TEXT(INDEX('Licence Chemicals'!$G$5:$G$167,$L41),"#,##0.##")&amp;" "&amp;INDEX('Licence Chemicals'!$H$5:$H$167,$L41)))</f>
        <v/>
      </c>
      <c r="F41" s="195" t="str">
        <f t="array" ref="F41">IF($L41="","",IF(INDEX('Licence Chemicals'!$I$5:$I$167,$L41)="","To Be Provided",INDEX('Licence Chemicals'!$I$5:$I$167,$L41)&amp;""))</f>
        <v/>
      </c>
      <c r="G41" s="168"/>
      <c r="L41" s="225" t="str">
        <f>IFERROR(__xludf.DUMMYFUNCTION("ARRAY_CONSTRAIN(ARRAYFORMULA(IFERROR(SMALL(FILTER((ROW('Licence Chemicals'!$A$5:$A$167)-ROW('Licence Chemicals'!$A$4:$I$4)),IFERROR(('Licence Chemicals'!$A$5:$A$167=$J$4),FALSE)),ROWS($L$22:L41)),"""")), 1, 1)"),"")</f>
        <v/>
      </c>
    </row>
    <row r="42" ht="16.5" customHeight="1">
      <c r="A42" s="168"/>
      <c r="B42" s="195" t="str">
        <f t="shared" si="1"/>
        <v/>
      </c>
      <c r="C42" s="196" t="str">
        <f t="array" ref="C42">IF($L42="","",INDEX('Licence Chemicals'!$D$5:$D$167,$L42)&amp;"")</f>
        <v/>
      </c>
      <c r="D42" s="195" t="str">
        <f t="array" ref="D42">IF($L42="","",INDEX('Licence Chemicals'!$E$5:$E$167,$L42)&amp;"")</f>
        <v/>
      </c>
      <c r="E42" s="195" t="str">
        <f t="array" ref="E42">IF($L42="","",IF(INDEX('Licence Chemicals'!$G$5:$G$167,$L42)="","",TEXT(INDEX('Licence Chemicals'!$G$5:$G$167,$L42),"#,##0.##")&amp;" "&amp;INDEX('Licence Chemicals'!$H$5:$H$167,$L42)))</f>
        <v/>
      </c>
      <c r="F42" s="195" t="str">
        <f t="array" ref="F42">IF($L42="","",IF(INDEX('Licence Chemicals'!$I$5:$I$167,$L42)="","To Be Provided",INDEX('Licence Chemicals'!$I$5:$I$167,$L42)&amp;""))</f>
        <v/>
      </c>
      <c r="G42" s="168"/>
      <c r="L42" s="225" t="str">
        <f>IFERROR(__xludf.DUMMYFUNCTION("ARRAY_CONSTRAIN(ARRAYFORMULA(IFERROR(SMALL(FILTER((ROW('Licence Chemicals'!$A$5:$A$167)-ROW('Licence Chemicals'!$A$4:$I$4)),IFERROR(('Licence Chemicals'!$A$5:$A$167=$J$4),FALSE)),ROWS($L$22:L42)),"""")), 1, 1)"),"")</f>
        <v/>
      </c>
    </row>
    <row r="43" ht="16.5" customHeight="1">
      <c r="A43" s="168"/>
      <c r="B43" s="195" t="str">
        <f t="shared" si="1"/>
        <v/>
      </c>
      <c r="C43" s="196" t="str">
        <f t="array" ref="C43">IF($L43="","",INDEX('Licence Chemicals'!$D$5:$D$167,$L43)&amp;"")</f>
        <v/>
      </c>
      <c r="D43" s="195" t="str">
        <f t="array" ref="D43">IF($L43="","",INDEX('Licence Chemicals'!$E$5:$E$167,$L43)&amp;"")</f>
        <v/>
      </c>
      <c r="E43" s="195" t="str">
        <f t="array" ref="E43">IF($L43="","",IF(INDEX('Licence Chemicals'!$G$5:$G$167,$L43)="","",TEXT(INDEX('Licence Chemicals'!$G$5:$G$167,$L43),"#,##0.##")&amp;" "&amp;INDEX('Licence Chemicals'!$H$5:$H$167,$L43)))</f>
        <v/>
      </c>
      <c r="F43" s="195" t="str">
        <f t="array" ref="F43">IF($L43="","",IF(INDEX('Licence Chemicals'!$I$5:$I$167,$L43)="","To Be Provided",INDEX('Licence Chemicals'!$I$5:$I$167,$L43)&amp;""))</f>
        <v/>
      </c>
      <c r="G43" s="168"/>
      <c r="L43" s="225" t="str">
        <f>IFERROR(__xludf.DUMMYFUNCTION("ARRAY_CONSTRAIN(ARRAYFORMULA(IFERROR(SMALL(FILTER((ROW('Licence Chemicals'!$A$5:$A$167)-ROW('Licence Chemicals'!$A$4:$I$4)),IFERROR(('Licence Chemicals'!$A$5:$A$167=$J$4),FALSE)),ROWS($L$22:L43)),"""")), 1, 1)"),"")</f>
        <v/>
      </c>
    </row>
    <row r="44" ht="16.5" customHeight="1">
      <c r="A44" s="168"/>
      <c r="B44" s="195" t="str">
        <f t="shared" si="1"/>
        <v/>
      </c>
      <c r="C44" s="196" t="str">
        <f t="array" ref="C44">IF($L44="","",INDEX('Licence Chemicals'!$D$5:$D$167,$L44)&amp;"")</f>
        <v/>
      </c>
      <c r="D44" s="195" t="str">
        <f t="array" ref="D44">IF($L44="","",INDEX('Licence Chemicals'!$E$5:$E$167,$L44)&amp;"")</f>
        <v/>
      </c>
      <c r="E44" s="195" t="str">
        <f t="array" ref="E44">IF($L44="","",IF(INDEX('Licence Chemicals'!$G$5:$G$167,$L44)="","",TEXT(INDEX('Licence Chemicals'!$G$5:$G$167,$L44),"#,##0.##")&amp;" "&amp;INDEX('Licence Chemicals'!$H$5:$H$167,$L44)))</f>
        <v/>
      </c>
      <c r="F44" s="195" t="str">
        <f t="array" ref="F44">IF($L44="","",IF(INDEX('Licence Chemicals'!$I$5:$I$167,$L44)="","To Be Provided",INDEX('Licence Chemicals'!$I$5:$I$167,$L44)&amp;""))</f>
        <v/>
      </c>
      <c r="G44" s="168"/>
      <c r="L44" s="225" t="str">
        <f>IFERROR(__xludf.DUMMYFUNCTION("ARRAY_CONSTRAIN(ARRAYFORMULA(IFERROR(SMALL(FILTER((ROW('Licence Chemicals'!$A$5:$A$167)-ROW('Licence Chemicals'!$A$4:$I$4)),IFERROR(('Licence Chemicals'!$A$5:$A$167=$J$4),FALSE)),ROWS($L$22:L44)),"""")), 1, 1)"),"")</f>
        <v/>
      </c>
    </row>
    <row r="45" ht="16.5" customHeight="1">
      <c r="A45" s="168"/>
      <c r="B45" s="195" t="str">
        <f t="shared" si="1"/>
        <v/>
      </c>
      <c r="C45" s="196" t="str">
        <f t="array" ref="C45">IF($L45="","",INDEX('Licence Chemicals'!$D$5:$D$167,$L45)&amp;"")</f>
        <v/>
      </c>
      <c r="D45" s="195" t="str">
        <f t="array" ref="D45">IF($L45="","",INDEX('Licence Chemicals'!$E$5:$E$167,$L45)&amp;"")</f>
        <v/>
      </c>
      <c r="E45" s="195" t="str">
        <f t="array" ref="E45">IF($L45="","",IF(INDEX('Licence Chemicals'!$G$5:$G$167,$L45)="","",TEXT(INDEX('Licence Chemicals'!$G$5:$G$167,$L45),"#,##0.##")&amp;" "&amp;INDEX('Licence Chemicals'!$H$5:$H$167,$L45)))</f>
        <v/>
      </c>
      <c r="F45" s="195" t="str">
        <f t="array" ref="F45">IF($L45="","",IF(INDEX('Licence Chemicals'!$I$5:$I$167,$L45)="","To Be Provided",INDEX('Licence Chemicals'!$I$5:$I$167,$L45)&amp;""))</f>
        <v/>
      </c>
      <c r="G45" s="168"/>
      <c r="L45" s="225" t="str">
        <f>IFERROR(__xludf.DUMMYFUNCTION("ARRAY_CONSTRAIN(ARRAYFORMULA(IFERROR(SMALL(FILTER((ROW('Licence Chemicals'!$A$5:$A$167)-ROW('Licence Chemicals'!$A$4:$I$4)),IFERROR(('Licence Chemicals'!$A$5:$A$167=$J$4),FALSE)),ROWS($L$22:L45)),"""")), 1, 1)"),"")</f>
        <v/>
      </c>
    </row>
    <row r="46" ht="16.5" customHeight="1">
      <c r="A46" s="168"/>
      <c r="B46" s="195" t="str">
        <f t="shared" si="1"/>
        <v/>
      </c>
      <c r="C46" s="196" t="str">
        <f t="array" ref="C46">IF($L46="","",INDEX('Licence Chemicals'!$D$5:$D$167,$L46)&amp;"")</f>
        <v/>
      </c>
      <c r="D46" s="195" t="str">
        <f t="array" ref="D46">IF($L46="","",INDEX('Licence Chemicals'!$E$5:$E$167,$L46)&amp;"")</f>
        <v/>
      </c>
      <c r="E46" s="195" t="str">
        <f t="array" ref="E46">IF($L46="","",IF(INDEX('Licence Chemicals'!$G$5:$G$167,$L46)="","",TEXT(INDEX('Licence Chemicals'!$G$5:$G$167,$L46),"#,##0.##")&amp;" "&amp;INDEX('Licence Chemicals'!$H$5:$H$167,$L46)))</f>
        <v/>
      </c>
      <c r="F46" s="195" t="str">
        <f t="array" ref="F46">IF($L46="","",IF(INDEX('Licence Chemicals'!$I$5:$I$167,$L46)="","To Be Provided",INDEX('Licence Chemicals'!$I$5:$I$167,$L46)&amp;""))</f>
        <v/>
      </c>
      <c r="G46" s="168"/>
      <c r="L46" s="225" t="str">
        <f>IFERROR(__xludf.DUMMYFUNCTION("ARRAY_CONSTRAIN(ARRAYFORMULA(IFERROR(SMALL(FILTER((ROW('Licence Chemicals'!$A$5:$A$167)-ROW('Licence Chemicals'!$A$4:$I$4)),IFERROR(('Licence Chemicals'!$A$5:$A$167=$J$4),FALSE)),ROWS($L$22:L46)),"""")), 1, 1)"),"")</f>
        <v/>
      </c>
    </row>
    <row r="47" ht="16.5" customHeight="1">
      <c r="A47" s="168"/>
      <c r="B47" s="195" t="str">
        <f t="shared" si="1"/>
        <v/>
      </c>
      <c r="C47" s="196" t="str">
        <f t="array" ref="C47">IF($L47="","",INDEX('Licence Chemicals'!$D$5:$D$167,$L47)&amp;"")</f>
        <v/>
      </c>
      <c r="D47" s="195" t="str">
        <f t="array" ref="D47">IF($L47="","",INDEX('Licence Chemicals'!$E$5:$E$167,$L47)&amp;"")</f>
        <v/>
      </c>
      <c r="E47" s="195" t="str">
        <f t="array" ref="E47">IF($L47="","",IF(INDEX('Licence Chemicals'!$G$5:$G$167,$L47)="","",TEXT(INDEX('Licence Chemicals'!$G$5:$G$167,$L47),"#,##0.##")&amp;" "&amp;INDEX('Licence Chemicals'!$H$5:$H$167,$L47)))</f>
        <v/>
      </c>
      <c r="F47" s="195" t="str">
        <f t="array" ref="F47">IF($L47="","",IF(INDEX('Licence Chemicals'!$I$5:$I$167,$L47)="","To Be Provided",INDEX('Licence Chemicals'!$I$5:$I$167,$L47)&amp;""))</f>
        <v/>
      </c>
      <c r="G47" s="168"/>
      <c r="L47" s="225" t="str">
        <f>IFERROR(__xludf.DUMMYFUNCTION("ARRAY_CONSTRAIN(ARRAYFORMULA(IFERROR(SMALL(FILTER((ROW('Licence Chemicals'!$A$5:$A$167)-ROW('Licence Chemicals'!$A$4:$I$4)),IFERROR(('Licence Chemicals'!$A$5:$A$167=$J$4),FALSE)),ROWS($L$22:L47)),"""")), 1, 1)"),"")</f>
        <v/>
      </c>
    </row>
    <row r="48" ht="16.5" customHeight="1">
      <c r="A48" s="168"/>
      <c r="B48" s="195" t="str">
        <f t="shared" si="1"/>
        <v/>
      </c>
      <c r="C48" s="196" t="str">
        <f t="array" ref="C48">IF($L48="","",INDEX('Licence Chemicals'!$D$5:$D$167,$L48)&amp;"")</f>
        <v/>
      </c>
      <c r="D48" s="195" t="str">
        <f t="array" ref="D48">IF($L48="","",INDEX('Licence Chemicals'!$E$5:$E$167,$L48)&amp;"")</f>
        <v/>
      </c>
      <c r="E48" s="195" t="str">
        <f t="array" ref="E48">IF($L48="","",IF(INDEX('Licence Chemicals'!$G$5:$G$167,$L48)="","",TEXT(INDEX('Licence Chemicals'!$G$5:$G$167,$L48),"#,##0.##")&amp;" "&amp;INDEX('Licence Chemicals'!$H$5:$H$167,$L48)))</f>
        <v/>
      </c>
      <c r="F48" s="195" t="str">
        <f t="array" ref="F48">IF($L48="","",IF(INDEX('Licence Chemicals'!$I$5:$I$167,$L48)="","To Be Provided",INDEX('Licence Chemicals'!$I$5:$I$167,$L48)&amp;""))</f>
        <v/>
      </c>
      <c r="G48" s="168"/>
      <c r="L48" s="225" t="str">
        <f>IFERROR(__xludf.DUMMYFUNCTION("ARRAY_CONSTRAIN(ARRAYFORMULA(IFERROR(SMALL(FILTER((ROW('Licence Chemicals'!$A$5:$A$167)-ROW('Licence Chemicals'!$A$4:$I$4)),IFERROR(('Licence Chemicals'!$A$5:$A$167=$J$4),FALSE)),ROWS($L$22:L48)),"""")), 1, 1)"),"")</f>
        <v/>
      </c>
    </row>
    <row r="49" ht="16.5" customHeight="1">
      <c r="A49" s="168"/>
      <c r="B49" s="195" t="str">
        <f t="shared" si="1"/>
        <v/>
      </c>
      <c r="C49" s="196" t="str">
        <f t="array" ref="C49">IF($L49="","",INDEX('Licence Chemicals'!$D$5:$D$167,$L49)&amp;"")</f>
        <v/>
      </c>
      <c r="D49" s="195" t="str">
        <f t="array" ref="D49">IF($L49="","",INDEX('Licence Chemicals'!$E$5:$E$167,$L49)&amp;"")</f>
        <v/>
      </c>
      <c r="E49" s="195" t="str">
        <f t="array" ref="E49">IF($L49="","",IF(INDEX('Licence Chemicals'!$G$5:$G$167,$L49)="","",TEXT(INDEX('Licence Chemicals'!$G$5:$G$167,$L49),"#,##0.##")&amp;" "&amp;INDEX('Licence Chemicals'!$H$5:$H$167,$L49)))</f>
        <v/>
      </c>
      <c r="F49" s="195" t="str">
        <f t="array" ref="F49">IF($L49="","",IF(INDEX('Licence Chemicals'!$I$5:$I$167,$L49)="","To Be Provided",INDEX('Licence Chemicals'!$I$5:$I$167,$L49)&amp;""))</f>
        <v/>
      </c>
      <c r="G49" s="168"/>
      <c r="L49" s="225" t="str">
        <f>IFERROR(__xludf.DUMMYFUNCTION("ARRAY_CONSTRAIN(ARRAYFORMULA(IFERROR(SMALL(FILTER((ROW('Licence Chemicals'!$A$5:$A$167)-ROW('Licence Chemicals'!$A$4:$I$4)),IFERROR(('Licence Chemicals'!$A$5:$A$167=$J$4),FALSE)),ROWS($L$22:L49)),"""")), 1, 1)"),"")</f>
        <v/>
      </c>
    </row>
    <row r="50" ht="16.5" customHeight="1">
      <c r="A50" s="168"/>
      <c r="B50" s="195" t="str">
        <f t="shared" si="1"/>
        <v/>
      </c>
      <c r="C50" s="196" t="str">
        <f t="array" ref="C50">IF($L50="","",INDEX('Licence Chemicals'!$D$5:$D$167,$L50)&amp;"")</f>
        <v/>
      </c>
      <c r="D50" s="195" t="str">
        <f t="array" ref="D50">IF($L50="","",INDEX('Licence Chemicals'!$E$5:$E$167,$L50)&amp;"")</f>
        <v/>
      </c>
      <c r="E50" s="195" t="str">
        <f t="array" ref="E50">IF($L50="","",IF(INDEX('Licence Chemicals'!$G$5:$G$167,$L50)="","",TEXT(INDEX('Licence Chemicals'!$G$5:$G$167,$L50),"#,##0.##")&amp;" "&amp;INDEX('Licence Chemicals'!$H$5:$H$167,$L50)))</f>
        <v/>
      </c>
      <c r="F50" s="195" t="str">
        <f t="array" ref="F50">IF($L50="","",IF(INDEX('Licence Chemicals'!$I$5:$I$167,$L50)="","To Be Provided",INDEX('Licence Chemicals'!$I$5:$I$167,$L50)&amp;""))</f>
        <v/>
      </c>
      <c r="G50" s="168"/>
      <c r="L50" s="225" t="str">
        <f>IFERROR(__xludf.DUMMYFUNCTION("ARRAY_CONSTRAIN(ARRAYFORMULA(IFERROR(SMALL(FILTER((ROW('Licence Chemicals'!$A$5:$A$167)-ROW('Licence Chemicals'!$A$4:$I$4)),IFERROR(('Licence Chemicals'!$A$5:$A$167=$J$4),FALSE)),ROWS($L$22:L50)),"""")), 1, 1)"),"")</f>
        <v/>
      </c>
    </row>
    <row r="51" ht="16.5" customHeight="1">
      <c r="A51" s="168"/>
      <c r="B51" s="195" t="str">
        <f t="shared" si="1"/>
        <v/>
      </c>
      <c r="C51" s="196" t="str">
        <f t="array" ref="C51">IF($L51="","",INDEX('Licence Chemicals'!$D$5:$D$167,$L51)&amp;"")</f>
        <v/>
      </c>
      <c r="D51" s="195" t="str">
        <f t="array" ref="D51">IF($L51="","",INDEX('Licence Chemicals'!$E$5:$E$167,$L51)&amp;"")</f>
        <v/>
      </c>
      <c r="E51" s="195" t="str">
        <f t="array" ref="E51">IF($L51="","",IF(INDEX('Licence Chemicals'!$G$5:$G$167,$L51)="","",TEXT(INDEX('Licence Chemicals'!$G$5:$G$167,$L51),"#,##0.##")&amp;" "&amp;INDEX('Licence Chemicals'!$H$5:$H$167,$L51)))</f>
        <v/>
      </c>
      <c r="F51" s="195" t="str">
        <f t="array" ref="F51">IF($L51="","",IF(INDEX('Licence Chemicals'!$I$5:$I$167,$L51)="","To Be Provided",INDEX('Licence Chemicals'!$I$5:$I$167,$L51)&amp;""))</f>
        <v/>
      </c>
      <c r="G51" s="168"/>
      <c r="L51" s="225" t="str">
        <f>IFERROR(__xludf.DUMMYFUNCTION("ARRAY_CONSTRAIN(ARRAYFORMULA(IFERROR(SMALL(FILTER((ROW('Licence Chemicals'!$A$5:$A$167)-ROW('Licence Chemicals'!$A$4:$I$4)),IFERROR(('Licence Chemicals'!$A$5:$A$167=$J$4),FALSE)),ROWS($L$22:L51)),"""")), 1, 1)"),"")</f>
        <v/>
      </c>
    </row>
    <row r="52" ht="16.5" customHeight="1">
      <c r="A52" s="168"/>
      <c r="B52" s="195" t="str">
        <f t="shared" si="1"/>
        <v/>
      </c>
      <c r="C52" s="196" t="str">
        <f t="array" ref="C52">IF($L52="","",INDEX('Licence Chemicals'!$D$5:$D$167,$L52)&amp;"")</f>
        <v/>
      </c>
      <c r="D52" s="195" t="str">
        <f t="array" ref="D52">IF($L52="","",INDEX('Licence Chemicals'!$E$5:$E$167,$L52)&amp;"")</f>
        <v/>
      </c>
      <c r="E52" s="195" t="str">
        <f t="array" ref="E52">IF($L52="","",IF(INDEX('Licence Chemicals'!$G$5:$G$167,$L52)="","",TEXT(INDEX('Licence Chemicals'!$G$5:$G$167,$L52),"#,##0.##")&amp;" "&amp;INDEX('Licence Chemicals'!$H$5:$H$167,$L52)))</f>
        <v/>
      </c>
      <c r="F52" s="195" t="str">
        <f t="array" ref="F52">IF($L52="","",IF(INDEX('Licence Chemicals'!$I$5:$I$167,$L52)="","To Be Provided",INDEX('Licence Chemicals'!$I$5:$I$167,$L52)&amp;""))</f>
        <v/>
      </c>
      <c r="G52" s="168"/>
      <c r="L52" s="225" t="str">
        <f>IFERROR(__xludf.DUMMYFUNCTION("ARRAY_CONSTRAIN(ARRAYFORMULA(IFERROR(SMALL(FILTER((ROW('Licence Chemicals'!$A$5:$A$167)-ROW('Licence Chemicals'!$A$4:$I$4)),IFERROR(('Licence Chemicals'!$A$5:$A$167=$J$4),FALSE)),ROWS($L$22:L52)),"""")), 1, 1)"),"")</f>
        <v/>
      </c>
    </row>
    <row r="53" ht="16.5" customHeight="1">
      <c r="A53" s="168"/>
      <c r="B53" s="195" t="str">
        <f t="shared" si="1"/>
        <v/>
      </c>
      <c r="C53" s="196" t="str">
        <f t="array" ref="C53">IF($L53="","",INDEX('Licence Chemicals'!$D$5:$D$167,$L53)&amp;"")</f>
        <v/>
      </c>
      <c r="D53" s="195" t="str">
        <f t="array" ref="D53">IF($L53="","",INDEX('Licence Chemicals'!$E$5:$E$167,$L53)&amp;"")</f>
        <v/>
      </c>
      <c r="E53" s="195" t="str">
        <f t="array" ref="E53">IF($L53="","",IF(INDEX('Licence Chemicals'!$G$5:$G$167,$L53)="","",TEXT(INDEX('Licence Chemicals'!$G$5:$G$167,$L53),"#,##0.##")&amp;" "&amp;INDEX('Licence Chemicals'!$H$5:$H$167,$L53)))</f>
        <v/>
      </c>
      <c r="F53" s="195" t="str">
        <f t="array" ref="F53">IF($L53="","",IF(INDEX('Licence Chemicals'!$I$5:$I$167,$L53)="","To Be Provided",INDEX('Licence Chemicals'!$I$5:$I$167,$L53)&amp;""))</f>
        <v/>
      </c>
      <c r="G53" s="168"/>
      <c r="L53" s="225" t="str">
        <f>IFERROR(__xludf.DUMMYFUNCTION("ARRAY_CONSTRAIN(ARRAYFORMULA(IFERROR(SMALL(FILTER((ROW('Licence Chemicals'!$A$5:$A$167)-ROW('Licence Chemicals'!$A$4:$I$4)),IFERROR(('Licence Chemicals'!$A$5:$A$167=$J$4),FALSE)),ROWS($L$22:L53)),"""")), 1, 1)"),"")</f>
        <v/>
      </c>
    </row>
    <row r="54" ht="16.5" customHeight="1">
      <c r="A54" s="168"/>
      <c r="B54" s="195" t="str">
        <f t="shared" si="1"/>
        <v/>
      </c>
      <c r="C54" s="196" t="str">
        <f t="array" ref="C54">IF($L54="","",INDEX('Licence Chemicals'!$D$5:$D$167,$L54)&amp;"")</f>
        <v/>
      </c>
      <c r="D54" s="195" t="str">
        <f t="array" ref="D54">IF($L54="","",INDEX('Licence Chemicals'!$E$5:$E$167,$L54)&amp;"")</f>
        <v/>
      </c>
      <c r="E54" s="195" t="str">
        <f t="array" ref="E54">IF($L54="","",IF(INDEX('Licence Chemicals'!$G$5:$G$167,$L54)="","",TEXT(INDEX('Licence Chemicals'!$G$5:$G$167,$L54),"#,##0.##")&amp;" "&amp;INDEX('Licence Chemicals'!$H$5:$H$167,$L54)))</f>
        <v/>
      </c>
      <c r="F54" s="195" t="str">
        <f t="array" ref="F54">IF($L54="","",IF(INDEX('Licence Chemicals'!$I$5:$I$167,$L54)="","To Be Provided",INDEX('Licence Chemicals'!$I$5:$I$167,$L54)&amp;""))</f>
        <v/>
      </c>
      <c r="G54" s="168"/>
      <c r="L54" s="225" t="str">
        <f>IFERROR(__xludf.DUMMYFUNCTION("ARRAY_CONSTRAIN(ARRAYFORMULA(IFERROR(SMALL(FILTER((ROW('Licence Chemicals'!$A$5:$A$167)-ROW('Licence Chemicals'!$A$4:$I$4)),IFERROR(('Licence Chemicals'!$A$5:$A$167=$J$4),FALSE)),ROWS($L$22:L54)),"""")), 1, 1)"),"")</f>
        <v/>
      </c>
    </row>
    <row r="55" ht="16.5" customHeight="1">
      <c r="A55" s="168"/>
      <c r="B55" s="195" t="str">
        <f t="shared" si="1"/>
        <v/>
      </c>
      <c r="C55" s="196" t="str">
        <f t="array" ref="C55">IF($L55="","",INDEX('Licence Chemicals'!$D$5:$D$167,$L55)&amp;"")</f>
        <v/>
      </c>
      <c r="D55" s="195" t="str">
        <f t="array" ref="D55">IF($L55="","",INDEX('Licence Chemicals'!$E$5:$E$167,$L55)&amp;"")</f>
        <v/>
      </c>
      <c r="E55" s="195" t="str">
        <f t="array" ref="E55">IF($L55="","",IF(INDEX('Licence Chemicals'!$G$5:$G$167,$L55)="","",TEXT(INDEX('Licence Chemicals'!$G$5:$G$167,$L55),"#,##0.##")&amp;" "&amp;INDEX('Licence Chemicals'!$H$5:$H$167,$L55)))</f>
        <v/>
      </c>
      <c r="F55" s="195" t="str">
        <f t="array" ref="F55">IF($L55="","",IF(INDEX('Licence Chemicals'!$I$5:$I$167,$L55)="","To Be Provided",INDEX('Licence Chemicals'!$I$5:$I$167,$L55)&amp;""))</f>
        <v/>
      </c>
      <c r="G55" s="168"/>
      <c r="L55" s="225" t="str">
        <f>IFERROR(__xludf.DUMMYFUNCTION("ARRAY_CONSTRAIN(ARRAYFORMULA(IFERROR(SMALL(FILTER((ROW('Licence Chemicals'!$A$5:$A$167)-ROW('Licence Chemicals'!$A$4:$I$4)),IFERROR(('Licence Chemicals'!$A$5:$A$167=$J$4),FALSE)),ROWS($L$22:L55)),"""")), 1, 1)"),"")</f>
        <v/>
      </c>
    </row>
    <row r="56" ht="16.5" customHeight="1">
      <c r="A56" s="168"/>
      <c r="B56" s="195" t="str">
        <f t="shared" si="1"/>
        <v/>
      </c>
      <c r="C56" s="196" t="str">
        <f t="array" ref="C56">IF($L56="","",INDEX('Licence Chemicals'!$D$5:$D$167,$L56)&amp;"")</f>
        <v/>
      </c>
      <c r="D56" s="195" t="str">
        <f t="array" ref="D56">IF($L56="","",INDEX('Licence Chemicals'!$E$5:$E$167,$L56)&amp;"")</f>
        <v/>
      </c>
      <c r="E56" s="195" t="str">
        <f t="array" ref="E56">IF($L56="","",IF(INDEX('Licence Chemicals'!$G$5:$G$167,$L56)="","",TEXT(INDEX('Licence Chemicals'!$G$5:$G$167,$L56),"#,##0.##")&amp;" "&amp;INDEX('Licence Chemicals'!$H$5:$H$167,$L56)))</f>
        <v/>
      </c>
      <c r="F56" s="195" t="str">
        <f t="array" ref="F56">IF($L56="","",IF(INDEX('Licence Chemicals'!$I$5:$I$167,$L56)="","To Be Provided",INDEX('Licence Chemicals'!$I$5:$I$167,$L56)&amp;""))</f>
        <v/>
      </c>
      <c r="G56" s="168"/>
      <c r="L56" s="225" t="str">
        <f>IFERROR(__xludf.DUMMYFUNCTION("ARRAY_CONSTRAIN(ARRAYFORMULA(IFERROR(SMALL(FILTER((ROW('Licence Chemicals'!$A$5:$A$167)-ROW('Licence Chemicals'!$A$4:$I$4)),IFERROR(('Licence Chemicals'!$A$5:$A$167=$J$4),FALSE)),ROWS($L$22:L56)),"""")), 1, 1)"),"")</f>
        <v/>
      </c>
    </row>
    <row r="57" ht="16.5" customHeight="1">
      <c r="A57" s="168"/>
      <c r="B57" s="195" t="str">
        <f t="shared" si="1"/>
        <v/>
      </c>
      <c r="C57" s="196" t="str">
        <f t="array" ref="C57">IF($L57="","",INDEX('Licence Chemicals'!$D$5:$D$167,$L57)&amp;"")</f>
        <v/>
      </c>
      <c r="D57" s="195" t="str">
        <f t="array" ref="D57">IF($L57="","",INDEX('Licence Chemicals'!$E$5:$E$167,$L57)&amp;"")</f>
        <v/>
      </c>
      <c r="E57" s="195" t="str">
        <f t="array" ref="E57">IF($L57="","",IF(INDEX('Licence Chemicals'!$G$5:$G$167,$L57)="","",TEXT(INDEX('Licence Chemicals'!$G$5:$G$167,$L57),"#,##0.##")&amp;" "&amp;INDEX('Licence Chemicals'!$H$5:$H$167,$L57)))</f>
        <v/>
      </c>
      <c r="F57" s="195" t="str">
        <f t="array" ref="F57">IF($L57="","",IF(INDEX('Licence Chemicals'!$I$5:$I$167,$L57)="","To Be Provided",INDEX('Licence Chemicals'!$I$5:$I$167,$L57)&amp;""))</f>
        <v/>
      </c>
      <c r="G57" s="168"/>
      <c r="L57" s="225" t="str">
        <f>IFERROR(__xludf.DUMMYFUNCTION("ARRAY_CONSTRAIN(ARRAYFORMULA(IFERROR(SMALL(FILTER((ROW('Licence Chemicals'!$A$5:$A$167)-ROW('Licence Chemicals'!$A$4:$I$4)),IFERROR(('Licence Chemicals'!$A$5:$A$167=$J$4),FALSE)),ROWS($L$22:L57)),"""")), 1, 1)"),"")</f>
        <v/>
      </c>
    </row>
    <row r="58" ht="16.5" customHeight="1">
      <c r="A58" s="168"/>
      <c r="B58" s="195" t="str">
        <f t="shared" si="1"/>
        <v/>
      </c>
      <c r="C58" s="196" t="str">
        <f t="array" ref="C58">IF($L58="","",INDEX('Licence Chemicals'!$D$5:$D$167,$L58)&amp;"")</f>
        <v/>
      </c>
      <c r="D58" s="195" t="str">
        <f t="array" ref="D58">IF($L58="","",INDEX('Licence Chemicals'!$E$5:$E$167,$L58)&amp;"")</f>
        <v/>
      </c>
      <c r="E58" s="195" t="str">
        <f t="array" ref="E58">IF($L58="","",IF(INDEX('Licence Chemicals'!$G$5:$G$167,$L58)="","",TEXT(INDEX('Licence Chemicals'!$G$5:$G$167,$L58),"#,##0.##")&amp;" "&amp;INDEX('Licence Chemicals'!$H$5:$H$167,$L58)))</f>
        <v/>
      </c>
      <c r="F58" s="195" t="str">
        <f t="array" ref="F58">IF($L58="","",IF(INDEX('Licence Chemicals'!$I$5:$I$167,$L58)="","To Be Provided",INDEX('Licence Chemicals'!$I$5:$I$167,$L58)&amp;""))</f>
        <v/>
      </c>
      <c r="G58" s="168"/>
      <c r="L58" s="225" t="str">
        <f>IFERROR(__xludf.DUMMYFUNCTION("ARRAY_CONSTRAIN(ARRAYFORMULA(IFERROR(SMALL(FILTER((ROW('Licence Chemicals'!$A$5:$A$167)-ROW('Licence Chemicals'!$A$4:$I$4)),IFERROR(('Licence Chemicals'!$A$5:$A$167=$J$4),FALSE)),ROWS($L$22:L58)),"""")), 1, 1)"),"")</f>
        <v/>
      </c>
    </row>
    <row r="59" ht="16.5" customHeight="1">
      <c r="A59" s="168"/>
      <c r="B59" s="195" t="str">
        <f t="shared" si="1"/>
        <v/>
      </c>
      <c r="C59" s="196" t="str">
        <f t="array" ref="C59">IF($L59="","",INDEX('Licence Chemicals'!$D$5:$D$167,$L59)&amp;"")</f>
        <v/>
      </c>
      <c r="D59" s="195" t="str">
        <f t="array" ref="D59">IF($L59="","",INDEX('Licence Chemicals'!$E$5:$E$167,$L59)&amp;"")</f>
        <v/>
      </c>
      <c r="E59" s="195" t="str">
        <f t="array" ref="E59">IF($L59="","",IF(INDEX('Licence Chemicals'!$G$5:$G$167,$L59)="","",TEXT(INDEX('Licence Chemicals'!$G$5:$G$167,$L59),"#,##0.##")&amp;" "&amp;INDEX('Licence Chemicals'!$H$5:$H$167,$L59)))</f>
        <v/>
      </c>
      <c r="F59" s="195" t="str">
        <f t="array" ref="F59">IF($L59="","",IF(INDEX('Licence Chemicals'!$I$5:$I$167,$L59)="","To Be Provided",INDEX('Licence Chemicals'!$I$5:$I$167,$L59)&amp;""))</f>
        <v/>
      </c>
      <c r="G59" s="168"/>
      <c r="L59" s="225" t="str">
        <f>IFERROR(__xludf.DUMMYFUNCTION("ARRAY_CONSTRAIN(ARRAYFORMULA(IFERROR(SMALL(FILTER((ROW('Licence Chemicals'!$A$5:$A$167)-ROW('Licence Chemicals'!$A$4:$I$4)),IFERROR(('Licence Chemicals'!$A$5:$A$167=$J$4),FALSE)),ROWS($L$22:L59)),"""")), 1, 1)"),"")</f>
        <v/>
      </c>
    </row>
    <row r="60" ht="16.5" customHeight="1">
      <c r="A60" s="168"/>
      <c r="B60" s="195" t="str">
        <f t="shared" si="1"/>
        <v/>
      </c>
      <c r="C60" s="196" t="str">
        <f t="array" ref="C60">IF($L60="","",INDEX('Licence Chemicals'!$D$5:$D$167,$L60)&amp;"")</f>
        <v/>
      </c>
      <c r="D60" s="195" t="str">
        <f t="array" ref="D60">IF($L60="","",INDEX('Licence Chemicals'!$E$5:$E$167,$L60)&amp;"")</f>
        <v/>
      </c>
      <c r="E60" s="195" t="str">
        <f t="array" ref="E60">IF($L60="","",IF(INDEX('Licence Chemicals'!$G$5:$G$167,$L60)="","",TEXT(INDEX('Licence Chemicals'!$G$5:$G$167,$L60),"#,##0.##")&amp;" "&amp;INDEX('Licence Chemicals'!$H$5:$H$167,$L60)))</f>
        <v/>
      </c>
      <c r="F60" s="195" t="str">
        <f t="array" ref="F60">IF($L60="","",IF(INDEX('Licence Chemicals'!$I$5:$I$167,$L60)="","To Be Provided",INDEX('Licence Chemicals'!$I$5:$I$167,$L60)&amp;""))</f>
        <v/>
      </c>
      <c r="G60" s="168"/>
      <c r="L60" s="225" t="str">
        <f>IFERROR(__xludf.DUMMYFUNCTION("ARRAY_CONSTRAIN(ARRAYFORMULA(IFERROR(SMALL(FILTER((ROW('Licence Chemicals'!$A$5:$A$167)-ROW('Licence Chemicals'!$A$4:$I$4)),IFERROR(('Licence Chemicals'!$A$5:$A$167=$J$4),FALSE)),ROWS($L$22:L60)),"""")), 1, 1)"),"")</f>
        <v/>
      </c>
    </row>
    <row r="61" ht="16.5" customHeight="1">
      <c r="A61" s="168"/>
      <c r="B61" s="195" t="str">
        <f t="shared" si="1"/>
        <v/>
      </c>
      <c r="C61" s="196" t="str">
        <f t="array" ref="C61">IF($L61="","",INDEX('Licence Chemicals'!$D$5:$D$167,$L61)&amp;"")</f>
        <v/>
      </c>
      <c r="D61" s="195" t="str">
        <f t="array" ref="D61">IF($L61="","",INDEX('Licence Chemicals'!$E$5:$E$167,$L61)&amp;"")</f>
        <v/>
      </c>
      <c r="E61" s="195" t="str">
        <f t="array" ref="E61">IF($L61="","",IF(INDEX('Licence Chemicals'!$G$5:$G$167,$L61)="","",TEXT(INDEX('Licence Chemicals'!$G$5:$G$167,$L61),"#,##0.##")&amp;" "&amp;INDEX('Licence Chemicals'!$H$5:$H$167,$L61)))</f>
        <v/>
      </c>
      <c r="F61" s="195" t="str">
        <f t="array" ref="F61">IF($L61="","",IF(INDEX('Licence Chemicals'!$I$5:$I$167,$L61)="","To Be Provided",INDEX('Licence Chemicals'!$I$5:$I$167,$L61)&amp;""))</f>
        <v/>
      </c>
      <c r="G61" s="168"/>
      <c r="L61" s="225" t="str">
        <f>IFERROR(__xludf.DUMMYFUNCTION("ARRAY_CONSTRAIN(ARRAYFORMULA(IFERROR(SMALL(FILTER((ROW('Licence Chemicals'!$A$5:$A$167)-ROW('Licence Chemicals'!$A$4:$I$4)),IFERROR(('Licence Chemicals'!$A$5:$A$167=$J$4),FALSE)),ROWS($L$22:L61)),"""")), 1, 1)"),"")</f>
        <v/>
      </c>
    </row>
    <row r="62" ht="14.25" customHeight="1">
      <c r="A62" s="168"/>
      <c r="B62" s="168"/>
      <c r="C62" s="168"/>
      <c r="D62" s="168"/>
      <c r="E62" s="168"/>
      <c r="F62" s="168"/>
      <c r="G62" s="168"/>
    </row>
    <row r="63" ht="14.25" customHeight="1">
      <c r="A63" s="168"/>
      <c r="B63" s="190" t="s">
        <v>637</v>
      </c>
      <c r="G63" s="168"/>
    </row>
    <row r="64" ht="48.0" customHeight="1">
      <c r="A64" s="168"/>
      <c r="B64" s="268">
        <v>1.0</v>
      </c>
      <c r="C64" s="269" t="s">
        <v>713</v>
      </c>
      <c r="G64" s="168"/>
    </row>
    <row r="65" ht="33.0" customHeight="1">
      <c r="A65" s="168"/>
      <c r="B65" s="268">
        <v>2.0</v>
      </c>
      <c r="C65" s="269" t="s">
        <v>714</v>
      </c>
      <c r="G65" s="168"/>
    </row>
    <row r="66" ht="33.0" customHeight="1">
      <c r="A66" s="168"/>
      <c r="B66" s="268">
        <v>3.0</v>
      </c>
      <c r="C66" s="269" t="s">
        <v>715</v>
      </c>
      <c r="G66" s="168"/>
    </row>
    <row r="67" ht="33.0" customHeight="1">
      <c r="A67" s="168"/>
      <c r="B67" s="268">
        <v>4.0</v>
      </c>
      <c r="C67" s="270" t="s">
        <v>716</v>
      </c>
      <c r="G67" s="168"/>
    </row>
    <row r="68" ht="63.0" customHeight="1">
      <c r="A68" s="168"/>
      <c r="B68" s="268">
        <v>5.0</v>
      </c>
      <c r="C68" s="270" t="s">
        <v>717</v>
      </c>
      <c r="G68" s="168"/>
    </row>
    <row r="69" ht="33.0" customHeight="1">
      <c r="A69" s="168"/>
      <c r="B69" s="268">
        <v>6.0</v>
      </c>
      <c r="C69" s="270" t="s">
        <v>718</v>
      </c>
      <c r="G69" s="168"/>
    </row>
    <row r="70" ht="33.0" customHeight="1">
      <c r="A70" s="168"/>
      <c r="B70" s="268">
        <v>7.0</v>
      </c>
      <c r="C70" s="269" t="s">
        <v>719</v>
      </c>
      <c r="G70" s="168"/>
    </row>
    <row r="71" ht="33.0" customHeight="1">
      <c r="A71" s="168"/>
      <c r="B71" s="268">
        <v>8.0</v>
      </c>
      <c r="C71" s="269" t="s">
        <v>720</v>
      </c>
      <c r="G71" s="168"/>
    </row>
    <row r="72" ht="33.0" customHeight="1">
      <c r="A72" s="168"/>
      <c r="B72" s="268">
        <v>9.0</v>
      </c>
      <c r="C72" s="269" t="s">
        <v>721</v>
      </c>
      <c r="G72" s="168"/>
    </row>
    <row r="73" ht="33.0" customHeight="1">
      <c r="A73" s="168"/>
      <c r="B73" s="268">
        <v>10.0</v>
      </c>
      <c r="C73" s="270" t="s">
        <v>722</v>
      </c>
      <c r="G73" s="168"/>
    </row>
    <row r="74" ht="14.25" customHeight="1">
      <c r="A74" s="168"/>
      <c r="B74" s="168"/>
      <c r="C74" s="168"/>
      <c r="D74" s="168"/>
      <c r="E74" s="168"/>
      <c r="F74" s="168"/>
      <c r="G74" s="168"/>
    </row>
    <row r="75" ht="14.25" customHeight="1">
      <c r="A75" s="168"/>
      <c r="B75" s="248" t="str">
        <f>"Issued Date:  "&amp;IF($J$10="","________",DAY($J$10)&amp;IF(AND(DAY($J$10)&gt;=11,DAY($J$10)&lt;=13),"th",CHOOSE(MIN(MOD(DAY($J$10),10)+1,5),"th","st","nd","rd","th"))&amp;" "&amp;TEXT($J$10,"mmmm, yyyy"))</f>
        <v>Issued Date:  15th January, 2026</v>
      </c>
      <c r="D75" s="238" t="str">
        <f>"Expired Date:  "&amp;IF($J$11="","________",DAY($J$11)&amp;IF(AND(DAY($J$11)&gt;=11,DAY($J$11)&lt;=13),"th",CHOOSE(MIN(MOD(DAY($J$11),10)+1,5),"th","st","nd","rd","th"))&amp;" "&amp;TEXT($J$11,"mmmm, yyyy"))</f>
        <v>Expired Date:  31st December, 2026</v>
      </c>
      <c r="G75" s="168"/>
    </row>
    <row r="76" ht="39.75" customHeight="1">
      <c r="A76" s="168"/>
      <c r="B76" s="168"/>
      <c r="C76" s="168"/>
      <c r="D76" s="168"/>
      <c r="E76" s="168"/>
      <c r="F76" s="168"/>
      <c r="G76" s="168"/>
    </row>
    <row r="77" ht="14.25" customHeight="1">
      <c r="A77" s="168"/>
      <c r="B77" s="183" t="s">
        <v>680</v>
      </c>
      <c r="G77" s="168"/>
    </row>
    <row r="78" ht="14.25" customHeight="1">
      <c r="A78" s="168"/>
      <c r="B78" s="183" t="str">
        <f t="array" ref="B78">IFERROR(INDEX(Lists!$U$5:$U$7,MATCH($J$13,Lists!$T$5:$T$7,0)),"")</f>
        <v>Dr. Emmanuel K. Urey Yarkpawolo</v>
      </c>
      <c r="G78" s="168"/>
    </row>
    <row r="79" ht="14.25" customHeight="1">
      <c r="A79" s="168"/>
      <c r="B79" s="239" t="str">
        <f t="array" ref="B79">IFERROR(INDEX(Lists!$V$5:$V$7,MATCH($J$13,Lists!$T$5:$T$7,0)),"")</f>
        <v>EXECUTIVE DIRECTOR/CEO</v>
      </c>
      <c r="G79" s="168"/>
    </row>
    <row r="80" ht="14.25" customHeight="1">
      <c r="A80" s="168"/>
      <c r="B80" s="168"/>
      <c r="C80" s="168"/>
      <c r="D80" s="168"/>
      <c r="E80" s="168"/>
      <c r="F80" s="168"/>
      <c r="G80" s="168"/>
    </row>
    <row r="81" ht="14.25" customHeight="1">
      <c r="A81" s="168"/>
      <c r="B81" s="168"/>
      <c r="C81" s="168"/>
      <c r="D81" s="168"/>
      <c r="E81" s="168"/>
      <c r="F81" s="168"/>
      <c r="G81" s="168"/>
    </row>
    <row r="82" ht="14.25" customHeight="1">
      <c r="A82" s="168"/>
      <c r="B82" s="168"/>
      <c r="C82" s="168"/>
      <c r="D82" s="168"/>
      <c r="E82" s="168"/>
      <c r="F82" s="168"/>
      <c r="G82" s="168"/>
    </row>
    <row r="83" ht="14.25" customHeight="1">
      <c r="A83" s="168"/>
      <c r="B83" s="168"/>
      <c r="C83" s="168"/>
      <c r="D83" s="168"/>
      <c r="E83" s="168"/>
      <c r="F83" s="168"/>
      <c r="G83" s="168"/>
    </row>
    <row r="84" ht="14.25" customHeight="1">
      <c r="A84" s="168"/>
      <c r="B84" s="168"/>
      <c r="C84" s="168"/>
      <c r="D84" s="168"/>
      <c r="E84" s="168"/>
      <c r="F84" s="168"/>
      <c r="G84" s="168"/>
    </row>
    <row r="85" ht="14.25" customHeight="1">
      <c r="A85" s="168"/>
      <c r="B85" s="168"/>
      <c r="C85" s="168"/>
      <c r="D85" s="168"/>
      <c r="E85" s="168"/>
      <c r="F85" s="168"/>
      <c r="G85" s="168"/>
    </row>
    <row r="86" ht="14.25" customHeight="1">
      <c r="A86" s="168"/>
      <c r="B86" s="168"/>
      <c r="C86" s="168"/>
      <c r="D86" s="168"/>
      <c r="E86" s="168"/>
      <c r="F86" s="168"/>
      <c r="G86" s="168"/>
    </row>
    <row r="87" ht="14.25" customHeight="1">
      <c r="A87" s="168"/>
      <c r="B87" s="168"/>
      <c r="C87" s="168"/>
      <c r="D87" s="168"/>
      <c r="E87" s="168"/>
      <c r="F87" s="168"/>
      <c r="G87" s="168"/>
    </row>
    <row r="88" ht="14.25" customHeight="1">
      <c r="A88" s="168"/>
      <c r="B88" s="168"/>
      <c r="C88" s="168"/>
      <c r="D88" s="168"/>
      <c r="E88" s="168"/>
      <c r="F88" s="168"/>
      <c r="G88" s="168"/>
    </row>
    <row r="89" ht="14.25" customHeight="1">
      <c r="A89" s="168"/>
      <c r="B89" s="168"/>
      <c r="C89" s="168"/>
      <c r="D89" s="168"/>
      <c r="E89" s="168"/>
      <c r="F89" s="168"/>
      <c r="G89" s="168"/>
    </row>
    <row r="90" ht="14.25" customHeight="1">
      <c r="A90" s="168"/>
      <c r="B90" s="168"/>
      <c r="C90" s="168"/>
      <c r="D90" s="168"/>
      <c r="E90" s="168"/>
      <c r="F90" s="168"/>
      <c r="G90" s="168"/>
    </row>
    <row r="91" ht="14.25" customHeight="1">
      <c r="A91" s="168"/>
      <c r="B91" s="168"/>
      <c r="C91" s="168"/>
      <c r="D91" s="168"/>
      <c r="E91" s="168"/>
      <c r="F91" s="168"/>
      <c r="G91" s="168"/>
    </row>
    <row r="92" ht="14.25" customHeight="1">
      <c r="A92" s="168"/>
      <c r="B92" s="168"/>
      <c r="C92" s="168"/>
      <c r="D92" s="168"/>
      <c r="E92" s="168"/>
      <c r="F92" s="168"/>
      <c r="G92" s="168"/>
    </row>
    <row r="93" ht="14.25" customHeight="1">
      <c r="A93" s="168"/>
      <c r="B93" s="168"/>
      <c r="C93" s="168"/>
      <c r="D93" s="168"/>
      <c r="E93" s="168"/>
      <c r="F93" s="168"/>
      <c r="G93" s="168"/>
    </row>
    <row r="94" ht="14.25" customHeight="1">
      <c r="A94" s="168"/>
      <c r="B94" s="168"/>
      <c r="C94" s="168"/>
      <c r="D94" s="168"/>
      <c r="E94" s="168"/>
      <c r="F94" s="168"/>
      <c r="G94" s="168"/>
    </row>
    <row r="95" ht="14.25" customHeight="1">
      <c r="A95" s="168"/>
      <c r="B95" s="168"/>
      <c r="C95" s="168"/>
      <c r="D95" s="168"/>
      <c r="E95" s="168"/>
      <c r="F95" s="168"/>
      <c r="G95" s="168"/>
    </row>
    <row r="96" ht="14.25" customHeight="1">
      <c r="A96" s="168"/>
      <c r="B96" s="168"/>
      <c r="C96" s="168"/>
      <c r="D96" s="168"/>
      <c r="E96" s="168"/>
      <c r="F96" s="168"/>
      <c r="G96" s="168"/>
    </row>
    <row r="97" ht="14.25" customHeight="1">
      <c r="A97" s="168"/>
      <c r="B97" s="168"/>
      <c r="C97" s="168"/>
      <c r="D97" s="168"/>
      <c r="E97" s="168"/>
      <c r="F97" s="168"/>
      <c r="G97" s="168"/>
    </row>
    <row r="98" ht="14.25" customHeight="1">
      <c r="A98" s="168"/>
      <c r="B98" s="168"/>
      <c r="C98" s="168"/>
      <c r="D98" s="168"/>
      <c r="E98" s="168"/>
      <c r="F98" s="168"/>
      <c r="G98" s="168"/>
    </row>
    <row r="99" ht="14.25" customHeight="1">
      <c r="A99" s="168"/>
      <c r="B99" s="168"/>
      <c r="C99" s="168"/>
      <c r="D99" s="168"/>
      <c r="E99" s="168"/>
      <c r="F99" s="168"/>
      <c r="G99" s="168"/>
    </row>
    <row r="100" ht="14.25" customHeight="1">
      <c r="A100" s="168"/>
      <c r="B100" s="168"/>
      <c r="C100" s="168"/>
      <c r="D100" s="168"/>
      <c r="E100" s="168"/>
      <c r="F100" s="168"/>
      <c r="G100" s="168"/>
    </row>
    <row r="101" ht="14.25" customHeight="1">
      <c r="A101" s="168"/>
      <c r="B101" s="168"/>
      <c r="C101" s="168"/>
      <c r="D101" s="168"/>
      <c r="E101" s="168"/>
      <c r="F101" s="168"/>
      <c r="G101" s="168"/>
    </row>
    <row r="102" ht="14.25" customHeight="1">
      <c r="A102" s="168"/>
      <c r="B102" s="168"/>
      <c r="C102" s="168"/>
      <c r="D102" s="168"/>
      <c r="E102" s="168"/>
      <c r="F102" s="168"/>
      <c r="G102" s="168"/>
    </row>
    <row r="103" ht="14.25" customHeight="1">
      <c r="A103" s="168"/>
      <c r="B103" s="168"/>
      <c r="C103" s="168"/>
      <c r="D103" s="168"/>
      <c r="E103" s="168"/>
      <c r="F103" s="168"/>
      <c r="G103" s="168"/>
    </row>
    <row r="104" ht="14.25" customHeight="1">
      <c r="A104" s="168"/>
      <c r="B104" s="168"/>
      <c r="C104" s="168"/>
      <c r="D104" s="168"/>
      <c r="E104" s="168"/>
      <c r="F104" s="168"/>
      <c r="G104" s="168"/>
    </row>
    <row r="105" ht="14.25" customHeight="1">
      <c r="A105" s="168"/>
      <c r="B105" s="168"/>
      <c r="C105" s="168"/>
      <c r="D105" s="168"/>
      <c r="E105" s="168"/>
      <c r="F105" s="168"/>
      <c r="G105" s="168"/>
    </row>
    <row r="106" ht="14.25" customHeight="1">
      <c r="A106" s="168"/>
      <c r="B106" s="168"/>
      <c r="C106" s="168"/>
      <c r="D106" s="168"/>
      <c r="E106" s="168"/>
      <c r="F106" s="168"/>
      <c r="G106" s="168"/>
    </row>
    <row r="107" ht="14.25" customHeight="1">
      <c r="A107" s="168"/>
      <c r="B107" s="168"/>
      <c r="C107" s="168"/>
      <c r="D107" s="168"/>
      <c r="E107" s="168"/>
      <c r="F107" s="168"/>
      <c r="G107" s="168"/>
    </row>
    <row r="108" ht="14.25" customHeight="1">
      <c r="A108" s="168"/>
      <c r="B108" s="168"/>
      <c r="C108" s="168"/>
      <c r="D108" s="168"/>
      <c r="E108" s="168"/>
      <c r="F108" s="168"/>
      <c r="G108" s="168"/>
    </row>
    <row r="109" ht="14.25" customHeight="1">
      <c r="A109" s="168"/>
      <c r="B109" s="168"/>
      <c r="C109" s="168"/>
      <c r="D109" s="168"/>
      <c r="E109" s="168"/>
      <c r="F109" s="168"/>
      <c r="G109" s="168"/>
    </row>
    <row r="110" ht="14.25" customHeight="1">
      <c r="A110" s="168"/>
      <c r="B110" s="168"/>
      <c r="C110" s="168"/>
      <c r="D110" s="168"/>
      <c r="E110" s="168"/>
      <c r="F110" s="168"/>
      <c r="G110" s="168"/>
    </row>
    <row r="111" ht="14.25" customHeight="1">
      <c r="A111" s="168"/>
      <c r="B111" s="168"/>
      <c r="C111" s="168"/>
      <c r="D111" s="168"/>
      <c r="E111" s="168"/>
      <c r="F111" s="168"/>
      <c r="G111" s="168"/>
    </row>
    <row r="112" ht="14.25" customHeight="1">
      <c r="A112" s="168"/>
      <c r="B112" s="168"/>
      <c r="C112" s="168"/>
      <c r="D112" s="168"/>
      <c r="E112" s="168"/>
      <c r="F112" s="168"/>
      <c r="G112" s="168"/>
    </row>
    <row r="113" ht="14.25" customHeight="1">
      <c r="A113" s="168"/>
      <c r="B113" s="168"/>
      <c r="C113" s="168"/>
      <c r="D113" s="168"/>
      <c r="E113" s="168"/>
      <c r="F113" s="168"/>
      <c r="G113" s="168"/>
    </row>
    <row r="114" ht="14.25" customHeight="1">
      <c r="A114" s="168"/>
      <c r="B114" s="168"/>
      <c r="C114" s="168"/>
      <c r="D114" s="168"/>
      <c r="E114" s="168"/>
      <c r="F114" s="168"/>
      <c r="G114" s="168"/>
    </row>
    <row r="115" ht="14.25" customHeight="1">
      <c r="A115" s="168"/>
      <c r="B115" s="168"/>
      <c r="C115" s="168"/>
      <c r="D115" s="168"/>
      <c r="E115" s="168"/>
      <c r="F115" s="168"/>
      <c r="G115" s="168"/>
    </row>
    <row r="116" ht="14.25" customHeight="1">
      <c r="A116" s="168"/>
      <c r="B116" s="168"/>
      <c r="C116" s="168"/>
      <c r="D116" s="168"/>
      <c r="E116" s="168"/>
      <c r="F116" s="168"/>
      <c r="G116" s="168"/>
    </row>
    <row r="117" ht="14.25" customHeight="1">
      <c r="A117" s="168"/>
      <c r="B117" s="168"/>
      <c r="C117" s="168"/>
      <c r="D117" s="168"/>
      <c r="E117" s="168"/>
      <c r="F117" s="168"/>
      <c r="G117" s="168"/>
    </row>
    <row r="118" ht="14.25" customHeight="1">
      <c r="A118" s="168"/>
      <c r="B118" s="168"/>
      <c r="C118" s="168"/>
      <c r="D118" s="168"/>
      <c r="E118" s="168"/>
      <c r="F118" s="168"/>
      <c r="G118" s="168"/>
    </row>
    <row r="119" ht="14.25" customHeight="1">
      <c r="A119" s="168"/>
      <c r="B119" s="168"/>
      <c r="C119" s="168"/>
      <c r="D119" s="168"/>
      <c r="E119" s="168"/>
      <c r="F119" s="168"/>
      <c r="G119" s="168"/>
    </row>
    <row r="120" ht="14.25" customHeight="1">
      <c r="A120" s="168"/>
      <c r="B120" s="168"/>
      <c r="C120" s="168"/>
      <c r="D120" s="168"/>
      <c r="E120" s="168"/>
      <c r="F120" s="168"/>
      <c r="G120" s="168"/>
    </row>
    <row r="121" ht="14.25" customHeight="1">
      <c r="A121" s="168"/>
      <c r="B121" s="168"/>
      <c r="C121" s="168"/>
      <c r="D121" s="168"/>
      <c r="E121" s="168"/>
      <c r="F121" s="168"/>
      <c r="G121" s="168"/>
    </row>
    <row r="122" ht="14.25" customHeight="1">
      <c r="A122" s="168"/>
      <c r="B122" s="168"/>
      <c r="C122" s="168"/>
      <c r="D122" s="168"/>
      <c r="E122" s="168"/>
      <c r="F122" s="168"/>
      <c r="G122" s="168"/>
    </row>
    <row r="123" ht="14.25" customHeight="1">
      <c r="A123" s="168"/>
      <c r="B123" s="168"/>
      <c r="C123" s="168"/>
      <c r="D123" s="168"/>
      <c r="E123" s="168"/>
      <c r="F123" s="168"/>
      <c r="G123" s="168"/>
    </row>
    <row r="124" ht="14.25" customHeight="1">
      <c r="A124" s="168"/>
      <c r="B124" s="168"/>
      <c r="C124" s="168"/>
      <c r="D124" s="168"/>
      <c r="E124" s="168"/>
      <c r="F124" s="168"/>
      <c r="G124" s="168"/>
    </row>
    <row r="125" ht="14.25" customHeight="1">
      <c r="A125" s="168"/>
      <c r="B125" s="168"/>
      <c r="C125" s="168"/>
      <c r="D125" s="168"/>
      <c r="E125" s="168"/>
      <c r="F125" s="168"/>
      <c r="G125" s="168"/>
    </row>
    <row r="126" ht="14.25" customHeight="1">
      <c r="A126" s="168"/>
      <c r="B126" s="168"/>
      <c r="C126" s="168"/>
      <c r="D126" s="168"/>
      <c r="E126" s="168"/>
      <c r="F126" s="168"/>
      <c r="G126" s="168"/>
    </row>
    <row r="127" ht="14.25" customHeight="1">
      <c r="A127" s="168"/>
      <c r="B127" s="168"/>
      <c r="C127" s="168"/>
      <c r="D127" s="168"/>
      <c r="E127" s="168"/>
      <c r="F127" s="168"/>
      <c r="G127" s="168"/>
    </row>
    <row r="128" ht="14.25" customHeight="1">
      <c r="A128" s="168"/>
      <c r="B128" s="168"/>
      <c r="C128" s="168"/>
      <c r="D128" s="168"/>
      <c r="E128" s="168"/>
      <c r="F128" s="168"/>
      <c r="G128" s="168"/>
    </row>
    <row r="129" ht="14.25" customHeight="1">
      <c r="A129" s="168"/>
      <c r="B129" s="168"/>
      <c r="C129" s="168"/>
      <c r="D129" s="168"/>
      <c r="E129" s="168"/>
      <c r="F129" s="168"/>
      <c r="G129" s="168"/>
    </row>
    <row r="130" ht="14.25" customHeight="1">
      <c r="A130" s="168"/>
      <c r="B130" s="168"/>
      <c r="C130" s="168"/>
      <c r="D130" s="168"/>
      <c r="E130" s="168"/>
      <c r="F130" s="168"/>
      <c r="G130" s="168"/>
    </row>
    <row r="131" ht="14.25" customHeight="1">
      <c r="A131" s="168"/>
      <c r="B131" s="168"/>
      <c r="C131" s="168"/>
      <c r="D131" s="168"/>
      <c r="E131" s="168"/>
      <c r="F131" s="168"/>
      <c r="G131" s="168"/>
    </row>
    <row r="132" ht="14.25" customHeight="1">
      <c r="A132" s="168"/>
      <c r="B132" s="168"/>
      <c r="C132" s="168"/>
      <c r="D132" s="168"/>
      <c r="E132" s="168"/>
      <c r="F132" s="168"/>
      <c r="G132" s="168"/>
    </row>
    <row r="133" ht="14.25" customHeight="1">
      <c r="A133" s="168"/>
      <c r="B133" s="168"/>
      <c r="C133" s="168"/>
      <c r="D133" s="168"/>
      <c r="E133" s="168"/>
      <c r="F133" s="168"/>
      <c r="G133" s="168"/>
    </row>
    <row r="134" ht="14.25" customHeight="1">
      <c r="A134" s="168"/>
      <c r="B134" s="168"/>
      <c r="C134" s="168"/>
      <c r="D134" s="168"/>
      <c r="E134" s="168"/>
      <c r="F134" s="168"/>
      <c r="G134" s="168"/>
    </row>
    <row r="135" ht="14.25" customHeight="1">
      <c r="A135" s="168"/>
      <c r="B135" s="168"/>
      <c r="C135" s="168"/>
      <c r="D135" s="168"/>
      <c r="E135" s="168"/>
      <c r="F135" s="168"/>
      <c r="G135" s="168"/>
    </row>
    <row r="136" ht="14.25" customHeight="1">
      <c r="A136" s="168"/>
      <c r="B136" s="168"/>
      <c r="C136" s="168"/>
      <c r="D136" s="168"/>
      <c r="E136" s="168"/>
      <c r="F136" s="168"/>
      <c r="G136" s="168"/>
    </row>
    <row r="137" ht="14.25" customHeight="1">
      <c r="A137" s="168"/>
      <c r="B137" s="168"/>
      <c r="C137" s="168"/>
      <c r="D137" s="168"/>
      <c r="E137" s="168"/>
      <c r="F137" s="168"/>
      <c r="G137" s="168"/>
    </row>
    <row r="138" ht="14.25" customHeight="1">
      <c r="A138" s="168"/>
      <c r="B138" s="168"/>
      <c r="C138" s="168"/>
      <c r="D138" s="168"/>
      <c r="E138" s="168"/>
      <c r="F138" s="168"/>
      <c r="G138" s="168"/>
    </row>
    <row r="139" ht="14.25" customHeight="1">
      <c r="A139" s="168"/>
      <c r="B139" s="168"/>
      <c r="C139" s="168"/>
      <c r="D139" s="168"/>
      <c r="E139" s="168"/>
      <c r="F139" s="168"/>
      <c r="G139" s="168"/>
    </row>
    <row r="140" ht="14.25" customHeight="1">
      <c r="A140" s="168"/>
      <c r="B140" s="168"/>
      <c r="C140" s="168"/>
      <c r="D140" s="168"/>
      <c r="E140" s="168"/>
      <c r="F140" s="168"/>
      <c r="G140" s="168"/>
    </row>
    <row r="141" ht="14.25" customHeight="1">
      <c r="A141" s="168"/>
      <c r="B141" s="168"/>
      <c r="C141" s="168"/>
      <c r="D141" s="168"/>
      <c r="E141" s="168"/>
      <c r="F141" s="168"/>
      <c r="G141" s="168"/>
    </row>
    <row r="142" ht="14.25" customHeight="1">
      <c r="A142" s="168"/>
      <c r="B142" s="168"/>
      <c r="C142" s="168"/>
      <c r="D142" s="168"/>
      <c r="E142" s="168"/>
      <c r="F142" s="168"/>
      <c r="G142" s="168"/>
    </row>
    <row r="143" ht="14.25" customHeight="1">
      <c r="A143" s="168"/>
      <c r="B143" s="168"/>
      <c r="C143" s="168"/>
      <c r="D143" s="168"/>
      <c r="E143" s="168"/>
      <c r="F143" s="168"/>
      <c r="G143" s="168"/>
    </row>
    <row r="144" ht="14.25" customHeight="1">
      <c r="A144" s="168"/>
      <c r="B144" s="168"/>
      <c r="C144" s="168"/>
      <c r="D144" s="168"/>
      <c r="E144" s="168"/>
      <c r="F144" s="168"/>
      <c r="G144" s="168"/>
    </row>
    <row r="145" ht="14.25" customHeight="1">
      <c r="A145" s="168"/>
      <c r="B145" s="168"/>
      <c r="C145" s="168"/>
      <c r="D145" s="168"/>
      <c r="E145" s="168"/>
      <c r="F145" s="168"/>
      <c r="G145" s="168"/>
    </row>
    <row r="146" ht="14.25" customHeight="1">
      <c r="A146" s="168"/>
      <c r="B146" s="168"/>
      <c r="C146" s="168"/>
      <c r="D146" s="168"/>
      <c r="E146" s="168"/>
      <c r="F146" s="168"/>
      <c r="G146" s="168"/>
    </row>
    <row r="147" ht="14.25" customHeight="1">
      <c r="A147" s="168"/>
      <c r="B147" s="168"/>
      <c r="C147" s="168"/>
      <c r="D147" s="168"/>
      <c r="E147" s="168"/>
      <c r="F147" s="168"/>
      <c r="G147" s="168"/>
    </row>
    <row r="148" ht="14.25" customHeight="1">
      <c r="A148" s="168"/>
      <c r="B148" s="168"/>
      <c r="C148" s="168"/>
      <c r="D148" s="168"/>
      <c r="E148" s="168"/>
      <c r="F148" s="168"/>
      <c r="G148" s="168"/>
    </row>
    <row r="149" ht="14.25" customHeight="1">
      <c r="A149" s="168"/>
      <c r="B149" s="168"/>
      <c r="C149" s="168"/>
      <c r="D149" s="168"/>
      <c r="E149" s="168"/>
      <c r="F149" s="168"/>
      <c r="G149" s="168"/>
    </row>
    <row r="150" ht="14.25" customHeight="1">
      <c r="A150" s="168"/>
      <c r="B150" s="168"/>
      <c r="C150" s="168"/>
      <c r="D150" s="168"/>
      <c r="E150" s="168"/>
      <c r="F150" s="168"/>
      <c r="G150" s="168"/>
    </row>
    <row r="151" ht="14.25" customHeight="1">
      <c r="A151" s="168"/>
      <c r="B151" s="168"/>
      <c r="C151" s="168"/>
      <c r="D151" s="168"/>
      <c r="E151" s="168"/>
      <c r="F151" s="168"/>
      <c r="G151" s="168"/>
    </row>
    <row r="152" ht="14.25" customHeight="1">
      <c r="A152" s="168"/>
      <c r="B152" s="168"/>
      <c r="C152" s="168"/>
      <c r="D152" s="168"/>
      <c r="E152" s="168"/>
      <c r="F152" s="168"/>
      <c r="G152" s="168"/>
    </row>
    <row r="153" ht="14.25" customHeight="1">
      <c r="A153" s="168"/>
      <c r="B153" s="168"/>
      <c r="C153" s="168"/>
      <c r="D153" s="168"/>
      <c r="E153" s="168"/>
      <c r="F153" s="168"/>
      <c r="G153" s="168"/>
    </row>
    <row r="154" ht="14.25" customHeight="1">
      <c r="A154" s="168"/>
      <c r="B154" s="168"/>
      <c r="C154" s="168"/>
      <c r="D154" s="168"/>
      <c r="E154" s="168"/>
      <c r="F154" s="168"/>
      <c r="G154" s="168"/>
    </row>
    <row r="155" ht="14.25" customHeight="1">
      <c r="A155" s="168"/>
      <c r="B155" s="168"/>
      <c r="C155" s="168"/>
      <c r="D155" s="168"/>
      <c r="E155" s="168"/>
      <c r="F155" s="168"/>
      <c r="G155" s="168"/>
    </row>
    <row r="156" ht="14.25" customHeight="1">
      <c r="A156" s="168"/>
      <c r="B156" s="168"/>
      <c r="C156" s="168"/>
      <c r="D156" s="168"/>
      <c r="E156" s="168"/>
      <c r="F156" s="168"/>
      <c r="G156" s="168"/>
    </row>
    <row r="157" ht="14.25" customHeight="1">
      <c r="A157" s="168"/>
      <c r="B157" s="168"/>
      <c r="C157" s="168"/>
      <c r="D157" s="168"/>
      <c r="E157" s="168"/>
      <c r="F157" s="168"/>
      <c r="G157" s="168"/>
    </row>
    <row r="158" ht="14.25" customHeight="1">
      <c r="A158" s="168"/>
      <c r="B158" s="168"/>
      <c r="C158" s="168"/>
      <c r="D158" s="168"/>
      <c r="E158" s="168"/>
      <c r="F158" s="168"/>
      <c r="G158" s="168"/>
    </row>
    <row r="159" ht="14.25" customHeight="1">
      <c r="A159" s="168"/>
      <c r="B159" s="168"/>
      <c r="C159" s="168"/>
      <c r="D159" s="168"/>
      <c r="E159" s="168"/>
      <c r="F159" s="168"/>
      <c r="G159" s="168"/>
    </row>
    <row r="160" ht="14.25" customHeight="1">
      <c r="A160" s="168"/>
      <c r="B160" s="168"/>
      <c r="C160" s="168"/>
      <c r="D160" s="168"/>
      <c r="E160" s="168"/>
      <c r="F160" s="168"/>
      <c r="G160" s="168"/>
    </row>
    <row r="161" ht="14.25" customHeight="1">
      <c r="A161" s="168"/>
      <c r="B161" s="168"/>
      <c r="C161" s="168"/>
      <c r="D161" s="168"/>
      <c r="E161" s="168"/>
      <c r="F161" s="168"/>
      <c r="G161" s="168"/>
    </row>
    <row r="162" ht="14.25" customHeight="1">
      <c r="A162" s="168"/>
      <c r="B162" s="168"/>
      <c r="C162" s="168"/>
      <c r="D162" s="168"/>
      <c r="E162" s="168"/>
      <c r="F162" s="168"/>
      <c r="G162" s="168"/>
    </row>
    <row r="163" ht="14.25" customHeight="1">
      <c r="A163" s="168"/>
      <c r="B163" s="168"/>
      <c r="C163" s="168"/>
      <c r="D163" s="168"/>
      <c r="E163" s="168"/>
      <c r="F163" s="168"/>
      <c r="G163" s="168"/>
    </row>
    <row r="164" ht="14.25" customHeight="1">
      <c r="A164" s="168"/>
      <c r="B164" s="168"/>
      <c r="C164" s="168"/>
      <c r="D164" s="168"/>
      <c r="E164" s="168"/>
      <c r="F164" s="168"/>
      <c r="G164" s="168"/>
    </row>
    <row r="165" ht="14.25" customHeight="1">
      <c r="A165" s="168"/>
      <c r="B165" s="168"/>
      <c r="C165" s="168"/>
      <c r="D165" s="168"/>
      <c r="E165" s="168"/>
      <c r="F165" s="168"/>
      <c r="G165" s="168"/>
    </row>
    <row r="166" ht="14.25" customHeight="1">
      <c r="A166" s="168"/>
      <c r="B166" s="168"/>
      <c r="C166" s="168"/>
      <c r="D166" s="168"/>
      <c r="E166" s="168"/>
      <c r="F166" s="168"/>
      <c r="G166" s="168"/>
    </row>
    <row r="167" ht="14.25" customHeight="1">
      <c r="A167" s="168"/>
      <c r="B167" s="168"/>
      <c r="C167" s="168"/>
      <c r="D167" s="168"/>
      <c r="E167" s="168"/>
      <c r="F167" s="168"/>
      <c r="G167" s="168"/>
    </row>
    <row r="168" ht="14.25" customHeight="1">
      <c r="A168" s="168"/>
      <c r="B168" s="168"/>
      <c r="C168" s="168"/>
      <c r="D168" s="168"/>
      <c r="E168" s="168"/>
      <c r="F168" s="168"/>
      <c r="G168" s="168"/>
    </row>
    <row r="169" ht="14.25" customHeight="1">
      <c r="A169" s="168"/>
      <c r="B169" s="168"/>
      <c r="C169" s="168"/>
      <c r="D169" s="168"/>
      <c r="E169" s="168"/>
      <c r="F169" s="168"/>
      <c r="G169" s="168"/>
    </row>
    <row r="170" ht="14.25" customHeight="1">
      <c r="A170" s="168"/>
      <c r="B170" s="168"/>
      <c r="C170" s="168"/>
      <c r="D170" s="168"/>
      <c r="E170" s="168"/>
      <c r="F170" s="168"/>
      <c r="G170" s="168"/>
    </row>
    <row r="171" ht="14.25" customHeight="1">
      <c r="A171" s="168"/>
      <c r="B171" s="168"/>
      <c r="C171" s="168"/>
      <c r="D171" s="168"/>
      <c r="E171" s="168"/>
      <c r="F171" s="168"/>
      <c r="G171" s="168"/>
    </row>
    <row r="172" ht="14.25" customHeight="1">
      <c r="A172" s="168"/>
      <c r="B172" s="168"/>
      <c r="C172" s="168"/>
      <c r="D172" s="168"/>
      <c r="E172" s="168"/>
      <c r="F172" s="168"/>
      <c r="G172" s="168"/>
    </row>
    <row r="173" ht="14.25" customHeight="1">
      <c r="A173" s="168"/>
      <c r="B173" s="168"/>
      <c r="C173" s="168"/>
      <c r="D173" s="168"/>
      <c r="E173" s="168"/>
      <c r="F173" s="168"/>
      <c r="G173" s="168"/>
    </row>
    <row r="174" ht="14.25" customHeight="1">
      <c r="A174" s="168"/>
      <c r="B174" s="168"/>
      <c r="C174" s="168"/>
      <c r="D174" s="168"/>
      <c r="E174" s="168"/>
      <c r="F174" s="168"/>
      <c r="G174" s="168"/>
    </row>
    <row r="175" ht="14.25" customHeight="1">
      <c r="A175" s="168"/>
      <c r="B175" s="168"/>
      <c r="C175" s="168"/>
      <c r="D175" s="168"/>
      <c r="E175" s="168"/>
      <c r="F175" s="168"/>
      <c r="G175" s="168"/>
    </row>
    <row r="176" ht="14.25" customHeight="1">
      <c r="A176" s="168"/>
      <c r="B176" s="168"/>
      <c r="C176" s="168"/>
      <c r="D176" s="168"/>
      <c r="E176" s="168"/>
      <c r="F176" s="168"/>
      <c r="G176" s="168"/>
    </row>
    <row r="177" ht="14.25" customHeight="1">
      <c r="A177" s="168"/>
      <c r="B177" s="168"/>
      <c r="C177" s="168"/>
      <c r="D177" s="168"/>
      <c r="E177" s="168"/>
      <c r="F177" s="168"/>
      <c r="G177" s="168"/>
    </row>
    <row r="178" ht="14.25" customHeight="1">
      <c r="A178" s="168"/>
      <c r="B178" s="168"/>
      <c r="C178" s="168"/>
      <c r="D178" s="168"/>
      <c r="E178" s="168"/>
      <c r="F178" s="168"/>
      <c r="G178" s="168"/>
    </row>
    <row r="179" ht="14.25" customHeight="1">
      <c r="A179" s="168"/>
      <c r="B179" s="168"/>
      <c r="C179" s="168"/>
      <c r="D179" s="168"/>
      <c r="E179" s="168"/>
      <c r="F179" s="168"/>
      <c r="G179" s="168"/>
    </row>
    <row r="180" ht="14.25" customHeight="1">
      <c r="A180" s="168"/>
      <c r="B180" s="168"/>
      <c r="C180" s="168"/>
      <c r="D180" s="168"/>
      <c r="E180" s="168"/>
      <c r="F180" s="168"/>
      <c r="G180" s="168"/>
    </row>
    <row r="181" ht="14.25" customHeight="1">
      <c r="A181" s="168"/>
      <c r="B181" s="168"/>
      <c r="C181" s="168"/>
      <c r="D181" s="168"/>
      <c r="E181" s="168"/>
      <c r="F181" s="168"/>
      <c r="G181" s="168"/>
    </row>
    <row r="182" ht="14.25" customHeight="1">
      <c r="A182" s="168"/>
      <c r="B182" s="168"/>
      <c r="C182" s="168"/>
      <c r="D182" s="168"/>
      <c r="E182" s="168"/>
      <c r="F182" s="168"/>
      <c r="G182" s="168"/>
    </row>
    <row r="183" ht="14.25" customHeight="1">
      <c r="A183" s="168"/>
      <c r="B183" s="168"/>
      <c r="C183" s="168"/>
      <c r="D183" s="168"/>
      <c r="E183" s="168"/>
      <c r="F183" s="168"/>
      <c r="G183" s="168"/>
    </row>
    <row r="184" ht="14.25" customHeight="1">
      <c r="A184" s="168"/>
      <c r="B184" s="168"/>
      <c r="C184" s="168"/>
      <c r="D184" s="168"/>
      <c r="E184" s="168"/>
      <c r="F184" s="168"/>
      <c r="G184" s="168"/>
    </row>
    <row r="185" ht="14.25" customHeight="1">
      <c r="A185" s="168"/>
      <c r="B185" s="168"/>
      <c r="C185" s="168"/>
      <c r="D185" s="168"/>
      <c r="E185" s="168"/>
      <c r="F185" s="168"/>
      <c r="G185" s="168"/>
    </row>
    <row r="186" ht="14.25" customHeight="1">
      <c r="A186" s="168"/>
      <c r="B186" s="168"/>
      <c r="C186" s="168"/>
      <c r="D186" s="168"/>
      <c r="E186" s="168"/>
      <c r="F186" s="168"/>
      <c r="G186" s="168"/>
    </row>
    <row r="187" ht="14.25" customHeight="1">
      <c r="A187" s="168"/>
      <c r="B187" s="168"/>
      <c r="C187" s="168"/>
      <c r="D187" s="168"/>
      <c r="E187" s="168"/>
      <c r="F187" s="168"/>
      <c r="G187" s="168"/>
    </row>
    <row r="188" ht="14.25" customHeight="1">
      <c r="A188" s="168"/>
      <c r="B188" s="168"/>
      <c r="C188" s="168"/>
      <c r="D188" s="168"/>
      <c r="E188" s="168"/>
      <c r="F188" s="168"/>
      <c r="G188" s="168"/>
    </row>
    <row r="189" ht="14.25" customHeight="1">
      <c r="A189" s="168"/>
      <c r="B189" s="168"/>
      <c r="C189" s="168"/>
      <c r="D189" s="168"/>
      <c r="E189" s="168"/>
      <c r="F189" s="168"/>
      <c r="G189" s="168"/>
    </row>
    <row r="190" ht="14.25" customHeight="1">
      <c r="A190" s="168"/>
      <c r="B190" s="168"/>
      <c r="C190" s="168"/>
      <c r="D190" s="168"/>
      <c r="E190" s="168"/>
      <c r="F190" s="168"/>
      <c r="G190" s="168"/>
    </row>
    <row r="191" ht="14.25" customHeight="1">
      <c r="A191" s="168"/>
      <c r="B191" s="168"/>
      <c r="C191" s="168"/>
      <c r="D191" s="168"/>
      <c r="E191" s="168"/>
      <c r="F191" s="168"/>
      <c r="G191" s="168"/>
    </row>
    <row r="192" ht="14.25" customHeight="1">
      <c r="A192" s="168"/>
      <c r="B192" s="168"/>
      <c r="C192" s="168"/>
      <c r="D192" s="168"/>
      <c r="E192" s="168"/>
      <c r="F192" s="168"/>
      <c r="G192" s="168"/>
    </row>
    <row r="193" ht="14.25" customHeight="1">
      <c r="A193" s="168"/>
      <c r="B193" s="168"/>
      <c r="C193" s="168"/>
      <c r="D193" s="168"/>
      <c r="E193" s="168"/>
      <c r="F193" s="168"/>
      <c r="G193" s="168"/>
    </row>
    <row r="194" ht="14.25" customHeight="1">
      <c r="A194" s="168"/>
      <c r="B194" s="168"/>
      <c r="C194" s="168"/>
      <c r="D194" s="168"/>
      <c r="E194" s="168"/>
      <c r="F194" s="168"/>
      <c r="G194" s="168"/>
    </row>
    <row r="195" ht="14.25" customHeight="1">
      <c r="A195" s="168"/>
      <c r="B195" s="168"/>
      <c r="C195" s="168"/>
      <c r="D195" s="168"/>
      <c r="E195" s="168"/>
      <c r="F195" s="168"/>
      <c r="G195" s="168"/>
    </row>
    <row r="196" ht="14.25" customHeight="1">
      <c r="A196" s="168"/>
      <c r="B196" s="168"/>
      <c r="C196" s="168"/>
      <c r="D196" s="168"/>
      <c r="E196" s="168"/>
      <c r="F196" s="168"/>
      <c r="G196" s="168"/>
    </row>
    <row r="197" ht="14.25" customHeight="1">
      <c r="A197" s="168"/>
      <c r="B197" s="168"/>
      <c r="C197" s="168"/>
      <c r="D197" s="168"/>
      <c r="E197" s="168"/>
      <c r="F197" s="168"/>
      <c r="G197" s="168"/>
    </row>
    <row r="198" ht="14.25" customHeight="1">
      <c r="A198" s="168"/>
      <c r="B198" s="168"/>
      <c r="C198" s="168"/>
      <c r="D198" s="168"/>
      <c r="E198" s="168"/>
      <c r="F198" s="168"/>
      <c r="G198" s="168"/>
    </row>
    <row r="199" ht="14.25" customHeight="1">
      <c r="A199" s="168"/>
      <c r="B199" s="168"/>
      <c r="C199" s="168"/>
      <c r="D199" s="168"/>
      <c r="E199" s="168"/>
      <c r="F199" s="168"/>
      <c r="G199" s="168"/>
    </row>
    <row r="200" ht="14.25" customHeight="1">
      <c r="A200" s="168"/>
      <c r="B200" s="168"/>
      <c r="C200" s="168"/>
      <c r="D200" s="168"/>
      <c r="E200" s="168"/>
      <c r="F200" s="168"/>
      <c r="G200" s="168"/>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1">
    <mergeCell ref="B2:F2"/>
    <mergeCell ref="I2:J2"/>
    <mergeCell ref="B3:F3"/>
    <mergeCell ref="B4:F4"/>
    <mergeCell ref="B5:F5"/>
    <mergeCell ref="B6:F6"/>
    <mergeCell ref="B9:F9"/>
    <mergeCell ref="B11:F11"/>
    <mergeCell ref="B12:F12"/>
    <mergeCell ref="B14:F14"/>
    <mergeCell ref="I14:J20"/>
    <mergeCell ref="B15:F15"/>
    <mergeCell ref="B16:F16"/>
    <mergeCell ref="B18:F18"/>
    <mergeCell ref="B20:F20"/>
    <mergeCell ref="B63:F63"/>
    <mergeCell ref="C64:F64"/>
    <mergeCell ref="C65:F65"/>
    <mergeCell ref="C66:F66"/>
    <mergeCell ref="C67:F67"/>
    <mergeCell ref="C68:F68"/>
    <mergeCell ref="B77:F77"/>
    <mergeCell ref="B78:F78"/>
    <mergeCell ref="B79:F79"/>
    <mergeCell ref="C69:F69"/>
    <mergeCell ref="C70:F70"/>
    <mergeCell ref="C71:F71"/>
    <mergeCell ref="C72:F72"/>
    <mergeCell ref="C73:F73"/>
    <mergeCell ref="B75:C75"/>
    <mergeCell ref="D75:F75"/>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dataValidations>
    <dataValidation type="list" allowBlank="1" showErrorMessage="1" sqref="J4">
      <formula1>'Licences &amp; Certificates'!$A$5:$A$73</formula1>
    </dataValidation>
    <dataValidation type="list" allowBlank="1" showErrorMessage="1" sqref="J13">
      <formula1>Lists!$T$5:$T$7</formula1>
    </dataValidation>
    <dataValidation type="list" allowBlank="1" showErrorMessage="1" sqref="J3">
      <formula1>"Yes,No"</formula1>
    </dataValidation>
  </dataValidations>
  <printOptions horizontalCentered="1"/>
  <pageMargins bottom="0.5555555555555556" footer="0.0" header="0.0" left="0.5" right="0.5" top="0.5"/>
  <pageSetup fitToHeight="0" paperSize="9" orientation="portrait"/>
  <headerFooter>
    <oddFooter>&amp;CPage &amp;P of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43"/>
    <col customWidth="1" min="2" max="2" width="5.57"/>
    <col customWidth="1" min="3" max="3" width="36.14"/>
    <col customWidth="1" min="4" max="4" width="23.14"/>
    <col customWidth="1" min="5" max="5" width="17.57"/>
    <col customWidth="1" min="6" max="6" width="21.29"/>
    <col customWidth="1" min="7" max="7" width="1.43"/>
    <col customWidth="1" min="8" max="8" width="11.14"/>
    <col customWidth="1" min="9" max="9" width="27.71"/>
    <col customWidth="1" min="10" max="10" width="35.29"/>
    <col customWidth="1" min="11" max="11" width="1.86"/>
    <col customWidth="1" min="12" max="26" width="8.71"/>
  </cols>
  <sheetData>
    <row r="1" ht="14.25" customHeight="1">
      <c r="A1" s="168"/>
      <c r="B1" s="168"/>
      <c r="C1" s="168"/>
      <c r="D1" s="168"/>
      <c r="E1" s="168"/>
      <c r="F1" s="168"/>
      <c r="G1" s="168"/>
      <c r="I1" s="26"/>
      <c r="J1" s="26"/>
      <c r="K1" s="26"/>
    </row>
    <row r="2" ht="21.75" customHeight="1">
      <c r="A2" s="168"/>
      <c r="B2" s="169" t="str">
        <f>IF($J$3="No","",setLetterhead_1)</f>
        <v>REPUBLIC OF LIBERIA</v>
      </c>
      <c r="G2" s="168"/>
      <c r="I2" s="170" t="s">
        <v>626</v>
      </c>
      <c r="J2" s="13"/>
      <c r="K2" s="26"/>
    </row>
    <row r="3" ht="18.0" customHeight="1">
      <c r="A3" s="168"/>
      <c r="B3" s="171" t="str">
        <f>IF($J$3="No","",setLetterhead_2)</f>
        <v>ENVIRONMENTAL PROTECTION AGENCY</v>
      </c>
      <c r="G3" s="168"/>
      <c r="I3" s="172" t="s">
        <v>542</v>
      </c>
      <c r="J3" s="173" t="s">
        <v>543</v>
      </c>
      <c r="K3" s="26"/>
    </row>
    <row r="4" ht="14.25" customHeight="1">
      <c r="A4" s="168"/>
      <c r="B4" s="174" t="str">
        <f>IF($J$3="No","",setLetterhead_3)</f>
        <v>P.O. Box 4024</v>
      </c>
      <c r="G4" s="168"/>
      <c r="I4" s="175" t="s">
        <v>545</v>
      </c>
      <c r="J4" s="201" t="s">
        <v>627</v>
      </c>
      <c r="K4" s="26"/>
    </row>
    <row r="5" ht="14.25" customHeight="1">
      <c r="A5" s="168"/>
      <c r="B5" s="174" t="str">
        <f>IF($J$3="No","",setLetterhead_4)</f>
        <v>Bright Building 302-A, Sekou Toure Avenue, Mamba Point</v>
      </c>
      <c r="G5" s="168"/>
      <c r="I5" s="175" t="s">
        <v>0</v>
      </c>
      <c r="J5" s="179" t="str">
        <f t="array" ref="J5">IF($J$4="","Choose a licence record",IF($J$6="","⚠ Record not found",IF(ISERROR(SEARCH("EDL",INDEX('Licences &amp; Certificates'!$E$5:$E$73,$J$6))),"⚠ This record is "&amp;INDEX('Licences &amp; Certificates'!$E$5:$E$73,$J$6),IF(ISERROR(SEARCH("Retention",INDEX('Licences &amp; Certificates'!$F$5:$F$73,$J$6))),IF(INDEX('Licences &amp; Certificates'!$K$5:$K$73,$J$6)="","⚠ No licence number yet","✔ Ready to print"),"⚠ Retention Pond licence – use Print EDL RP"))))</f>
        <v>⚠ This record is Chemical Registration (CRL)</v>
      </c>
      <c r="K5" s="26"/>
    </row>
    <row r="6" ht="14.25" customHeight="1">
      <c r="A6" s="168"/>
      <c r="B6" s="174" t="str">
        <f>IF($J$3="No","",setLetterhead_5)</f>
        <v>1000 Monrovia, 10 Liberia</v>
      </c>
      <c r="G6" s="168"/>
      <c r="I6" s="175" t="s">
        <v>557</v>
      </c>
      <c r="J6" s="179">
        <f>IFERROR(MATCH($J$4,'Licences &amp; Certificates'!$A$5:$A$73,0),"")</f>
        <v>16</v>
      </c>
      <c r="K6" s="26"/>
    </row>
    <row r="7" ht="15.0" customHeight="1">
      <c r="A7" s="168"/>
      <c r="B7" s="168"/>
      <c r="C7" s="168"/>
      <c r="D7" s="168"/>
      <c r="E7" s="168"/>
      <c r="F7" s="168"/>
      <c r="G7" s="168"/>
      <c r="I7" s="175" t="s">
        <v>560</v>
      </c>
      <c r="J7" s="179" t="str">
        <f t="array" ref="J7">IF($J$6="","",INDEX('Licences &amp; Certificates'!$K$5:$K$73,$J$6)&amp;"")</f>
        <v/>
      </c>
      <c r="K7" s="26"/>
    </row>
    <row r="8" ht="14.25" customHeight="1">
      <c r="B8" s="219" t="str">
        <f>IF($J$7="","License No. ________","License No. "&amp;$J$7)</f>
        <v>License No. ________</v>
      </c>
      <c r="I8" s="175" t="s">
        <v>218</v>
      </c>
      <c r="J8" s="179" t="str">
        <f t="array" ref="J8">IF($J$6="","",INDEX('Licences &amp; Certificates'!$C$5:$C$73,$J$6))</f>
        <v>Fouani Brothers</v>
      </c>
      <c r="K8" s="26"/>
    </row>
    <row r="9" ht="14.25" customHeight="1">
      <c r="I9" s="175" t="s">
        <v>208</v>
      </c>
      <c r="J9" s="179" t="str">
        <f t="array" ref="J9">IF($J$6="","",IF(INDEX('Licences &amp; Certificates'!$G$5:$G$73,$J$6)&lt;&gt;"",INDEX('Licences &amp; Certificates'!$G$5:$G$73,$J$6),IFERROR(INDEX(Companies!$D$5:$D$74,MATCH(INDEX('Licences &amp; Certificates'!$B$5:$B$73,$J$6),Companies!$A$5:$A$74,0))&amp;"","")))</f>
        <v/>
      </c>
      <c r="K9" s="26"/>
    </row>
    <row r="10" ht="25.5" customHeight="1">
      <c r="B10" s="220" t="s">
        <v>628</v>
      </c>
      <c r="I10" s="175" t="s">
        <v>343</v>
      </c>
      <c r="J10" s="184" t="str">
        <f t="array" ref="J10">IF($J$6="","",IF(INDEX('Licences &amp; Certificates'!$L$5:$L$73,$J$6)="","",INDEX('Licences &amp; Certificates'!$L$5:$L$73,$J$6)))</f>
        <v/>
      </c>
      <c r="K10" s="26"/>
    </row>
    <row r="11" ht="15.0" customHeight="1">
      <c r="B11" s="221" t="s">
        <v>569</v>
      </c>
      <c r="I11" s="175" t="s">
        <v>344</v>
      </c>
      <c r="J11" s="184" t="str">
        <f t="array" ref="J11">IF($J$6="","",IF(INDEX('Licences &amp; Certificates'!$M$5:$M$73,$J$6)="","",INDEX('Licences &amp; Certificates'!$M$5:$M$73,$J$6)))</f>
        <v/>
      </c>
      <c r="K11" s="26"/>
    </row>
    <row r="12" ht="14.25" customHeight="1">
      <c r="I12" s="175" t="s">
        <v>571</v>
      </c>
      <c r="J12" s="222" t="s">
        <v>572</v>
      </c>
      <c r="K12" s="26"/>
    </row>
    <row r="13" ht="15.75" customHeight="1">
      <c r="B13" s="223" t="s">
        <v>629</v>
      </c>
      <c r="I13" s="175" t="s">
        <v>630</v>
      </c>
      <c r="J13" s="224" t="str">
        <f t="array" ref="J13">IFERROR(INDEX('Licence Effluent'!$G$5:$G$6,MATCH(UPPER($J$4)&amp;"|Setting|1",'Licence Effluent'!$L$5:$L$6,0))&amp;"","")</f>
        <v/>
      </c>
      <c r="K13" s="26"/>
    </row>
    <row r="14" ht="14.25" customHeight="1">
      <c r="B14" s="220" t="str">
        <f>UPPER($J$8)</f>
        <v>FOUANI BROTHERS</v>
      </c>
      <c r="I14" s="175" t="s">
        <v>631</v>
      </c>
      <c r="J14" s="224" t="str">
        <f t="array" ref="J14">IFERROR(INDEX('Licence Effluent'!$G$5:$G$6,MATCH(UPPER($J$4)&amp;"|Setting|2",'Licence Effluent'!$L$5:$L$6,0))&amp;"","")</f>
        <v/>
      </c>
      <c r="K14" s="26"/>
    </row>
    <row r="15" ht="14.25" customHeight="1">
      <c r="I15" s="175" t="s">
        <v>632</v>
      </c>
      <c r="J15" s="224" t="str">
        <f t="array" ref="J15">IFERROR(INDEX('Licence Effluent'!$G$5:$G$6,MATCH(UPPER($J$4)&amp;"|Setting|3",'Licence Effluent'!$L$5:$L$6,0))&amp;"","")</f>
        <v/>
      </c>
      <c r="K15" s="26"/>
    </row>
    <row r="16" ht="15.75" customHeight="1">
      <c r="B16" s="223" t="s">
        <v>633</v>
      </c>
      <c r="I16" s="226" t="s">
        <v>634</v>
      </c>
      <c r="K16" s="26"/>
    </row>
    <row r="17" ht="15.75" customHeight="1">
      <c r="B17" s="227" t="str">
        <f>$J$9</f>
        <v/>
      </c>
      <c r="I17" s="228" t="s">
        <v>635</v>
      </c>
      <c r="K17" s="26"/>
    </row>
    <row r="18" ht="7.5" customHeight="1">
      <c r="K18" s="26"/>
    </row>
    <row r="19" ht="61.5" customHeight="1">
      <c r="B19" s="229" t="s">
        <v>636</v>
      </c>
      <c r="K19" s="26"/>
    </row>
    <row r="20" ht="7.5" customHeight="1">
      <c r="K20" s="26"/>
    </row>
    <row r="21" ht="15.75" customHeight="1">
      <c r="B21" s="223" t="s">
        <v>637</v>
      </c>
      <c r="K21" s="26"/>
    </row>
    <row r="22" ht="31.5" customHeight="1">
      <c r="B22" s="230" t="s">
        <v>638</v>
      </c>
      <c r="C22" s="231" t="str">
        <f>"This license refers to the discharge of treated trade effluent from only the proposed development of "&amp;$J$8&amp;IF($J$9="",""," at "&amp;$J$9)&amp;IF($J$15="",""," "&amp;$J$15)&amp;";"</f>
        <v>This license refers to the discharge of treated trade effluent from only the proposed development of Fouani Brothers;</v>
      </c>
      <c r="I22" s="26"/>
      <c r="J22" s="26"/>
      <c r="K22" s="26"/>
    </row>
    <row r="23" ht="17.25" customHeight="1">
      <c r="B23" s="230" t="s">
        <v>639</v>
      </c>
      <c r="C23" s="231" t="str">
        <f>"The total volume of the treated trade effluent discharged to "&amp;IF($J$13="","________",$J$13)&amp;" shall not exceed "&amp;IF($J$14="","____",$J$14)&amp;"m³/day;"</f>
        <v>The total volume of the treated trade effluent discharged to ________ shall not exceed ____m³/day;</v>
      </c>
      <c r="I23" s="26"/>
      <c r="J23" s="26"/>
      <c r="K23" s="26"/>
    </row>
    <row r="24" ht="60.75" customHeight="1">
      <c r="B24" s="230" t="s">
        <v>640</v>
      </c>
      <c r="C24" s="231" t="s">
        <v>641</v>
      </c>
      <c r="I24" s="26"/>
      <c r="J24" s="26"/>
      <c r="K24" s="26"/>
    </row>
    <row r="25" ht="17.25" customHeight="1">
      <c r="B25" s="230" t="s">
        <v>642</v>
      </c>
      <c r="C25" s="231" t="s">
        <v>643</v>
      </c>
      <c r="I25" s="26"/>
      <c r="J25" s="26"/>
      <c r="K25" s="26"/>
    </row>
    <row r="26" ht="15.0" customHeight="1">
      <c r="C26" s="232" t="s">
        <v>394</v>
      </c>
      <c r="D26" s="233" t="s">
        <v>397</v>
      </c>
      <c r="E26" s="233" t="s">
        <v>398</v>
      </c>
      <c r="F26" s="233" t="s">
        <v>400</v>
      </c>
      <c r="I26" s="26"/>
      <c r="J26" s="26"/>
      <c r="K26" s="26"/>
    </row>
    <row r="27" ht="15.0" customHeight="1">
      <c r="C27" s="234" t="str">
        <f t="array" ref="C27">IFERROR(INDEX('Licence Effluent'!$F$5:$F$6,MATCH(UPPER($J$4)&amp;"|Limit|"&amp;ROWS(C$27:C27),'Licence Effluent'!$L$5:$L$6,0))&amp;"","")</f>
        <v/>
      </c>
      <c r="D27" s="235" t="str">
        <f t="array" ref="D27">IFERROR(INDEX('Licence Effluent'!$G$5:$G$6,MATCH(UPPER($J$4)&amp;"|Limit|"&amp;ROWS(C$27:C27),'Licence Effluent'!$L$5:$L$6,0))&amp;"","")</f>
        <v/>
      </c>
      <c r="E27" s="235" t="str">
        <f t="array" ref="E27">IFERROR(INDEX('Licence Effluent'!$H$5:$H$6,MATCH(UPPER($J$4)&amp;"|Limit|"&amp;ROWS(C$27:C27),'Licence Effluent'!$L$5:$L$6,0))&amp;"","")</f>
        <v/>
      </c>
      <c r="F27" s="235" t="str">
        <f t="array" ref="F27">IFERROR(INDEX('Licence Effluent'!$J$5:$J$6,MATCH(UPPER($J$4)&amp;"|Limit|"&amp;ROWS(C$27:C27),'Licence Effluent'!$L$5:$L$6,0))&amp;"","")</f>
        <v/>
      </c>
      <c r="I27" s="26"/>
      <c r="J27" s="26"/>
      <c r="K27" s="26"/>
    </row>
    <row r="28" ht="15.0" customHeight="1">
      <c r="C28" s="234" t="str">
        <f t="array" ref="C28">IFERROR(INDEX('Licence Effluent'!$F$5:$F$6,MATCH(UPPER($J$4)&amp;"|Limit|"&amp;ROWS(C$27:C28),'Licence Effluent'!$L$5:$L$6,0))&amp;"","")</f>
        <v/>
      </c>
      <c r="D28" s="235" t="str">
        <f t="array" ref="D28">IFERROR(INDEX('Licence Effluent'!$G$5:$G$6,MATCH(UPPER($J$4)&amp;"|Limit|"&amp;ROWS(C$27:C28),'Licence Effluent'!$L$5:$L$6,0))&amp;"","")</f>
        <v/>
      </c>
      <c r="E28" s="235" t="str">
        <f t="array" ref="E28">IFERROR(INDEX('Licence Effluent'!$H$5:$H$6,MATCH(UPPER($J$4)&amp;"|Limit|"&amp;ROWS(C$27:C28),'Licence Effluent'!$L$5:$L$6,0))&amp;"","")</f>
        <v/>
      </c>
      <c r="F28" s="235" t="str">
        <f t="array" ref="F28">IFERROR(INDEX('Licence Effluent'!$J$5:$J$6,MATCH(UPPER($J$4)&amp;"|Limit|"&amp;ROWS(C$27:C28),'Licence Effluent'!$L$5:$L$6,0))&amp;"","")</f>
        <v/>
      </c>
      <c r="I28" s="26"/>
      <c r="J28" s="26"/>
      <c r="K28" s="26"/>
    </row>
    <row r="29" ht="15.0" customHeight="1">
      <c r="C29" s="234" t="str">
        <f t="array" ref="C29">IFERROR(INDEX('Licence Effluent'!$F$5:$F$6,MATCH(UPPER($J$4)&amp;"|Limit|"&amp;ROWS(C$27:C29),'Licence Effluent'!$L$5:$L$6,0))&amp;"","")</f>
        <v/>
      </c>
      <c r="D29" s="235" t="str">
        <f t="array" ref="D29">IFERROR(INDEX('Licence Effluent'!$G$5:$G$6,MATCH(UPPER($J$4)&amp;"|Limit|"&amp;ROWS(C$27:C29),'Licence Effluent'!$L$5:$L$6,0))&amp;"","")</f>
        <v/>
      </c>
      <c r="E29" s="235" t="str">
        <f t="array" ref="E29">IFERROR(INDEX('Licence Effluent'!$H$5:$H$6,MATCH(UPPER($J$4)&amp;"|Limit|"&amp;ROWS(C$27:C29),'Licence Effluent'!$L$5:$L$6,0))&amp;"","")</f>
        <v/>
      </c>
      <c r="F29" s="235" t="str">
        <f t="array" ref="F29">IFERROR(INDEX('Licence Effluent'!$J$5:$J$6,MATCH(UPPER($J$4)&amp;"|Limit|"&amp;ROWS(C$27:C29),'Licence Effluent'!$L$5:$L$6,0))&amp;"","")</f>
        <v/>
      </c>
      <c r="I29" s="26"/>
      <c r="J29" s="26"/>
      <c r="K29" s="26"/>
    </row>
    <row r="30" ht="15.0" customHeight="1">
      <c r="C30" s="234" t="str">
        <f t="array" ref="C30">IFERROR(INDEX('Licence Effluent'!$F$5:$F$6,MATCH(UPPER($J$4)&amp;"|Limit|"&amp;ROWS(C$27:C30),'Licence Effluent'!$L$5:$L$6,0))&amp;"","")</f>
        <v/>
      </c>
      <c r="D30" s="235" t="str">
        <f t="array" ref="D30">IFERROR(INDEX('Licence Effluent'!$G$5:$G$6,MATCH(UPPER($J$4)&amp;"|Limit|"&amp;ROWS(C$27:C30),'Licence Effluent'!$L$5:$L$6,0))&amp;"","")</f>
        <v/>
      </c>
      <c r="E30" s="235" t="str">
        <f t="array" ref="E30">IFERROR(INDEX('Licence Effluent'!$H$5:$H$6,MATCH(UPPER($J$4)&amp;"|Limit|"&amp;ROWS(C$27:C30),'Licence Effluent'!$L$5:$L$6,0))&amp;"","")</f>
        <v/>
      </c>
      <c r="F30" s="235" t="str">
        <f t="array" ref="F30">IFERROR(INDEX('Licence Effluent'!$J$5:$J$6,MATCH(UPPER($J$4)&amp;"|Limit|"&amp;ROWS(C$27:C30),'Licence Effluent'!$L$5:$L$6,0))&amp;"","")</f>
        <v/>
      </c>
      <c r="I30" s="26"/>
      <c r="J30" s="26"/>
      <c r="K30" s="26"/>
    </row>
    <row r="31" ht="15.0" customHeight="1">
      <c r="C31" s="234" t="str">
        <f t="array" ref="C31">IFERROR(INDEX('Licence Effluent'!$F$5:$F$6,MATCH(UPPER($J$4)&amp;"|Limit|"&amp;ROWS(C$27:C31),'Licence Effluent'!$L$5:$L$6,0))&amp;"","")</f>
        <v/>
      </c>
      <c r="D31" s="235" t="str">
        <f t="array" ref="D31">IFERROR(INDEX('Licence Effluent'!$G$5:$G$6,MATCH(UPPER($J$4)&amp;"|Limit|"&amp;ROWS(C$27:C31),'Licence Effluent'!$L$5:$L$6,0))&amp;"","")</f>
        <v/>
      </c>
      <c r="E31" s="235" t="str">
        <f t="array" ref="E31">IFERROR(INDEX('Licence Effluent'!$H$5:$H$6,MATCH(UPPER($J$4)&amp;"|Limit|"&amp;ROWS(C$27:C31),'Licence Effluent'!$L$5:$L$6,0))&amp;"","")</f>
        <v/>
      </c>
      <c r="F31" s="235" t="str">
        <f t="array" ref="F31">IFERROR(INDEX('Licence Effluent'!$J$5:$J$6,MATCH(UPPER($J$4)&amp;"|Limit|"&amp;ROWS(C$27:C31),'Licence Effluent'!$L$5:$L$6,0))&amp;"","")</f>
        <v/>
      </c>
      <c r="I31" s="26"/>
      <c r="J31" s="26"/>
      <c r="K31" s="26"/>
    </row>
    <row r="32" ht="15.0" customHeight="1">
      <c r="C32" s="234" t="str">
        <f t="array" ref="C32">IFERROR(INDEX('Licence Effluent'!$F$5:$F$6,MATCH(UPPER($J$4)&amp;"|Limit|"&amp;ROWS(C$27:C32),'Licence Effluent'!$L$5:$L$6,0))&amp;"","")</f>
        <v/>
      </c>
      <c r="D32" s="235" t="str">
        <f t="array" ref="D32">IFERROR(INDEX('Licence Effluent'!$G$5:$G$6,MATCH(UPPER($J$4)&amp;"|Limit|"&amp;ROWS(C$27:C32),'Licence Effluent'!$L$5:$L$6,0))&amp;"","")</f>
        <v/>
      </c>
      <c r="E32" s="235" t="str">
        <f t="array" ref="E32">IFERROR(INDEX('Licence Effluent'!$H$5:$H$6,MATCH(UPPER($J$4)&amp;"|Limit|"&amp;ROWS(C$27:C32),'Licence Effluent'!$L$5:$L$6,0))&amp;"","")</f>
        <v/>
      </c>
      <c r="F32" s="235" t="str">
        <f t="array" ref="F32">IFERROR(INDEX('Licence Effluent'!$J$5:$J$6,MATCH(UPPER($J$4)&amp;"|Limit|"&amp;ROWS(C$27:C32),'Licence Effluent'!$L$5:$L$6,0))&amp;"","")</f>
        <v/>
      </c>
      <c r="I32" s="26"/>
      <c r="J32" s="26"/>
      <c r="K32" s="26"/>
    </row>
    <row r="33" ht="15.0" customHeight="1">
      <c r="C33" s="234" t="str">
        <f t="array" ref="C33">IFERROR(INDEX('Licence Effluent'!$F$5:$F$6,MATCH(UPPER($J$4)&amp;"|Limit|"&amp;ROWS(C$27:C33),'Licence Effluent'!$L$5:$L$6,0))&amp;"","")</f>
        <v/>
      </c>
      <c r="D33" s="235" t="str">
        <f t="array" ref="D33">IFERROR(INDEX('Licence Effluent'!$G$5:$G$6,MATCH(UPPER($J$4)&amp;"|Limit|"&amp;ROWS(C$27:C33),'Licence Effluent'!$L$5:$L$6,0))&amp;"","")</f>
        <v/>
      </c>
      <c r="E33" s="235" t="str">
        <f t="array" ref="E33">IFERROR(INDEX('Licence Effluent'!$H$5:$H$6,MATCH(UPPER($J$4)&amp;"|Limit|"&amp;ROWS(C$27:C33),'Licence Effluent'!$L$5:$L$6,0))&amp;"","")</f>
        <v/>
      </c>
      <c r="F33" s="235" t="str">
        <f t="array" ref="F33">IFERROR(INDEX('Licence Effluent'!$J$5:$J$6,MATCH(UPPER($J$4)&amp;"|Limit|"&amp;ROWS(C$27:C33),'Licence Effluent'!$L$5:$L$6,0))&amp;"","")</f>
        <v/>
      </c>
      <c r="I33" s="26"/>
      <c r="J33" s="26"/>
      <c r="K33" s="26"/>
    </row>
    <row r="34" ht="15.0" customHeight="1">
      <c r="C34" s="234" t="str">
        <f t="array" ref="C34">IFERROR(INDEX('Licence Effluent'!$F$5:$F$6,MATCH(UPPER($J$4)&amp;"|Limit|"&amp;ROWS(C$27:C34),'Licence Effluent'!$L$5:$L$6,0))&amp;"","")</f>
        <v/>
      </c>
      <c r="D34" s="235" t="str">
        <f t="array" ref="D34">IFERROR(INDEX('Licence Effluent'!$G$5:$G$6,MATCH(UPPER($J$4)&amp;"|Limit|"&amp;ROWS(C$27:C34),'Licence Effluent'!$L$5:$L$6,0))&amp;"","")</f>
        <v/>
      </c>
      <c r="E34" s="235" t="str">
        <f t="array" ref="E34">IFERROR(INDEX('Licence Effluent'!$H$5:$H$6,MATCH(UPPER($J$4)&amp;"|Limit|"&amp;ROWS(C$27:C34),'Licence Effluent'!$L$5:$L$6,0))&amp;"","")</f>
        <v/>
      </c>
      <c r="F34" s="235" t="str">
        <f t="array" ref="F34">IFERROR(INDEX('Licence Effluent'!$J$5:$J$6,MATCH(UPPER($J$4)&amp;"|Limit|"&amp;ROWS(C$27:C34),'Licence Effluent'!$L$5:$L$6,0))&amp;"","")</f>
        <v/>
      </c>
      <c r="I34" s="26"/>
      <c r="J34" s="26"/>
      <c r="K34" s="26"/>
    </row>
    <row r="35" ht="15.0" customHeight="1">
      <c r="C35" s="234" t="str">
        <f t="array" ref="C35">IFERROR(INDEX('Licence Effluent'!$F$5:$F$6,MATCH(UPPER($J$4)&amp;"|Limit|"&amp;ROWS(C$27:C35),'Licence Effluent'!$L$5:$L$6,0))&amp;"","")</f>
        <v/>
      </c>
      <c r="D35" s="235" t="str">
        <f t="array" ref="D35">IFERROR(INDEX('Licence Effluent'!$G$5:$G$6,MATCH(UPPER($J$4)&amp;"|Limit|"&amp;ROWS(C$27:C35),'Licence Effluent'!$L$5:$L$6,0))&amp;"","")</f>
        <v/>
      </c>
      <c r="E35" s="235" t="str">
        <f t="array" ref="E35">IFERROR(INDEX('Licence Effluent'!$H$5:$H$6,MATCH(UPPER($J$4)&amp;"|Limit|"&amp;ROWS(C$27:C35),'Licence Effluent'!$L$5:$L$6,0))&amp;"","")</f>
        <v/>
      </c>
      <c r="F35" s="235" t="str">
        <f t="array" ref="F35">IFERROR(INDEX('Licence Effluent'!$J$5:$J$6,MATCH(UPPER($J$4)&amp;"|Limit|"&amp;ROWS(C$27:C35),'Licence Effluent'!$L$5:$L$6,0))&amp;"","")</f>
        <v/>
      </c>
      <c r="I35" s="26"/>
      <c r="J35" s="26"/>
      <c r="K35" s="26"/>
    </row>
    <row r="36" ht="15.0" customHeight="1">
      <c r="C36" s="234" t="str">
        <f t="array" ref="C36">IFERROR(INDEX('Licence Effluent'!$F$5:$F$6,MATCH(UPPER($J$4)&amp;"|Limit|"&amp;ROWS(C$27:C36),'Licence Effluent'!$L$5:$L$6,0))&amp;"","")</f>
        <v/>
      </c>
      <c r="D36" s="235" t="str">
        <f t="array" ref="D36">IFERROR(INDEX('Licence Effluent'!$G$5:$G$6,MATCH(UPPER($J$4)&amp;"|Limit|"&amp;ROWS(C$27:C36),'Licence Effluent'!$L$5:$L$6,0))&amp;"","")</f>
        <v/>
      </c>
      <c r="E36" s="235" t="str">
        <f t="array" ref="E36">IFERROR(INDEX('Licence Effluent'!$H$5:$H$6,MATCH(UPPER($J$4)&amp;"|Limit|"&amp;ROWS(C$27:C36),'Licence Effluent'!$L$5:$L$6,0))&amp;"","")</f>
        <v/>
      </c>
      <c r="F36" s="235" t="str">
        <f t="array" ref="F36">IFERROR(INDEX('Licence Effluent'!$J$5:$J$6,MATCH(UPPER($J$4)&amp;"|Limit|"&amp;ROWS(C$27:C36),'Licence Effluent'!$L$5:$L$6,0))&amp;"","")</f>
        <v/>
      </c>
      <c r="I36" s="26"/>
      <c r="J36" s="26"/>
      <c r="K36" s="26"/>
    </row>
    <row r="37" ht="15.0" customHeight="1">
      <c r="C37" s="234" t="str">
        <f t="array" ref="C37">IFERROR(INDEX('Licence Effluent'!$F$5:$F$6,MATCH(UPPER($J$4)&amp;"|Limit|"&amp;ROWS(C$27:C37),'Licence Effluent'!$L$5:$L$6,0))&amp;"","")</f>
        <v/>
      </c>
      <c r="D37" s="235" t="str">
        <f t="array" ref="D37">IFERROR(INDEX('Licence Effluent'!$G$5:$G$6,MATCH(UPPER($J$4)&amp;"|Limit|"&amp;ROWS(C$27:C37),'Licence Effluent'!$L$5:$L$6,0))&amp;"","")</f>
        <v/>
      </c>
      <c r="E37" s="235" t="str">
        <f t="array" ref="E37">IFERROR(INDEX('Licence Effluent'!$H$5:$H$6,MATCH(UPPER($J$4)&amp;"|Limit|"&amp;ROWS(C$27:C37),'Licence Effluent'!$L$5:$L$6,0))&amp;"","")</f>
        <v/>
      </c>
      <c r="F37" s="235" t="str">
        <f t="array" ref="F37">IFERROR(INDEX('Licence Effluent'!$J$5:$J$6,MATCH(UPPER($J$4)&amp;"|Limit|"&amp;ROWS(C$27:C37),'Licence Effluent'!$L$5:$L$6,0))&amp;"","")</f>
        <v/>
      </c>
      <c r="I37" s="26"/>
      <c r="J37" s="26"/>
      <c r="K37" s="26"/>
    </row>
    <row r="38" ht="15.0" customHeight="1">
      <c r="C38" s="234" t="str">
        <f t="array" ref="C38">IFERROR(INDEX('Licence Effluent'!$F$5:$F$6,MATCH(UPPER($J$4)&amp;"|Limit|"&amp;ROWS(C$27:C38),'Licence Effluent'!$L$5:$L$6,0))&amp;"","")</f>
        <v/>
      </c>
      <c r="D38" s="235" t="str">
        <f t="array" ref="D38">IFERROR(INDEX('Licence Effluent'!$G$5:$G$6,MATCH(UPPER($J$4)&amp;"|Limit|"&amp;ROWS(C$27:C38),'Licence Effluent'!$L$5:$L$6,0))&amp;"","")</f>
        <v/>
      </c>
      <c r="E38" s="235" t="str">
        <f t="array" ref="E38">IFERROR(INDEX('Licence Effluent'!$H$5:$H$6,MATCH(UPPER($J$4)&amp;"|Limit|"&amp;ROWS(C$27:C38),'Licence Effluent'!$L$5:$L$6,0))&amp;"","")</f>
        <v/>
      </c>
      <c r="F38" s="235" t="str">
        <f t="array" ref="F38">IFERROR(INDEX('Licence Effluent'!$J$5:$J$6,MATCH(UPPER($J$4)&amp;"|Limit|"&amp;ROWS(C$27:C38),'Licence Effluent'!$L$5:$L$6,0))&amp;"","")</f>
        <v/>
      </c>
      <c r="I38" s="26"/>
      <c r="J38" s="26"/>
      <c r="K38" s="26"/>
    </row>
    <row r="39" ht="15.0" customHeight="1">
      <c r="C39" s="234" t="str">
        <f t="array" ref="C39">IFERROR(INDEX('Licence Effluent'!$F$5:$F$6,MATCH(UPPER($J$4)&amp;"|Limit|"&amp;ROWS(C$27:C39),'Licence Effluent'!$L$5:$L$6,0))&amp;"","")</f>
        <v/>
      </c>
      <c r="D39" s="235" t="str">
        <f t="array" ref="D39">IFERROR(INDEX('Licence Effluent'!$G$5:$G$6,MATCH(UPPER($J$4)&amp;"|Limit|"&amp;ROWS(C$27:C39),'Licence Effluent'!$L$5:$L$6,0))&amp;"","")</f>
        <v/>
      </c>
      <c r="E39" s="235" t="str">
        <f t="array" ref="E39">IFERROR(INDEX('Licence Effluent'!$H$5:$H$6,MATCH(UPPER($J$4)&amp;"|Limit|"&amp;ROWS(C$27:C39),'Licence Effluent'!$L$5:$L$6,0))&amp;"","")</f>
        <v/>
      </c>
      <c r="F39" s="235" t="str">
        <f t="array" ref="F39">IFERROR(INDEX('Licence Effluent'!$J$5:$J$6,MATCH(UPPER($J$4)&amp;"|Limit|"&amp;ROWS(C$27:C39),'Licence Effluent'!$L$5:$L$6,0))&amp;"","")</f>
        <v/>
      </c>
      <c r="I39" s="26"/>
      <c r="J39" s="26"/>
      <c r="K39" s="26"/>
    </row>
    <row r="40" ht="15.0" customHeight="1">
      <c r="C40" s="234" t="str">
        <f t="array" ref="C40">IFERROR(INDEX('Licence Effluent'!$F$5:$F$6,MATCH(UPPER($J$4)&amp;"|Limit|"&amp;ROWS(C$27:C40),'Licence Effluent'!$L$5:$L$6,0))&amp;"","")</f>
        <v/>
      </c>
      <c r="D40" s="235" t="str">
        <f t="array" ref="D40">IFERROR(INDEX('Licence Effluent'!$G$5:$G$6,MATCH(UPPER($J$4)&amp;"|Limit|"&amp;ROWS(C$27:C40),'Licence Effluent'!$L$5:$L$6,0))&amp;"","")</f>
        <v/>
      </c>
      <c r="E40" s="235" t="str">
        <f t="array" ref="E40">IFERROR(INDEX('Licence Effluent'!$H$5:$H$6,MATCH(UPPER($J$4)&amp;"|Limit|"&amp;ROWS(C$27:C40),'Licence Effluent'!$L$5:$L$6,0))&amp;"","")</f>
        <v/>
      </c>
      <c r="F40" s="235" t="str">
        <f t="array" ref="F40">IFERROR(INDEX('Licence Effluent'!$J$5:$J$6,MATCH(UPPER($J$4)&amp;"|Limit|"&amp;ROWS(C$27:C40),'Licence Effluent'!$L$5:$L$6,0))&amp;"","")</f>
        <v/>
      </c>
      <c r="I40" s="26"/>
      <c r="J40" s="26"/>
      <c r="K40" s="26"/>
    </row>
    <row r="41" ht="15.0" customHeight="1">
      <c r="C41" s="234" t="str">
        <f t="array" ref="C41">IFERROR(INDEX('Licence Effluent'!$F$5:$F$6,MATCH(UPPER($J$4)&amp;"|Limit|"&amp;ROWS(C$27:C41),'Licence Effluent'!$L$5:$L$6,0))&amp;"","")</f>
        <v/>
      </c>
      <c r="D41" s="235" t="str">
        <f t="array" ref="D41">IFERROR(INDEX('Licence Effluent'!$G$5:$G$6,MATCH(UPPER($J$4)&amp;"|Limit|"&amp;ROWS(C$27:C41),'Licence Effluent'!$L$5:$L$6,0))&amp;"","")</f>
        <v/>
      </c>
      <c r="E41" s="235" t="str">
        <f t="array" ref="E41">IFERROR(INDEX('Licence Effluent'!$H$5:$H$6,MATCH(UPPER($J$4)&amp;"|Limit|"&amp;ROWS(C$27:C41),'Licence Effluent'!$L$5:$L$6,0))&amp;"","")</f>
        <v/>
      </c>
      <c r="F41" s="235" t="str">
        <f t="array" ref="F41">IFERROR(INDEX('Licence Effluent'!$J$5:$J$6,MATCH(UPPER($J$4)&amp;"|Limit|"&amp;ROWS(C$27:C41),'Licence Effluent'!$L$5:$L$6,0))&amp;"","")</f>
        <v/>
      </c>
      <c r="I41" s="26"/>
      <c r="J41" s="26"/>
      <c r="K41" s="26"/>
    </row>
    <row r="42" ht="15.0" customHeight="1">
      <c r="C42" s="234" t="str">
        <f t="array" ref="C42">IFERROR(INDEX('Licence Effluent'!$F$5:$F$6,MATCH(UPPER($J$4)&amp;"|Limit|"&amp;ROWS(C$27:C42),'Licence Effluent'!$L$5:$L$6,0))&amp;"","")</f>
        <v/>
      </c>
      <c r="D42" s="235" t="str">
        <f t="array" ref="D42">IFERROR(INDEX('Licence Effluent'!$G$5:$G$6,MATCH(UPPER($J$4)&amp;"|Limit|"&amp;ROWS(C$27:C42),'Licence Effluent'!$L$5:$L$6,0))&amp;"","")</f>
        <v/>
      </c>
      <c r="E42" s="235" t="str">
        <f t="array" ref="E42">IFERROR(INDEX('Licence Effluent'!$H$5:$H$6,MATCH(UPPER($J$4)&amp;"|Limit|"&amp;ROWS(C$27:C42),'Licence Effluent'!$L$5:$L$6,0))&amp;"","")</f>
        <v/>
      </c>
      <c r="F42" s="235" t="str">
        <f t="array" ref="F42">IFERROR(INDEX('Licence Effluent'!$J$5:$J$6,MATCH(UPPER($J$4)&amp;"|Limit|"&amp;ROWS(C$27:C42),'Licence Effluent'!$L$5:$L$6,0))&amp;"","")</f>
        <v/>
      </c>
      <c r="I42" s="26"/>
      <c r="J42" s="26"/>
      <c r="K42" s="26"/>
    </row>
    <row r="43" ht="15.0" customHeight="1">
      <c r="C43" s="234" t="str">
        <f t="array" ref="C43">IFERROR(INDEX('Licence Effluent'!$F$5:$F$6,MATCH(UPPER($J$4)&amp;"|Limit|"&amp;ROWS(C$27:C43),'Licence Effluent'!$L$5:$L$6,0))&amp;"","")</f>
        <v/>
      </c>
      <c r="D43" s="235" t="str">
        <f t="array" ref="D43">IFERROR(INDEX('Licence Effluent'!$G$5:$G$6,MATCH(UPPER($J$4)&amp;"|Limit|"&amp;ROWS(C$27:C43),'Licence Effluent'!$L$5:$L$6,0))&amp;"","")</f>
        <v/>
      </c>
      <c r="E43" s="235" t="str">
        <f t="array" ref="E43">IFERROR(INDEX('Licence Effluent'!$H$5:$H$6,MATCH(UPPER($J$4)&amp;"|Limit|"&amp;ROWS(C$27:C43),'Licence Effluent'!$L$5:$L$6,0))&amp;"","")</f>
        <v/>
      </c>
      <c r="F43" s="235" t="str">
        <f t="array" ref="F43">IFERROR(INDEX('Licence Effluent'!$J$5:$J$6,MATCH(UPPER($J$4)&amp;"|Limit|"&amp;ROWS(C$27:C43),'Licence Effluent'!$L$5:$L$6,0))&amp;"","")</f>
        <v/>
      </c>
      <c r="I43" s="26"/>
      <c r="J43" s="26"/>
      <c r="K43" s="26"/>
    </row>
    <row r="44" ht="15.0" customHeight="1">
      <c r="C44" s="234" t="str">
        <f t="array" ref="C44">IFERROR(INDEX('Licence Effluent'!$F$5:$F$6,MATCH(UPPER($J$4)&amp;"|Limit|"&amp;ROWS(C$27:C44),'Licence Effluent'!$L$5:$L$6,0))&amp;"","")</f>
        <v/>
      </c>
      <c r="D44" s="235" t="str">
        <f t="array" ref="D44">IFERROR(INDEX('Licence Effluent'!$G$5:$G$6,MATCH(UPPER($J$4)&amp;"|Limit|"&amp;ROWS(C$27:C44),'Licence Effluent'!$L$5:$L$6,0))&amp;"","")</f>
        <v/>
      </c>
      <c r="E44" s="235" t="str">
        <f t="array" ref="E44">IFERROR(INDEX('Licence Effluent'!$H$5:$H$6,MATCH(UPPER($J$4)&amp;"|Limit|"&amp;ROWS(C$27:C44),'Licence Effluent'!$L$5:$L$6,0))&amp;"","")</f>
        <v/>
      </c>
      <c r="F44" s="235" t="str">
        <f t="array" ref="F44">IFERROR(INDEX('Licence Effluent'!$J$5:$J$6,MATCH(UPPER($J$4)&amp;"|Limit|"&amp;ROWS(C$27:C44),'Licence Effluent'!$L$5:$L$6,0))&amp;"","")</f>
        <v/>
      </c>
      <c r="I44" s="26"/>
      <c r="J44" s="26"/>
      <c r="K44" s="26"/>
    </row>
    <row r="45" ht="15.0" customHeight="1">
      <c r="C45" s="234" t="str">
        <f t="array" ref="C45">IFERROR(INDEX('Licence Effluent'!$F$5:$F$6,MATCH(UPPER($J$4)&amp;"|Limit|"&amp;ROWS(C$27:C45),'Licence Effluent'!$L$5:$L$6,0))&amp;"","")</f>
        <v/>
      </c>
      <c r="D45" s="235" t="str">
        <f t="array" ref="D45">IFERROR(INDEX('Licence Effluent'!$G$5:$G$6,MATCH(UPPER($J$4)&amp;"|Limit|"&amp;ROWS(C$27:C45),'Licence Effluent'!$L$5:$L$6,0))&amp;"","")</f>
        <v/>
      </c>
      <c r="E45" s="235" t="str">
        <f t="array" ref="E45">IFERROR(INDEX('Licence Effluent'!$H$5:$H$6,MATCH(UPPER($J$4)&amp;"|Limit|"&amp;ROWS(C$27:C45),'Licence Effluent'!$L$5:$L$6,0))&amp;"","")</f>
        <v/>
      </c>
      <c r="F45" s="235" t="str">
        <f t="array" ref="F45">IFERROR(INDEX('Licence Effluent'!$J$5:$J$6,MATCH(UPPER($J$4)&amp;"|Limit|"&amp;ROWS(C$27:C45),'Licence Effluent'!$L$5:$L$6,0))&amp;"","")</f>
        <v/>
      </c>
      <c r="I45" s="26"/>
      <c r="J45" s="26"/>
      <c r="K45" s="26"/>
    </row>
    <row r="46" ht="15.0" customHeight="1">
      <c r="C46" s="234" t="str">
        <f t="array" ref="C46">IFERROR(INDEX('Licence Effluent'!$F$5:$F$6,MATCH(UPPER($J$4)&amp;"|Limit|"&amp;ROWS(C$27:C46),'Licence Effluent'!$L$5:$L$6,0))&amp;"","")</f>
        <v/>
      </c>
      <c r="D46" s="235" t="str">
        <f t="array" ref="D46">IFERROR(INDEX('Licence Effluent'!$G$5:$G$6,MATCH(UPPER($J$4)&amp;"|Limit|"&amp;ROWS(C$27:C46),'Licence Effluent'!$L$5:$L$6,0))&amp;"","")</f>
        <v/>
      </c>
      <c r="E46" s="235" t="str">
        <f t="array" ref="E46">IFERROR(INDEX('Licence Effluent'!$H$5:$H$6,MATCH(UPPER($J$4)&amp;"|Limit|"&amp;ROWS(C$27:C46),'Licence Effluent'!$L$5:$L$6,0))&amp;"","")</f>
        <v/>
      </c>
      <c r="F46" s="235" t="str">
        <f t="array" ref="F46">IFERROR(INDEX('Licence Effluent'!$J$5:$J$6,MATCH(UPPER($J$4)&amp;"|Limit|"&amp;ROWS(C$27:C46),'Licence Effluent'!$L$5:$L$6,0))&amp;"","")</f>
        <v/>
      </c>
      <c r="I46" s="26"/>
      <c r="J46" s="26"/>
      <c r="K46" s="26"/>
    </row>
    <row r="47" ht="6.0" customHeight="1"/>
    <row r="48" ht="45.75" customHeight="1">
      <c r="A48" s="236"/>
      <c r="B48" s="230" t="s">
        <v>644</v>
      </c>
      <c r="C48" s="231" t="s">
        <v>645</v>
      </c>
      <c r="G48" s="236"/>
      <c r="H48" s="236"/>
    </row>
    <row r="49" ht="46.5" customHeight="1">
      <c r="B49" s="230" t="s">
        <v>646</v>
      </c>
      <c r="C49" s="231" t="s">
        <v>647</v>
      </c>
    </row>
    <row r="50" ht="31.5" customHeight="1">
      <c r="B50" s="230" t="s">
        <v>648</v>
      </c>
      <c r="C50" s="231" t="s">
        <v>649</v>
      </c>
    </row>
    <row r="51" ht="31.5" customHeight="1">
      <c r="B51" s="230" t="s">
        <v>650</v>
      </c>
      <c r="C51" s="231" t="s">
        <v>651</v>
      </c>
    </row>
    <row r="52" ht="60.75" customHeight="1">
      <c r="B52" s="230" t="s">
        <v>652</v>
      </c>
      <c r="C52" s="231" t="s">
        <v>653</v>
      </c>
    </row>
    <row r="53" ht="60.75" customHeight="1">
      <c r="B53" s="230" t="s">
        <v>654</v>
      </c>
      <c r="C53" s="231" t="s">
        <v>655</v>
      </c>
    </row>
    <row r="54" ht="46.5" customHeight="1">
      <c r="B54" s="230" t="s">
        <v>656</v>
      </c>
      <c r="C54" s="231" t="s">
        <v>657</v>
      </c>
    </row>
    <row r="55" ht="31.5" customHeight="1">
      <c r="B55" s="230" t="s">
        <v>658</v>
      </c>
      <c r="C55" s="231" t="s">
        <v>659</v>
      </c>
    </row>
    <row r="56" ht="46.5" customHeight="1">
      <c r="B56" s="230" t="s">
        <v>660</v>
      </c>
      <c r="C56" s="231" t="s">
        <v>661</v>
      </c>
    </row>
    <row r="57" ht="31.5" customHeight="1">
      <c r="B57" s="230" t="s">
        <v>662</v>
      </c>
      <c r="C57" s="231" t="s">
        <v>663</v>
      </c>
    </row>
    <row r="58" ht="17.25" customHeight="1">
      <c r="B58" s="230" t="s">
        <v>664</v>
      </c>
      <c r="C58" s="231" t="s">
        <v>665</v>
      </c>
    </row>
    <row r="59" ht="31.5" customHeight="1">
      <c r="B59" s="230" t="s">
        <v>666</v>
      </c>
      <c r="C59" s="231" t="s">
        <v>667</v>
      </c>
    </row>
    <row r="60" ht="31.5" customHeight="1">
      <c r="B60" s="230" t="s">
        <v>668</v>
      </c>
      <c r="C60" s="231" t="s">
        <v>669</v>
      </c>
    </row>
    <row r="61" ht="60.75" customHeight="1">
      <c r="B61" s="230" t="s">
        <v>670</v>
      </c>
      <c r="C61" s="231" t="s">
        <v>671</v>
      </c>
    </row>
    <row r="62" ht="46.5" customHeight="1">
      <c r="B62" s="230" t="s">
        <v>672</v>
      </c>
      <c r="C62" s="231" t="s">
        <v>673</v>
      </c>
    </row>
    <row r="63" ht="60.75" customHeight="1">
      <c r="B63" s="230" t="s">
        <v>674</v>
      </c>
      <c r="C63" s="231" t="s">
        <v>675</v>
      </c>
    </row>
    <row r="64" ht="31.5" customHeight="1">
      <c r="B64" s="230" t="s">
        <v>676</v>
      </c>
      <c r="C64" s="231" t="s">
        <v>677</v>
      </c>
    </row>
    <row r="65" ht="31.5" customHeight="1">
      <c r="B65" s="230" t="s">
        <v>678</v>
      </c>
      <c r="C65" s="231" t="s">
        <v>679</v>
      </c>
    </row>
    <row r="66" ht="16.5" customHeight="1"/>
    <row r="67" ht="16.5" customHeight="1">
      <c r="B67" s="237" t="str">
        <f>"Issued Date:  "&amp;IF($J$10="","________",DAY($J$10)&amp;IF(AND(DAY($J$10)&gt;=11,DAY($J$10)&lt;=13),"th",CHOOSE(MIN(MOD(DAY($J$10),10)+1,5),"th","st","nd","rd","th"))&amp;" "&amp;TEXT($J$10,"mmmm, yyyy"))</f>
        <v>Issued Date:  ________</v>
      </c>
      <c r="D67" s="238" t="str">
        <f>"Expired Date:  "&amp;IF($J$11="","________",DAY($J$11)&amp;IF(AND(DAY($J$11)&gt;=11,DAY($J$11)&lt;=13),"th",CHOOSE(MIN(MOD(DAY($J$11),10)+1,5),"th","st","nd","rd","th"))&amp;" "&amp;TEXT($J$11,"mmmm, yyyy"))</f>
        <v>Expired Date:  ________</v>
      </c>
    </row>
    <row r="68" ht="21.75" customHeight="1"/>
    <row r="69" ht="21.75" customHeight="1"/>
    <row r="70" ht="16.5" customHeight="1">
      <c r="B70" s="183" t="s">
        <v>680</v>
      </c>
    </row>
    <row r="71" ht="16.5" customHeight="1">
      <c r="B71" s="183" t="str">
        <f t="array" ref="B71">IFERROR(INDEX(Lists!$U$5:$U$7,MATCH($J$12,Lists!$T$5:$T$7,0)),"")</f>
        <v>Dr. Emmanuel K. Urey Yarkpawolo</v>
      </c>
    </row>
    <row r="72" ht="16.5" customHeight="1">
      <c r="B72" s="239" t="str">
        <f t="array" ref="B72">UPPER(IFERROR(INDEX(Lists!$V$5:$V$7,MATCH($J$12,Lists!$T$5:$T$7,0)),""))</f>
        <v>EXECUTIVE DIRECTOR/CEO</v>
      </c>
    </row>
    <row r="73" ht="12.0"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4.25" customHeight="1"/>
    <row r="89" ht="14.25" customHeight="1"/>
    <row r="90" ht="33.0" customHeight="1"/>
    <row r="91" ht="63.0" customHeight="1"/>
    <row r="92" ht="48.0" customHeight="1"/>
    <row r="93" ht="33.0" customHeight="1"/>
    <row r="94" ht="14.25" customHeight="1"/>
    <row r="95" ht="14.25" customHeight="1"/>
    <row r="96" ht="39.7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c r="A147" s="168"/>
      <c r="B147" s="168"/>
      <c r="C147" s="168"/>
      <c r="D147" s="168"/>
      <c r="E147" s="168"/>
      <c r="F147" s="168"/>
      <c r="G147" s="168"/>
    </row>
    <row r="148" ht="14.25" customHeight="1">
      <c r="A148" s="168"/>
      <c r="B148" s="168"/>
      <c r="C148" s="168"/>
      <c r="D148" s="168"/>
      <c r="E148" s="168"/>
      <c r="F148" s="168"/>
      <c r="G148" s="168"/>
    </row>
    <row r="149" ht="14.25" customHeight="1">
      <c r="A149" s="168"/>
      <c r="B149" s="168"/>
      <c r="C149" s="168"/>
      <c r="D149" s="168"/>
      <c r="E149" s="168"/>
      <c r="F149" s="168"/>
      <c r="G149" s="168"/>
    </row>
    <row r="150" ht="14.25" customHeight="1">
      <c r="A150" s="168"/>
      <c r="B150" s="168"/>
      <c r="C150" s="168"/>
      <c r="D150" s="168"/>
      <c r="E150" s="168"/>
      <c r="F150" s="168"/>
      <c r="G150" s="168"/>
    </row>
    <row r="151" ht="14.25" customHeight="1">
      <c r="A151" s="168"/>
      <c r="B151" s="168"/>
      <c r="C151" s="168"/>
      <c r="D151" s="168"/>
      <c r="E151" s="168"/>
      <c r="F151" s="168"/>
      <c r="G151" s="168"/>
    </row>
    <row r="152" ht="14.25" customHeight="1">
      <c r="A152" s="168"/>
      <c r="B152" s="168"/>
      <c r="C152" s="168"/>
      <c r="D152" s="168"/>
      <c r="E152" s="168"/>
      <c r="F152" s="168"/>
      <c r="G152" s="168"/>
    </row>
    <row r="153" ht="14.25" customHeight="1">
      <c r="A153" s="168"/>
      <c r="B153" s="168"/>
      <c r="C153" s="168"/>
      <c r="D153" s="168"/>
      <c r="E153" s="168"/>
      <c r="F153" s="168"/>
      <c r="G153" s="168"/>
    </row>
    <row r="154" ht="14.25" customHeight="1">
      <c r="A154" s="168"/>
      <c r="B154" s="168"/>
      <c r="C154" s="168"/>
      <c r="D154" s="168"/>
      <c r="E154" s="168"/>
      <c r="F154" s="168"/>
      <c r="G154" s="168"/>
    </row>
    <row r="155" ht="14.25" customHeight="1">
      <c r="A155" s="168"/>
      <c r="B155" s="168"/>
      <c r="C155" s="168"/>
      <c r="D155" s="168"/>
      <c r="E155" s="168"/>
      <c r="F155" s="168"/>
      <c r="G155" s="168"/>
    </row>
    <row r="156" ht="14.25" customHeight="1">
      <c r="A156" s="168"/>
      <c r="B156" s="168"/>
      <c r="C156" s="168"/>
      <c r="D156" s="168"/>
      <c r="E156" s="168"/>
      <c r="F156" s="168"/>
      <c r="G156" s="168"/>
    </row>
    <row r="157" ht="14.25" customHeight="1">
      <c r="A157" s="168"/>
      <c r="B157" s="168"/>
      <c r="C157" s="168"/>
      <c r="D157" s="168"/>
      <c r="E157" s="168"/>
      <c r="F157" s="168"/>
      <c r="G157" s="168"/>
    </row>
    <row r="158" ht="14.25" customHeight="1">
      <c r="A158" s="168"/>
      <c r="B158" s="168"/>
      <c r="C158" s="168"/>
      <c r="D158" s="168"/>
      <c r="E158" s="168"/>
      <c r="F158" s="168"/>
      <c r="G158" s="168"/>
    </row>
    <row r="159" ht="14.25" customHeight="1">
      <c r="A159" s="168"/>
      <c r="B159" s="168"/>
      <c r="C159" s="168"/>
      <c r="D159" s="168"/>
      <c r="E159" s="168"/>
      <c r="F159" s="168"/>
      <c r="G159" s="168"/>
    </row>
    <row r="160" ht="14.25" customHeight="1">
      <c r="A160" s="168"/>
      <c r="B160" s="168"/>
      <c r="C160" s="168"/>
      <c r="D160" s="168"/>
      <c r="E160" s="168"/>
      <c r="F160" s="168"/>
      <c r="G160" s="168"/>
    </row>
    <row r="161" ht="14.25" customHeight="1">
      <c r="A161" s="168"/>
      <c r="B161" s="168"/>
      <c r="C161" s="168"/>
      <c r="D161" s="168"/>
      <c r="E161" s="168"/>
      <c r="F161" s="168"/>
      <c r="G161" s="168"/>
    </row>
    <row r="162" ht="14.25" customHeight="1">
      <c r="A162" s="168"/>
      <c r="B162" s="168"/>
      <c r="C162" s="168"/>
      <c r="D162" s="168"/>
      <c r="E162" s="168"/>
      <c r="F162" s="168"/>
      <c r="G162" s="168"/>
    </row>
    <row r="163" ht="14.25" customHeight="1">
      <c r="A163" s="168"/>
      <c r="B163" s="168"/>
      <c r="C163" s="168"/>
      <c r="D163" s="168"/>
      <c r="E163" s="168"/>
      <c r="F163" s="168"/>
      <c r="G163" s="168"/>
    </row>
    <row r="164" ht="14.25" customHeight="1">
      <c r="A164" s="168"/>
      <c r="B164" s="168"/>
      <c r="C164" s="168"/>
      <c r="D164" s="168"/>
      <c r="E164" s="168"/>
      <c r="F164" s="168"/>
      <c r="G164" s="168"/>
    </row>
    <row r="165" ht="14.25" customHeight="1">
      <c r="A165" s="168"/>
      <c r="B165" s="168"/>
      <c r="C165" s="168"/>
      <c r="D165" s="168"/>
      <c r="E165" s="168"/>
      <c r="F165" s="168"/>
      <c r="G165" s="168"/>
    </row>
    <row r="166" ht="14.25" customHeight="1">
      <c r="A166" s="168"/>
      <c r="B166" s="168"/>
      <c r="C166" s="168"/>
      <c r="D166" s="168"/>
      <c r="E166" s="168"/>
      <c r="F166" s="168"/>
      <c r="G166" s="168"/>
    </row>
    <row r="167" ht="14.25" customHeight="1">
      <c r="A167" s="168"/>
      <c r="B167" s="168"/>
      <c r="C167" s="168"/>
      <c r="D167" s="168"/>
      <c r="E167" s="168"/>
      <c r="F167" s="168"/>
      <c r="G167" s="168"/>
    </row>
    <row r="168" ht="14.25" customHeight="1">
      <c r="A168" s="168"/>
      <c r="B168" s="168"/>
      <c r="C168" s="168"/>
      <c r="D168" s="168"/>
      <c r="E168" s="168"/>
      <c r="F168" s="168"/>
      <c r="G168" s="168"/>
    </row>
    <row r="169" ht="14.25" customHeight="1">
      <c r="A169" s="168"/>
      <c r="B169" s="168"/>
      <c r="C169" s="168"/>
      <c r="D169" s="168"/>
      <c r="E169" s="168"/>
      <c r="F169" s="168"/>
      <c r="G169" s="168"/>
    </row>
    <row r="170" ht="14.25" customHeight="1">
      <c r="A170" s="168"/>
      <c r="B170" s="168"/>
      <c r="C170" s="168"/>
      <c r="D170" s="168"/>
      <c r="E170" s="168"/>
      <c r="F170" s="168"/>
      <c r="G170" s="168"/>
    </row>
    <row r="171" ht="14.25" customHeight="1">
      <c r="A171" s="168"/>
      <c r="B171" s="168"/>
      <c r="C171" s="168"/>
      <c r="D171" s="168"/>
      <c r="E171" s="168"/>
      <c r="F171" s="168"/>
      <c r="G171" s="168"/>
    </row>
    <row r="172" ht="14.25" customHeight="1">
      <c r="A172" s="168"/>
      <c r="B172" s="168"/>
      <c r="C172" s="168"/>
      <c r="D172" s="168"/>
      <c r="E172" s="168"/>
      <c r="F172" s="168"/>
      <c r="G172" s="168"/>
    </row>
    <row r="173" ht="14.25" customHeight="1">
      <c r="A173" s="168"/>
      <c r="B173" s="168"/>
      <c r="C173" s="168"/>
      <c r="D173" s="168"/>
      <c r="E173" s="168"/>
      <c r="F173" s="168"/>
      <c r="G173" s="168"/>
    </row>
    <row r="174" ht="14.25" customHeight="1">
      <c r="A174" s="168"/>
      <c r="B174" s="168"/>
      <c r="C174" s="168"/>
      <c r="D174" s="168"/>
      <c r="E174" s="168"/>
      <c r="F174" s="168"/>
      <c r="G174" s="168"/>
    </row>
    <row r="175" ht="14.25" customHeight="1">
      <c r="A175" s="168"/>
      <c r="B175" s="168"/>
      <c r="C175" s="168"/>
      <c r="D175" s="168"/>
      <c r="E175" s="168"/>
      <c r="F175" s="168"/>
      <c r="G175" s="168"/>
    </row>
    <row r="176" ht="14.25" customHeight="1">
      <c r="A176" s="168"/>
      <c r="B176" s="168"/>
      <c r="C176" s="168"/>
      <c r="D176" s="168"/>
      <c r="E176" s="168"/>
      <c r="F176" s="168"/>
      <c r="G176" s="168"/>
    </row>
    <row r="177" ht="14.25" customHeight="1">
      <c r="A177" s="168"/>
      <c r="B177" s="168"/>
      <c r="C177" s="168"/>
      <c r="D177" s="168"/>
      <c r="E177" s="168"/>
      <c r="F177" s="168"/>
      <c r="G177" s="168"/>
    </row>
    <row r="178" ht="14.25" customHeight="1">
      <c r="A178" s="168"/>
      <c r="B178" s="168"/>
      <c r="C178" s="168"/>
      <c r="D178" s="168"/>
      <c r="E178" s="168"/>
      <c r="F178" s="168"/>
      <c r="G178" s="168"/>
    </row>
    <row r="179" ht="14.25" customHeight="1">
      <c r="A179" s="168"/>
      <c r="B179" s="168"/>
      <c r="C179" s="168"/>
      <c r="D179" s="168"/>
      <c r="E179" s="168"/>
      <c r="F179" s="168"/>
      <c r="G179" s="168"/>
    </row>
    <row r="180" ht="14.25" customHeight="1">
      <c r="A180" s="168"/>
      <c r="B180" s="168"/>
      <c r="C180" s="168"/>
      <c r="D180" s="168"/>
      <c r="E180" s="168"/>
      <c r="F180" s="168"/>
      <c r="G180" s="168"/>
    </row>
    <row r="181" ht="14.25" customHeight="1">
      <c r="A181" s="168"/>
      <c r="B181" s="168"/>
      <c r="C181" s="168"/>
      <c r="D181" s="168"/>
      <c r="E181" s="168"/>
      <c r="F181" s="168"/>
      <c r="G181" s="168"/>
    </row>
    <row r="182" ht="14.25" customHeight="1">
      <c r="A182" s="168"/>
      <c r="B182" s="168"/>
      <c r="C182" s="168"/>
      <c r="D182" s="168"/>
      <c r="E182" s="168"/>
      <c r="F182" s="168"/>
      <c r="G182" s="168"/>
    </row>
    <row r="183" ht="14.25" customHeight="1">
      <c r="A183" s="168"/>
      <c r="B183" s="168"/>
      <c r="C183" s="168"/>
      <c r="D183" s="168"/>
      <c r="E183" s="168"/>
      <c r="F183" s="168"/>
      <c r="G183" s="168"/>
    </row>
    <row r="184" ht="14.25" customHeight="1">
      <c r="A184" s="168"/>
      <c r="B184" s="168"/>
      <c r="C184" s="168"/>
      <c r="D184" s="168"/>
      <c r="E184" s="168"/>
      <c r="F184" s="168"/>
      <c r="G184" s="168"/>
    </row>
    <row r="185" ht="14.25" customHeight="1">
      <c r="A185" s="168"/>
      <c r="B185" s="168"/>
      <c r="C185" s="168"/>
      <c r="D185" s="168"/>
      <c r="E185" s="168"/>
      <c r="F185" s="168"/>
      <c r="G185" s="168"/>
    </row>
    <row r="186" ht="14.25" customHeight="1">
      <c r="A186" s="168"/>
      <c r="B186" s="168"/>
      <c r="C186" s="168"/>
      <c r="D186" s="168"/>
      <c r="E186" s="168"/>
      <c r="F186" s="168"/>
      <c r="G186" s="168"/>
    </row>
    <row r="187" ht="14.25" customHeight="1">
      <c r="A187" s="168"/>
      <c r="B187" s="168"/>
      <c r="C187" s="168"/>
      <c r="D187" s="168"/>
      <c r="E187" s="168"/>
      <c r="F187" s="168"/>
      <c r="G187" s="168"/>
    </row>
    <row r="188" ht="14.25" customHeight="1">
      <c r="A188" s="168"/>
      <c r="B188" s="168"/>
      <c r="C188" s="168"/>
      <c r="D188" s="168"/>
      <c r="E188" s="168"/>
      <c r="F188" s="168"/>
      <c r="G188" s="168"/>
    </row>
    <row r="189" ht="14.25" customHeight="1">
      <c r="A189" s="168"/>
      <c r="B189" s="168"/>
      <c r="C189" s="168"/>
      <c r="D189" s="168"/>
      <c r="E189" s="168"/>
      <c r="F189" s="168"/>
      <c r="G189" s="168"/>
    </row>
    <row r="190" ht="14.25" customHeight="1">
      <c r="A190" s="168"/>
      <c r="B190" s="168"/>
      <c r="C190" s="168"/>
      <c r="D190" s="168"/>
      <c r="E190" s="168"/>
      <c r="F190" s="168"/>
      <c r="G190" s="168"/>
    </row>
    <row r="191" ht="14.25" customHeight="1">
      <c r="A191" s="168"/>
      <c r="B191" s="168"/>
      <c r="C191" s="168"/>
      <c r="D191" s="168"/>
      <c r="E191" s="168"/>
      <c r="F191" s="168"/>
      <c r="G191" s="168"/>
    </row>
    <row r="192" ht="14.25" customHeight="1">
      <c r="A192" s="168"/>
      <c r="B192" s="168"/>
      <c r="C192" s="168"/>
      <c r="D192" s="168"/>
      <c r="E192" s="168"/>
      <c r="F192" s="168"/>
      <c r="G192" s="168"/>
    </row>
    <row r="193" ht="14.25" customHeight="1">
      <c r="A193" s="168"/>
      <c r="B193" s="168"/>
      <c r="C193" s="168"/>
      <c r="D193" s="168"/>
      <c r="E193" s="168"/>
      <c r="F193" s="168"/>
      <c r="G193" s="168"/>
    </row>
    <row r="194" ht="14.25" customHeight="1">
      <c r="A194" s="168"/>
      <c r="B194" s="168"/>
      <c r="C194" s="168"/>
      <c r="D194" s="168"/>
      <c r="E194" s="168"/>
      <c r="F194" s="168"/>
      <c r="G194" s="168"/>
    </row>
    <row r="195" ht="14.25" customHeight="1">
      <c r="A195" s="168"/>
      <c r="B195" s="168"/>
      <c r="C195" s="168"/>
      <c r="D195" s="168"/>
      <c r="E195" s="168"/>
      <c r="F195" s="168"/>
      <c r="G195" s="168"/>
    </row>
    <row r="196" ht="14.25" customHeight="1">
      <c r="A196" s="168"/>
      <c r="B196" s="168"/>
      <c r="C196" s="168"/>
      <c r="D196" s="168"/>
      <c r="E196" s="168"/>
      <c r="F196" s="168"/>
      <c r="G196" s="168"/>
    </row>
    <row r="197" ht="14.25" customHeight="1">
      <c r="A197" s="168"/>
      <c r="B197" s="168"/>
      <c r="C197" s="168"/>
      <c r="D197" s="168"/>
      <c r="E197" s="168"/>
      <c r="F197" s="168"/>
      <c r="G197" s="168"/>
    </row>
    <row r="198" ht="14.25" customHeight="1">
      <c r="A198" s="168"/>
      <c r="B198" s="168"/>
      <c r="C198" s="168"/>
      <c r="D198" s="168"/>
      <c r="E198" s="168"/>
      <c r="F198" s="168"/>
      <c r="G198" s="168"/>
    </row>
    <row r="199" ht="14.25" customHeight="1">
      <c r="A199" s="168"/>
      <c r="B199" s="168"/>
      <c r="C199" s="168"/>
      <c r="D199" s="168"/>
      <c r="E199" s="168"/>
      <c r="F199" s="168"/>
      <c r="G199" s="168"/>
    </row>
    <row r="200" ht="14.25" customHeight="1">
      <c r="A200" s="168"/>
      <c r="B200" s="168"/>
      <c r="C200" s="168"/>
      <c r="D200" s="168"/>
      <c r="E200" s="168"/>
      <c r="F200" s="168"/>
      <c r="G200" s="168"/>
    </row>
    <row r="201" ht="14.25" customHeight="1">
      <c r="A201" s="168"/>
      <c r="B201" s="168"/>
      <c r="C201" s="168"/>
      <c r="D201" s="168"/>
      <c r="E201" s="168"/>
      <c r="F201" s="168"/>
      <c r="G201" s="168"/>
    </row>
    <row r="202" ht="14.25" customHeight="1">
      <c r="A202" s="168"/>
      <c r="B202" s="168"/>
      <c r="C202" s="168"/>
      <c r="D202" s="168"/>
      <c r="E202" s="168"/>
      <c r="F202" s="168"/>
      <c r="G202" s="168"/>
    </row>
    <row r="203" ht="14.25" customHeight="1">
      <c r="A203" s="168"/>
      <c r="B203" s="168"/>
      <c r="C203" s="168"/>
      <c r="D203" s="168"/>
      <c r="E203" s="168"/>
      <c r="F203" s="168"/>
      <c r="G203" s="168"/>
    </row>
    <row r="204" ht="14.25" customHeight="1">
      <c r="A204" s="168"/>
      <c r="B204" s="168"/>
      <c r="C204" s="168"/>
      <c r="D204" s="168"/>
      <c r="E204" s="168"/>
      <c r="F204" s="168"/>
      <c r="G204" s="168"/>
    </row>
    <row r="205" ht="14.25" customHeight="1">
      <c r="A205" s="168"/>
      <c r="B205" s="168"/>
      <c r="C205" s="168"/>
      <c r="D205" s="168"/>
      <c r="E205" s="168"/>
      <c r="F205" s="168"/>
      <c r="G205" s="168"/>
    </row>
    <row r="206" ht="14.25" customHeight="1">
      <c r="A206" s="168"/>
      <c r="B206" s="168"/>
      <c r="C206" s="168"/>
      <c r="D206" s="168"/>
      <c r="E206" s="168"/>
      <c r="F206" s="168"/>
      <c r="G206" s="168"/>
    </row>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3">
    <mergeCell ref="B2:F2"/>
    <mergeCell ref="I2:J2"/>
    <mergeCell ref="B3:F3"/>
    <mergeCell ref="B4:F4"/>
    <mergeCell ref="B5:F5"/>
    <mergeCell ref="B6:F6"/>
    <mergeCell ref="B8:F8"/>
    <mergeCell ref="B10:F10"/>
    <mergeCell ref="B11:F11"/>
    <mergeCell ref="B13:F13"/>
    <mergeCell ref="B14:F14"/>
    <mergeCell ref="B16:F16"/>
    <mergeCell ref="B17:F17"/>
    <mergeCell ref="I17:J21"/>
    <mergeCell ref="B19:F19"/>
    <mergeCell ref="B21:F21"/>
    <mergeCell ref="C22:F22"/>
    <mergeCell ref="C23:F23"/>
    <mergeCell ref="C24:F24"/>
    <mergeCell ref="C25:F25"/>
    <mergeCell ref="C48:F48"/>
    <mergeCell ref="C49:F49"/>
    <mergeCell ref="C50:F50"/>
    <mergeCell ref="C51:F51"/>
    <mergeCell ref="C52:F52"/>
    <mergeCell ref="C53:F53"/>
    <mergeCell ref="C54:F54"/>
    <mergeCell ref="C55:F55"/>
    <mergeCell ref="C63:F63"/>
    <mergeCell ref="C64:F64"/>
    <mergeCell ref="C65:F65"/>
    <mergeCell ref="B67:C67"/>
    <mergeCell ref="D67:F67"/>
    <mergeCell ref="B70:F70"/>
    <mergeCell ref="B71:F71"/>
    <mergeCell ref="B72:F72"/>
    <mergeCell ref="C56:F56"/>
    <mergeCell ref="C57:F57"/>
    <mergeCell ref="C58:F58"/>
    <mergeCell ref="C59:F59"/>
    <mergeCell ref="C60:F60"/>
    <mergeCell ref="C61:F61"/>
    <mergeCell ref="C62:F62"/>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dataValidations>
    <dataValidation type="list" allowBlank="1" showErrorMessage="1" sqref="J4">
      <formula1>'Licences &amp; Certificates'!$A$5:$A$73</formula1>
    </dataValidation>
    <dataValidation type="list" allowBlank="1" showErrorMessage="1" sqref="J12">
      <formula1>Lists!$T$5:$T$7</formula1>
    </dataValidation>
    <dataValidation type="list" allowBlank="1" showErrorMessage="1" sqref="J3">
      <formula1>"Yes,No"</formula1>
    </dataValidation>
  </dataValidations>
  <hyperlinks>
    <hyperlink display="⇄ Switch to Print EDL RP (Retention Pond)" location="'Print EDL RP'!J4" ref="I16"/>
  </hyperlinks>
  <printOptions horizontalCentered="1"/>
  <pageMargins bottom="0.5555555555555556" footer="0.0" header="0.0" left="0.5" right="0.5" top="0.5"/>
  <pageSetup fitToHeight="0" paperSize="9" orientation="portrait"/>
  <headerFooter>
    <oddFooter>&amp;CPage &amp;P of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43"/>
    <col customWidth="1" min="2" max="2" width="5.57"/>
    <col customWidth="1" min="3" max="3" width="29.71"/>
    <col customWidth="1" min="4" max="4" width="13.0"/>
    <col customWidth="1" min="5" max="6" width="17.57"/>
    <col customWidth="1" min="7" max="7" width="20.29"/>
    <col customWidth="1" min="8" max="8" width="1.43"/>
    <col customWidth="1" min="9" max="9" width="27.71"/>
    <col customWidth="1" min="10" max="10" width="35.29"/>
    <col customWidth="1" min="11" max="11" width="1.86"/>
    <col customWidth="1" min="12" max="12" width="11.14"/>
    <col customWidth="1" min="13" max="26" width="8.71"/>
  </cols>
  <sheetData>
    <row r="1" ht="14.25" customHeight="1">
      <c r="A1" s="168"/>
      <c r="B1" s="168"/>
      <c r="C1" s="168"/>
      <c r="D1" s="168"/>
      <c r="E1" s="168"/>
      <c r="F1" s="168"/>
      <c r="G1" s="168"/>
      <c r="H1" s="168"/>
      <c r="I1" s="26"/>
      <c r="J1" s="26"/>
      <c r="K1" s="26"/>
    </row>
    <row r="2" ht="21.75" customHeight="1">
      <c r="A2" s="168"/>
      <c r="B2" s="169" t="str">
        <f>IF($J$3="No","",setLetterhead_1)</f>
        <v>REPUBLIC OF LIBERIA</v>
      </c>
      <c r="H2" s="168"/>
      <c r="I2" s="170" t="s">
        <v>681</v>
      </c>
      <c r="J2" s="13"/>
      <c r="K2" s="26"/>
    </row>
    <row r="3" ht="18.0" customHeight="1">
      <c r="A3" s="168"/>
      <c r="B3" s="171" t="str">
        <f>IF($J$3="No","",setLetterhead_2)</f>
        <v>ENVIRONMENTAL PROTECTION AGENCY</v>
      </c>
      <c r="H3" s="168"/>
      <c r="I3" s="172" t="s">
        <v>542</v>
      </c>
      <c r="J3" s="173" t="s">
        <v>543</v>
      </c>
      <c r="K3" s="26"/>
    </row>
    <row r="4" ht="14.25" customHeight="1">
      <c r="A4" s="168"/>
      <c r="B4" s="174" t="str">
        <f>IF($J$3="No","",setLetterhead_3)</f>
        <v>P.O. Box 4024</v>
      </c>
      <c r="H4" s="168"/>
      <c r="I4" s="175" t="s">
        <v>545</v>
      </c>
      <c r="J4" s="201" t="s">
        <v>684</v>
      </c>
      <c r="K4" s="26"/>
    </row>
    <row r="5" ht="14.25" customHeight="1">
      <c r="A5" s="168"/>
      <c r="B5" s="174" t="str">
        <f>IF($J$3="No","",setLetterhead_4)</f>
        <v>Bright Building 302-A, Sekou Toure Avenue, Mamba Point</v>
      </c>
      <c r="H5" s="168"/>
      <c r="I5" s="175" t="s">
        <v>0</v>
      </c>
      <c r="J5" s="179" t="str">
        <f t="array" ref="J5">IF($J$4="","Choose a licence record",IF($J$6="","⚠ Record not found",IF(ISERROR(SEARCH("EDL",INDEX('Licences &amp; Certificates'!$E$5:$E$73,$J$6))),"⚠ This record is "&amp;INDEX('Licences &amp; Certificates'!$E$5:$E$73,$J$6),IF(ISNUMBER(SEARCH("Retention",INDEX('Licences &amp; Certificates'!$F$5:$F$73,$J$6))),IF(INDEX('Licences &amp; Certificates'!$K$5:$K$73,$J$6)="","⚠ No licence number yet","✔ Ready to print"),"⚠ Standard EDL – use Print EDL"))))</f>
        <v>⚠ This record is Chemical Registration (CRL)</v>
      </c>
      <c r="K5" s="26"/>
    </row>
    <row r="6" ht="14.25" customHeight="1">
      <c r="A6" s="168"/>
      <c r="B6" s="174" t="str">
        <f>IF($J$3="No","",setLetterhead_5)</f>
        <v>1000 Monrovia, 10 Liberia</v>
      </c>
      <c r="H6" s="168"/>
      <c r="I6" s="175" t="s">
        <v>557</v>
      </c>
      <c r="J6" s="179">
        <f>IFERROR(MATCH($J$4,'Licences &amp; Certificates'!$A$5:$A$73,0),"")</f>
        <v>4</v>
      </c>
      <c r="K6" s="26"/>
    </row>
    <row r="7" ht="15.0" customHeight="1">
      <c r="A7" s="168"/>
      <c r="B7" s="168"/>
      <c r="C7" s="168"/>
      <c r="D7" s="168"/>
      <c r="E7" s="168"/>
      <c r="F7" s="168"/>
      <c r="G7" s="168"/>
      <c r="H7" s="168"/>
      <c r="I7" s="175" t="s">
        <v>560</v>
      </c>
      <c r="J7" s="179" t="str">
        <f t="array" ref="J7">IF($J$6="","",INDEX('Licences &amp; Certificates'!$K$5:$K$73,$J$6)&amp;"")</f>
        <v>EPA/CRL-CI-001/2026</v>
      </c>
      <c r="K7" s="26"/>
    </row>
    <row r="8" ht="14.25" customHeight="1">
      <c r="B8" s="219" t="str">
        <f>IF($J$7="","License No. ________","License No. "&amp;$J$7)</f>
        <v>License No. EPA/CRL-CI-001/2026</v>
      </c>
      <c r="I8" s="175" t="s">
        <v>218</v>
      </c>
      <c r="J8" s="179" t="str">
        <f t="array" ref="J8">IF($J$6="","",INDEX('Licences &amp; Certificates'!$C$5:$C$73,$J$6))</f>
        <v>Tanmay Hardware Center</v>
      </c>
      <c r="K8" s="26"/>
    </row>
    <row r="9" ht="14.25" customHeight="1">
      <c r="I9" s="175" t="s">
        <v>208</v>
      </c>
      <c r="J9" s="179" t="str">
        <f t="array" ref="J9">IF($J$6="","",IF(INDEX('Licences &amp; Certificates'!$G$5:$G$73,$J$6)&lt;&gt;"",INDEX('Licences &amp; Certificates'!$G$5:$G$73,$J$6),IFERROR(INDEX(Companies!$D$5:$D$74,MATCH(INDEX('Licences &amp; Certificates'!$B$5:$B$73,$J$6),Companies!$A$5:$A$74,0))&amp;"","")))</f>
        <v>Monrovia, Liberia</v>
      </c>
      <c r="K9" s="26"/>
    </row>
    <row r="10" ht="25.5" customHeight="1">
      <c r="B10" s="220" t="s">
        <v>689</v>
      </c>
      <c r="I10" s="175" t="s">
        <v>343</v>
      </c>
      <c r="J10" s="184">
        <f t="array" ref="J10">IF($J$6="","",IF(INDEX('Licences &amp; Certificates'!$L$5:$L$73,$J$6)="","",INDEX('Licences &amp; Certificates'!$L$5:$L$73,$J$6)))</f>
        <v>46023</v>
      </c>
      <c r="K10" s="26"/>
    </row>
    <row r="11" ht="15.0" customHeight="1">
      <c r="B11" s="221" t="s">
        <v>569</v>
      </c>
      <c r="I11" s="175" t="s">
        <v>344</v>
      </c>
      <c r="J11" s="184">
        <f t="array" ref="J11">IF($J$6="","",IF(INDEX('Licences &amp; Certificates'!$M$5:$M$73,$J$6)="","",INDEX('Licences &amp; Certificates'!$M$5:$M$73,$J$6)))</f>
        <v>46387</v>
      </c>
      <c r="K11" s="26"/>
    </row>
    <row r="12" ht="14.25" customHeight="1">
      <c r="I12" s="175" t="s">
        <v>571</v>
      </c>
      <c r="J12" s="222" t="s">
        <v>572</v>
      </c>
      <c r="K12" s="26"/>
    </row>
    <row r="13" ht="15.75" customHeight="1">
      <c r="B13" s="223" t="s">
        <v>629</v>
      </c>
      <c r="I13" s="175" t="s">
        <v>630</v>
      </c>
      <c r="J13" s="224" t="str">
        <f t="array" ref="J13">IFERROR(INDEX('Licence Effluent'!$G$5:$G$6,MATCH(UPPER($J$4)&amp;"|Setting|1",'Licence Effluent'!$L$5:$L$6,0))&amp;"","")</f>
        <v/>
      </c>
      <c r="K13" s="26"/>
    </row>
    <row r="14" ht="14.25" customHeight="1">
      <c r="B14" s="220" t="str">
        <f>UPPER($J$8)</f>
        <v>TANMAY HARDWARE CENTER</v>
      </c>
      <c r="I14" s="175" t="s">
        <v>631</v>
      </c>
      <c r="J14" s="224" t="str">
        <f t="array" ref="J14">IFERROR(INDEX('Licence Effluent'!$G$5:$G$6,MATCH(UPPER($J$4)&amp;"|Setting|2",'Licence Effluent'!$L$5:$L$6,0))&amp;"","")</f>
        <v/>
      </c>
      <c r="K14" s="26"/>
    </row>
    <row r="15" ht="14.25" customHeight="1">
      <c r="I15" s="175" t="s">
        <v>632</v>
      </c>
      <c r="J15" s="224" t="str">
        <f t="array" ref="J15">IFERROR(INDEX('Licence Effluent'!$G$5:$G$6,MATCH(UPPER($J$4)&amp;"|Setting|3",'Licence Effluent'!$L$5:$L$6,0))&amp;"","")</f>
        <v/>
      </c>
      <c r="K15" s="26"/>
    </row>
    <row r="16" ht="15.75" customHeight="1">
      <c r="B16" s="223" t="s">
        <v>633</v>
      </c>
      <c r="I16" s="226" t="s">
        <v>696</v>
      </c>
      <c r="K16" s="26"/>
    </row>
    <row r="17" ht="15.75" customHeight="1">
      <c r="B17" s="227" t="str">
        <f>$J$9</f>
        <v>Monrovia, Liberia</v>
      </c>
      <c r="I17" s="228" t="s">
        <v>697</v>
      </c>
      <c r="K17" s="26"/>
    </row>
    <row r="18" ht="7.5" customHeight="1">
      <c r="K18" s="26"/>
    </row>
    <row r="19" ht="61.5" customHeight="1">
      <c r="B19" s="229" t="str">
        <f>"In pursuant to Part 5 Section 56-60 of the Environmental Protection and Management Law of Liberia (EPML), this Effluent Discharge &amp; Retention Pond License is hereby issued to "&amp;$J$8&amp;" (hereafter called the licensee) for the discharge of treated effluents subject to the Act of the Environmental Protection Agency of Liberia, the Liberia Water Quality Standards and all other conditions specified in this license."</f>
        <v>In pursuant to Part 5 Section 56-60 of the Environmental Protection and Management Law of Liberia (EPML), this Effluent Discharge &amp; Retention Pond License is hereby issued to Tanmay Hardware Center (hereafter called the licensee) for the discharge of treated effluents subject to the Act of the Environmental Protection Agency of Liberia, the Liberia Water Quality Standards and all other conditions specified in this license.</v>
      </c>
      <c r="K19" s="26"/>
    </row>
    <row r="20" ht="7.5" customHeight="1">
      <c r="K20" s="26"/>
      <c r="N20" s="258" t="s">
        <v>698</v>
      </c>
      <c r="O20" s="258" t="s">
        <v>699</v>
      </c>
      <c r="P20" s="258" t="s">
        <v>700</v>
      </c>
      <c r="Q20" s="258" t="s">
        <v>701</v>
      </c>
      <c r="R20" s="258"/>
      <c r="S20" s="258"/>
      <c r="T20" s="258" t="s">
        <v>702</v>
      </c>
      <c r="U20" s="258" t="s">
        <v>703</v>
      </c>
      <c r="V20" s="258"/>
      <c r="W20" s="258"/>
      <c r="X20" s="258"/>
    </row>
    <row r="21" ht="19.5" customHeight="1">
      <c r="A21" s="168"/>
      <c r="B21" s="259" t="s">
        <v>704</v>
      </c>
      <c r="C21" s="168"/>
      <c r="D21" s="168"/>
      <c r="E21" s="168"/>
      <c r="F21" s="168"/>
      <c r="G21" s="168"/>
      <c r="H21" s="168"/>
      <c r="I21" s="168"/>
      <c r="J21" s="168"/>
      <c r="K21" s="168"/>
      <c r="L21" s="260"/>
      <c r="M21" s="168"/>
      <c r="N21" s="260" t="str">
        <f t="array" ref="N21">IF(IFERROR(INDEX('Licence Effluent'!$F$5:$F$6,MATCH(UPPER($J$4)&amp;"|Limit|"&amp;1,'Licence Effluent'!$L$5:$L$6,0))&amp;"","")="","",IF(IFERROR(INDEX('Licence Effluent'!$K$5:$K$6,MATCH(UPPER($J$4)&amp;"|Limit|"&amp;1,'Licence Effluent'!$L$5:$L$6,0))&amp;"","")="","(none)",IFERROR(INDEX('Licence Effluent'!$K$5:$K$6,MATCH(UPPER($J$4)&amp;"|Limit|"&amp;1,'Licence Effluent'!$L$5:$L$6,0))&amp;"","")))</f>
        <v/>
      </c>
      <c r="O21" s="260" t="str">
        <f t="shared" ref="O21:O40" si="1">IF(N21="","",IF(COUNTIF(N$21:N21,N21)=1,MAX(O$20:O20)+1,""))</f>
        <v/>
      </c>
      <c r="P21" s="260" t="str">
        <f t="shared" ref="P21:P40" si="2">IF(N21="","",INDEX(O$21:O$40,MATCH(N21,N$21:N$40,0)))</f>
        <v/>
      </c>
      <c r="Q21" s="260" t="str">
        <f t="shared" ref="Q21:Q40" si="3">IF(N21="","",P21&amp;"|"&amp;COUNTIF(N$21:N21,N21))</f>
        <v/>
      </c>
      <c r="R21" s="260"/>
      <c r="S21" s="260"/>
      <c r="T21" s="260" t="str">
        <f t="array" ref="T21">IF(ISNA(MATCH(UPPER($J$4)&amp;"|Coordinate|"&amp;1,'Licence Effluent'!$L$5:$L$6,0)),"",IF(ISNUMBER(SEARCH("1A",IFERROR(INDEX('Licence Effluent'!$F$5:$F$6,MATCH(UPPER($J$4)&amp;"|Coordinate|"&amp;1,'Licence Effluent'!$L$5:$L$6,0))&amp;"",""))),"A","B"))</f>
        <v/>
      </c>
      <c r="U21" s="260" t="str">
        <f t="shared" ref="U21:U40" si="4">IF(T21="","",T21&amp;"|"&amp;COUNTIF(T$21:T21,T21))</f>
        <v/>
      </c>
      <c r="V21" s="260" t="str">
        <f>IF(ISNA(MATCH(UPPER($J$4)&amp;"|Source|"&amp;1,'Licence Effluent'!$L$5:$L$6,0)),"",IF(1&gt;6,"","S"))</f>
        <v/>
      </c>
      <c r="W21" s="260"/>
      <c r="X21" s="258"/>
    </row>
    <row r="22" ht="17.25" customHeight="1">
      <c r="A22" s="168"/>
      <c r="B22" s="168"/>
      <c r="C22" s="231" t="s">
        <v>705</v>
      </c>
      <c r="H22" s="168"/>
      <c r="I22" s="168"/>
      <c r="J22" s="168"/>
      <c r="K22" s="168"/>
      <c r="L22" s="260"/>
      <c r="M22" s="168"/>
      <c r="N22" s="260" t="str">
        <f t="array" ref="N22">IF(IFERROR(INDEX('Licence Effluent'!$F$5:$F$6,MATCH(UPPER($J$4)&amp;"|Limit|"&amp;2,'Licence Effluent'!$L$5:$L$6,0))&amp;"","")="","",IF(IFERROR(INDEX('Licence Effluent'!$K$5:$K$6,MATCH(UPPER($J$4)&amp;"|Limit|"&amp;2,'Licence Effluent'!$L$5:$L$6,0))&amp;"","")="","(none)",IFERROR(INDEX('Licence Effluent'!$K$5:$K$6,MATCH(UPPER($J$4)&amp;"|Limit|"&amp;2,'Licence Effluent'!$L$5:$L$6,0))&amp;"","")))</f>
        <v/>
      </c>
      <c r="O22" s="260" t="str">
        <f t="shared" si="1"/>
        <v/>
      </c>
      <c r="P22" s="260" t="str">
        <f t="shared" si="2"/>
        <v/>
      </c>
      <c r="Q22" s="260" t="str">
        <f t="shared" si="3"/>
        <v/>
      </c>
      <c r="R22" s="260"/>
      <c r="S22" s="260"/>
      <c r="T22" s="260" t="str">
        <f t="array" ref="T22">IF(ISNA(MATCH(UPPER($J$4)&amp;"|Coordinate|"&amp;2,'Licence Effluent'!$L$5:$L$6,0)),"",IF(ISNUMBER(SEARCH("1A",IFERROR(INDEX('Licence Effluent'!$F$5:$F$6,MATCH(UPPER($J$4)&amp;"|Coordinate|"&amp;2,'Licence Effluent'!$L$5:$L$6,0))&amp;"",""))),"A","B"))</f>
        <v/>
      </c>
      <c r="U22" s="260" t="str">
        <f t="shared" si="4"/>
        <v/>
      </c>
      <c r="V22" s="260" t="str">
        <f>IF(ISNA(MATCH(UPPER($J$4)&amp;"|Source|"&amp;2,'Licence Effluent'!$L$5:$L$6,0)),"",IF(2&gt;6,"","S"))</f>
        <v/>
      </c>
      <c r="W22" s="260"/>
      <c r="X22" s="258"/>
    </row>
    <row r="23" ht="17.25" customHeight="1">
      <c r="A23" s="168"/>
      <c r="B23" s="168"/>
      <c r="C23" s="263" t="s">
        <v>706</v>
      </c>
      <c r="H23" s="168"/>
      <c r="I23" s="168"/>
      <c r="J23" s="168"/>
      <c r="K23" s="168"/>
      <c r="L23" s="260" t="str">
        <f>IF(COUNTIF($T$21:$T$40,"A")=0,"H","")</f>
        <v>H</v>
      </c>
      <c r="M23" s="168"/>
      <c r="N23" s="260" t="str">
        <f t="array" ref="N23">IF(IFERROR(INDEX('Licence Effluent'!$F$5:$F$6,MATCH(UPPER($J$4)&amp;"|Limit|"&amp;3,'Licence Effluent'!$L$5:$L$6,0))&amp;"","")="","",IF(IFERROR(INDEX('Licence Effluent'!$K$5:$K$6,MATCH(UPPER($J$4)&amp;"|Limit|"&amp;3,'Licence Effluent'!$L$5:$L$6,0))&amp;"","")="","(none)",IFERROR(INDEX('Licence Effluent'!$K$5:$K$6,MATCH(UPPER($J$4)&amp;"|Limit|"&amp;3,'Licence Effluent'!$L$5:$L$6,0))&amp;"","")))</f>
        <v/>
      </c>
      <c r="O23" s="260" t="str">
        <f t="shared" si="1"/>
        <v/>
      </c>
      <c r="P23" s="260" t="str">
        <f t="shared" si="2"/>
        <v/>
      </c>
      <c r="Q23" s="260" t="str">
        <f t="shared" si="3"/>
        <v/>
      </c>
      <c r="R23" s="260"/>
      <c r="S23" s="260"/>
      <c r="T23" s="260" t="str">
        <f t="array" ref="T23">IF(ISNA(MATCH(UPPER($J$4)&amp;"|Coordinate|"&amp;3,'Licence Effluent'!$L$5:$L$6,0)),"",IF(ISNUMBER(SEARCH("1A",IFERROR(INDEX('Licence Effluent'!$F$5:$F$6,MATCH(UPPER($J$4)&amp;"|Coordinate|"&amp;3,'Licence Effluent'!$L$5:$L$6,0))&amp;"",""))),"A","B"))</f>
        <v/>
      </c>
      <c r="U23" s="260" t="str">
        <f t="shared" si="4"/>
        <v/>
      </c>
      <c r="V23" s="260" t="str">
        <f>IF(ISNA(MATCH(UPPER($J$4)&amp;"|Source|"&amp;3,'Licence Effluent'!$L$5:$L$6,0)),"",IF(3&gt;6,"","S"))</f>
        <v/>
      </c>
      <c r="W23" s="260"/>
      <c r="X23" s="258"/>
    </row>
    <row r="24" ht="18.0" customHeight="1">
      <c r="A24" s="168"/>
      <c r="B24" s="168"/>
      <c r="C24" s="264" t="s">
        <v>440</v>
      </c>
      <c r="D24" s="193"/>
      <c r="E24" s="264" t="s">
        <v>707</v>
      </c>
      <c r="F24" s="193"/>
      <c r="G24" s="265" t="s">
        <v>708</v>
      </c>
      <c r="H24" s="168"/>
      <c r="I24" s="168"/>
      <c r="J24" s="168"/>
      <c r="K24" s="168"/>
      <c r="L24" s="260" t="str">
        <f>L23</f>
        <v>H</v>
      </c>
      <c r="M24" s="168"/>
      <c r="N24" s="260" t="str">
        <f t="array" ref="N24">IF(IFERROR(INDEX('Licence Effluent'!$F$5:$F$6,MATCH(UPPER($J$4)&amp;"|Limit|"&amp;4,'Licence Effluent'!$L$5:$L$6,0))&amp;"","")="","",IF(IFERROR(INDEX('Licence Effluent'!$K$5:$K$6,MATCH(UPPER($J$4)&amp;"|Limit|"&amp;4,'Licence Effluent'!$L$5:$L$6,0))&amp;"","")="","(none)",IFERROR(INDEX('Licence Effluent'!$K$5:$K$6,MATCH(UPPER($J$4)&amp;"|Limit|"&amp;4,'Licence Effluent'!$L$5:$L$6,0))&amp;"","")))</f>
        <v/>
      </c>
      <c r="O24" s="260" t="str">
        <f t="shared" si="1"/>
        <v/>
      </c>
      <c r="P24" s="260" t="str">
        <f t="shared" si="2"/>
        <v/>
      </c>
      <c r="Q24" s="260" t="str">
        <f t="shared" si="3"/>
        <v/>
      </c>
      <c r="R24" s="260"/>
      <c r="S24" s="260"/>
      <c r="T24" s="260" t="str">
        <f t="array" ref="T24">IF(ISNA(MATCH(UPPER($J$4)&amp;"|Coordinate|"&amp;4,'Licence Effluent'!$L$5:$L$6,0)),"",IF(ISNUMBER(SEARCH("1A",IFERROR(INDEX('Licence Effluent'!$F$5:$F$6,MATCH(UPPER($J$4)&amp;"|Coordinate|"&amp;4,'Licence Effluent'!$L$5:$L$6,0))&amp;"",""))),"A","B"))</f>
        <v/>
      </c>
      <c r="U24" s="260" t="str">
        <f t="shared" si="4"/>
        <v/>
      </c>
      <c r="V24" s="260" t="str">
        <f>IF(ISNA(MATCH(UPPER($J$4)&amp;"|Source|"&amp;4,'Licence Effluent'!$L$5:$L$6,0)),"",IF(4&gt;6,"","S"))</f>
        <v/>
      </c>
      <c r="W24" s="260"/>
      <c r="X24" s="258"/>
    </row>
    <row r="25" ht="15.0" customHeight="1">
      <c r="A25" s="168"/>
      <c r="B25" s="168"/>
      <c r="C25" s="266" t="str">
        <f t="array" ref="C25">IFERROR(INDEX('Licence Effluent'!$G$5:$G$6,MATCH(UPPER($J$4)&amp;"|Coordinate|"&amp;MATCH("A|1",$U$21:$U$40,0),'Licence Effluent'!$L$5:$L$6,0))&amp;"","")</f>
        <v/>
      </c>
      <c r="D25" s="193"/>
      <c r="E25" s="266" t="str">
        <f t="array" ref="E25">IFERROR(INDEX('Licence Effluent'!$H$5:$H$6,MATCH(UPPER($J$4)&amp;"|Coordinate|"&amp;MATCH("A|1",$U$21:$U$40,0),'Licence Effluent'!$L$5:$L$6,0))&amp;"","")</f>
        <v/>
      </c>
      <c r="F25" s="193"/>
      <c r="G25" s="267" t="str">
        <f t="array" ref="G25">IFERROR(INDEX('Licence Effluent'!$I$5:$I$6,MATCH(UPPER($J$4)&amp;"|Coordinate|"&amp;MATCH("A|1",$U$21:$U$40,0),'Licence Effluent'!$L$5:$L$6,0))&amp;"","")</f>
        <v/>
      </c>
      <c r="H25" s="168"/>
      <c r="I25" s="168"/>
      <c r="J25" s="168"/>
      <c r="K25" s="168"/>
      <c r="L25" s="260" t="str">
        <f t="shared" ref="L25:L34" si="5">IF(C25&amp;E25&amp;G25="","H","")</f>
        <v>H</v>
      </c>
      <c r="M25" s="168"/>
      <c r="N25" s="260" t="str">
        <f t="array" ref="N25">IF(IFERROR(INDEX('Licence Effluent'!$F$5:$F$6,MATCH(UPPER($J$4)&amp;"|Limit|"&amp;5,'Licence Effluent'!$L$5:$L$6,0))&amp;"","")="","",IF(IFERROR(INDEX('Licence Effluent'!$K$5:$K$6,MATCH(UPPER($J$4)&amp;"|Limit|"&amp;5,'Licence Effluent'!$L$5:$L$6,0))&amp;"","")="","(none)",IFERROR(INDEX('Licence Effluent'!$K$5:$K$6,MATCH(UPPER($J$4)&amp;"|Limit|"&amp;5,'Licence Effluent'!$L$5:$L$6,0))&amp;"","")))</f>
        <v/>
      </c>
      <c r="O25" s="260" t="str">
        <f t="shared" si="1"/>
        <v/>
      </c>
      <c r="P25" s="260" t="str">
        <f t="shared" si="2"/>
        <v/>
      </c>
      <c r="Q25" s="260" t="str">
        <f t="shared" si="3"/>
        <v/>
      </c>
      <c r="R25" s="260"/>
      <c r="S25" s="260"/>
      <c r="T25" s="260" t="str">
        <f t="array" ref="T25">IF(ISNA(MATCH(UPPER($J$4)&amp;"|Coordinate|"&amp;5,'Licence Effluent'!$L$5:$L$6,0)),"",IF(ISNUMBER(SEARCH("1A",IFERROR(INDEX('Licence Effluent'!$F$5:$F$6,MATCH(UPPER($J$4)&amp;"|Coordinate|"&amp;5,'Licence Effluent'!$L$5:$L$6,0))&amp;"",""))),"A","B"))</f>
        <v/>
      </c>
      <c r="U25" s="260" t="str">
        <f t="shared" si="4"/>
        <v/>
      </c>
      <c r="V25" s="260" t="str">
        <f>IF(ISNA(MATCH(UPPER($J$4)&amp;"|Source|"&amp;5,'Licence Effluent'!$L$5:$L$6,0)),"",IF(5&gt;6,"","S"))</f>
        <v/>
      </c>
      <c r="W25" s="260"/>
      <c r="X25" s="258"/>
    </row>
    <row r="26" ht="15.0" customHeight="1">
      <c r="A26" s="168"/>
      <c r="B26" s="168"/>
      <c r="C26" s="266" t="str">
        <f t="array" ref="C26">IFERROR(INDEX('Licence Effluent'!$G$5:$G$6,MATCH(UPPER($J$4)&amp;"|Coordinate|"&amp;MATCH("A|2",$U$21:$U$40,0),'Licence Effluent'!$L$5:$L$6,0))&amp;"","")</f>
        <v/>
      </c>
      <c r="D26" s="193"/>
      <c r="E26" s="266" t="str">
        <f t="array" ref="E26">IFERROR(INDEX('Licence Effluent'!$H$5:$H$6,MATCH(UPPER($J$4)&amp;"|Coordinate|"&amp;MATCH("A|2",$U$21:$U$40,0),'Licence Effluent'!$L$5:$L$6,0))&amp;"","")</f>
        <v/>
      </c>
      <c r="F26" s="193"/>
      <c r="G26" s="267" t="str">
        <f t="array" ref="G26">IFERROR(INDEX('Licence Effluent'!$I$5:$I$6,MATCH(UPPER($J$4)&amp;"|Coordinate|"&amp;MATCH("A|2",$U$21:$U$40,0),'Licence Effluent'!$L$5:$L$6,0))&amp;"","")</f>
        <v/>
      </c>
      <c r="H26" s="168"/>
      <c r="I26" s="168"/>
      <c r="J26" s="168"/>
      <c r="K26" s="168"/>
      <c r="L26" s="260" t="str">
        <f t="shared" si="5"/>
        <v>H</v>
      </c>
      <c r="M26" s="168"/>
      <c r="N26" s="260" t="str">
        <f t="array" ref="N26">IF(IFERROR(INDEX('Licence Effluent'!$F$5:$F$6,MATCH(UPPER($J$4)&amp;"|Limit|"&amp;6,'Licence Effluent'!$L$5:$L$6,0))&amp;"","")="","",IF(IFERROR(INDEX('Licence Effluent'!$K$5:$K$6,MATCH(UPPER($J$4)&amp;"|Limit|"&amp;6,'Licence Effluent'!$L$5:$L$6,0))&amp;"","")="","(none)",IFERROR(INDEX('Licence Effluent'!$K$5:$K$6,MATCH(UPPER($J$4)&amp;"|Limit|"&amp;6,'Licence Effluent'!$L$5:$L$6,0))&amp;"","")))</f>
        <v/>
      </c>
      <c r="O26" s="260" t="str">
        <f t="shared" si="1"/>
        <v/>
      </c>
      <c r="P26" s="260" t="str">
        <f t="shared" si="2"/>
        <v/>
      </c>
      <c r="Q26" s="260" t="str">
        <f t="shared" si="3"/>
        <v/>
      </c>
      <c r="R26" s="260"/>
      <c r="S26" s="260"/>
      <c r="T26" s="260" t="str">
        <f t="array" ref="T26">IF(ISNA(MATCH(UPPER($J$4)&amp;"|Coordinate|"&amp;6,'Licence Effluent'!$L$5:$L$6,0)),"",IF(ISNUMBER(SEARCH("1A",IFERROR(INDEX('Licence Effluent'!$F$5:$F$6,MATCH(UPPER($J$4)&amp;"|Coordinate|"&amp;6,'Licence Effluent'!$L$5:$L$6,0))&amp;"",""))),"A","B"))</f>
        <v/>
      </c>
      <c r="U26" s="260" t="str">
        <f t="shared" si="4"/>
        <v/>
      </c>
      <c r="V26" s="260" t="str">
        <f>IF(ISNA(MATCH(UPPER($J$4)&amp;"|Source|"&amp;6,'Licence Effluent'!$L$5:$L$6,0)),"",IF(6&gt;6,"","S"))</f>
        <v/>
      </c>
      <c r="W26" s="260"/>
      <c r="X26" s="258"/>
    </row>
    <row r="27" ht="15.0" customHeight="1">
      <c r="A27" s="168"/>
      <c r="B27" s="168"/>
      <c r="C27" s="266" t="str">
        <f t="array" ref="C27">IFERROR(INDEX('Licence Effluent'!$G$5:$G$6,MATCH(UPPER($J$4)&amp;"|Coordinate|"&amp;MATCH("A|3",$U$21:$U$40,0),'Licence Effluent'!$L$5:$L$6,0))&amp;"","")</f>
        <v/>
      </c>
      <c r="D27" s="193"/>
      <c r="E27" s="266" t="str">
        <f t="array" ref="E27">IFERROR(INDEX('Licence Effluent'!$H$5:$H$6,MATCH(UPPER($J$4)&amp;"|Coordinate|"&amp;MATCH("A|3",$U$21:$U$40,0),'Licence Effluent'!$L$5:$L$6,0))&amp;"","")</f>
        <v/>
      </c>
      <c r="F27" s="193"/>
      <c r="G27" s="267" t="str">
        <f t="array" ref="G27">IFERROR(INDEX('Licence Effluent'!$I$5:$I$6,MATCH(UPPER($J$4)&amp;"|Coordinate|"&amp;MATCH("A|3",$U$21:$U$40,0),'Licence Effluent'!$L$5:$L$6,0))&amp;"","")</f>
        <v/>
      </c>
      <c r="H27" s="168"/>
      <c r="I27" s="168"/>
      <c r="J27" s="168"/>
      <c r="K27" s="168"/>
      <c r="L27" s="260" t="str">
        <f t="shared" si="5"/>
        <v>H</v>
      </c>
      <c r="M27" s="168"/>
      <c r="N27" s="260" t="str">
        <f t="array" ref="N27">IF(IFERROR(INDEX('Licence Effluent'!$F$5:$F$6,MATCH(UPPER($J$4)&amp;"|Limit|"&amp;7,'Licence Effluent'!$L$5:$L$6,0))&amp;"","")="","",IF(IFERROR(INDEX('Licence Effluent'!$K$5:$K$6,MATCH(UPPER($J$4)&amp;"|Limit|"&amp;7,'Licence Effluent'!$L$5:$L$6,0))&amp;"","")="","(none)",IFERROR(INDEX('Licence Effluent'!$K$5:$K$6,MATCH(UPPER($J$4)&amp;"|Limit|"&amp;7,'Licence Effluent'!$L$5:$L$6,0))&amp;"","")))</f>
        <v/>
      </c>
      <c r="O27" s="260" t="str">
        <f t="shared" si="1"/>
        <v/>
      </c>
      <c r="P27" s="260" t="str">
        <f t="shared" si="2"/>
        <v/>
      </c>
      <c r="Q27" s="260" t="str">
        <f t="shared" si="3"/>
        <v/>
      </c>
      <c r="R27" s="260"/>
      <c r="S27" s="260"/>
      <c r="T27" s="260" t="str">
        <f t="array" ref="T27">IF(ISNA(MATCH(UPPER($J$4)&amp;"|Coordinate|"&amp;7,'Licence Effluent'!$L$5:$L$6,0)),"",IF(ISNUMBER(SEARCH("1A",IFERROR(INDEX('Licence Effluent'!$F$5:$F$6,MATCH(UPPER($J$4)&amp;"|Coordinate|"&amp;7,'Licence Effluent'!$L$5:$L$6,0))&amp;"",""))),"A","B"))</f>
        <v/>
      </c>
      <c r="U27" s="260" t="str">
        <f t="shared" si="4"/>
        <v/>
      </c>
      <c r="V27" s="260" t="str">
        <f>IF(ISNA(MATCH(UPPER($J$4)&amp;"|Source|"&amp;7,'Licence Effluent'!$L$5:$L$6,0)),"",IF(7&gt;6,"","S"))</f>
        <v/>
      </c>
      <c r="W27" s="260"/>
      <c r="X27" s="258"/>
    </row>
    <row r="28" ht="15.0" customHeight="1">
      <c r="A28" s="168"/>
      <c r="B28" s="168"/>
      <c r="C28" s="266" t="str">
        <f t="array" ref="C28">IFERROR(INDEX('Licence Effluent'!$G$5:$G$6,MATCH(UPPER($J$4)&amp;"|Coordinate|"&amp;MATCH("A|4",$U$21:$U$40,0),'Licence Effluent'!$L$5:$L$6,0))&amp;"","")</f>
        <v/>
      </c>
      <c r="D28" s="193"/>
      <c r="E28" s="266" t="str">
        <f t="array" ref="E28">IFERROR(INDEX('Licence Effluent'!$H$5:$H$6,MATCH(UPPER($J$4)&amp;"|Coordinate|"&amp;MATCH("A|4",$U$21:$U$40,0),'Licence Effluent'!$L$5:$L$6,0))&amp;"","")</f>
        <v/>
      </c>
      <c r="F28" s="193"/>
      <c r="G28" s="267" t="str">
        <f t="array" ref="G28">IFERROR(INDEX('Licence Effluent'!$I$5:$I$6,MATCH(UPPER($J$4)&amp;"|Coordinate|"&amp;MATCH("A|4",$U$21:$U$40,0),'Licence Effluent'!$L$5:$L$6,0))&amp;"","")</f>
        <v/>
      </c>
      <c r="H28" s="168"/>
      <c r="I28" s="168"/>
      <c r="J28" s="168"/>
      <c r="K28" s="168"/>
      <c r="L28" s="260" t="str">
        <f t="shared" si="5"/>
        <v>H</v>
      </c>
      <c r="M28" s="168"/>
      <c r="N28" s="260" t="str">
        <f t="array" ref="N28">IF(IFERROR(INDEX('Licence Effluent'!$F$5:$F$6,MATCH(UPPER($J$4)&amp;"|Limit|"&amp;8,'Licence Effluent'!$L$5:$L$6,0))&amp;"","")="","",IF(IFERROR(INDEX('Licence Effluent'!$K$5:$K$6,MATCH(UPPER($J$4)&amp;"|Limit|"&amp;8,'Licence Effluent'!$L$5:$L$6,0))&amp;"","")="","(none)",IFERROR(INDEX('Licence Effluent'!$K$5:$K$6,MATCH(UPPER($J$4)&amp;"|Limit|"&amp;8,'Licence Effluent'!$L$5:$L$6,0))&amp;"","")))</f>
        <v/>
      </c>
      <c r="O28" s="260" t="str">
        <f t="shared" si="1"/>
        <v/>
      </c>
      <c r="P28" s="260" t="str">
        <f t="shared" si="2"/>
        <v/>
      </c>
      <c r="Q28" s="260" t="str">
        <f t="shared" si="3"/>
        <v/>
      </c>
      <c r="R28" s="260"/>
      <c r="S28" s="260"/>
      <c r="T28" s="260" t="str">
        <f t="array" ref="T28">IF(ISNA(MATCH(UPPER($J$4)&amp;"|Coordinate|"&amp;8,'Licence Effluent'!$L$5:$L$6,0)),"",IF(ISNUMBER(SEARCH("1A",IFERROR(INDEX('Licence Effluent'!$F$5:$F$6,MATCH(UPPER($J$4)&amp;"|Coordinate|"&amp;8,'Licence Effluent'!$L$5:$L$6,0))&amp;"",""))),"A","B"))</f>
        <v/>
      </c>
      <c r="U28" s="260" t="str">
        <f t="shared" si="4"/>
        <v/>
      </c>
      <c r="V28" s="260" t="str">
        <f>IF(ISNA(MATCH(UPPER($J$4)&amp;"|Source|"&amp;8,'Licence Effluent'!$L$5:$L$6,0)),"",IF(8&gt;6,"","S"))</f>
        <v/>
      </c>
      <c r="W28" s="260"/>
      <c r="X28" s="258"/>
    </row>
    <row r="29" ht="15.0" customHeight="1">
      <c r="A29" s="168"/>
      <c r="B29" s="168"/>
      <c r="C29" s="266" t="str">
        <f t="array" ref="C29">IFERROR(INDEX('Licence Effluent'!$G$5:$G$6,MATCH(UPPER($J$4)&amp;"|Coordinate|"&amp;MATCH("A|5",$U$21:$U$40,0),'Licence Effluent'!$L$5:$L$6,0))&amp;"","")</f>
        <v/>
      </c>
      <c r="D29" s="193"/>
      <c r="E29" s="266" t="str">
        <f t="array" ref="E29">IFERROR(INDEX('Licence Effluent'!$H$5:$H$6,MATCH(UPPER($J$4)&amp;"|Coordinate|"&amp;MATCH("A|5",$U$21:$U$40,0),'Licence Effluent'!$L$5:$L$6,0))&amp;"","")</f>
        <v/>
      </c>
      <c r="F29" s="193"/>
      <c r="G29" s="267" t="str">
        <f t="array" ref="G29">IFERROR(INDEX('Licence Effluent'!$I$5:$I$6,MATCH(UPPER($J$4)&amp;"|Coordinate|"&amp;MATCH("A|5",$U$21:$U$40,0),'Licence Effluent'!$L$5:$L$6,0))&amp;"","")</f>
        <v/>
      </c>
      <c r="H29" s="168"/>
      <c r="I29" s="168"/>
      <c r="J29" s="168"/>
      <c r="K29" s="168"/>
      <c r="L29" s="260" t="str">
        <f t="shared" si="5"/>
        <v>H</v>
      </c>
      <c r="M29" s="168"/>
      <c r="N29" s="260" t="str">
        <f t="array" ref="N29">IF(IFERROR(INDEX('Licence Effluent'!$F$5:$F$6,MATCH(UPPER($J$4)&amp;"|Limit|"&amp;9,'Licence Effluent'!$L$5:$L$6,0))&amp;"","")="","",IF(IFERROR(INDEX('Licence Effluent'!$K$5:$K$6,MATCH(UPPER($J$4)&amp;"|Limit|"&amp;9,'Licence Effluent'!$L$5:$L$6,0))&amp;"","")="","(none)",IFERROR(INDEX('Licence Effluent'!$K$5:$K$6,MATCH(UPPER($J$4)&amp;"|Limit|"&amp;9,'Licence Effluent'!$L$5:$L$6,0))&amp;"","")))</f>
        <v/>
      </c>
      <c r="O29" s="260" t="str">
        <f t="shared" si="1"/>
        <v/>
      </c>
      <c r="P29" s="260" t="str">
        <f t="shared" si="2"/>
        <v/>
      </c>
      <c r="Q29" s="260" t="str">
        <f t="shared" si="3"/>
        <v/>
      </c>
      <c r="R29" s="260"/>
      <c r="S29" s="260"/>
      <c r="T29" s="260" t="str">
        <f t="array" ref="T29">IF(ISNA(MATCH(UPPER($J$4)&amp;"|Coordinate|"&amp;9,'Licence Effluent'!$L$5:$L$6,0)),"",IF(ISNUMBER(SEARCH("1A",IFERROR(INDEX('Licence Effluent'!$F$5:$F$6,MATCH(UPPER($J$4)&amp;"|Coordinate|"&amp;9,'Licence Effluent'!$L$5:$L$6,0))&amp;"",""))),"A","B"))</f>
        <v/>
      </c>
      <c r="U29" s="260" t="str">
        <f t="shared" si="4"/>
        <v/>
      </c>
      <c r="V29" s="260" t="str">
        <f>IF(ISNA(MATCH(UPPER($J$4)&amp;"|Source|"&amp;9,'Licence Effluent'!$L$5:$L$6,0)),"",IF(9&gt;6,"","S"))</f>
        <v/>
      </c>
      <c r="W29" s="260"/>
      <c r="X29" s="258"/>
    </row>
    <row r="30" ht="15.0" customHeight="1">
      <c r="A30" s="168"/>
      <c r="B30" s="168"/>
      <c r="C30" s="266" t="str">
        <f t="array" ref="C30">IFERROR(INDEX('Licence Effluent'!$G$5:$G$6,MATCH(UPPER($J$4)&amp;"|Coordinate|"&amp;MATCH("A|6",$U$21:$U$40,0),'Licence Effluent'!$L$5:$L$6,0))&amp;"","")</f>
        <v/>
      </c>
      <c r="D30" s="193"/>
      <c r="E30" s="266" t="str">
        <f t="array" ref="E30">IFERROR(INDEX('Licence Effluent'!$H$5:$H$6,MATCH(UPPER($J$4)&amp;"|Coordinate|"&amp;MATCH("A|6",$U$21:$U$40,0),'Licence Effluent'!$L$5:$L$6,0))&amp;"","")</f>
        <v/>
      </c>
      <c r="F30" s="193"/>
      <c r="G30" s="267" t="str">
        <f t="array" ref="G30">IFERROR(INDEX('Licence Effluent'!$I$5:$I$6,MATCH(UPPER($J$4)&amp;"|Coordinate|"&amp;MATCH("A|6",$U$21:$U$40,0),'Licence Effluent'!$L$5:$L$6,0))&amp;"","")</f>
        <v/>
      </c>
      <c r="H30" s="168"/>
      <c r="I30" s="168"/>
      <c r="J30" s="168"/>
      <c r="K30" s="168"/>
      <c r="L30" s="260" t="str">
        <f t="shared" si="5"/>
        <v>H</v>
      </c>
      <c r="M30" s="168"/>
      <c r="N30" s="260" t="str">
        <f t="array" ref="N30">IF(IFERROR(INDEX('Licence Effluent'!$F$5:$F$6,MATCH(UPPER($J$4)&amp;"|Limit|"&amp;10,'Licence Effluent'!$L$5:$L$6,0))&amp;"","")="","",IF(IFERROR(INDEX('Licence Effluent'!$K$5:$K$6,MATCH(UPPER($J$4)&amp;"|Limit|"&amp;10,'Licence Effluent'!$L$5:$L$6,0))&amp;"","")="","(none)",IFERROR(INDEX('Licence Effluent'!$K$5:$K$6,MATCH(UPPER($J$4)&amp;"|Limit|"&amp;10,'Licence Effluent'!$L$5:$L$6,0))&amp;"","")))</f>
        <v/>
      </c>
      <c r="O30" s="260" t="str">
        <f t="shared" si="1"/>
        <v/>
      </c>
      <c r="P30" s="260" t="str">
        <f t="shared" si="2"/>
        <v/>
      </c>
      <c r="Q30" s="260" t="str">
        <f t="shared" si="3"/>
        <v/>
      </c>
      <c r="R30" s="260"/>
      <c r="S30" s="260"/>
      <c r="T30" s="260" t="str">
        <f t="array" ref="T30">IF(ISNA(MATCH(UPPER($J$4)&amp;"|Coordinate|"&amp;10,'Licence Effluent'!$L$5:$L$6,0)),"",IF(ISNUMBER(SEARCH("1A",IFERROR(INDEX('Licence Effluent'!$F$5:$F$6,MATCH(UPPER($J$4)&amp;"|Coordinate|"&amp;10,'Licence Effluent'!$L$5:$L$6,0))&amp;"",""))),"A","B"))</f>
        <v/>
      </c>
      <c r="U30" s="260" t="str">
        <f t="shared" si="4"/>
        <v/>
      </c>
      <c r="V30" s="260" t="str">
        <f>IF(ISNA(MATCH(UPPER($J$4)&amp;"|Source|"&amp;10,'Licence Effluent'!$L$5:$L$6,0)),"",IF(10&gt;6,"","S"))</f>
        <v/>
      </c>
      <c r="W30" s="260"/>
      <c r="X30" s="258"/>
    </row>
    <row r="31" ht="15.0" customHeight="1">
      <c r="A31" s="168"/>
      <c r="B31" s="168"/>
      <c r="C31" s="266" t="str">
        <f t="array" ref="C31">IFERROR(INDEX('Licence Effluent'!$G$5:$G$6,MATCH(UPPER($J$4)&amp;"|Coordinate|"&amp;MATCH("A|7",$U$21:$U$40,0),'Licence Effluent'!$L$5:$L$6,0))&amp;"","")</f>
        <v/>
      </c>
      <c r="D31" s="193"/>
      <c r="E31" s="266" t="str">
        <f t="array" ref="E31">IFERROR(INDEX('Licence Effluent'!$H$5:$H$6,MATCH(UPPER($J$4)&amp;"|Coordinate|"&amp;MATCH("A|7",$U$21:$U$40,0),'Licence Effluent'!$L$5:$L$6,0))&amp;"","")</f>
        <v/>
      </c>
      <c r="F31" s="193"/>
      <c r="G31" s="267" t="str">
        <f t="array" ref="G31">IFERROR(INDEX('Licence Effluent'!$I$5:$I$6,MATCH(UPPER($J$4)&amp;"|Coordinate|"&amp;MATCH("A|7",$U$21:$U$40,0),'Licence Effluent'!$L$5:$L$6,0))&amp;"","")</f>
        <v/>
      </c>
      <c r="H31" s="168"/>
      <c r="I31" s="168"/>
      <c r="J31" s="168"/>
      <c r="K31" s="168"/>
      <c r="L31" s="260" t="str">
        <f t="shared" si="5"/>
        <v>H</v>
      </c>
      <c r="M31" s="168"/>
      <c r="N31" s="260" t="str">
        <f t="array" ref="N31">IF(IFERROR(INDEX('Licence Effluent'!$F$5:$F$6,MATCH(UPPER($J$4)&amp;"|Limit|"&amp;11,'Licence Effluent'!$L$5:$L$6,0))&amp;"","")="","",IF(IFERROR(INDEX('Licence Effluent'!$K$5:$K$6,MATCH(UPPER($J$4)&amp;"|Limit|"&amp;11,'Licence Effluent'!$L$5:$L$6,0))&amp;"","")="","(none)",IFERROR(INDEX('Licence Effluent'!$K$5:$K$6,MATCH(UPPER($J$4)&amp;"|Limit|"&amp;11,'Licence Effluent'!$L$5:$L$6,0))&amp;"","")))</f>
        <v/>
      </c>
      <c r="O31" s="260" t="str">
        <f t="shared" si="1"/>
        <v/>
      </c>
      <c r="P31" s="260" t="str">
        <f t="shared" si="2"/>
        <v/>
      </c>
      <c r="Q31" s="260" t="str">
        <f t="shared" si="3"/>
        <v/>
      </c>
      <c r="R31" s="260"/>
      <c r="S31" s="260"/>
      <c r="T31" s="260" t="str">
        <f t="array" ref="T31">IF(ISNA(MATCH(UPPER($J$4)&amp;"|Coordinate|"&amp;11,'Licence Effluent'!$L$5:$L$6,0)),"",IF(ISNUMBER(SEARCH("1A",IFERROR(INDEX('Licence Effluent'!$F$5:$F$6,MATCH(UPPER($J$4)&amp;"|Coordinate|"&amp;11,'Licence Effluent'!$L$5:$L$6,0))&amp;"",""))),"A","B"))</f>
        <v/>
      </c>
      <c r="U31" s="260" t="str">
        <f t="shared" si="4"/>
        <v/>
      </c>
      <c r="V31" s="260" t="str">
        <f>IF(ISNA(MATCH(UPPER($J$4)&amp;"|Source|"&amp;11,'Licence Effluent'!$L$5:$L$6,0)),"",IF(11&gt;6,"","S"))</f>
        <v/>
      </c>
      <c r="W31" s="260"/>
      <c r="X31" s="258"/>
    </row>
    <row r="32" ht="15.0" customHeight="1">
      <c r="A32" s="168"/>
      <c r="B32" s="168"/>
      <c r="C32" s="266" t="str">
        <f t="array" ref="C32">IFERROR(INDEX('Licence Effluent'!$G$5:$G$6,MATCH(UPPER($J$4)&amp;"|Coordinate|"&amp;MATCH("A|8",$U$21:$U$40,0),'Licence Effluent'!$L$5:$L$6,0))&amp;"","")</f>
        <v/>
      </c>
      <c r="D32" s="193"/>
      <c r="E32" s="266" t="str">
        <f t="array" ref="E32">IFERROR(INDEX('Licence Effluent'!$H$5:$H$6,MATCH(UPPER($J$4)&amp;"|Coordinate|"&amp;MATCH("A|8",$U$21:$U$40,0),'Licence Effluent'!$L$5:$L$6,0))&amp;"","")</f>
        <v/>
      </c>
      <c r="F32" s="193"/>
      <c r="G32" s="267" t="str">
        <f t="array" ref="G32">IFERROR(INDEX('Licence Effluent'!$I$5:$I$6,MATCH(UPPER($J$4)&amp;"|Coordinate|"&amp;MATCH("A|8",$U$21:$U$40,0),'Licence Effluent'!$L$5:$L$6,0))&amp;"","")</f>
        <v/>
      </c>
      <c r="H32" s="168"/>
      <c r="I32" s="168"/>
      <c r="J32" s="168"/>
      <c r="K32" s="168"/>
      <c r="L32" s="260" t="str">
        <f t="shared" si="5"/>
        <v>H</v>
      </c>
      <c r="M32" s="168"/>
      <c r="N32" s="260" t="str">
        <f t="array" ref="N32">IF(IFERROR(INDEX('Licence Effluent'!$F$5:$F$6,MATCH(UPPER($J$4)&amp;"|Limit|"&amp;12,'Licence Effluent'!$L$5:$L$6,0))&amp;"","")="","",IF(IFERROR(INDEX('Licence Effluent'!$K$5:$K$6,MATCH(UPPER($J$4)&amp;"|Limit|"&amp;12,'Licence Effluent'!$L$5:$L$6,0))&amp;"","")="","(none)",IFERROR(INDEX('Licence Effluent'!$K$5:$K$6,MATCH(UPPER($J$4)&amp;"|Limit|"&amp;12,'Licence Effluent'!$L$5:$L$6,0))&amp;"","")))</f>
        <v/>
      </c>
      <c r="O32" s="260" t="str">
        <f t="shared" si="1"/>
        <v/>
      </c>
      <c r="P32" s="260" t="str">
        <f t="shared" si="2"/>
        <v/>
      </c>
      <c r="Q32" s="260" t="str">
        <f t="shared" si="3"/>
        <v/>
      </c>
      <c r="R32" s="260"/>
      <c r="S32" s="260"/>
      <c r="T32" s="260" t="str">
        <f t="array" ref="T32">IF(ISNA(MATCH(UPPER($J$4)&amp;"|Coordinate|"&amp;12,'Licence Effluent'!$L$5:$L$6,0)),"",IF(ISNUMBER(SEARCH("1A",IFERROR(INDEX('Licence Effluent'!$F$5:$F$6,MATCH(UPPER($J$4)&amp;"|Coordinate|"&amp;12,'Licence Effluent'!$L$5:$L$6,0))&amp;"",""))),"A","B"))</f>
        <v/>
      </c>
      <c r="U32" s="260" t="str">
        <f t="shared" si="4"/>
        <v/>
      </c>
      <c r="V32" s="260" t="str">
        <f>IF(ISNA(MATCH(UPPER($J$4)&amp;"|Source|"&amp;12,'Licence Effluent'!$L$5:$L$6,0)),"",IF(12&gt;6,"","S"))</f>
        <v/>
      </c>
      <c r="W32" s="260"/>
      <c r="X32" s="258"/>
    </row>
    <row r="33" ht="15.0" customHeight="1">
      <c r="A33" s="168"/>
      <c r="B33" s="168"/>
      <c r="C33" s="266" t="str">
        <f t="array" ref="C33">IFERROR(INDEX('Licence Effluent'!$G$5:$G$6,MATCH(UPPER($J$4)&amp;"|Coordinate|"&amp;MATCH("A|9",$U$21:$U$40,0),'Licence Effluent'!$L$5:$L$6,0))&amp;"","")</f>
        <v/>
      </c>
      <c r="D33" s="193"/>
      <c r="E33" s="266" t="str">
        <f t="array" ref="E33">IFERROR(INDEX('Licence Effluent'!$H$5:$H$6,MATCH(UPPER($J$4)&amp;"|Coordinate|"&amp;MATCH("A|9",$U$21:$U$40,0),'Licence Effluent'!$L$5:$L$6,0))&amp;"","")</f>
        <v/>
      </c>
      <c r="F33" s="193"/>
      <c r="G33" s="267" t="str">
        <f t="array" ref="G33">IFERROR(INDEX('Licence Effluent'!$I$5:$I$6,MATCH(UPPER($J$4)&amp;"|Coordinate|"&amp;MATCH("A|9",$U$21:$U$40,0),'Licence Effluent'!$L$5:$L$6,0))&amp;"","")</f>
        <v/>
      </c>
      <c r="H33" s="168"/>
      <c r="I33" s="168"/>
      <c r="J33" s="168"/>
      <c r="K33" s="168"/>
      <c r="L33" s="260" t="str">
        <f t="shared" si="5"/>
        <v>H</v>
      </c>
      <c r="M33" s="168"/>
      <c r="N33" s="260" t="str">
        <f t="array" ref="N33">IF(IFERROR(INDEX('Licence Effluent'!$F$5:$F$6,MATCH(UPPER($J$4)&amp;"|Limit|"&amp;13,'Licence Effluent'!$L$5:$L$6,0))&amp;"","")="","",IF(IFERROR(INDEX('Licence Effluent'!$K$5:$K$6,MATCH(UPPER($J$4)&amp;"|Limit|"&amp;13,'Licence Effluent'!$L$5:$L$6,0))&amp;"","")="","(none)",IFERROR(INDEX('Licence Effluent'!$K$5:$K$6,MATCH(UPPER($J$4)&amp;"|Limit|"&amp;13,'Licence Effluent'!$L$5:$L$6,0))&amp;"","")))</f>
        <v/>
      </c>
      <c r="O33" s="260" t="str">
        <f t="shared" si="1"/>
        <v/>
      </c>
      <c r="P33" s="260" t="str">
        <f t="shared" si="2"/>
        <v/>
      </c>
      <c r="Q33" s="260" t="str">
        <f t="shared" si="3"/>
        <v/>
      </c>
      <c r="R33" s="260"/>
      <c r="S33" s="260"/>
      <c r="T33" s="260" t="str">
        <f t="array" ref="T33">IF(ISNA(MATCH(UPPER($J$4)&amp;"|Coordinate|"&amp;13,'Licence Effluent'!$L$5:$L$6,0)),"",IF(ISNUMBER(SEARCH("1A",IFERROR(INDEX('Licence Effluent'!$F$5:$F$6,MATCH(UPPER($J$4)&amp;"|Coordinate|"&amp;13,'Licence Effluent'!$L$5:$L$6,0))&amp;"",""))),"A","B"))</f>
        <v/>
      </c>
      <c r="U33" s="260" t="str">
        <f t="shared" si="4"/>
        <v/>
      </c>
      <c r="V33" s="260" t="str">
        <f>IF(ISNA(MATCH(UPPER($J$4)&amp;"|Source|"&amp;13,'Licence Effluent'!$L$5:$L$6,0)),"",IF(13&gt;6,"","S"))</f>
        <v/>
      </c>
      <c r="W33" s="260"/>
      <c r="X33" s="258"/>
    </row>
    <row r="34" ht="15.0" customHeight="1">
      <c r="A34" s="168"/>
      <c r="B34" s="168"/>
      <c r="C34" s="266" t="str">
        <f t="array" ref="C34">IFERROR(INDEX('Licence Effluent'!$G$5:$G$6,MATCH(UPPER($J$4)&amp;"|Coordinate|"&amp;MATCH("A|10",$U$21:$U$40,0),'Licence Effluent'!$L$5:$L$6,0))&amp;"","")</f>
        <v/>
      </c>
      <c r="D34" s="193"/>
      <c r="E34" s="266" t="str">
        <f t="array" ref="E34">IFERROR(INDEX('Licence Effluent'!$H$5:$H$6,MATCH(UPPER($J$4)&amp;"|Coordinate|"&amp;MATCH("A|10",$U$21:$U$40,0),'Licence Effluent'!$L$5:$L$6,0))&amp;"","")</f>
        <v/>
      </c>
      <c r="F34" s="193"/>
      <c r="G34" s="267" t="str">
        <f t="array" ref="G34">IFERROR(INDEX('Licence Effluent'!$I$5:$I$6,MATCH(UPPER($J$4)&amp;"|Coordinate|"&amp;MATCH("A|10",$U$21:$U$40,0),'Licence Effluent'!$L$5:$L$6,0))&amp;"","")</f>
        <v/>
      </c>
      <c r="H34" s="168"/>
      <c r="I34" s="168"/>
      <c r="J34" s="168"/>
      <c r="K34" s="168"/>
      <c r="L34" s="260" t="str">
        <f t="shared" si="5"/>
        <v>H</v>
      </c>
      <c r="M34" s="168"/>
      <c r="N34" s="260" t="str">
        <f t="array" ref="N34">IF(IFERROR(INDEX('Licence Effluent'!$F$5:$F$6,MATCH(UPPER($J$4)&amp;"|Limit|"&amp;14,'Licence Effluent'!$L$5:$L$6,0))&amp;"","")="","",IF(IFERROR(INDEX('Licence Effluent'!$K$5:$K$6,MATCH(UPPER($J$4)&amp;"|Limit|"&amp;14,'Licence Effluent'!$L$5:$L$6,0))&amp;"","")="","(none)",IFERROR(INDEX('Licence Effluent'!$K$5:$K$6,MATCH(UPPER($J$4)&amp;"|Limit|"&amp;14,'Licence Effluent'!$L$5:$L$6,0))&amp;"","")))</f>
        <v/>
      </c>
      <c r="O34" s="260" t="str">
        <f t="shared" si="1"/>
        <v/>
      </c>
      <c r="P34" s="260" t="str">
        <f t="shared" si="2"/>
        <v/>
      </c>
      <c r="Q34" s="260" t="str">
        <f t="shared" si="3"/>
        <v/>
      </c>
      <c r="R34" s="260"/>
      <c r="S34" s="260"/>
      <c r="T34" s="260" t="str">
        <f t="array" ref="T34">IF(ISNA(MATCH(UPPER($J$4)&amp;"|Coordinate|"&amp;14,'Licence Effluent'!$L$5:$L$6,0)),"",IF(ISNUMBER(SEARCH("1A",IFERROR(INDEX('Licence Effluent'!$F$5:$F$6,MATCH(UPPER($J$4)&amp;"|Coordinate|"&amp;14,'Licence Effluent'!$L$5:$L$6,0))&amp;"",""))),"A","B"))</f>
        <v/>
      </c>
      <c r="U34" s="260" t="str">
        <f t="shared" si="4"/>
        <v/>
      </c>
      <c r="V34" s="260" t="str">
        <f>IF(ISNA(MATCH(UPPER($J$4)&amp;"|Source|"&amp;14,'Licence Effluent'!$L$5:$L$6,0)),"",IF(14&gt;6,"","S"))</f>
        <v/>
      </c>
      <c r="W34" s="260"/>
      <c r="X34" s="258"/>
    </row>
    <row r="35" ht="17.25" customHeight="1">
      <c r="A35" s="168"/>
      <c r="B35" s="168"/>
      <c r="C35" s="278" t="s">
        <v>729</v>
      </c>
      <c r="D35" s="279"/>
      <c r="E35" s="279"/>
      <c r="F35" s="279"/>
      <c r="G35" s="279"/>
      <c r="H35" s="168"/>
      <c r="I35" s="168"/>
      <c r="J35" s="168"/>
      <c r="K35" s="168"/>
      <c r="L35" s="260" t="str">
        <f>IF(COUNTIF($T$21:$T$40,"B")+COUNTIF($V$21:$V$40,"S")=0,"H","")</f>
        <v>H</v>
      </c>
      <c r="M35" s="168"/>
      <c r="N35" s="260" t="str">
        <f t="array" ref="N35">IF(IFERROR(INDEX('Licence Effluent'!$F$5:$F$6,MATCH(UPPER($J$4)&amp;"|Limit|"&amp;15,'Licence Effluent'!$L$5:$L$6,0))&amp;"","")="","",IF(IFERROR(INDEX('Licence Effluent'!$K$5:$K$6,MATCH(UPPER($J$4)&amp;"|Limit|"&amp;15,'Licence Effluent'!$L$5:$L$6,0))&amp;"","")="","(none)",IFERROR(INDEX('Licence Effluent'!$K$5:$K$6,MATCH(UPPER($J$4)&amp;"|Limit|"&amp;15,'Licence Effluent'!$L$5:$L$6,0))&amp;"","")))</f>
        <v/>
      </c>
      <c r="O35" s="260" t="str">
        <f t="shared" si="1"/>
        <v/>
      </c>
      <c r="P35" s="260" t="str">
        <f t="shared" si="2"/>
        <v/>
      </c>
      <c r="Q35" s="260" t="str">
        <f t="shared" si="3"/>
        <v/>
      </c>
      <c r="R35" s="260"/>
      <c r="S35" s="260"/>
      <c r="T35" s="260" t="str">
        <f t="array" ref="T35">IF(ISNA(MATCH(UPPER($J$4)&amp;"|Coordinate|"&amp;15,'Licence Effluent'!$L$5:$L$6,0)),"",IF(ISNUMBER(SEARCH("1A",IFERROR(INDEX('Licence Effluent'!$F$5:$F$6,MATCH(UPPER($J$4)&amp;"|Coordinate|"&amp;15,'Licence Effluent'!$L$5:$L$6,0))&amp;"",""))),"A","B"))</f>
        <v/>
      </c>
      <c r="U35" s="260" t="str">
        <f t="shared" si="4"/>
        <v/>
      </c>
      <c r="V35" s="260" t="str">
        <f>IF(ISNA(MATCH(UPPER($J$4)&amp;"|Source|"&amp;15,'Licence Effluent'!$L$5:$L$6,0)),"",IF(15&gt;6,"","S"))</f>
        <v/>
      </c>
      <c r="W35" s="260"/>
      <c r="X35" s="258"/>
    </row>
    <row r="36" ht="18.0" customHeight="1">
      <c r="A36" s="168"/>
      <c r="B36" s="168"/>
      <c r="C36" s="264" t="s">
        <v>460</v>
      </c>
      <c r="D36" s="193"/>
      <c r="E36" s="264" t="s">
        <v>731</v>
      </c>
      <c r="F36" s="193"/>
      <c r="G36" s="265" t="s">
        <v>732</v>
      </c>
      <c r="H36" s="168"/>
      <c r="I36" s="168"/>
      <c r="J36" s="168"/>
      <c r="K36" s="168"/>
      <c r="L36" s="260" t="str">
        <f>IF(COUNTIF($V$21:$V$40,"S")=0,"H","")</f>
        <v>H</v>
      </c>
      <c r="M36" s="168"/>
      <c r="N36" s="260" t="str">
        <f t="array" ref="N36">IF(IFERROR(INDEX('Licence Effluent'!$F$5:$F$6,MATCH(UPPER($J$4)&amp;"|Limit|"&amp;16,'Licence Effluent'!$L$5:$L$6,0))&amp;"","")="","",IF(IFERROR(INDEX('Licence Effluent'!$K$5:$K$6,MATCH(UPPER($J$4)&amp;"|Limit|"&amp;16,'Licence Effluent'!$L$5:$L$6,0))&amp;"","")="","(none)",IFERROR(INDEX('Licence Effluent'!$K$5:$K$6,MATCH(UPPER($J$4)&amp;"|Limit|"&amp;16,'Licence Effluent'!$L$5:$L$6,0))&amp;"","")))</f>
        <v/>
      </c>
      <c r="O36" s="260" t="str">
        <f t="shared" si="1"/>
        <v/>
      </c>
      <c r="P36" s="260" t="str">
        <f t="shared" si="2"/>
        <v/>
      </c>
      <c r="Q36" s="260" t="str">
        <f t="shared" si="3"/>
        <v/>
      </c>
      <c r="R36" s="260"/>
      <c r="S36" s="260"/>
      <c r="T36" s="260" t="str">
        <f t="array" ref="T36">IF(ISNA(MATCH(UPPER($J$4)&amp;"|Coordinate|"&amp;16,'Licence Effluent'!$L$5:$L$6,0)),"",IF(ISNUMBER(SEARCH("1A",IFERROR(INDEX('Licence Effluent'!$F$5:$F$6,MATCH(UPPER($J$4)&amp;"|Coordinate|"&amp;16,'Licence Effluent'!$L$5:$L$6,0))&amp;"",""))),"A","B"))</f>
        <v/>
      </c>
      <c r="U36" s="260" t="str">
        <f t="shared" si="4"/>
        <v/>
      </c>
      <c r="V36" s="260" t="str">
        <f>IF(ISNA(MATCH(UPPER($J$4)&amp;"|Source|"&amp;16,'Licence Effluent'!$L$5:$L$6,0)),"",IF(16&gt;6,"","S"))</f>
        <v/>
      </c>
      <c r="W36" s="260"/>
      <c r="X36" s="258"/>
    </row>
    <row r="37" ht="15.0" customHeight="1">
      <c r="A37" s="168"/>
      <c r="B37" s="168"/>
      <c r="C37" s="266" t="str">
        <f t="array" ref="C37">IFERROR(INDEX('Licence Effluent'!$F$5:$F$6,MATCH(UPPER($J$4)&amp;"|Source|"&amp;1,'Licence Effluent'!$L$5:$L$6,0))&amp;"","")</f>
        <v/>
      </c>
      <c r="D37" s="193"/>
      <c r="E37" s="266" t="str">
        <f t="array" ref="E37">IFERROR(INDEX('Licence Effluent'!$H$5:$H$6,MATCH(UPPER($J$4)&amp;"|Source|"&amp;1,'Licence Effluent'!$L$5:$L$6,0))&amp;"","")</f>
        <v/>
      </c>
      <c r="F37" s="193"/>
      <c r="G37" s="267" t="str">
        <f t="array" ref="G37">IFERROR(INDEX('Licence Effluent'!$I$5:$I$6,MATCH(UPPER($J$4)&amp;"|Source|"&amp;1,'Licence Effluent'!$L$5:$L$6,0))&amp;"","")</f>
        <v/>
      </c>
      <c r="H37" s="168"/>
      <c r="I37" s="168"/>
      <c r="J37" s="168"/>
      <c r="K37" s="168"/>
      <c r="L37" s="260" t="str">
        <f t="shared" ref="L37:L42" si="6">IF(C37="","H","")</f>
        <v>H</v>
      </c>
      <c r="M37" s="168"/>
      <c r="N37" s="260" t="str">
        <f t="array" ref="N37">IF(IFERROR(INDEX('Licence Effluent'!$F$5:$F$6,MATCH(UPPER($J$4)&amp;"|Limit|"&amp;17,'Licence Effluent'!$L$5:$L$6,0))&amp;"","")="","",IF(IFERROR(INDEX('Licence Effluent'!$K$5:$K$6,MATCH(UPPER($J$4)&amp;"|Limit|"&amp;17,'Licence Effluent'!$L$5:$L$6,0))&amp;"","")="","(none)",IFERROR(INDEX('Licence Effluent'!$K$5:$K$6,MATCH(UPPER($J$4)&amp;"|Limit|"&amp;17,'Licence Effluent'!$L$5:$L$6,0))&amp;"","")))</f>
        <v/>
      </c>
      <c r="O37" s="260" t="str">
        <f t="shared" si="1"/>
        <v/>
      </c>
      <c r="P37" s="260" t="str">
        <f t="shared" si="2"/>
        <v/>
      </c>
      <c r="Q37" s="260" t="str">
        <f t="shared" si="3"/>
        <v/>
      </c>
      <c r="R37" s="260"/>
      <c r="S37" s="260"/>
      <c r="T37" s="260" t="str">
        <f t="array" ref="T37">IF(ISNA(MATCH(UPPER($J$4)&amp;"|Coordinate|"&amp;17,'Licence Effluent'!$L$5:$L$6,0)),"",IF(ISNUMBER(SEARCH("1A",IFERROR(INDEX('Licence Effluent'!$F$5:$F$6,MATCH(UPPER($J$4)&amp;"|Coordinate|"&amp;17,'Licence Effluent'!$L$5:$L$6,0))&amp;"",""))),"A","B"))</f>
        <v/>
      </c>
      <c r="U37" s="260" t="str">
        <f t="shared" si="4"/>
        <v/>
      </c>
      <c r="V37" s="260" t="str">
        <f>IF(ISNA(MATCH(UPPER($J$4)&amp;"|Source|"&amp;17,'Licence Effluent'!$L$5:$L$6,0)),"",IF(17&gt;6,"","S"))</f>
        <v/>
      </c>
      <c r="W37" s="260"/>
      <c r="X37" s="258"/>
    </row>
    <row r="38" ht="15.0" customHeight="1">
      <c r="A38" s="168"/>
      <c r="B38" s="168"/>
      <c r="C38" s="266" t="str">
        <f t="array" ref="C38">IFERROR(INDEX('Licence Effluent'!$F$5:$F$6,MATCH(UPPER($J$4)&amp;"|Source|"&amp;2,'Licence Effluent'!$L$5:$L$6,0))&amp;"","")</f>
        <v/>
      </c>
      <c r="D38" s="193"/>
      <c r="E38" s="266" t="str">
        <f t="array" ref="E38">IFERROR(INDEX('Licence Effluent'!$H$5:$H$6,MATCH(UPPER($J$4)&amp;"|Source|"&amp;2,'Licence Effluent'!$L$5:$L$6,0))&amp;"","")</f>
        <v/>
      </c>
      <c r="F38" s="193"/>
      <c r="G38" s="267" t="str">
        <f t="array" ref="G38">IFERROR(INDEX('Licence Effluent'!$I$5:$I$6,MATCH(UPPER($J$4)&amp;"|Source|"&amp;2,'Licence Effluent'!$L$5:$L$6,0))&amp;"","")</f>
        <v/>
      </c>
      <c r="H38" s="168"/>
      <c r="I38" s="168"/>
      <c r="J38" s="168"/>
      <c r="K38" s="168"/>
      <c r="L38" s="260" t="str">
        <f t="shared" si="6"/>
        <v>H</v>
      </c>
      <c r="M38" s="168"/>
      <c r="N38" s="260" t="str">
        <f t="array" ref="N38">IF(IFERROR(INDEX('Licence Effluent'!$F$5:$F$6,MATCH(UPPER($J$4)&amp;"|Limit|"&amp;18,'Licence Effluent'!$L$5:$L$6,0))&amp;"","")="","",IF(IFERROR(INDEX('Licence Effluent'!$K$5:$K$6,MATCH(UPPER($J$4)&amp;"|Limit|"&amp;18,'Licence Effluent'!$L$5:$L$6,0))&amp;"","")="","(none)",IFERROR(INDEX('Licence Effluent'!$K$5:$K$6,MATCH(UPPER($J$4)&amp;"|Limit|"&amp;18,'Licence Effluent'!$L$5:$L$6,0))&amp;"","")))</f>
        <v/>
      </c>
      <c r="O38" s="260" t="str">
        <f t="shared" si="1"/>
        <v/>
      </c>
      <c r="P38" s="260" t="str">
        <f t="shared" si="2"/>
        <v/>
      </c>
      <c r="Q38" s="260" t="str">
        <f t="shared" si="3"/>
        <v/>
      </c>
      <c r="R38" s="260"/>
      <c r="S38" s="260"/>
      <c r="T38" s="260" t="str">
        <f t="array" ref="T38">IF(ISNA(MATCH(UPPER($J$4)&amp;"|Coordinate|"&amp;18,'Licence Effluent'!$L$5:$L$6,0)),"",IF(ISNUMBER(SEARCH("1A",IFERROR(INDEX('Licence Effluent'!$F$5:$F$6,MATCH(UPPER($J$4)&amp;"|Coordinate|"&amp;18,'Licence Effluent'!$L$5:$L$6,0))&amp;"",""))),"A","B"))</f>
        <v/>
      </c>
      <c r="U38" s="260" t="str">
        <f t="shared" si="4"/>
        <v/>
      </c>
      <c r="V38" s="260" t="str">
        <f>IF(ISNA(MATCH(UPPER($J$4)&amp;"|Source|"&amp;18,'Licence Effluent'!$L$5:$L$6,0)),"",IF(18&gt;6,"","S"))</f>
        <v/>
      </c>
      <c r="W38" s="260"/>
      <c r="X38" s="258"/>
    </row>
    <row r="39" ht="15.0" customHeight="1">
      <c r="A39" s="168"/>
      <c r="B39" s="168"/>
      <c r="C39" s="266" t="str">
        <f t="array" ref="C39">IFERROR(INDEX('Licence Effluent'!$F$5:$F$6,MATCH(UPPER($J$4)&amp;"|Source|"&amp;3,'Licence Effluent'!$L$5:$L$6,0))&amp;"","")</f>
        <v/>
      </c>
      <c r="D39" s="193"/>
      <c r="E39" s="266" t="str">
        <f t="array" ref="E39">IFERROR(INDEX('Licence Effluent'!$H$5:$H$6,MATCH(UPPER($J$4)&amp;"|Source|"&amp;3,'Licence Effluent'!$L$5:$L$6,0))&amp;"","")</f>
        <v/>
      </c>
      <c r="F39" s="193"/>
      <c r="G39" s="267" t="str">
        <f t="array" ref="G39">IFERROR(INDEX('Licence Effluent'!$I$5:$I$6,MATCH(UPPER($J$4)&amp;"|Source|"&amp;3,'Licence Effluent'!$L$5:$L$6,0))&amp;"","")</f>
        <v/>
      </c>
      <c r="H39" s="168"/>
      <c r="I39" s="168"/>
      <c r="J39" s="168"/>
      <c r="K39" s="168"/>
      <c r="L39" s="260" t="str">
        <f t="shared" si="6"/>
        <v>H</v>
      </c>
      <c r="M39" s="168"/>
      <c r="N39" s="260" t="str">
        <f t="array" ref="N39">IF(IFERROR(INDEX('Licence Effluent'!$F$5:$F$6,MATCH(UPPER($J$4)&amp;"|Limit|"&amp;19,'Licence Effluent'!$L$5:$L$6,0))&amp;"","")="","",IF(IFERROR(INDEX('Licence Effluent'!$K$5:$K$6,MATCH(UPPER($J$4)&amp;"|Limit|"&amp;19,'Licence Effluent'!$L$5:$L$6,0))&amp;"","")="","(none)",IFERROR(INDEX('Licence Effluent'!$K$5:$K$6,MATCH(UPPER($J$4)&amp;"|Limit|"&amp;19,'Licence Effluent'!$L$5:$L$6,0))&amp;"","")))</f>
        <v/>
      </c>
      <c r="O39" s="260" t="str">
        <f t="shared" si="1"/>
        <v/>
      </c>
      <c r="P39" s="260" t="str">
        <f t="shared" si="2"/>
        <v/>
      </c>
      <c r="Q39" s="260" t="str">
        <f t="shared" si="3"/>
        <v/>
      </c>
      <c r="R39" s="260"/>
      <c r="S39" s="260"/>
      <c r="T39" s="260" t="str">
        <f t="array" ref="T39">IF(ISNA(MATCH(UPPER($J$4)&amp;"|Coordinate|"&amp;19,'Licence Effluent'!$L$5:$L$6,0)),"",IF(ISNUMBER(SEARCH("1A",IFERROR(INDEX('Licence Effluent'!$F$5:$F$6,MATCH(UPPER($J$4)&amp;"|Coordinate|"&amp;19,'Licence Effluent'!$L$5:$L$6,0))&amp;"",""))),"A","B"))</f>
        <v/>
      </c>
      <c r="U39" s="260" t="str">
        <f t="shared" si="4"/>
        <v/>
      </c>
      <c r="V39" s="260" t="str">
        <f>IF(ISNA(MATCH(UPPER($J$4)&amp;"|Source|"&amp;19,'Licence Effluent'!$L$5:$L$6,0)),"",IF(19&gt;6,"","S"))</f>
        <v/>
      </c>
      <c r="W39" s="260"/>
      <c r="X39" s="258"/>
    </row>
    <row r="40" ht="15.0" customHeight="1">
      <c r="A40" s="168"/>
      <c r="B40" s="168"/>
      <c r="C40" s="266" t="str">
        <f t="array" ref="C40">IFERROR(INDEX('Licence Effluent'!$F$5:$F$6,MATCH(UPPER($J$4)&amp;"|Source|"&amp;4,'Licence Effluent'!$L$5:$L$6,0))&amp;"","")</f>
        <v/>
      </c>
      <c r="D40" s="193"/>
      <c r="E40" s="266" t="str">
        <f t="array" ref="E40">IFERROR(INDEX('Licence Effluent'!$H$5:$H$6,MATCH(UPPER($J$4)&amp;"|Source|"&amp;4,'Licence Effluent'!$L$5:$L$6,0))&amp;"","")</f>
        <v/>
      </c>
      <c r="F40" s="193"/>
      <c r="G40" s="267" t="str">
        <f t="array" ref="G40">IFERROR(INDEX('Licence Effluent'!$I$5:$I$6,MATCH(UPPER($J$4)&amp;"|Source|"&amp;4,'Licence Effluent'!$L$5:$L$6,0))&amp;"","")</f>
        <v/>
      </c>
      <c r="H40" s="168"/>
      <c r="I40" s="168"/>
      <c r="J40" s="168"/>
      <c r="K40" s="168"/>
      <c r="L40" s="260" t="str">
        <f t="shared" si="6"/>
        <v>H</v>
      </c>
      <c r="M40" s="168"/>
      <c r="N40" s="260" t="str">
        <f t="array" ref="N40">IF(IFERROR(INDEX('Licence Effluent'!$F$5:$F$6,MATCH(UPPER($J$4)&amp;"|Limit|"&amp;20,'Licence Effluent'!$L$5:$L$6,0))&amp;"","")="","",IF(IFERROR(INDEX('Licence Effluent'!$K$5:$K$6,MATCH(UPPER($J$4)&amp;"|Limit|"&amp;20,'Licence Effluent'!$L$5:$L$6,0))&amp;"","")="","(none)",IFERROR(INDEX('Licence Effluent'!$K$5:$K$6,MATCH(UPPER($J$4)&amp;"|Limit|"&amp;20,'Licence Effluent'!$L$5:$L$6,0))&amp;"","")))</f>
        <v/>
      </c>
      <c r="O40" s="260" t="str">
        <f t="shared" si="1"/>
        <v/>
      </c>
      <c r="P40" s="260" t="str">
        <f t="shared" si="2"/>
        <v/>
      </c>
      <c r="Q40" s="260" t="str">
        <f t="shared" si="3"/>
        <v/>
      </c>
      <c r="R40" s="260"/>
      <c r="S40" s="260"/>
      <c r="T40" s="260" t="str">
        <f t="array" ref="T40">IF(ISNA(MATCH(UPPER($J$4)&amp;"|Coordinate|"&amp;20,'Licence Effluent'!$L$5:$L$6,0)),"",IF(ISNUMBER(SEARCH("1A",IFERROR(INDEX('Licence Effluent'!$F$5:$F$6,MATCH(UPPER($J$4)&amp;"|Coordinate|"&amp;20,'Licence Effluent'!$L$5:$L$6,0))&amp;"",""))),"A","B"))</f>
        <v/>
      </c>
      <c r="U40" s="260" t="str">
        <f t="shared" si="4"/>
        <v/>
      </c>
      <c r="V40" s="260" t="str">
        <f>IF(ISNA(MATCH(UPPER($J$4)&amp;"|Source|"&amp;20,'Licence Effluent'!$L$5:$L$6,0)),"",IF(20&gt;6,"","S"))</f>
        <v/>
      </c>
      <c r="W40" s="260"/>
      <c r="X40" s="258"/>
    </row>
    <row r="41" ht="15.0" customHeight="1">
      <c r="A41" s="168"/>
      <c r="B41" s="168"/>
      <c r="C41" s="266" t="str">
        <f t="array" ref="C41">IFERROR(INDEX('Licence Effluent'!$F$5:$F$6,MATCH(UPPER($J$4)&amp;"|Source|"&amp;5,'Licence Effluent'!$L$5:$L$6,0))&amp;"","")</f>
        <v/>
      </c>
      <c r="D41" s="193"/>
      <c r="E41" s="266" t="str">
        <f t="array" ref="E41">IFERROR(INDEX('Licence Effluent'!$H$5:$H$6,MATCH(UPPER($J$4)&amp;"|Source|"&amp;5,'Licence Effluent'!$L$5:$L$6,0))&amp;"","")</f>
        <v/>
      </c>
      <c r="F41" s="193"/>
      <c r="G41" s="267" t="str">
        <f t="array" ref="G41">IFERROR(INDEX('Licence Effluent'!$I$5:$I$6,MATCH(UPPER($J$4)&amp;"|Source|"&amp;5,'Licence Effluent'!$L$5:$L$6,0))&amp;"","")</f>
        <v/>
      </c>
      <c r="H41" s="168"/>
      <c r="I41" s="168"/>
      <c r="J41" s="168"/>
      <c r="K41" s="168"/>
      <c r="L41" s="260" t="str">
        <f t="shared" si="6"/>
        <v>H</v>
      </c>
      <c r="M41" s="168"/>
      <c r="N41" s="260"/>
      <c r="O41" s="260"/>
      <c r="P41" s="260"/>
      <c r="Q41" s="260"/>
      <c r="R41" s="260"/>
      <c r="S41" s="260"/>
      <c r="T41" s="260"/>
      <c r="U41" s="260"/>
      <c r="V41" s="260"/>
      <c r="W41" s="260"/>
      <c r="X41" s="258"/>
    </row>
    <row r="42" ht="15.0" customHeight="1">
      <c r="A42" s="168"/>
      <c r="B42" s="168"/>
      <c r="C42" s="266" t="str">
        <f t="array" ref="C42">IFERROR(INDEX('Licence Effluent'!$F$5:$F$6,MATCH(UPPER($J$4)&amp;"|Source|"&amp;6,'Licence Effluent'!$L$5:$L$6,0))&amp;"","")</f>
        <v/>
      </c>
      <c r="D42" s="193"/>
      <c r="E42" s="266" t="str">
        <f t="array" ref="E42">IFERROR(INDEX('Licence Effluent'!$H$5:$H$6,MATCH(UPPER($J$4)&amp;"|Source|"&amp;6,'Licence Effluent'!$L$5:$L$6,0))&amp;"","")</f>
        <v/>
      </c>
      <c r="F42" s="193"/>
      <c r="G42" s="267" t="str">
        <f t="array" ref="G42">IFERROR(INDEX('Licence Effluent'!$I$5:$I$6,MATCH(UPPER($J$4)&amp;"|Source|"&amp;6,'Licence Effluent'!$L$5:$L$6,0))&amp;"","")</f>
        <v/>
      </c>
      <c r="H42" s="168"/>
      <c r="I42" s="168"/>
      <c r="J42" s="168"/>
      <c r="K42" s="168"/>
      <c r="L42" s="260" t="str">
        <f t="shared" si="6"/>
        <v>H</v>
      </c>
      <c r="M42" s="168"/>
      <c r="N42" s="260" t="s">
        <v>804</v>
      </c>
      <c r="O42" s="260"/>
      <c r="P42" s="260"/>
      <c r="Q42" s="260"/>
      <c r="R42" s="260"/>
      <c r="S42" s="260"/>
      <c r="T42" s="260"/>
      <c r="U42" s="260"/>
      <c r="V42" s="260"/>
      <c r="W42" s="260"/>
      <c r="X42" s="258"/>
    </row>
    <row r="43" ht="18.0" customHeight="1">
      <c r="A43" s="168"/>
      <c r="B43" s="168"/>
      <c r="C43" s="264" t="s">
        <v>440</v>
      </c>
      <c r="D43" s="193"/>
      <c r="E43" s="264" t="s">
        <v>707</v>
      </c>
      <c r="F43" s="193"/>
      <c r="G43" s="265" t="s">
        <v>708</v>
      </c>
      <c r="H43" s="168"/>
      <c r="I43" s="168"/>
      <c r="J43" s="168"/>
      <c r="K43" s="168"/>
      <c r="L43" s="260" t="str">
        <f>IF(COUNTIF($T$21:$T$40,"B")=0,"H","")</f>
        <v>H</v>
      </c>
      <c r="M43" s="168"/>
      <c r="N43" s="260" t="str">
        <f t="array" ref="N43">IFERROR(INDEX(N$21:N$40,MATCH(1,O$21:O$40,0)),"")</f>
        <v/>
      </c>
      <c r="O43" s="260"/>
      <c r="P43" s="260"/>
      <c r="Q43" s="260"/>
      <c r="R43" s="260"/>
      <c r="S43" s="260"/>
      <c r="T43" s="260"/>
      <c r="U43" s="260"/>
      <c r="V43" s="260"/>
      <c r="W43" s="260"/>
      <c r="X43" s="258"/>
    </row>
    <row r="44" ht="15.0" customHeight="1">
      <c r="A44" s="168"/>
      <c r="B44" s="168"/>
      <c r="C44" s="266" t="str">
        <f t="array" ref="C44">IFERROR(INDEX('Licence Effluent'!$G$5:$G$6,MATCH(UPPER($J$4)&amp;"|Coordinate|"&amp;MATCH("B|1",$U$21:$U$40,0),'Licence Effluent'!$L$5:$L$6,0))&amp;"","")</f>
        <v/>
      </c>
      <c r="D44" s="193"/>
      <c r="E44" s="266" t="str">
        <f t="array" ref="E44">IFERROR(INDEX('Licence Effluent'!$H$5:$H$6,MATCH(UPPER($J$4)&amp;"|Coordinate|"&amp;MATCH("B|1",$U$21:$U$40,0),'Licence Effluent'!$L$5:$L$6,0))&amp;"","")</f>
        <v/>
      </c>
      <c r="F44" s="193"/>
      <c r="G44" s="267" t="str">
        <f t="array" ref="G44">IFERROR(INDEX('Licence Effluent'!$I$5:$I$6,MATCH(UPPER($J$4)&amp;"|Coordinate|"&amp;MATCH("B|1",$U$21:$U$40,0),'Licence Effluent'!$L$5:$L$6,0))&amp;"","")</f>
        <v/>
      </c>
      <c r="H44" s="168"/>
      <c r="I44" s="168"/>
      <c r="J44" s="168"/>
      <c r="K44" s="168"/>
      <c r="L44" s="260" t="str">
        <f t="shared" ref="L44:L63" si="7">IF(C44&amp;E44&amp;G44="","H","")</f>
        <v>H</v>
      </c>
      <c r="M44" s="168"/>
      <c r="N44" s="260" t="str">
        <f t="array" ref="N44">IFERROR(INDEX(N$21:N$40,MATCH(2,O$21:O$40,0)),"")</f>
        <v/>
      </c>
      <c r="O44" s="260"/>
      <c r="P44" s="260"/>
      <c r="Q44" s="260"/>
      <c r="R44" s="260"/>
      <c r="S44" s="260"/>
      <c r="T44" s="260"/>
      <c r="U44" s="260"/>
      <c r="V44" s="260"/>
      <c r="W44" s="260"/>
      <c r="X44" s="258"/>
    </row>
    <row r="45" ht="15.0" customHeight="1">
      <c r="A45" s="168"/>
      <c r="B45" s="168"/>
      <c r="C45" s="266" t="str">
        <f t="array" ref="C45">IFERROR(INDEX('Licence Effluent'!$G$5:$G$6,MATCH(UPPER($J$4)&amp;"|Coordinate|"&amp;MATCH("B|2",$U$21:$U$40,0),'Licence Effluent'!$L$5:$L$6,0))&amp;"","")</f>
        <v/>
      </c>
      <c r="D45" s="193"/>
      <c r="E45" s="266" t="str">
        <f t="array" ref="E45">IFERROR(INDEX('Licence Effluent'!$H$5:$H$6,MATCH(UPPER($J$4)&amp;"|Coordinate|"&amp;MATCH("B|2",$U$21:$U$40,0),'Licence Effluent'!$L$5:$L$6,0))&amp;"","")</f>
        <v/>
      </c>
      <c r="F45" s="193"/>
      <c r="G45" s="267" t="str">
        <f t="array" ref="G45">IFERROR(INDEX('Licence Effluent'!$I$5:$I$6,MATCH(UPPER($J$4)&amp;"|Coordinate|"&amp;MATCH("B|2",$U$21:$U$40,0),'Licence Effluent'!$L$5:$L$6,0))&amp;"","")</f>
        <v/>
      </c>
      <c r="H45" s="168"/>
      <c r="I45" s="168"/>
      <c r="J45" s="168"/>
      <c r="K45" s="168"/>
      <c r="L45" s="260" t="str">
        <f t="shared" si="7"/>
        <v>H</v>
      </c>
      <c r="M45" s="168"/>
      <c r="N45" s="260" t="str">
        <f t="array" ref="N45">IFERROR(INDEX(N$21:N$40,MATCH(3,O$21:O$40,0)),"")</f>
        <v/>
      </c>
      <c r="O45" s="260"/>
      <c r="P45" s="260"/>
      <c r="Q45" s="260"/>
      <c r="R45" s="260"/>
      <c r="S45" s="260"/>
      <c r="T45" s="260"/>
      <c r="U45" s="260"/>
      <c r="V45" s="260"/>
      <c r="W45" s="260"/>
      <c r="X45" s="258"/>
    </row>
    <row r="46" ht="15.0" customHeight="1">
      <c r="A46" s="168"/>
      <c r="B46" s="168"/>
      <c r="C46" s="266" t="str">
        <f t="array" ref="C46">IFERROR(INDEX('Licence Effluent'!$G$5:$G$6,MATCH(UPPER($J$4)&amp;"|Coordinate|"&amp;MATCH("B|3",$U$21:$U$40,0),'Licence Effluent'!$L$5:$L$6,0))&amp;"","")</f>
        <v/>
      </c>
      <c r="D46" s="193"/>
      <c r="E46" s="266" t="str">
        <f t="array" ref="E46">IFERROR(INDEX('Licence Effluent'!$H$5:$H$6,MATCH(UPPER($J$4)&amp;"|Coordinate|"&amp;MATCH("B|3",$U$21:$U$40,0),'Licence Effluent'!$L$5:$L$6,0))&amp;"","")</f>
        <v/>
      </c>
      <c r="F46" s="193"/>
      <c r="G46" s="267" t="str">
        <f t="array" ref="G46">IFERROR(INDEX('Licence Effluent'!$I$5:$I$6,MATCH(UPPER($J$4)&amp;"|Coordinate|"&amp;MATCH("B|3",$U$21:$U$40,0),'Licence Effluent'!$L$5:$L$6,0))&amp;"","")</f>
        <v/>
      </c>
      <c r="H46" s="168"/>
      <c r="I46" s="168"/>
      <c r="J46" s="168"/>
      <c r="K46" s="168"/>
      <c r="L46" s="260" t="str">
        <f t="shared" si="7"/>
        <v>H</v>
      </c>
      <c r="M46" s="168"/>
      <c r="N46" s="260">
        <f>MAX(O21:O40)</f>
        <v>0</v>
      </c>
      <c r="O46" s="260"/>
      <c r="P46" s="260"/>
      <c r="Q46" s="260"/>
      <c r="R46" s="260"/>
      <c r="S46" s="260"/>
      <c r="T46" s="260"/>
      <c r="U46" s="260"/>
      <c r="V46" s="260"/>
      <c r="W46" s="260"/>
      <c r="X46" s="258"/>
    </row>
    <row r="47" ht="15.0" customHeight="1">
      <c r="A47" s="168"/>
      <c r="B47" s="168"/>
      <c r="C47" s="266" t="str">
        <f t="array" ref="C47">IFERROR(INDEX('Licence Effluent'!$G$5:$G$6,MATCH(UPPER($J$4)&amp;"|Coordinate|"&amp;MATCH("B|4",$U$21:$U$40,0),'Licence Effluent'!$L$5:$L$6,0))&amp;"","")</f>
        <v/>
      </c>
      <c r="D47" s="193"/>
      <c r="E47" s="266" t="str">
        <f t="array" ref="E47">IFERROR(INDEX('Licence Effluent'!$H$5:$H$6,MATCH(UPPER($J$4)&amp;"|Coordinate|"&amp;MATCH("B|4",$U$21:$U$40,0),'Licence Effluent'!$L$5:$L$6,0))&amp;"","")</f>
        <v/>
      </c>
      <c r="F47" s="193"/>
      <c r="G47" s="267" t="str">
        <f t="array" ref="G47">IFERROR(INDEX('Licence Effluent'!$I$5:$I$6,MATCH(UPPER($J$4)&amp;"|Coordinate|"&amp;MATCH("B|4",$U$21:$U$40,0),'Licence Effluent'!$L$5:$L$6,0))&amp;"","")</f>
        <v/>
      </c>
      <c r="H47" s="168"/>
      <c r="I47" s="168"/>
      <c r="J47" s="168"/>
      <c r="K47" s="168"/>
      <c r="L47" s="260" t="str">
        <f t="shared" si="7"/>
        <v>H</v>
      </c>
      <c r="M47" s="168"/>
      <c r="N47" s="168"/>
      <c r="O47" s="168"/>
      <c r="P47" s="168"/>
      <c r="Q47" s="168"/>
      <c r="R47" s="168"/>
      <c r="S47" s="168"/>
      <c r="T47" s="168"/>
      <c r="U47" s="168"/>
      <c r="V47" s="168"/>
      <c r="W47" s="168"/>
    </row>
    <row r="48" ht="15.0" customHeight="1">
      <c r="A48" s="168"/>
      <c r="B48" s="168"/>
      <c r="C48" s="266" t="str">
        <f t="array" ref="C48">IFERROR(INDEX('Licence Effluent'!$G$5:$G$6,MATCH(UPPER($J$4)&amp;"|Coordinate|"&amp;MATCH("B|5",$U$21:$U$40,0),'Licence Effluent'!$L$5:$L$6,0))&amp;"","")</f>
        <v/>
      </c>
      <c r="D48" s="193"/>
      <c r="E48" s="266" t="str">
        <f t="array" ref="E48">IFERROR(INDEX('Licence Effluent'!$H$5:$H$6,MATCH(UPPER($J$4)&amp;"|Coordinate|"&amp;MATCH("B|5",$U$21:$U$40,0),'Licence Effluent'!$L$5:$L$6,0))&amp;"","")</f>
        <v/>
      </c>
      <c r="F48" s="193"/>
      <c r="G48" s="267" t="str">
        <f t="array" ref="G48">IFERROR(INDEX('Licence Effluent'!$I$5:$I$6,MATCH(UPPER($J$4)&amp;"|Coordinate|"&amp;MATCH("B|5",$U$21:$U$40,0),'Licence Effluent'!$L$5:$L$6,0))&amp;"","")</f>
        <v/>
      </c>
      <c r="H48" s="168"/>
      <c r="I48" s="168"/>
      <c r="J48" s="168"/>
      <c r="K48" s="168"/>
      <c r="L48" s="260" t="str">
        <f t="shared" si="7"/>
        <v>H</v>
      </c>
      <c r="M48" s="168"/>
      <c r="N48" s="168"/>
      <c r="O48" s="168"/>
      <c r="P48" s="168"/>
      <c r="Q48" s="168"/>
      <c r="R48" s="168"/>
      <c r="S48" s="168"/>
      <c r="T48" s="168"/>
      <c r="U48" s="168"/>
      <c r="V48" s="168"/>
      <c r="W48" s="168"/>
    </row>
    <row r="49" ht="15.0" customHeight="1">
      <c r="A49" s="168"/>
      <c r="B49" s="168"/>
      <c r="C49" s="266" t="str">
        <f t="array" ref="C49">IFERROR(INDEX('Licence Effluent'!$G$5:$G$6,MATCH(UPPER($J$4)&amp;"|Coordinate|"&amp;MATCH("B|6",$U$21:$U$40,0),'Licence Effluent'!$L$5:$L$6,0))&amp;"","")</f>
        <v/>
      </c>
      <c r="D49" s="193"/>
      <c r="E49" s="266" t="str">
        <f t="array" ref="E49">IFERROR(INDEX('Licence Effluent'!$H$5:$H$6,MATCH(UPPER($J$4)&amp;"|Coordinate|"&amp;MATCH("B|6",$U$21:$U$40,0),'Licence Effluent'!$L$5:$L$6,0))&amp;"","")</f>
        <v/>
      </c>
      <c r="F49" s="193"/>
      <c r="G49" s="267" t="str">
        <f t="array" ref="G49">IFERROR(INDEX('Licence Effluent'!$I$5:$I$6,MATCH(UPPER($J$4)&amp;"|Coordinate|"&amp;MATCH("B|6",$U$21:$U$40,0),'Licence Effluent'!$L$5:$L$6,0))&amp;"","")</f>
        <v/>
      </c>
      <c r="H49" s="168"/>
      <c r="I49" s="168"/>
      <c r="J49" s="168"/>
      <c r="K49" s="168"/>
      <c r="L49" s="260" t="str">
        <f t="shared" si="7"/>
        <v>H</v>
      </c>
      <c r="M49" s="168"/>
      <c r="N49" s="168"/>
      <c r="O49" s="168"/>
      <c r="P49" s="168"/>
      <c r="Q49" s="168"/>
      <c r="R49" s="168"/>
      <c r="S49" s="168"/>
      <c r="T49" s="168"/>
      <c r="U49" s="168"/>
      <c r="V49" s="168"/>
      <c r="W49" s="168"/>
    </row>
    <row r="50" ht="15.0" customHeight="1">
      <c r="A50" s="168"/>
      <c r="B50" s="168"/>
      <c r="C50" s="266" t="str">
        <f t="array" ref="C50">IFERROR(INDEX('Licence Effluent'!$G$5:$G$6,MATCH(UPPER($J$4)&amp;"|Coordinate|"&amp;MATCH("B|7",$U$21:$U$40,0),'Licence Effluent'!$L$5:$L$6,0))&amp;"","")</f>
        <v/>
      </c>
      <c r="D50" s="193"/>
      <c r="E50" s="266" t="str">
        <f t="array" ref="E50">IFERROR(INDEX('Licence Effluent'!$H$5:$H$6,MATCH(UPPER($J$4)&amp;"|Coordinate|"&amp;MATCH("B|7",$U$21:$U$40,0),'Licence Effluent'!$L$5:$L$6,0))&amp;"","")</f>
        <v/>
      </c>
      <c r="F50" s="193"/>
      <c r="G50" s="267" t="str">
        <f t="array" ref="G50">IFERROR(INDEX('Licence Effluent'!$I$5:$I$6,MATCH(UPPER($J$4)&amp;"|Coordinate|"&amp;MATCH("B|7",$U$21:$U$40,0),'Licence Effluent'!$L$5:$L$6,0))&amp;"","")</f>
        <v/>
      </c>
      <c r="H50" s="168"/>
      <c r="I50" s="168"/>
      <c r="J50" s="168"/>
      <c r="K50" s="168"/>
      <c r="L50" s="260" t="str">
        <f t="shared" si="7"/>
        <v>H</v>
      </c>
      <c r="M50" s="168"/>
      <c r="N50" s="168"/>
      <c r="O50" s="168"/>
      <c r="P50" s="168"/>
      <c r="Q50" s="168"/>
      <c r="R50" s="168"/>
      <c r="S50" s="168"/>
      <c r="T50" s="168"/>
      <c r="U50" s="168"/>
      <c r="V50" s="168"/>
      <c r="W50" s="168"/>
    </row>
    <row r="51" ht="15.0" customHeight="1">
      <c r="A51" s="168"/>
      <c r="B51" s="168"/>
      <c r="C51" s="266" t="str">
        <f t="array" ref="C51">IFERROR(INDEX('Licence Effluent'!$G$5:$G$6,MATCH(UPPER($J$4)&amp;"|Coordinate|"&amp;MATCH("B|8",$U$21:$U$40,0),'Licence Effluent'!$L$5:$L$6,0))&amp;"","")</f>
        <v/>
      </c>
      <c r="D51" s="193"/>
      <c r="E51" s="266" t="str">
        <f t="array" ref="E51">IFERROR(INDEX('Licence Effluent'!$H$5:$H$6,MATCH(UPPER($J$4)&amp;"|Coordinate|"&amp;MATCH("B|8",$U$21:$U$40,0),'Licence Effluent'!$L$5:$L$6,0))&amp;"","")</f>
        <v/>
      </c>
      <c r="F51" s="193"/>
      <c r="G51" s="267" t="str">
        <f t="array" ref="G51">IFERROR(INDEX('Licence Effluent'!$I$5:$I$6,MATCH(UPPER($J$4)&amp;"|Coordinate|"&amp;MATCH("B|8",$U$21:$U$40,0),'Licence Effluent'!$L$5:$L$6,0))&amp;"","")</f>
        <v/>
      </c>
      <c r="H51" s="168"/>
      <c r="I51" s="168"/>
      <c r="J51" s="168"/>
      <c r="K51" s="168"/>
      <c r="L51" s="260" t="str">
        <f t="shared" si="7"/>
        <v>H</v>
      </c>
      <c r="M51" s="168"/>
      <c r="N51" s="168"/>
      <c r="O51" s="168"/>
      <c r="P51" s="168"/>
      <c r="Q51" s="168"/>
      <c r="R51" s="168"/>
      <c r="S51" s="168"/>
      <c r="T51" s="168"/>
      <c r="U51" s="168"/>
      <c r="V51" s="168"/>
      <c r="W51" s="168"/>
    </row>
    <row r="52" ht="15.0" customHeight="1">
      <c r="A52" s="168"/>
      <c r="B52" s="168"/>
      <c r="C52" s="266" t="str">
        <f t="array" ref="C52">IFERROR(INDEX('Licence Effluent'!$G$5:$G$6,MATCH(UPPER($J$4)&amp;"|Coordinate|"&amp;MATCH("B|9",$U$21:$U$40,0),'Licence Effluent'!$L$5:$L$6,0))&amp;"","")</f>
        <v/>
      </c>
      <c r="D52" s="193"/>
      <c r="E52" s="266" t="str">
        <f t="array" ref="E52">IFERROR(INDEX('Licence Effluent'!$H$5:$H$6,MATCH(UPPER($J$4)&amp;"|Coordinate|"&amp;MATCH("B|9",$U$21:$U$40,0),'Licence Effluent'!$L$5:$L$6,0))&amp;"","")</f>
        <v/>
      </c>
      <c r="F52" s="193"/>
      <c r="G52" s="267" t="str">
        <f t="array" ref="G52">IFERROR(INDEX('Licence Effluent'!$I$5:$I$6,MATCH(UPPER($J$4)&amp;"|Coordinate|"&amp;MATCH("B|9",$U$21:$U$40,0),'Licence Effluent'!$L$5:$L$6,0))&amp;"","")</f>
        <v/>
      </c>
      <c r="H52" s="168"/>
      <c r="I52" s="168"/>
      <c r="J52" s="168"/>
      <c r="K52" s="168"/>
      <c r="L52" s="260" t="str">
        <f t="shared" si="7"/>
        <v>H</v>
      </c>
      <c r="M52" s="168"/>
      <c r="N52" s="168"/>
      <c r="O52" s="168"/>
      <c r="P52" s="168"/>
      <c r="Q52" s="168"/>
      <c r="R52" s="168"/>
      <c r="S52" s="168"/>
      <c r="T52" s="168"/>
      <c r="U52" s="168"/>
      <c r="V52" s="168"/>
      <c r="W52" s="168"/>
    </row>
    <row r="53" ht="15.0" customHeight="1">
      <c r="A53" s="168"/>
      <c r="B53" s="168"/>
      <c r="C53" s="266" t="str">
        <f t="array" ref="C53">IFERROR(INDEX('Licence Effluent'!$G$5:$G$6,MATCH(UPPER($J$4)&amp;"|Coordinate|"&amp;MATCH("B|10",$U$21:$U$40,0),'Licence Effluent'!$L$5:$L$6,0))&amp;"","")</f>
        <v/>
      </c>
      <c r="D53" s="193"/>
      <c r="E53" s="266" t="str">
        <f t="array" ref="E53">IFERROR(INDEX('Licence Effluent'!$H$5:$H$6,MATCH(UPPER($J$4)&amp;"|Coordinate|"&amp;MATCH("B|10",$U$21:$U$40,0),'Licence Effluent'!$L$5:$L$6,0))&amp;"","")</f>
        <v/>
      </c>
      <c r="F53" s="193"/>
      <c r="G53" s="267" t="str">
        <f t="array" ref="G53">IFERROR(INDEX('Licence Effluent'!$I$5:$I$6,MATCH(UPPER($J$4)&amp;"|Coordinate|"&amp;MATCH("B|10",$U$21:$U$40,0),'Licence Effluent'!$L$5:$L$6,0))&amp;"","")</f>
        <v/>
      </c>
      <c r="H53" s="168"/>
      <c r="I53" s="168"/>
      <c r="J53" s="168"/>
      <c r="K53" s="168"/>
      <c r="L53" s="260" t="str">
        <f t="shared" si="7"/>
        <v>H</v>
      </c>
      <c r="M53" s="168"/>
      <c r="N53" s="168"/>
      <c r="O53" s="168"/>
      <c r="P53" s="168"/>
      <c r="Q53" s="168"/>
      <c r="R53" s="168"/>
      <c r="S53" s="168"/>
      <c r="T53" s="168"/>
      <c r="U53" s="168"/>
      <c r="V53" s="168"/>
      <c r="W53" s="168"/>
    </row>
    <row r="54" ht="15.0" customHeight="1">
      <c r="A54" s="168"/>
      <c r="B54" s="168"/>
      <c r="C54" s="266" t="str">
        <f t="array" ref="C54">IFERROR(INDEX('Licence Effluent'!$G$5:$G$6,MATCH(UPPER($J$4)&amp;"|Coordinate|"&amp;MATCH("B|11",$U$21:$U$40,0),'Licence Effluent'!$L$5:$L$6,0))&amp;"","")</f>
        <v/>
      </c>
      <c r="D54" s="193"/>
      <c r="E54" s="266" t="str">
        <f t="array" ref="E54">IFERROR(INDEX('Licence Effluent'!$H$5:$H$6,MATCH(UPPER($J$4)&amp;"|Coordinate|"&amp;MATCH("B|11",$U$21:$U$40,0),'Licence Effluent'!$L$5:$L$6,0))&amp;"","")</f>
        <v/>
      </c>
      <c r="F54" s="193"/>
      <c r="G54" s="267" t="str">
        <f t="array" ref="G54">IFERROR(INDEX('Licence Effluent'!$I$5:$I$6,MATCH(UPPER($J$4)&amp;"|Coordinate|"&amp;MATCH("B|11",$U$21:$U$40,0),'Licence Effluent'!$L$5:$L$6,0))&amp;"","")</f>
        <v/>
      </c>
      <c r="H54" s="168"/>
      <c r="I54" s="168"/>
      <c r="J54" s="168"/>
      <c r="K54" s="168"/>
      <c r="L54" s="260" t="str">
        <f t="shared" si="7"/>
        <v>H</v>
      </c>
      <c r="M54" s="168"/>
      <c r="N54" s="168"/>
      <c r="O54" s="168"/>
      <c r="P54" s="168"/>
      <c r="Q54" s="168"/>
      <c r="R54" s="168"/>
      <c r="S54" s="168"/>
      <c r="T54" s="168"/>
      <c r="U54" s="168"/>
      <c r="V54" s="168"/>
      <c r="W54" s="168"/>
    </row>
    <row r="55" ht="15.0" customHeight="1">
      <c r="A55" s="168"/>
      <c r="B55" s="168"/>
      <c r="C55" s="266" t="str">
        <f t="array" ref="C55">IFERROR(INDEX('Licence Effluent'!$G$5:$G$6,MATCH(UPPER($J$4)&amp;"|Coordinate|"&amp;MATCH("B|12",$U$21:$U$40,0),'Licence Effluent'!$L$5:$L$6,0))&amp;"","")</f>
        <v/>
      </c>
      <c r="D55" s="193"/>
      <c r="E55" s="266" t="str">
        <f t="array" ref="E55">IFERROR(INDEX('Licence Effluent'!$H$5:$H$6,MATCH(UPPER($J$4)&amp;"|Coordinate|"&amp;MATCH("B|12",$U$21:$U$40,0),'Licence Effluent'!$L$5:$L$6,0))&amp;"","")</f>
        <v/>
      </c>
      <c r="F55" s="193"/>
      <c r="G55" s="267" t="str">
        <f t="array" ref="G55">IFERROR(INDEX('Licence Effluent'!$I$5:$I$6,MATCH(UPPER($J$4)&amp;"|Coordinate|"&amp;MATCH("B|12",$U$21:$U$40,0),'Licence Effluent'!$L$5:$L$6,0))&amp;"","")</f>
        <v/>
      </c>
      <c r="H55" s="168"/>
      <c r="I55" s="168"/>
      <c r="J55" s="168"/>
      <c r="K55" s="168"/>
      <c r="L55" s="260" t="str">
        <f t="shared" si="7"/>
        <v>H</v>
      </c>
      <c r="M55" s="168"/>
      <c r="N55" s="168"/>
      <c r="O55" s="168"/>
      <c r="P55" s="168"/>
      <c r="Q55" s="168"/>
      <c r="R55" s="168"/>
      <c r="S55" s="168"/>
      <c r="T55" s="168"/>
      <c r="U55" s="168"/>
      <c r="V55" s="168"/>
      <c r="W55" s="168"/>
    </row>
    <row r="56" ht="15.0" customHeight="1">
      <c r="A56" s="168"/>
      <c r="B56" s="168"/>
      <c r="C56" s="266" t="str">
        <f t="array" ref="C56">IFERROR(INDEX('Licence Effluent'!$G$5:$G$6,MATCH(UPPER($J$4)&amp;"|Coordinate|"&amp;MATCH("B|13",$U$21:$U$40,0),'Licence Effluent'!$L$5:$L$6,0))&amp;"","")</f>
        <v/>
      </c>
      <c r="D56" s="193"/>
      <c r="E56" s="266" t="str">
        <f t="array" ref="E56">IFERROR(INDEX('Licence Effluent'!$H$5:$H$6,MATCH(UPPER($J$4)&amp;"|Coordinate|"&amp;MATCH("B|13",$U$21:$U$40,0),'Licence Effluent'!$L$5:$L$6,0))&amp;"","")</f>
        <v/>
      </c>
      <c r="F56" s="193"/>
      <c r="G56" s="267" t="str">
        <f t="array" ref="G56">IFERROR(INDEX('Licence Effluent'!$I$5:$I$6,MATCH(UPPER($J$4)&amp;"|Coordinate|"&amp;MATCH("B|13",$U$21:$U$40,0),'Licence Effluent'!$L$5:$L$6,0))&amp;"","")</f>
        <v/>
      </c>
      <c r="H56" s="168"/>
      <c r="I56" s="168"/>
      <c r="J56" s="168"/>
      <c r="K56" s="168"/>
      <c r="L56" s="260" t="str">
        <f t="shared" si="7"/>
        <v>H</v>
      </c>
      <c r="M56" s="168"/>
      <c r="N56" s="168"/>
      <c r="O56" s="168"/>
      <c r="P56" s="168"/>
      <c r="Q56" s="168"/>
      <c r="R56" s="168"/>
      <c r="S56" s="168"/>
      <c r="T56" s="168"/>
      <c r="U56" s="168"/>
      <c r="V56" s="168"/>
      <c r="W56" s="168"/>
    </row>
    <row r="57" ht="15.0" customHeight="1">
      <c r="A57" s="168"/>
      <c r="B57" s="168"/>
      <c r="C57" s="266" t="str">
        <f t="array" ref="C57">IFERROR(INDEX('Licence Effluent'!$G$5:$G$6,MATCH(UPPER($J$4)&amp;"|Coordinate|"&amp;MATCH("B|14",$U$21:$U$40,0),'Licence Effluent'!$L$5:$L$6,0))&amp;"","")</f>
        <v/>
      </c>
      <c r="D57" s="193"/>
      <c r="E57" s="266" t="str">
        <f t="array" ref="E57">IFERROR(INDEX('Licence Effluent'!$H$5:$H$6,MATCH(UPPER($J$4)&amp;"|Coordinate|"&amp;MATCH("B|14",$U$21:$U$40,0),'Licence Effluent'!$L$5:$L$6,0))&amp;"","")</f>
        <v/>
      </c>
      <c r="F57" s="193"/>
      <c r="G57" s="267" t="str">
        <f t="array" ref="G57">IFERROR(INDEX('Licence Effluent'!$I$5:$I$6,MATCH(UPPER($J$4)&amp;"|Coordinate|"&amp;MATCH("B|14",$U$21:$U$40,0),'Licence Effluent'!$L$5:$L$6,0))&amp;"","")</f>
        <v/>
      </c>
      <c r="H57" s="168"/>
      <c r="I57" s="168"/>
      <c r="J57" s="168"/>
      <c r="K57" s="168"/>
      <c r="L57" s="260" t="str">
        <f t="shared" si="7"/>
        <v>H</v>
      </c>
      <c r="M57" s="168"/>
      <c r="N57" s="168"/>
      <c r="O57" s="168"/>
      <c r="P57" s="168"/>
      <c r="Q57" s="168"/>
      <c r="R57" s="168"/>
      <c r="S57" s="168"/>
      <c r="T57" s="168"/>
      <c r="U57" s="168"/>
      <c r="V57" s="168"/>
      <c r="W57" s="168"/>
    </row>
    <row r="58" ht="15.0" customHeight="1">
      <c r="A58" s="168"/>
      <c r="B58" s="168"/>
      <c r="C58" s="266" t="str">
        <f t="array" ref="C58">IFERROR(INDEX('Licence Effluent'!$G$5:$G$6,MATCH(UPPER($J$4)&amp;"|Coordinate|"&amp;MATCH("B|15",$U$21:$U$40,0),'Licence Effluent'!$L$5:$L$6,0))&amp;"","")</f>
        <v/>
      </c>
      <c r="D58" s="193"/>
      <c r="E58" s="266" t="str">
        <f t="array" ref="E58">IFERROR(INDEX('Licence Effluent'!$H$5:$H$6,MATCH(UPPER($J$4)&amp;"|Coordinate|"&amp;MATCH("B|15",$U$21:$U$40,0),'Licence Effluent'!$L$5:$L$6,0))&amp;"","")</f>
        <v/>
      </c>
      <c r="F58" s="193"/>
      <c r="G58" s="267" t="str">
        <f t="array" ref="G58">IFERROR(INDEX('Licence Effluent'!$I$5:$I$6,MATCH(UPPER($J$4)&amp;"|Coordinate|"&amp;MATCH("B|15",$U$21:$U$40,0),'Licence Effluent'!$L$5:$L$6,0))&amp;"","")</f>
        <v/>
      </c>
      <c r="H58" s="168"/>
      <c r="I58" s="168"/>
      <c r="J58" s="168"/>
      <c r="K58" s="168"/>
      <c r="L58" s="260" t="str">
        <f t="shared" si="7"/>
        <v>H</v>
      </c>
      <c r="M58" s="168"/>
      <c r="N58" s="168"/>
      <c r="O58" s="168"/>
      <c r="P58" s="168"/>
      <c r="Q58" s="168"/>
      <c r="R58" s="168"/>
      <c r="S58" s="168"/>
      <c r="T58" s="168"/>
      <c r="U58" s="168"/>
      <c r="V58" s="168"/>
      <c r="W58" s="168"/>
    </row>
    <row r="59" ht="15.0" customHeight="1">
      <c r="A59" s="168"/>
      <c r="B59" s="168"/>
      <c r="C59" s="266" t="str">
        <f t="array" ref="C59">IFERROR(INDEX('Licence Effluent'!$G$5:$G$6,MATCH(UPPER($J$4)&amp;"|Coordinate|"&amp;MATCH("B|16",$U$21:$U$40,0),'Licence Effluent'!$L$5:$L$6,0))&amp;"","")</f>
        <v/>
      </c>
      <c r="D59" s="193"/>
      <c r="E59" s="266" t="str">
        <f t="array" ref="E59">IFERROR(INDEX('Licence Effluent'!$H$5:$H$6,MATCH(UPPER($J$4)&amp;"|Coordinate|"&amp;MATCH("B|16",$U$21:$U$40,0),'Licence Effluent'!$L$5:$L$6,0))&amp;"","")</f>
        <v/>
      </c>
      <c r="F59" s="193"/>
      <c r="G59" s="267" t="str">
        <f t="array" ref="G59">IFERROR(INDEX('Licence Effluent'!$I$5:$I$6,MATCH(UPPER($J$4)&amp;"|Coordinate|"&amp;MATCH("B|16",$U$21:$U$40,0),'Licence Effluent'!$L$5:$L$6,0))&amp;"","")</f>
        <v/>
      </c>
      <c r="H59" s="168"/>
      <c r="I59" s="168"/>
      <c r="J59" s="168"/>
      <c r="K59" s="168"/>
      <c r="L59" s="260" t="str">
        <f t="shared" si="7"/>
        <v>H</v>
      </c>
      <c r="M59" s="168"/>
      <c r="N59" s="168"/>
      <c r="O59" s="168"/>
      <c r="P59" s="168"/>
      <c r="Q59" s="168"/>
      <c r="R59" s="168"/>
      <c r="S59" s="168"/>
      <c r="T59" s="168"/>
      <c r="U59" s="168"/>
      <c r="V59" s="168"/>
      <c r="W59" s="168"/>
    </row>
    <row r="60" ht="15.0" customHeight="1">
      <c r="A60" s="168"/>
      <c r="B60" s="168"/>
      <c r="C60" s="266" t="str">
        <f t="array" ref="C60">IFERROR(INDEX('Licence Effluent'!$G$5:$G$6,MATCH(UPPER($J$4)&amp;"|Coordinate|"&amp;MATCH("B|17",$U$21:$U$40,0),'Licence Effluent'!$L$5:$L$6,0))&amp;"","")</f>
        <v/>
      </c>
      <c r="D60" s="193"/>
      <c r="E60" s="266" t="str">
        <f t="array" ref="E60">IFERROR(INDEX('Licence Effluent'!$H$5:$H$6,MATCH(UPPER($J$4)&amp;"|Coordinate|"&amp;MATCH("B|17",$U$21:$U$40,0),'Licence Effluent'!$L$5:$L$6,0))&amp;"","")</f>
        <v/>
      </c>
      <c r="F60" s="193"/>
      <c r="G60" s="267" t="str">
        <f t="array" ref="G60">IFERROR(INDEX('Licence Effluent'!$I$5:$I$6,MATCH(UPPER($J$4)&amp;"|Coordinate|"&amp;MATCH("B|17",$U$21:$U$40,0),'Licence Effluent'!$L$5:$L$6,0))&amp;"","")</f>
        <v/>
      </c>
      <c r="H60" s="168"/>
      <c r="I60" s="168"/>
      <c r="J60" s="168"/>
      <c r="K60" s="168"/>
      <c r="L60" s="260" t="str">
        <f t="shared" si="7"/>
        <v>H</v>
      </c>
      <c r="M60" s="168"/>
      <c r="N60" s="168"/>
      <c r="O60" s="168"/>
      <c r="P60" s="168"/>
      <c r="Q60" s="168"/>
      <c r="R60" s="168"/>
      <c r="S60" s="168"/>
      <c r="T60" s="168"/>
      <c r="U60" s="168"/>
      <c r="V60" s="168"/>
      <c r="W60" s="168"/>
    </row>
    <row r="61" ht="15.0" customHeight="1">
      <c r="A61" s="168"/>
      <c r="B61" s="168"/>
      <c r="C61" s="266" t="str">
        <f t="array" ref="C61">IFERROR(INDEX('Licence Effluent'!$G$5:$G$6,MATCH(UPPER($J$4)&amp;"|Coordinate|"&amp;MATCH("B|18",$U$21:$U$40,0),'Licence Effluent'!$L$5:$L$6,0))&amp;"","")</f>
        <v/>
      </c>
      <c r="D61" s="193"/>
      <c r="E61" s="266" t="str">
        <f t="array" ref="E61">IFERROR(INDEX('Licence Effluent'!$H$5:$H$6,MATCH(UPPER($J$4)&amp;"|Coordinate|"&amp;MATCH("B|18",$U$21:$U$40,0),'Licence Effluent'!$L$5:$L$6,0))&amp;"","")</f>
        <v/>
      </c>
      <c r="F61" s="193"/>
      <c r="G61" s="267" t="str">
        <f t="array" ref="G61">IFERROR(INDEX('Licence Effluent'!$I$5:$I$6,MATCH(UPPER($J$4)&amp;"|Coordinate|"&amp;MATCH("B|18",$U$21:$U$40,0),'Licence Effluent'!$L$5:$L$6,0))&amp;"","")</f>
        <v/>
      </c>
      <c r="H61" s="168"/>
      <c r="I61" s="168"/>
      <c r="J61" s="168"/>
      <c r="K61" s="168"/>
      <c r="L61" s="260" t="str">
        <f t="shared" si="7"/>
        <v>H</v>
      </c>
      <c r="M61" s="168"/>
      <c r="N61" s="168"/>
      <c r="O61" s="168"/>
      <c r="P61" s="168"/>
      <c r="Q61" s="168"/>
      <c r="R61" s="168"/>
      <c r="S61" s="168"/>
      <c r="T61" s="168"/>
      <c r="U61" s="168"/>
      <c r="V61" s="168"/>
      <c r="W61" s="168"/>
    </row>
    <row r="62" ht="15.0" customHeight="1">
      <c r="A62" s="168"/>
      <c r="B62" s="168"/>
      <c r="C62" s="266" t="str">
        <f t="array" ref="C62">IFERROR(INDEX('Licence Effluent'!$G$5:$G$6,MATCH(UPPER($J$4)&amp;"|Coordinate|"&amp;MATCH("B|19",$U$21:$U$40,0),'Licence Effluent'!$L$5:$L$6,0))&amp;"","")</f>
        <v/>
      </c>
      <c r="D62" s="193"/>
      <c r="E62" s="266" t="str">
        <f t="array" ref="E62">IFERROR(INDEX('Licence Effluent'!$H$5:$H$6,MATCH(UPPER($J$4)&amp;"|Coordinate|"&amp;MATCH("B|19",$U$21:$U$40,0),'Licence Effluent'!$L$5:$L$6,0))&amp;"","")</f>
        <v/>
      </c>
      <c r="F62" s="193"/>
      <c r="G62" s="267" t="str">
        <f t="array" ref="G62">IFERROR(INDEX('Licence Effluent'!$I$5:$I$6,MATCH(UPPER($J$4)&amp;"|Coordinate|"&amp;MATCH("B|19",$U$21:$U$40,0),'Licence Effluent'!$L$5:$L$6,0))&amp;"","")</f>
        <v/>
      </c>
      <c r="H62" s="168"/>
      <c r="I62" s="168"/>
      <c r="J62" s="168"/>
      <c r="K62" s="168"/>
      <c r="L62" s="260" t="str">
        <f t="shared" si="7"/>
        <v>H</v>
      </c>
      <c r="M62" s="168"/>
      <c r="N62" s="168"/>
      <c r="O62" s="168"/>
      <c r="P62" s="168"/>
      <c r="Q62" s="168"/>
      <c r="R62" s="168"/>
      <c r="S62" s="168"/>
      <c r="T62" s="168"/>
      <c r="U62" s="168"/>
      <c r="V62" s="168"/>
      <c r="W62" s="168"/>
    </row>
    <row r="63" ht="15.0" customHeight="1">
      <c r="A63" s="168"/>
      <c r="B63" s="168"/>
      <c r="C63" s="266" t="str">
        <f t="array" ref="C63">IFERROR(INDEX('Licence Effluent'!$G$5:$G$6,MATCH(UPPER($J$4)&amp;"|Coordinate|"&amp;MATCH("B|20",$U$21:$U$40,0),'Licence Effluent'!$L$5:$L$6,0))&amp;"","")</f>
        <v/>
      </c>
      <c r="D63" s="193"/>
      <c r="E63" s="266" t="str">
        <f t="array" ref="E63">IFERROR(INDEX('Licence Effluent'!$H$5:$H$6,MATCH(UPPER($J$4)&amp;"|Coordinate|"&amp;MATCH("B|20",$U$21:$U$40,0),'Licence Effluent'!$L$5:$L$6,0))&amp;"","")</f>
        <v/>
      </c>
      <c r="F63" s="193"/>
      <c r="G63" s="267" t="str">
        <f t="array" ref="G63">IFERROR(INDEX('Licence Effluent'!$I$5:$I$6,MATCH(UPPER($J$4)&amp;"|Coordinate|"&amp;MATCH("B|20",$U$21:$U$40,0),'Licence Effluent'!$L$5:$L$6,0))&amp;"","")</f>
        <v/>
      </c>
      <c r="H63" s="168"/>
      <c r="I63" s="168"/>
      <c r="J63" s="168"/>
      <c r="K63" s="168"/>
      <c r="L63" s="260" t="str">
        <f t="shared" si="7"/>
        <v>H</v>
      </c>
      <c r="M63" s="168"/>
      <c r="N63" s="168"/>
      <c r="O63" s="168"/>
      <c r="P63" s="168"/>
      <c r="Q63" s="168"/>
      <c r="R63" s="168"/>
      <c r="S63" s="168"/>
      <c r="T63" s="168"/>
      <c r="U63" s="168"/>
      <c r="V63" s="168"/>
      <c r="W63" s="168"/>
    </row>
    <row r="64" ht="46.5" customHeight="1">
      <c r="A64" s="168"/>
      <c r="B64" s="168"/>
      <c r="C64" s="292" t="s">
        <v>910</v>
      </c>
      <c r="D64" s="279"/>
      <c r="E64" s="279"/>
      <c r="F64" s="279"/>
      <c r="G64" s="279"/>
      <c r="H64" s="168"/>
      <c r="I64" s="168"/>
      <c r="J64" s="168"/>
      <c r="K64" s="168"/>
      <c r="L64" s="260"/>
      <c r="M64" s="168"/>
      <c r="N64" s="168"/>
      <c r="O64" s="168"/>
      <c r="P64" s="168"/>
      <c r="Q64" s="168"/>
      <c r="R64" s="168"/>
      <c r="S64" s="168"/>
      <c r="T64" s="168"/>
      <c r="U64" s="168"/>
      <c r="V64" s="168"/>
      <c r="W64" s="168"/>
    </row>
    <row r="65" ht="12.0" customHeight="1">
      <c r="A65" s="168"/>
      <c r="B65" s="168"/>
      <c r="C65" s="168"/>
      <c r="D65" s="168"/>
      <c r="E65" s="168"/>
      <c r="F65" s="168"/>
      <c r="G65" s="168"/>
      <c r="H65" s="168"/>
      <c r="I65" s="168"/>
      <c r="J65" s="168"/>
      <c r="K65" s="168"/>
      <c r="L65" s="260"/>
      <c r="M65" s="168"/>
      <c r="N65" s="168"/>
      <c r="O65" s="168"/>
      <c r="P65" s="168"/>
      <c r="Q65" s="168"/>
      <c r="R65" s="168"/>
      <c r="S65" s="168"/>
      <c r="T65" s="168"/>
      <c r="U65" s="168"/>
      <c r="V65" s="168"/>
      <c r="W65" s="168"/>
    </row>
    <row r="66" ht="19.5" customHeight="1">
      <c r="A66" s="168"/>
      <c r="B66" s="259" t="s">
        <v>911</v>
      </c>
      <c r="C66" s="168"/>
      <c r="D66" s="168"/>
      <c r="E66" s="168"/>
      <c r="F66" s="168"/>
      <c r="G66" s="168"/>
      <c r="H66" s="168"/>
      <c r="I66" s="168"/>
      <c r="J66" s="168"/>
      <c r="K66" s="168"/>
      <c r="L66" s="260"/>
      <c r="M66" s="168"/>
      <c r="N66" s="168"/>
      <c r="O66" s="168"/>
      <c r="P66" s="168"/>
      <c r="Q66" s="168"/>
      <c r="R66" s="168"/>
      <c r="S66" s="168"/>
      <c r="T66" s="168"/>
      <c r="U66" s="168"/>
      <c r="V66" s="168"/>
      <c r="W66" s="168"/>
    </row>
    <row r="67" ht="75.0" customHeight="1">
      <c r="A67" s="168"/>
      <c r="B67" s="168"/>
      <c r="C67" s="231" t="str">
        <f>"In pursuance of the Environment Protection &amp; Management Law of Liberia, 2003 Part III Sections 8 (1), 13 and based on the Submitted Project Brief and Audit Report for Effluent Discharge, "&amp;$J$8&amp;" is hereby issued this License to discharge treated effluent water as per the applicable Class of the Liberia Water Quality Standards/Guide (1987), Liberia Effluent Guideline Values and IFC Effluent guidelines as indicated below:"</f>
        <v>In pursuance of the Environment Protection &amp; Management Law of Liberia, 2003 Part III Sections 8 (1), 13 and based on the Submitted Project Brief and Audit Report for Effluent Discharge, Tanmay Hardware Center is hereby issued this License to discharge treated effluent water as per the applicable Class of the Liberia Water Quality Standards/Guide (1987), Liberia Effluent Guideline Values and IFC Effluent guidelines as indicated below:</v>
      </c>
      <c r="H67" s="168"/>
      <c r="I67" s="168"/>
      <c r="J67" s="168"/>
      <c r="K67" s="168"/>
      <c r="L67" s="260"/>
      <c r="M67" s="168"/>
      <c r="N67" s="168"/>
      <c r="O67" s="168"/>
      <c r="P67" s="168"/>
      <c r="Q67" s="168"/>
      <c r="R67" s="168"/>
      <c r="S67" s="168"/>
      <c r="T67" s="168"/>
      <c r="U67" s="168"/>
      <c r="V67" s="168"/>
      <c r="W67" s="168"/>
    </row>
    <row r="68" ht="17.25" customHeight="1">
      <c r="A68" s="168"/>
      <c r="B68" s="168"/>
      <c r="C68" s="263" t="s">
        <v>915</v>
      </c>
      <c r="H68" s="168"/>
      <c r="I68" s="168"/>
      <c r="J68" s="168"/>
      <c r="K68" s="168"/>
      <c r="L68" s="260"/>
      <c r="M68" s="168"/>
      <c r="N68" s="168"/>
      <c r="O68" s="168"/>
      <c r="P68" s="168"/>
      <c r="Q68" s="168"/>
      <c r="R68" s="168"/>
      <c r="S68" s="168"/>
      <c r="T68" s="168"/>
      <c r="U68" s="168"/>
      <c r="V68" s="168"/>
      <c r="W68" s="168"/>
    </row>
    <row r="69" ht="18.0" customHeight="1">
      <c r="A69" s="168"/>
      <c r="B69" s="168"/>
      <c r="C69" s="264" t="s">
        <v>460</v>
      </c>
      <c r="D69" s="293"/>
      <c r="E69" s="193"/>
      <c r="F69" s="264" t="s">
        <v>461</v>
      </c>
      <c r="G69" s="193"/>
      <c r="H69" s="168"/>
      <c r="I69" s="168"/>
      <c r="J69" s="168"/>
      <c r="K69" s="168"/>
      <c r="L69" s="260"/>
      <c r="M69" s="168"/>
      <c r="N69" s="168"/>
      <c r="O69" s="168"/>
      <c r="P69" s="168"/>
      <c r="Q69" s="168"/>
      <c r="R69" s="168"/>
      <c r="S69" s="168"/>
      <c r="T69" s="168"/>
      <c r="U69" s="168"/>
      <c r="V69" s="168"/>
      <c r="W69" s="168"/>
    </row>
    <row r="70" ht="15.0" customHeight="1">
      <c r="A70" s="168"/>
      <c r="B70" s="168"/>
      <c r="C70" s="266" t="str">
        <f t="array" ref="C70">IFERROR(INDEX('Licence Effluent'!$F$5:$F$6,MATCH(UPPER($J$4)&amp;"|Source|"&amp;1,'Licence Effluent'!$L$5:$L$6,0))&amp;"","")</f>
        <v/>
      </c>
      <c r="D70" s="293"/>
      <c r="E70" s="193"/>
      <c r="F70" s="266" t="str">
        <f t="array" ref="F70">IFERROR(INDEX('Licence Effluent'!$G$5:$G$6,MATCH(UPPER($J$4)&amp;"|Source|"&amp;1,'Licence Effluent'!$L$5:$L$6,0))&amp;"","")</f>
        <v/>
      </c>
      <c r="G70" s="193"/>
      <c r="H70" s="168"/>
      <c r="I70" s="168"/>
      <c r="J70" s="168"/>
      <c r="K70" s="168"/>
      <c r="L70" s="260" t="str">
        <f t="shared" ref="L70:L75" si="8">IF(C70="","H","")</f>
        <v>H</v>
      </c>
      <c r="M70" s="168"/>
      <c r="N70" s="168"/>
      <c r="O70" s="168"/>
      <c r="P70" s="168"/>
      <c r="Q70" s="168"/>
      <c r="R70" s="168"/>
      <c r="S70" s="168"/>
      <c r="T70" s="168"/>
      <c r="U70" s="168"/>
      <c r="V70" s="168"/>
      <c r="W70" s="168"/>
    </row>
    <row r="71" ht="15.0" customHeight="1">
      <c r="A71" s="168"/>
      <c r="B71" s="168"/>
      <c r="C71" s="266" t="str">
        <f t="array" ref="C71">IFERROR(INDEX('Licence Effluent'!$F$5:$F$6,MATCH(UPPER($J$4)&amp;"|Source|"&amp;2,'Licence Effluent'!$L$5:$L$6,0))&amp;"","")</f>
        <v/>
      </c>
      <c r="D71" s="293"/>
      <c r="E71" s="193"/>
      <c r="F71" s="266" t="str">
        <f t="array" ref="F71">IFERROR(INDEX('Licence Effluent'!$G$5:$G$6,MATCH(UPPER($J$4)&amp;"|Source|"&amp;2,'Licence Effluent'!$L$5:$L$6,0))&amp;"","")</f>
        <v/>
      </c>
      <c r="G71" s="193"/>
      <c r="H71" s="168"/>
      <c r="I71" s="168"/>
      <c r="J71" s="168"/>
      <c r="K71" s="168"/>
      <c r="L71" s="260" t="str">
        <f t="shared" si="8"/>
        <v>H</v>
      </c>
      <c r="M71" s="168"/>
      <c r="N71" s="168"/>
      <c r="O71" s="168"/>
      <c r="P71" s="168"/>
      <c r="Q71" s="168"/>
      <c r="R71" s="168"/>
      <c r="S71" s="168"/>
      <c r="T71" s="168"/>
      <c r="U71" s="168"/>
      <c r="V71" s="168"/>
      <c r="W71" s="168"/>
    </row>
    <row r="72" ht="15.0" customHeight="1">
      <c r="A72" s="168"/>
      <c r="B72" s="168"/>
      <c r="C72" s="266" t="str">
        <f t="array" ref="C72">IFERROR(INDEX('Licence Effluent'!$F$5:$F$6,MATCH(UPPER($J$4)&amp;"|Source|"&amp;3,'Licence Effluent'!$L$5:$L$6,0))&amp;"","")</f>
        <v/>
      </c>
      <c r="D72" s="293"/>
      <c r="E72" s="193"/>
      <c r="F72" s="266" t="str">
        <f t="array" ref="F72">IFERROR(INDEX('Licence Effluent'!$G$5:$G$6,MATCH(UPPER($J$4)&amp;"|Source|"&amp;3,'Licence Effluent'!$L$5:$L$6,0))&amp;"","")</f>
        <v/>
      </c>
      <c r="G72" s="193"/>
      <c r="H72" s="168"/>
      <c r="I72" s="168"/>
      <c r="J72" s="168"/>
      <c r="K72" s="168"/>
      <c r="L72" s="260" t="str">
        <f t="shared" si="8"/>
        <v>H</v>
      </c>
      <c r="M72" s="168"/>
      <c r="N72" s="168"/>
      <c r="O72" s="168"/>
      <c r="P72" s="168"/>
      <c r="Q72" s="168"/>
      <c r="R72" s="168"/>
      <c r="S72" s="168"/>
      <c r="T72" s="168"/>
      <c r="U72" s="168"/>
      <c r="V72" s="168"/>
      <c r="W72" s="168"/>
    </row>
    <row r="73" ht="15.0" customHeight="1">
      <c r="A73" s="168"/>
      <c r="B73" s="168"/>
      <c r="C73" s="266" t="str">
        <f t="array" ref="C73">IFERROR(INDEX('Licence Effluent'!$F$5:$F$6,MATCH(UPPER($J$4)&amp;"|Source|"&amp;4,'Licence Effluent'!$L$5:$L$6,0))&amp;"","")</f>
        <v/>
      </c>
      <c r="D73" s="293"/>
      <c r="E73" s="193"/>
      <c r="F73" s="266" t="str">
        <f t="array" ref="F73">IFERROR(INDEX('Licence Effluent'!$G$5:$G$6,MATCH(UPPER($J$4)&amp;"|Source|"&amp;4,'Licence Effluent'!$L$5:$L$6,0))&amp;"","")</f>
        <v/>
      </c>
      <c r="G73" s="193"/>
      <c r="H73" s="168"/>
      <c r="I73" s="168"/>
      <c r="J73" s="168"/>
      <c r="K73" s="168"/>
      <c r="L73" s="260" t="str">
        <f t="shared" si="8"/>
        <v>H</v>
      </c>
      <c r="M73" s="168"/>
      <c r="N73" s="168"/>
      <c r="O73" s="168"/>
      <c r="P73" s="168"/>
      <c r="Q73" s="168"/>
      <c r="R73" s="168"/>
      <c r="S73" s="168"/>
      <c r="T73" s="168"/>
      <c r="U73" s="168"/>
      <c r="V73" s="168"/>
      <c r="W73" s="168"/>
    </row>
    <row r="74" ht="15.0" customHeight="1">
      <c r="A74" s="168"/>
      <c r="B74" s="168"/>
      <c r="C74" s="266" t="str">
        <f t="array" ref="C74">IFERROR(INDEX('Licence Effluent'!$F$5:$F$6,MATCH(UPPER($J$4)&amp;"|Source|"&amp;5,'Licence Effluent'!$L$5:$L$6,0))&amp;"","")</f>
        <v/>
      </c>
      <c r="D74" s="293"/>
      <c r="E74" s="193"/>
      <c r="F74" s="266" t="str">
        <f t="array" ref="F74">IFERROR(INDEX('Licence Effluent'!$G$5:$G$6,MATCH(UPPER($J$4)&amp;"|Source|"&amp;5,'Licence Effluent'!$L$5:$L$6,0))&amp;"","")</f>
        <v/>
      </c>
      <c r="G74" s="193"/>
      <c r="H74" s="168"/>
      <c r="I74" s="168"/>
      <c r="J74" s="168"/>
      <c r="K74" s="168"/>
      <c r="L74" s="260" t="str">
        <f t="shared" si="8"/>
        <v>H</v>
      </c>
      <c r="M74" s="168"/>
      <c r="N74" s="168"/>
      <c r="O74" s="168"/>
      <c r="P74" s="168"/>
      <c r="Q74" s="168"/>
      <c r="R74" s="168"/>
      <c r="S74" s="168"/>
      <c r="T74" s="168"/>
      <c r="U74" s="168"/>
      <c r="V74" s="168"/>
      <c r="W74" s="168"/>
    </row>
    <row r="75" ht="15.0" customHeight="1">
      <c r="A75" s="168"/>
      <c r="B75" s="168"/>
      <c r="C75" s="266" t="str">
        <f t="array" ref="C75">IFERROR(INDEX('Licence Effluent'!$F$5:$F$6,MATCH(UPPER($J$4)&amp;"|Source|"&amp;6,'Licence Effluent'!$L$5:$L$6,0))&amp;"","")</f>
        <v/>
      </c>
      <c r="D75" s="293"/>
      <c r="E75" s="193"/>
      <c r="F75" s="266" t="str">
        <f t="array" ref="F75">IFERROR(INDEX('Licence Effluent'!$G$5:$G$6,MATCH(UPPER($J$4)&amp;"|Source|"&amp;6,'Licence Effluent'!$L$5:$L$6,0))&amp;"","")</f>
        <v/>
      </c>
      <c r="G75" s="193"/>
      <c r="H75" s="168"/>
      <c r="I75" s="168"/>
      <c r="J75" s="168"/>
      <c r="K75" s="168"/>
      <c r="L75" s="260" t="str">
        <f t="shared" si="8"/>
        <v>H</v>
      </c>
      <c r="M75" s="168"/>
      <c r="N75" s="168"/>
      <c r="O75" s="168"/>
      <c r="P75" s="168"/>
      <c r="Q75" s="168"/>
      <c r="R75" s="168"/>
      <c r="S75" s="168"/>
      <c r="T75" s="168"/>
      <c r="U75" s="168"/>
      <c r="V75" s="168"/>
      <c r="W75" s="168"/>
    </row>
    <row r="76" ht="15.0" customHeight="1">
      <c r="A76" s="168"/>
      <c r="B76" s="168"/>
      <c r="C76" s="168"/>
      <c r="D76" s="168"/>
      <c r="E76" s="168"/>
      <c r="F76" s="168"/>
      <c r="G76" s="168"/>
      <c r="H76" s="168"/>
      <c r="I76" s="168"/>
      <c r="J76" s="168"/>
      <c r="K76" s="168"/>
      <c r="L76" s="260"/>
      <c r="M76" s="168"/>
      <c r="N76" s="168"/>
      <c r="O76" s="168"/>
      <c r="P76" s="168"/>
      <c r="Q76" s="168"/>
      <c r="R76" s="168"/>
      <c r="S76" s="168"/>
      <c r="T76" s="168"/>
      <c r="U76" s="168"/>
      <c r="V76" s="168"/>
      <c r="W76" s="168"/>
    </row>
    <row r="77" ht="19.5" customHeight="1">
      <c r="A77" s="168"/>
      <c r="B77" s="259" t="s">
        <v>933</v>
      </c>
      <c r="C77" s="168"/>
      <c r="D77" s="168"/>
      <c r="E77" s="168"/>
      <c r="F77" s="168"/>
      <c r="G77" s="168"/>
      <c r="H77" s="168"/>
      <c r="I77" s="168"/>
      <c r="J77" s="168"/>
      <c r="K77" s="168"/>
      <c r="L77" s="260"/>
      <c r="M77" s="168"/>
      <c r="N77" s="168"/>
      <c r="O77" s="168"/>
      <c r="P77" s="168"/>
      <c r="Q77" s="168"/>
      <c r="R77" s="168"/>
      <c r="S77" s="168"/>
      <c r="T77" s="168"/>
      <c r="U77" s="168"/>
      <c r="V77" s="168"/>
      <c r="W77" s="168"/>
    </row>
    <row r="78" ht="19.5" customHeight="1">
      <c r="A78" s="168"/>
      <c r="B78" s="298" t="s">
        <v>937</v>
      </c>
      <c r="C78" s="168"/>
      <c r="D78" s="168"/>
      <c r="E78" s="168"/>
      <c r="F78" s="168"/>
      <c r="G78" s="168"/>
      <c r="H78" s="168"/>
      <c r="I78" s="168"/>
      <c r="J78" s="168"/>
      <c r="K78" s="168"/>
      <c r="L78" s="260"/>
      <c r="M78" s="168"/>
      <c r="N78" s="168"/>
      <c r="O78" s="168"/>
      <c r="P78" s="168"/>
      <c r="Q78" s="168"/>
      <c r="R78" s="168"/>
      <c r="S78" s="168"/>
      <c r="T78" s="168"/>
      <c r="U78" s="168"/>
      <c r="V78" s="168"/>
      <c r="W78" s="168"/>
    </row>
    <row r="79" ht="60.75" customHeight="1">
      <c r="A79" s="168"/>
      <c r="B79" s="168"/>
      <c r="C79" s="231" t="str">
        <f>"During the effective period of this license, "&amp;$J$8&amp;" is authorized to discharge its effluent "&amp;IF($J$15="","________",$J$15)&amp;" to "&amp;IF($J$13="","________",$J$13)&amp;IF($J$14="",""," (not exceeding "&amp;$J$14&amp;" m³/day)")&amp;" within the specific limits and subject to the condition set forth herein."</f>
        <v>During the effective period of this license, Tanmay Hardware Center is authorized to discharge its effluent ________ to ________ within the specific limits and subject to the condition set forth herein.</v>
      </c>
      <c r="H79" s="168"/>
      <c r="I79" s="168"/>
      <c r="J79" s="168"/>
      <c r="K79" s="168"/>
      <c r="L79" s="260"/>
      <c r="M79" s="168"/>
      <c r="N79" s="168"/>
      <c r="O79" s="168"/>
      <c r="P79" s="168"/>
      <c r="Q79" s="168"/>
      <c r="R79" s="168"/>
      <c r="S79" s="168"/>
      <c r="T79" s="168"/>
      <c r="U79" s="168"/>
      <c r="V79" s="168"/>
      <c r="W79" s="168"/>
    </row>
    <row r="80" ht="46.5" customHeight="1">
      <c r="A80" s="168"/>
      <c r="B80" s="168"/>
      <c r="C80" s="231" t="s">
        <v>940</v>
      </c>
      <c r="H80" s="168"/>
      <c r="I80" s="168"/>
      <c r="J80" s="168"/>
      <c r="K80" s="168"/>
      <c r="L80" s="260"/>
      <c r="M80" s="168"/>
      <c r="N80" s="168"/>
      <c r="O80" s="168"/>
      <c r="P80" s="168"/>
      <c r="Q80" s="168"/>
      <c r="R80" s="168"/>
      <c r="S80" s="168"/>
      <c r="T80" s="168"/>
      <c r="U80" s="168"/>
      <c r="V80" s="168"/>
      <c r="W80" s="168"/>
    </row>
    <row r="81" ht="19.5" customHeight="1">
      <c r="A81" s="168"/>
      <c r="B81" s="298" t="str">
        <f>IF($N$43="","","3.2   EFFLUENT LIMITATION AND MONITORING"&amp;IF(IF($N$43="(none)","",$N$43)="",""," – "&amp;IF($N$43="(none)","",$N$43)))</f>
        <v/>
      </c>
      <c r="C81" s="168"/>
      <c r="D81" s="168"/>
      <c r="E81" s="168"/>
      <c r="F81" s="168"/>
      <c r="G81" s="168"/>
      <c r="H81" s="168"/>
      <c r="I81" s="168"/>
      <c r="J81" s="168"/>
      <c r="K81" s="168"/>
      <c r="L81" s="260" t="str">
        <f t="shared" ref="L81:L84" si="9">IF($N$43="","H","")</f>
        <v>H</v>
      </c>
      <c r="M81" s="168"/>
      <c r="N81" s="168"/>
      <c r="O81" s="168"/>
      <c r="P81" s="168"/>
      <c r="Q81" s="168"/>
      <c r="R81" s="168"/>
      <c r="S81" s="168"/>
      <c r="T81" s="168"/>
      <c r="U81" s="168"/>
      <c r="V81" s="168"/>
      <c r="W81" s="168"/>
    </row>
    <row r="82" ht="60.75" customHeight="1">
      <c r="A82" s="168"/>
      <c r="B82" s="168"/>
      <c r="C82" s="231" t="str">
        <f>IF($N$43="","",$J$8&amp;" must limit and monitor discharges"&amp;IF(IF($N$43="(none)","",$N$43)="",""," from "&amp;IF($N$43="(none)","",$N$43))&amp;" as specified in Table 3. The figure represents maximum effluent limits unless otherwise indicated. The licensee must comply with the effluent limits in the tables unless otherwise indicated, regardless of the frequency of monitoring or reporting required"," by other provisions of this license.")</f>
        <v>#N/A</v>
      </c>
      <c r="H82" s="168"/>
      <c r="I82" s="168"/>
      <c r="J82" s="168"/>
      <c r="K82" s="168"/>
      <c r="L82" s="260" t="str">
        <f t="shared" si="9"/>
        <v>H</v>
      </c>
      <c r="M82" s="168"/>
      <c r="N82" s="168"/>
      <c r="O82" s="168"/>
      <c r="P82" s="168"/>
      <c r="Q82" s="168"/>
      <c r="R82" s="168"/>
      <c r="S82" s="168"/>
      <c r="T82" s="168"/>
      <c r="U82" s="168"/>
      <c r="V82" s="168"/>
      <c r="W82" s="168"/>
    </row>
    <row r="83" ht="31.5" customHeight="1">
      <c r="A83" s="168"/>
      <c r="B83" s="168"/>
      <c r="C83" s="263" t="str">
        <f>IF($N$43="","","Table 3. "&amp;IF(IF($N$43="(none)","",$N$43)="","Effluent discharge limits","Effluent from "&amp;IF($N$43="(none)","",$N$43)))</f>
        <v/>
      </c>
      <c r="H83" s="168"/>
      <c r="I83" s="168"/>
      <c r="J83" s="168"/>
      <c r="K83" s="168"/>
      <c r="L83" s="260" t="str">
        <f t="shared" si="9"/>
        <v>H</v>
      </c>
      <c r="M83" s="168"/>
      <c r="N83" s="168"/>
      <c r="O83" s="168"/>
      <c r="P83" s="168"/>
      <c r="Q83" s="168"/>
      <c r="R83" s="168"/>
      <c r="S83" s="168"/>
      <c r="T83" s="168"/>
      <c r="U83" s="168"/>
      <c r="V83" s="168"/>
      <c r="W83" s="168"/>
    </row>
    <row r="84" ht="30.0" customHeight="1">
      <c r="A84" s="168"/>
      <c r="B84" s="168"/>
      <c r="C84" s="265" t="s">
        <v>394</v>
      </c>
      <c r="D84" s="265" t="s">
        <v>397</v>
      </c>
      <c r="E84" s="265" t="s">
        <v>945</v>
      </c>
      <c r="F84" s="265" t="s">
        <v>399</v>
      </c>
      <c r="G84" s="265" t="s">
        <v>400</v>
      </c>
      <c r="H84" s="168"/>
      <c r="I84" s="168"/>
      <c r="J84" s="168"/>
      <c r="K84" s="168"/>
      <c r="L84" s="260" t="str">
        <f t="shared" si="9"/>
        <v>H</v>
      </c>
      <c r="M84" s="168"/>
      <c r="N84" s="168"/>
      <c r="O84" s="168"/>
      <c r="P84" s="168"/>
      <c r="Q84" s="168"/>
      <c r="R84" s="168"/>
      <c r="S84" s="168"/>
      <c r="T84" s="168"/>
      <c r="U84" s="168"/>
      <c r="V84" s="168"/>
      <c r="W84" s="168"/>
    </row>
    <row r="85" ht="15.0" customHeight="1">
      <c r="A85" s="168"/>
      <c r="B85" s="168"/>
      <c r="C85" s="299" t="str">
        <f t="array" ref="C85">IFERROR(INDEX('Licence Effluent'!$F$5:$F$6,MATCH(UPPER($J$4)&amp;"|Limit|"&amp;MATCH("1|1",$Q$21:$Q$40,0),'Licence Effluent'!$L$5:$L$6,0))&amp;"","")</f>
        <v/>
      </c>
      <c r="D85" s="267" t="str">
        <f t="array" ref="D85">IFERROR(INDEX('Licence Effluent'!$G$5:$G$6,MATCH(UPPER($J$4)&amp;"|Limit|"&amp;MATCH("1|1",$Q$21:$Q$40,0),'Licence Effluent'!$L$5:$L$6,0))&amp;"","")</f>
        <v/>
      </c>
      <c r="E85" s="267" t="str">
        <f t="array" ref="E85">IFERROR(INDEX('Licence Effluent'!$H$5:$H$6,MATCH(UPPER($J$4)&amp;"|Limit|"&amp;MATCH("1|1",$Q$21:$Q$40,0),'Licence Effluent'!$L$5:$L$6,0))&amp;"","")</f>
        <v/>
      </c>
      <c r="F85" s="267" t="str">
        <f t="array" ref="F85">IFERROR(INDEX('Licence Effluent'!$I$5:$I$6,MATCH(UPPER($J$4)&amp;"|Limit|"&amp;MATCH("1|1",$Q$21:$Q$40,0),'Licence Effluent'!$L$5:$L$6,0))&amp;"","")</f>
        <v/>
      </c>
      <c r="G85" s="267" t="str">
        <f t="array" ref="G85">IFERROR(INDEX('Licence Effluent'!$J$5:$J$6,MATCH(UPPER($J$4)&amp;"|Limit|"&amp;MATCH("1|1",$Q$21:$Q$40,0),'Licence Effluent'!$L$5:$L$6,0))&amp;"","")</f>
        <v/>
      </c>
      <c r="H85" s="168"/>
      <c r="I85" s="168"/>
      <c r="J85" s="168"/>
      <c r="K85" s="168"/>
      <c r="L85" s="260" t="str">
        <f t="shared" ref="L85:L94" si="10">IF(C85="","H","")</f>
        <v>H</v>
      </c>
      <c r="M85" s="168"/>
      <c r="N85" s="168"/>
      <c r="O85" s="168"/>
      <c r="P85" s="168"/>
      <c r="Q85" s="168"/>
      <c r="R85" s="168"/>
      <c r="S85" s="168"/>
      <c r="T85" s="168"/>
      <c r="U85" s="168"/>
      <c r="V85" s="168"/>
      <c r="W85" s="168"/>
    </row>
    <row r="86" ht="15.0" customHeight="1">
      <c r="A86" s="168"/>
      <c r="B86" s="168"/>
      <c r="C86" s="299" t="str">
        <f t="array" ref="C86">IFERROR(INDEX('Licence Effluent'!$F$5:$F$6,MATCH(UPPER($J$4)&amp;"|Limit|"&amp;MATCH("1|2",$Q$21:$Q$40,0),'Licence Effluent'!$L$5:$L$6,0))&amp;"","")</f>
        <v/>
      </c>
      <c r="D86" s="267" t="str">
        <f t="array" ref="D86">IFERROR(INDEX('Licence Effluent'!$G$5:$G$6,MATCH(UPPER($J$4)&amp;"|Limit|"&amp;MATCH("1|2",$Q$21:$Q$40,0),'Licence Effluent'!$L$5:$L$6,0))&amp;"","")</f>
        <v/>
      </c>
      <c r="E86" s="267" t="str">
        <f t="array" ref="E86">IFERROR(INDEX('Licence Effluent'!$H$5:$H$6,MATCH(UPPER($J$4)&amp;"|Limit|"&amp;MATCH("1|2",$Q$21:$Q$40,0),'Licence Effluent'!$L$5:$L$6,0))&amp;"","")</f>
        <v/>
      </c>
      <c r="F86" s="267" t="str">
        <f t="array" ref="F86">IFERROR(INDEX('Licence Effluent'!$I$5:$I$6,MATCH(UPPER($J$4)&amp;"|Limit|"&amp;MATCH("1|2",$Q$21:$Q$40,0),'Licence Effluent'!$L$5:$L$6,0))&amp;"","")</f>
        <v/>
      </c>
      <c r="G86" s="267" t="str">
        <f t="array" ref="G86">IFERROR(INDEX('Licence Effluent'!$J$5:$J$6,MATCH(UPPER($J$4)&amp;"|Limit|"&amp;MATCH("1|2",$Q$21:$Q$40,0),'Licence Effluent'!$L$5:$L$6,0))&amp;"","")</f>
        <v/>
      </c>
      <c r="H86" s="168"/>
      <c r="I86" s="168"/>
      <c r="J86" s="168"/>
      <c r="K86" s="168"/>
      <c r="L86" s="260" t="str">
        <f t="shared" si="10"/>
        <v>H</v>
      </c>
      <c r="M86" s="168"/>
      <c r="N86" s="168"/>
      <c r="O86" s="168"/>
      <c r="P86" s="168"/>
      <c r="Q86" s="168"/>
      <c r="R86" s="168"/>
      <c r="S86" s="168"/>
      <c r="T86" s="168"/>
      <c r="U86" s="168"/>
      <c r="V86" s="168"/>
      <c r="W86" s="168"/>
    </row>
    <row r="87" ht="15.0" customHeight="1">
      <c r="A87" s="168"/>
      <c r="B87" s="168"/>
      <c r="C87" s="299" t="str">
        <f t="array" ref="C87">IFERROR(INDEX('Licence Effluent'!$F$5:$F$6,MATCH(UPPER($J$4)&amp;"|Limit|"&amp;MATCH("1|3",$Q$21:$Q$40,0),'Licence Effluent'!$L$5:$L$6,0))&amp;"","")</f>
        <v/>
      </c>
      <c r="D87" s="267" t="str">
        <f t="array" ref="D87">IFERROR(INDEX('Licence Effluent'!$G$5:$G$6,MATCH(UPPER($J$4)&amp;"|Limit|"&amp;MATCH("1|3",$Q$21:$Q$40,0),'Licence Effluent'!$L$5:$L$6,0))&amp;"","")</f>
        <v/>
      </c>
      <c r="E87" s="267" t="str">
        <f t="array" ref="E87">IFERROR(INDEX('Licence Effluent'!$H$5:$H$6,MATCH(UPPER($J$4)&amp;"|Limit|"&amp;MATCH("1|3",$Q$21:$Q$40,0),'Licence Effluent'!$L$5:$L$6,0))&amp;"","")</f>
        <v/>
      </c>
      <c r="F87" s="267" t="str">
        <f t="array" ref="F87">IFERROR(INDEX('Licence Effluent'!$I$5:$I$6,MATCH(UPPER($J$4)&amp;"|Limit|"&amp;MATCH("1|3",$Q$21:$Q$40,0),'Licence Effluent'!$L$5:$L$6,0))&amp;"","")</f>
        <v/>
      </c>
      <c r="G87" s="267" t="str">
        <f t="array" ref="G87">IFERROR(INDEX('Licence Effluent'!$J$5:$J$6,MATCH(UPPER($J$4)&amp;"|Limit|"&amp;MATCH("1|3",$Q$21:$Q$40,0),'Licence Effluent'!$L$5:$L$6,0))&amp;"","")</f>
        <v/>
      </c>
      <c r="H87" s="168"/>
      <c r="I87" s="168"/>
      <c r="J87" s="168"/>
      <c r="K87" s="168"/>
      <c r="L87" s="260" t="str">
        <f t="shared" si="10"/>
        <v>H</v>
      </c>
      <c r="M87" s="168"/>
      <c r="N87" s="168"/>
      <c r="O87" s="168"/>
      <c r="P87" s="168"/>
      <c r="Q87" s="168"/>
      <c r="R87" s="168"/>
      <c r="S87" s="168"/>
      <c r="T87" s="168"/>
      <c r="U87" s="168"/>
      <c r="V87" s="168"/>
      <c r="W87" s="168"/>
    </row>
    <row r="88" ht="15.0" customHeight="1">
      <c r="A88" s="168"/>
      <c r="B88" s="168"/>
      <c r="C88" s="299" t="str">
        <f t="array" ref="C88">IFERROR(INDEX('Licence Effluent'!$F$5:$F$6,MATCH(UPPER($J$4)&amp;"|Limit|"&amp;MATCH("1|4",$Q$21:$Q$40,0),'Licence Effluent'!$L$5:$L$6,0))&amp;"","")</f>
        <v/>
      </c>
      <c r="D88" s="267" t="str">
        <f t="array" ref="D88">IFERROR(INDEX('Licence Effluent'!$G$5:$G$6,MATCH(UPPER($J$4)&amp;"|Limit|"&amp;MATCH("1|4",$Q$21:$Q$40,0),'Licence Effluent'!$L$5:$L$6,0))&amp;"","")</f>
        <v/>
      </c>
      <c r="E88" s="267" t="str">
        <f t="array" ref="E88">IFERROR(INDEX('Licence Effluent'!$H$5:$H$6,MATCH(UPPER($J$4)&amp;"|Limit|"&amp;MATCH("1|4",$Q$21:$Q$40,0),'Licence Effluent'!$L$5:$L$6,0))&amp;"","")</f>
        <v/>
      </c>
      <c r="F88" s="267" t="str">
        <f t="array" ref="F88">IFERROR(INDEX('Licence Effluent'!$I$5:$I$6,MATCH(UPPER($J$4)&amp;"|Limit|"&amp;MATCH("1|4",$Q$21:$Q$40,0),'Licence Effluent'!$L$5:$L$6,0))&amp;"","")</f>
        <v/>
      </c>
      <c r="G88" s="267" t="str">
        <f t="array" ref="G88">IFERROR(INDEX('Licence Effluent'!$J$5:$J$6,MATCH(UPPER($J$4)&amp;"|Limit|"&amp;MATCH("1|4",$Q$21:$Q$40,0),'Licence Effluent'!$L$5:$L$6,0))&amp;"","")</f>
        <v/>
      </c>
      <c r="H88" s="168"/>
      <c r="I88" s="168"/>
      <c r="J88" s="168"/>
      <c r="K88" s="168"/>
      <c r="L88" s="260" t="str">
        <f t="shared" si="10"/>
        <v>H</v>
      </c>
      <c r="M88" s="168"/>
      <c r="N88" s="168"/>
      <c r="O88" s="168"/>
      <c r="P88" s="168"/>
      <c r="Q88" s="168"/>
      <c r="R88" s="168"/>
      <c r="S88" s="168"/>
      <c r="T88" s="168"/>
      <c r="U88" s="168"/>
      <c r="V88" s="168"/>
      <c r="W88" s="168"/>
    </row>
    <row r="89" ht="15.0" customHeight="1">
      <c r="A89" s="168"/>
      <c r="B89" s="168"/>
      <c r="C89" s="299" t="str">
        <f t="array" ref="C89">IFERROR(INDEX('Licence Effluent'!$F$5:$F$6,MATCH(UPPER($J$4)&amp;"|Limit|"&amp;MATCH("1|5",$Q$21:$Q$40,0),'Licence Effluent'!$L$5:$L$6,0))&amp;"","")</f>
        <v/>
      </c>
      <c r="D89" s="267" t="str">
        <f t="array" ref="D89">IFERROR(INDEX('Licence Effluent'!$G$5:$G$6,MATCH(UPPER($J$4)&amp;"|Limit|"&amp;MATCH("1|5",$Q$21:$Q$40,0),'Licence Effluent'!$L$5:$L$6,0))&amp;"","")</f>
        <v/>
      </c>
      <c r="E89" s="267" t="str">
        <f t="array" ref="E89">IFERROR(INDEX('Licence Effluent'!$H$5:$H$6,MATCH(UPPER($J$4)&amp;"|Limit|"&amp;MATCH("1|5",$Q$21:$Q$40,0),'Licence Effluent'!$L$5:$L$6,0))&amp;"","")</f>
        <v/>
      </c>
      <c r="F89" s="267" t="str">
        <f t="array" ref="F89">IFERROR(INDEX('Licence Effluent'!$I$5:$I$6,MATCH(UPPER($J$4)&amp;"|Limit|"&amp;MATCH("1|5",$Q$21:$Q$40,0),'Licence Effluent'!$L$5:$L$6,0))&amp;"","")</f>
        <v/>
      </c>
      <c r="G89" s="267" t="str">
        <f t="array" ref="G89">IFERROR(INDEX('Licence Effluent'!$J$5:$J$6,MATCH(UPPER($J$4)&amp;"|Limit|"&amp;MATCH("1|5",$Q$21:$Q$40,0),'Licence Effluent'!$L$5:$L$6,0))&amp;"","")</f>
        <v/>
      </c>
      <c r="H89" s="168"/>
      <c r="I89" s="168"/>
      <c r="J89" s="168"/>
      <c r="K89" s="168"/>
      <c r="L89" s="260" t="str">
        <f t="shared" si="10"/>
        <v>H</v>
      </c>
      <c r="M89" s="168"/>
      <c r="N89" s="168"/>
      <c r="O89" s="168"/>
      <c r="P89" s="168"/>
      <c r="Q89" s="168"/>
      <c r="R89" s="168"/>
      <c r="S89" s="168"/>
      <c r="T89" s="168"/>
      <c r="U89" s="168"/>
      <c r="V89" s="168"/>
      <c r="W89" s="168"/>
    </row>
    <row r="90" ht="15.0" customHeight="1">
      <c r="A90" s="168"/>
      <c r="B90" s="168"/>
      <c r="C90" s="299" t="str">
        <f t="array" ref="C90">IFERROR(INDEX('Licence Effluent'!$F$5:$F$6,MATCH(UPPER($J$4)&amp;"|Limit|"&amp;MATCH("1|6",$Q$21:$Q$40,0),'Licence Effluent'!$L$5:$L$6,0))&amp;"","")</f>
        <v/>
      </c>
      <c r="D90" s="267" t="str">
        <f t="array" ref="D90">IFERROR(INDEX('Licence Effluent'!$G$5:$G$6,MATCH(UPPER($J$4)&amp;"|Limit|"&amp;MATCH("1|6",$Q$21:$Q$40,0),'Licence Effluent'!$L$5:$L$6,0))&amp;"","")</f>
        <v/>
      </c>
      <c r="E90" s="267" t="str">
        <f t="array" ref="E90">IFERROR(INDEX('Licence Effluent'!$H$5:$H$6,MATCH(UPPER($J$4)&amp;"|Limit|"&amp;MATCH("1|6",$Q$21:$Q$40,0),'Licence Effluent'!$L$5:$L$6,0))&amp;"","")</f>
        <v/>
      </c>
      <c r="F90" s="267" t="str">
        <f t="array" ref="F90">IFERROR(INDEX('Licence Effluent'!$I$5:$I$6,MATCH(UPPER($J$4)&amp;"|Limit|"&amp;MATCH("1|6",$Q$21:$Q$40,0),'Licence Effluent'!$L$5:$L$6,0))&amp;"","")</f>
        <v/>
      </c>
      <c r="G90" s="267" t="str">
        <f t="array" ref="G90">IFERROR(INDEX('Licence Effluent'!$J$5:$J$6,MATCH(UPPER($J$4)&amp;"|Limit|"&amp;MATCH("1|6",$Q$21:$Q$40,0),'Licence Effluent'!$L$5:$L$6,0))&amp;"","")</f>
        <v/>
      </c>
      <c r="H90" s="168"/>
      <c r="I90" s="168"/>
      <c r="J90" s="168"/>
      <c r="K90" s="168"/>
      <c r="L90" s="260" t="str">
        <f t="shared" si="10"/>
        <v>H</v>
      </c>
      <c r="M90" s="168"/>
      <c r="N90" s="168"/>
      <c r="O90" s="168"/>
      <c r="P90" s="168"/>
      <c r="Q90" s="168"/>
      <c r="R90" s="168"/>
      <c r="S90" s="168"/>
      <c r="T90" s="168"/>
      <c r="U90" s="168"/>
      <c r="V90" s="168"/>
      <c r="W90" s="168"/>
    </row>
    <row r="91" ht="15.0" customHeight="1">
      <c r="A91" s="168"/>
      <c r="B91" s="168"/>
      <c r="C91" s="299" t="str">
        <f t="array" ref="C91">IFERROR(INDEX('Licence Effluent'!$F$5:$F$6,MATCH(UPPER($J$4)&amp;"|Limit|"&amp;MATCH("1|7",$Q$21:$Q$40,0),'Licence Effluent'!$L$5:$L$6,0))&amp;"","")</f>
        <v/>
      </c>
      <c r="D91" s="267" t="str">
        <f t="array" ref="D91">IFERROR(INDEX('Licence Effluent'!$G$5:$G$6,MATCH(UPPER($J$4)&amp;"|Limit|"&amp;MATCH("1|7",$Q$21:$Q$40,0),'Licence Effluent'!$L$5:$L$6,0))&amp;"","")</f>
        <v/>
      </c>
      <c r="E91" s="267" t="str">
        <f t="array" ref="E91">IFERROR(INDEX('Licence Effluent'!$H$5:$H$6,MATCH(UPPER($J$4)&amp;"|Limit|"&amp;MATCH("1|7",$Q$21:$Q$40,0),'Licence Effluent'!$L$5:$L$6,0))&amp;"","")</f>
        <v/>
      </c>
      <c r="F91" s="267" t="str">
        <f t="array" ref="F91">IFERROR(INDEX('Licence Effluent'!$I$5:$I$6,MATCH(UPPER($J$4)&amp;"|Limit|"&amp;MATCH("1|7",$Q$21:$Q$40,0),'Licence Effluent'!$L$5:$L$6,0))&amp;"","")</f>
        <v/>
      </c>
      <c r="G91" s="267" t="str">
        <f t="array" ref="G91">IFERROR(INDEX('Licence Effluent'!$J$5:$J$6,MATCH(UPPER($J$4)&amp;"|Limit|"&amp;MATCH("1|7",$Q$21:$Q$40,0),'Licence Effluent'!$L$5:$L$6,0))&amp;"","")</f>
        <v/>
      </c>
      <c r="H91" s="168"/>
      <c r="I91" s="168"/>
      <c r="J91" s="168"/>
      <c r="K91" s="168"/>
      <c r="L91" s="260" t="str">
        <f t="shared" si="10"/>
        <v>H</v>
      </c>
      <c r="M91" s="168"/>
      <c r="N91" s="168"/>
      <c r="O91" s="168"/>
      <c r="P91" s="168"/>
      <c r="Q91" s="168"/>
      <c r="R91" s="168"/>
      <c r="S91" s="168"/>
      <c r="T91" s="168"/>
      <c r="U91" s="168"/>
      <c r="V91" s="168"/>
      <c r="W91" s="168"/>
    </row>
    <row r="92" ht="15.0" customHeight="1">
      <c r="A92" s="168"/>
      <c r="B92" s="168"/>
      <c r="C92" s="299" t="str">
        <f t="array" ref="C92">IFERROR(INDEX('Licence Effluent'!$F$5:$F$6,MATCH(UPPER($J$4)&amp;"|Limit|"&amp;MATCH("1|8",$Q$21:$Q$40,0),'Licence Effluent'!$L$5:$L$6,0))&amp;"","")</f>
        <v/>
      </c>
      <c r="D92" s="267" t="str">
        <f t="array" ref="D92">IFERROR(INDEX('Licence Effluent'!$G$5:$G$6,MATCH(UPPER($J$4)&amp;"|Limit|"&amp;MATCH("1|8",$Q$21:$Q$40,0),'Licence Effluent'!$L$5:$L$6,0))&amp;"","")</f>
        <v/>
      </c>
      <c r="E92" s="267" t="str">
        <f t="array" ref="E92">IFERROR(INDEX('Licence Effluent'!$H$5:$H$6,MATCH(UPPER($J$4)&amp;"|Limit|"&amp;MATCH("1|8",$Q$21:$Q$40,0),'Licence Effluent'!$L$5:$L$6,0))&amp;"","")</f>
        <v/>
      </c>
      <c r="F92" s="267" t="str">
        <f t="array" ref="F92">IFERROR(INDEX('Licence Effluent'!$I$5:$I$6,MATCH(UPPER($J$4)&amp;"|Limit|"&amp;MATCH("1|8",$Q$21:$Q$40,0),'Licence Effluent'!$L$5:$L$6,0))&amp;"","")</f>
        <v/>
      </c>
      <c r="G92" s="267" t="str">
        <f t="array" ref="G92">IFERROR(INDEX('Licence Effluent'!$J$5:$J$6,MATCH(UPPER($J$4)&amp;"|Limit|"&amp;MATCH("1|8",$Q$21:$Q$40,0),'Licence Effluent'!$L$5:$L$6,0))&amp;"","")</f>
        <v/>
      </c>
      <c r="H92" s="168"/>
      <c r="I92" s="168"/>
      <c r="J92" s="168"/>
      <c r="K92" s="168"/>
      <c r="L92" s="260" t="str">
        <f t="shared" si="10"/>
        <v>H</v>
      </c>
      <c r="M92" s="168"/>
      <c r="N92" s="168"/>
      <c r="O92" s="168"/>
      <c r="P92" s="168"/>
      <c r="Q92" s="168"/>
      <c r="R92" s="168"/>
      <c r="S92" s="168"/>
      <c r="T92" s="168"/>
      <c r="U92" s="168"/>
      <c r="V92" s="168"/>
      <c r="W92" s="168"/>
    </row>
    <row r="93" ht="15.0" customHeight="1">
      <c r="A93" s="168"/>
      <c r="B93" s="168"/>
      <c r="C93" s="299" t="str">
        <f t="array" ref="C93">IFERROR(INDEX('Licence Effluent'!$F$5:$F$6,MATCH(UPPER($J$4)&amp;"|Limit|"&amp;MATCH("1|9",$Q$21:$Q$40,0),'Licence Effluent'!$L$5:$L$6,0))&amp;"","")</f>
        <v/>
      </c>
      <c r="D93" s="267" t="str">
        <f t="array" ref="D93">IFERROR(INDEX('Licence Effluent'!$G$5:$G$6,MATCH(UPPER($J$4)&amp;"|Limit|"&amp;MATCH("1|9",$Q$21:$Q$40,0),'Licence Effluent'!$L$5:$L$6,0))&amp;"","")</f>
        <v/>
      </c>
      <c r="E93" s="267" t="str">
        <f t="array" ref="E93">IFERROR(INDEX('Licence Effluent'!$H$5:$H$6,MATCH(UPPER($J$4)&amp;"|Limit|"&amp;MATCH("1|9",$Q$21:$Q$40,0),'Licence Effluent'!$L$5:$L$6,0))&amp;"","")</f>
        <v/>
      </c>
      <c r="F93" s="267" t="str">
        <f t="array" ref="F93">IFERROR(INDEX('Licence Effluent'!$I$5:$I$6,MATCH(UPPER($J$4)&amp;"|Limit|"&amp;MATCH("1|9",$Q$21:$Q$40,0),'Licence Effluent'!$L$5:$L$6,0))&amp;"","")</f>
        <v/>
      </c>
      <c r="G93" s="267" t="str">
        <f t="array" ref="G93">IFERROR(INDEX('Licence Effluent'!$J$5:$J$6,MATCH(UPPER($J$4)&amp;"|Limit|"&amp;MATCH("1|9",$Q$21:$Q$40,0),'Licence Effluent'!$L$5:$L$6,0))&amp;"","")</f>
        <v/>
      </c>
      <c r="H93" s="168"/>
      <c r="I93" s="168"/>
      <c r="J93" s="168"/>
      <c r="K93" s="168"/>
      <c r="L93" s="260" t="str">
        <f t="shared" si="10"/>
        <v>H</v>
      </c>
      <c r="M93" s="168"/>
      <c r="N93" s="168"/>
      <c r="O93" s="168"/>
      <c r="P93" s="168"/>
      <c r="Q93" s="168"/>
      <c r="R93" s="168"/>
      <c r="S93" s="168"/>
      <c r="T93" s="168"/>
      <c r="U93" s="168"/>
      <c r="V93" s="168"/>
      <c r="W93" s="168"/>
    </row>
    <row r="94" ht="15.0" customHeight="1">
      <c r="A94" s="168"/>
      <c r="B94" s="168"/>
      <c r="C94" s="299" t="str">
        <f t="array" ref="C94">IFERROR(INDEX('Licence Effluent'!$F$5:$F$6,MATCH(UPPER($J$4)&amp;"|Limit|"&amp;MATCH("1|10",$Q$21:$Q$40,0),'Licence Effluent'!$L$5:$L$6,0))&amp;"","")</f>
        <v/>
      </c>
      <c r="D94" s="267" t="str">
        <f t="array" ref="D94">IFERROR(INDEX('Licence Effluent'!$G$5:$G$6,MATCH(UPPER($J$4)&amp;"|Limit|"&amp;MATCH("1|10",$Q$21:$Q$40,0),'Licence Effluent'!$L$5:$L$6,0))&amp;"","")</f>
        <v/>
      </c>
      <c r="E94" s="267" t="str">
        <f t="array" ref="E94">IFERROR(INDEX('Licence Effluent'!$H$5:$H$6,MATCH(UPPER($J$4)&amp;"|Limit|"&amp;MATCH("1|10",$Q$21:$Q$40,0),'Licence Effluent'!$L$5:$L$6,0))&amp;"","")</f>
        <v/>
      </c>
      <c r="F94" s="267" t="str">
        <f t="array" ref="F94">IFERROR(INDEX('Licence Effluent'!$I$5:$I$6,MATCH(UPPER($J$4)&amp;"|Limit|"&amp;MATCH("1|10",$Q$21:$Q$40,0),'Licence Effluent'!$L$5:$L$6,0))&amp;"","")</f>
        <v/>
      </c>
      <c r="G94" s="267" t="str">
        <f t="array" ref="G94">IFERROR(INDEX('Licence Effluent'!$J$5:$J$6,MATCH(UPPER($J$4)&amp;"|Limit|"&amp;MATCH("1|10",$Q$21:$Q$40,0),'Licence Effluent'!$L$5:$L$6,0))&amp;"","")</f>
        <v/>
      </c>
      <c r="H94" s="168"/>
      <c r="I94" s="168"/>
      <c r="J94" s="168"/>
      <c r="K94" s="168"/>
      <c r="L94" s="260" t="str">
        <f t="shared" si="10"/>
        <v>H</v>
      </c>
      <c r="M94" s="168"/>
      <c r="N94" s="168"/>
      <c r="O94" s="168"/>
      <c r="P94" s="168"/>
      <c r="Q94" s="168"/>
      <c r="R94" s="168"/>
      <c r="S94" s="168"/>
      <c r="T94" s="168"/>
      <c r="U94" s="168"/>
      <c r="V94" s="168"/>
      <c r="W94" s="168"/>
    </row>
    <row r="95" ht="15.0" customHeight="1">
      <c r="A95" s="168"/>
      <c r="B95" s="168"/>
      <c r="C95" s="168"/>
      <c r="D95" s="168"/>
      <c r="E95" s="168"/>
      <c r="F95" s="168"/>
      <c r="G95" s="168"/>
      <c r="H95" s="168"/>
      <c r="I95" s="168"/>
      <c r="J95" s="168"/>
      <c r="K95" s="168"/>
      <c r="L95" s="260" t="str">
        <f>IF($N$43="","H","")</f>
        <v>H</v>
      </c>
      <c r="M95" s="168"/>
      <c r="N95" s="168"/>
      <c r="O95" s="168"/>
      <c r="P95" s="168"/>
      <c r="Q95" s="168"/>
      <c r="R95" s="168"/>
      <c r="S95" s="168"/>
      <c r="T95" s="168"/>
      <c r="U95" s="168"/>
      <c r="V95" s="168"/>
      <c r="W95" s="168"/>
    </row>
    <row r="96" ht="19.5" customHeight="1">
      <c r="A96" s="168"/>
      <c r="B96" s="298" t="str">
        <f>IF($N$44="","","3.3   EFFLUENT LIMITATION AND MONITORING"&amp;IF(IF($N$44="(none)","",$N$44)="",""," – "&amp;IF($N$44="(none)","",$N$44)))</f>
        <v/>
      </c>
      <c r="C96" s="168"/>
      <c r="D96" s="168"/>
      <c r="E96" s="168"/>
      <c r="F96" s="168"/>
      <c r="G96" s="168"/>
      <c r="H96" s="168"/>
      <c r="I96" s="168"/>
      <c r="J96" s="168"/>
      <c r="K96" s="168"/>
      <c r="L96" s="260" t="str">
        <f t="shared" ref="L96:L99" si="11">IF($N$44="","H","")</f>
        <v>H</v>
      </c>
      <c r="M96" s="168"/>
      <c r="N96" s="168"/>
      <c r="O96" s="168"/>
      <c r="P96" s="168"/>
      <c r="Q96" s="168"/>
      <c r="R96" s="168"/>
      <c r="S96" s="168"/>
      <c r="T96" s="168"/>
      <c r="U96" s="168"/>
      <c r="V96" s="168"/>
      <c r="W96" s="168"/>
    </row>
    <row r="97" ht="60.75" customHeight="1">
      <c r="A97" s="168"/>
      <c r="B97" s="168"/>
      <c r="C97" s="231" t="str">
        <f>IF($N$44="","",$J$8&amp;" must limit and monitor discharges"&amp;IF(IF($N$44="(none)","",$N$44)="",""," from "&amp;IF($N$44="(none)","",$N$44))&amp;" as specified in Table 4. The figure represents maximum effluent limits unless otherwise indicated. The licensee must comply with the effluent limits in the tables unless otherwise indicated, regardless of the frequency of monitoring or reporting required"," by other provisions of this license.")</f>
        <v>#N/A</v>
      </c>
      <c r="H97" s="168"/>
      <c r="I97" s="168"/>
      <c r="J97" s="168"/>
      <c r="K97" s="168"/>
      <c r="L97" s="260" t="str">
        <f t="shared" si="11"/>
        <v>H</v>
      </c>
      <c r="M97" s="168"/>
      <c r="N97" s="168"/>
      <c r="O97" s="168"/>
      <c r="P97" s="168"/>
      <c r="Q97" s="168"/>
      <c r="R97" s="168"/>
      <c r="S97" s="168"/>
      <c r="T97" s="168"/>
      <c r="U97" s="168"/>
      <c r="V97" s="168"/>
      <c r="W97" s="168"/>
    </row>
    <row r="98" ht="31.5" customHeight="1">
      <c r="A98" s="168"/>
      <c r="B98" s="168"/>
      <c r="C98" s="263" t="str">
        <f>IF($N$44="","","Table 4. "&amp;IF(IF($N$44="(none)","",$N$44)="","Effluent discharge limits","Effluent from "&amp;IF($N$44="(none)","",$N$44)))</f>
        <v/>
      </c>
      <c r="H98" s="168"/>
      <c r="I98" s="168"/>
      <c r="J98" s="168"/>
      <c r="K98" s="168"/>
      <c r="L98" s="260" t="str">
        <f t="shared" si="11"/>
        <v>H</v>
      </c>
      <c r="M98" s="168"/>
      <c r="N98" s="168"/>
      <c r="O98" s="168"/>
      <c r="P98" s="168"/>
      <c r="Q98" s="168"/>
      <c r="R98" s="168"/>
      <c r="S98" s="168"/>
      <c r="T98" s="168"/>
      <c r="U98" s="168"/>
      <c r="V98" s="168"/>
      <c r="W98" s="168"/>
    </row>
    <row r="99" ht="30.0" customHeight="1">
      <c r="A99" s="168"/>
      <c r="B99" s="168"/>
      <c r="C99" s="265" t="s">
        <v>394</v>
      </c>
      <c r="D99" s="265" t="s">
        <v>397</v>
      </c>
      <c r="E99" s="265" t="s">
        <v>945</v>
      </c>
      <c r="F99" s="265" t="s">
        <v>399</v>
      </c>
      <c r="G99" s="265" t="s">
        <v>400</v>
      </c>
      <c r="H99" s="168"/>
      <c r="I99" s="168"/>
      <c r="J99" s="168"/>
      <c r="K99" s="168"/>
      <c r="L99" s="260" t="str">
        <f t="shared" si="11"/>
        <v>H</v>
      </c>
      <c r="M99" s="168"/>
      <c r="N99" s="168"/>
      <c r="O99" s="168"/>
      <c r="P99" s="168"/>
      <c r="Q99" s="168"/>
      <c r="R99" s="168"/>
      <c r="S99" s="168"/>
      <c r="T99" s="168"/>
      <c r="U99" s="168"/>
      <c r="V99" s="168"/>
      <c r="W99" s="168"/>
    </row>
    <row r="100" ht="15.0" customHeight="1">
      <c r="A100" s="168"/>
      <c r="B100" s="168"/>
      <c r="C100" s="299" t="str">
        <f t="array" ref="C100">IFERROR(INDEX('Licence Effluent'!$F$5:$F$6,MATCH(UPPER($J$4)&amp;"|Limit|"&amp;MATCH("2|1",$Q$21:$Q$40,0),'Licence Effluent'!$L$5:$L$6,0))&amp;"","")</f>
        <v/>
      </c>
      <c r="D100" s="267" t="str">
        <f t="array" ref="D100">IFERROR(INDEX('Licence Effluent'!$G$5:$G$6,MATCH(UPPER($J$4)&amp;"|Limit|"&amp;MATCH("2|1",$Q$21:$Q$40,0),'Licence Effluent'!$L$5:$L$6,0))&amp;"","")</f>
        <v/>
      </c>
      <c r="E100" s="267" t="str">
        <f t="array" ref="E100">IFERROR(INDEX('Licence Effluent'!$H$5:$H$6,MATCH(UPPER($J$4)&amp;"|Limit|"&amp;MATCH("2|1",$Q$21:$Q$40,0),'Licence Effluent'!$L$5:$L$6,0))&amp;"","")</f>
        <v/>
      </c>
      <c r="F100" s="267" t="str">
        <f t="array" ref="F100">IFERROR(INDEX('Licence Effluent'!$I$5:$I$6,MATCH(UPPER($J$4)&amp;"|Limit|"&amp;MATCH("2|1",$Q$21:$Q$40,0),'Licence Effluent'!$L$5:$L$6,0))&amp;"","")</f>
        <v/>
      </c>
      <c r="G100" s="267" t="str">
        <f t="array" ref="G100">IFERROR(INDEX('Licence Effluent'!$J$5:$J$6,MATCH(UPPER($J$4)&amp;"|Limit|"&amp;MATCH("2|1",$Q$21:$Q$40,0),'Licence Effluent'!$L$5:$L$6,0))&amp;"","")</f>
        <v/>
      </c>
      <c r="H100" s="168"/>
      <c r="I100" s="168"/>
      <c r="J100" s="168"/>
      <c r="K100" s="168"/>
      <c r="L100" s="260" t="str">
        <f t="shared" ref="L100:L109" si="12">IF(C100="","H","")</f>
        <v>H</v>
      </c>
      <c r="M100" s="168"/>
      <c r="N100" s="168"/>
      <c r="O100" s="168"/>
      <c r="P100" s="168"/>
      <c r="Q100" s="168"/>
      <c r="R100" s="168"/>
      <c r="S100" s="168"/>
      <c r="T100" s="168"/>
      <c r="U100" s="168"/>
      <c r="V100" s="168"/>
      <c r="W100" s="168"/>
    </row>
    <row r="101" ht="15.0" customHeight="1">
      <c r="A101" s="168"/>
      <c r="B101" s="168"/>
      <c r="C101" s="299" t="str">
        <f t="array" ref="C101">IFERROR(INDEX('Licence Effluent'!$F$5:$F$6,MATCH(UPPER($J$4)&amp;"|Limit|"&amp;MATCH("2|2",$Q$21:$Q$40,0),'Licence Effluent'!$L$5:$L$6,0))&amp;"","")</f>
        <v/>
      </c>
      <c r="D101" s="267" t="str">
        <f t="array" ref="D101">IFERROR(INDEX('Licence Effluent'!$G$5:$G$6,MATCH(UPPER($J$4)&amp;"|Limit|"&amp;MATCH("2|2",$Q$21:$Q$40,0),'Licence Effluent'!$L$5:$L$6,0))&amp;"","")</f>
        <v/>
      </c>
      <c r="E101" s="267" t="str">
        <f t="array" ref="E101">IFERROR(INDEX('Licence Effluent'!$H$5:$H$6,MATCH(UPPER($J$4)&amp;"|Limit|"&amp;MATCH("2|2",$Q$21:$Q$40,0),'Licence Effluent'!$L$5:$L$6,0))&amp;"","")</f>
        <v/>
      </c>
      <c r="F101" s="267" t="str">
        <f t="array" ref="F101">IFERROR(INDEX('Licence Effluent'!$I$5:$I$6,MATCH(UPPER($J$4)&amp;"|Limit|"&amp;MATCH("2|2",$Q$21:$Q$40,0),'Licence Effluent'!$L$5:$L$6,0))&amp;"","")</f>
        <v/>
      </c>
      <c r="G101" s="267" t="str">
        <f t="array" ref="G101">IFERROR(INDEX('Licence Effluent'!$J$5:$J$6,MATCH(UPPER($J$4)&amp;"|Limit|"&amp;MATCH("2|2",$Q$21:$Q$40,0),'Licence Effluent'!$L$5:$L$6,0))&amp;"","")</f>
        <v/>
      </c>
      <c r="H101" s="168"/>
      <c r="I101" s="168"/>
      <c r="J101" s="168"/>
      <c r="K101" s="168"/>
      <c r="L101" s="260" t="str">
        <f t="shared" si="12"/>
        <v>H</v>
      </c>
      <c r="M101" s="168"/>
      <c r="N101" s="168"/>
      <c r="O101" s="168"/>
      <c r="P101" s="168"/>
      <c r="Q101" s="168"/>
      <c r="R101" s="168"/>
      <c r="S101" s="168"/>
      <c r="T101" s="168"/>
      <c r="U101" s="168"/>
      <c r="V101" s="168"/>
      <c r="W101" s="168"/>
    </row>
    <row r="102" ht="15.0" customHeight="1">
      <c r="A102" s="168"/>
      <c r="B102" s="168"/>
      <c r="C102" s="299" t="str">
        <f t="array" ref="C102">IFERROR(INDEX('Licence Effluent'!$F$5:$F$6,MATCH(UPPER($J$4)&amp;"|Limit|"&amp;MATCH("2|3",$Q$21:$Q$40,0),'Licence Effluent'!$L$5:$L$6,0))&amp;"","")</f>
        <v/>
      </c>
      <c r="D102" s="267" t="str">
        <f t="array" ref="D102">IFERROR(INDEX('Licence Effluent'!$G$5:$G$6,MATCH(UPPER($J$4)&amp;"|Limit|"&amp;MATCH("2|3",$Q$21:$Q$40,0),'Licence Effluent'!$L$5:$L$6,0))&amp;"","")</f>
        <v/>
      </c>
      <c r="E102" s="267" t="str">
        <f t="array" ref="E102">IFERROR(INDEX('Licence Effluent'!$H$5:$H$6,MATCH(UPPER($J$4)&amp;"|Limit|"&amp;MATCH("2|3",$Q$21:$Q$40,0),'Licence Effluent'!$L$5:$L$6,0))&amp;"","")</f>
        <v/>
      </c>
      <c r="F102" s="267" t="str">
        <f t="array" ref="F102">IFERROR(INDEX('Licence Effluent'!$I$5:$I$6,MATCH(UPPER($J$4)&amp;"|Limit|"&amp;MATCH("2|3",$Q$21:$Q$40,0),'Licence Effluent'!$L$5:$L$6,0))&amp;"","")</f>
        <v/>
      </c>
      <c r="G102" s="267" t="str">
        <f t="array" ref="G102">IFERROR(INDEX('Licence Effluent'!$J$5:$J$6,MATCH(UPPER($J$4)&amp;"|Limit|"&amp;MATCH("2|3",$Q$21:$Q$40,0),'Licence Effluent'!$L$5:$L$6,0))&amp;"","")</f>
        <v/>
      </c>
      <c r="H102" s="168"/>
      <c r="I102" s="168"/>
      <c r="J102" s="168"/>
      <c r="K102" s="168"/>
      <c r="L102" s="260" t="str">
        <f t="shared" si="12"/>
        <v>H</v>
      </c>
      <c r="M102" s="168"/>
      <c r="N102" s="168"/>
      <c r="O102" s="168"/>
      <c r="P102" s="168"/>
      <c r="Q102" s="168"/>
      <c r="R102" s="168"/>
      <c r="S102" s="168"/>
      <c r="T102" s="168"/>
      <c r="U102" s="168"/>
      <c r="V102" s="168"/>
      <c r="W102" s="168"/>
    </row>
    <row r="103" ht="15.0" customHeight="1">
      <c r="A103" s="168"/>
      <c r="B103" s="168"/>
      <c r="C103" s="299" t="str">
        <f t="array" ref="C103">IFERROR(INDEX('Licence Effluent'!$F$5:$F$6,MATCH(UPPER($J$4)&amp;"|Limit|"&amp;MATCH("2|4",$Q$21:$Q$40,0),'Licence Effluent'!$L$5:$L$6,0))&amp;"","")</f>
        <v/>
      </c>
      <c r="D103" s="267" t="str">
        <f t="array" ref="D103">IFERROR(INDEX('Licence Effluent'!$G$5:$G$6,MATCH(UPPER($J$4)&amp;"|Limit|"&amp;MATCH("2|4",$Q$21:$Q$40,0),'Licence Effluent'!$L$5:$L$6,0))&amp;"","")</f>
        <v/>
      </c>
      <c r="E103" s="267" t="str">
        <f t="array" ref="E103">IFERROR(INDEX('Licence Effluent'!$H$5:$H$6,MATCH(UPPER($J$4)&amp;"|Limit|"&amp;MATCH("2|4",$Q$21:$Q$40,0),'Licence Effluent'!$L$5:$L$6,0))&amp;"","")</f>
        <v/>
      </c>
      <c r="F103" s="267" t="str">
        <f t="array" ref="F103">IFERROR(INDEX('Licence Effluent'!$I$5:$I$6,MATCH(UPPER($J$4)&amp;"|Limit|"&amp;MATCH("2|4",$Q$21:$Q$40,0),'Licence Effluent'!$L$5:$L$6,0))&amp;"","")</f>
        <v/>
      </c>
      <c r="G103" s="267" t="str">
        <f t="array" ref="G103">IFERROR(INDEX('Licence Effluent'!$J$5:$J$6,MATCH(UPPER($J$4)&amp;"|Limit|"&amp;MATCH("2|4",$Q$21:$Q$40,0),'Licence Effluent'!$L$5:$L$6,0))&amp;"","")</f>
        <v/>
      </c>
      <c r="H103" s="168"/>
      <c r="I103" s="168"/>
      <c r="J103" s="168"/>
      <c r="K103" s="168"/>
      <c r="L103" s="260" t="str">
        <f t="shared" si="12"/>
        <v>H</v>
      </c>
      <c r="M103" s="168"/>
      <c r="N103" s="168"/>
      <c r="O103" s="168"/>
      <c r="P103" s="168"/>
      <c r="Q103" s="168"/>
      <c r="R103" s="168"/>
      <c r="S103" s="168"/>
      <c r="T103" s="168"/>
      <c r="U103" s="168"/>
      <c r="V103" s="168"/>
      <c r="W103" s="168"/>
    </row>
    <row r="104" ht="15.0" customHeight="1">
      <c r="A104" s="168"/>
      <c r="B104" s="168"/>
      <c r="C104" s="299" t="str">
        <f t="array" ref="C104">IFERROR(INDEX('Licence Effluent'!$F$5:$F$6,MATCH(UPPER($J$4)&amp;"|Limit|"&amp;MATCH("2|5",$Q$21:$Q$40,0),'Licence Effluent'!$L$5:$L$6,0))&amp;"","")</f>
        <v/>
      </c>
      <c r="D104" s="267" t="str">
        <f t="array" ref="D104">IFERROR(INDEX('Licence Effluent'!$G$5:$G$6,MATCH(UPPER($J$4)&amp;"|Limit|"&amp;MATCH("2|5",$Q$21:$Q$40,0),'Licence Effluent'!$L$5:$L$6,0))&amp;"","")</f>
        <v/>
      </c>
      <c r="E104" s="267" t="str">
        <f t="array" ref="E104">IFERROR(INDEX('Licence Effluent'!$H$5:$H$6,MATCH(UPPER($J$4)&amp;"|Limit|"&amp;MATCH("2|5",$Q$21:$Q$40,0),'Licence Effluent'!$L$5:$L$6,0))&amp;"","")</f>
        <v/>
      </c>
      <c r="F104" s="267" t="str">
        <f t="array" ref="F104">IFERROR(INDEX('Licence Effluent'!$I$5:$I$6,MATCH(UPPER($J$4)&amp;"|Limit|"&amp;MATCH("2|5",$Q$21:$Q$40,0),'Licence Effluent'!$L$5:$L$6,0))&amp;"","")</f>
        <v/>
      </c>
      <c r="G104" s="267" t="str">
        <f t="array" ref="G104">IFERROR(INDEX('Licence Effluent'!$J$5:$J$6,MATCH(UPPER($J$4)&amp;"|Limit|"&amp;MATCH("2|5",$Q$21:$Q$40,0),'Licence Effluent'!$L$5:$L$6,0))&amp;"","")</f>
        <v/>
      </c>
      <c r="H104" s="168"/>
      <c r="I104" s="168"/>
      <c r="J104" s="168"/>
      <c r="K104" s="168"/>
      <c r="L104" s="260" t="str">
        <f t="shared" si="12"/>
        <v>H</v>
      </c>
      <c r="M104" s="168"/>
      <c r="N104" s="168"/>
      <c r="O104" s="168"/>
      <c r="P104" s="168"/>
      <c r="Q104" s="168"/>
      <c r="R104" s="168"/>
      <c r="S104" s="168"/>
      <c r="T104" s="168"/>
      <c r="U104" s="168"/>
      <c r="V104" s="168"/>
      <c r="W104" s="168"/>
    </row>
    <row r="105" ht="15.0" customHeight="1">
      <c r="A105" s="168"/>
      <c r="B105" s="168"/>
      <c r="C105" s="299" t="str">
        <f t="array" ref="C105">IFERROR(INDEX('Licence Effluent'!$F$5:$F$6,MATCH(UPPER($J$4)&amp;"|Limit|"&amp;MATCH("2|6",$Q$21:$Q$40,0),'Licence Effluent'!$L$5:$L$6,0))&amp;"","")</f>
        <v/>
      </c>
      <c r="D105" s="267" t="str">
        <f t="array" ref="D105">IFERROR(INDEX('Licence Effluent'!$G$5:$G$6,MATCH(UPPER($J$4)&amp;"|Limit|"&amp;MATCH("2|6",$Q$21:$Q$40,0),'Licence Effluent'!$L$5:$L$6,0))&amp;"","")</f>
        <v/>
      </c>
      <c r="E105" s="267" t="str">
        <f t="array" ref="E105">IFERROR(INDEX('Licence Effluent'!$H$5:$H$6,MATCH(UPPER($J$4)&amp;"|Limit|"&amp;MATCH("2|6",$Q$21:$Q$40,0),'Licence Effluent'!$L$5:$L$6,0))&amp;"","")</f>
        <v/>
      </c>
      <c r="F105" s="267" t="str">
        <f t="array" ref="F105">IFERROR(INDEX('Licence Effluent'!$I$5:$I$6,MATCH(UPPER($J$4)&amp;"|Limit|"&amp;MATCH("2|6",$Q$21:$Q$40,0),'Licence Effluent'!$L$5:$L$6,0))&amp;"","")</f>
        <v/>
      </c>
      <c r="G105" s="267" t="str">
        <f t="array" ref="G105">IFERROR(INDEX('Licence Effluent'!$J$5:$J$6,MATCH(UPPER($J$4)&amp;"|Limit|"&amp;MATCH("2|6",$Q$21:$Q$40,0),'Licence Effluent'!$L$5:$L$6,0))&amp;"","")</f>
        <v/>
      </c>
      <c r="H105" s="168"/>
      <c r="I105" s="168"/>
      <c r="J105" s="168"/>
      <c r="K105" s="168"/>
      <c r="L105" s="260" t="str">
        <f t="shared" si="12"/>
        <v>H</v>
      </c>
      <c r="M105" s="168"/>
      <c r="N105" s="168"/>
      <c r="O105" s="168"/>
      <c r="P105" s="168"/>
      <c r="Q105" s="168"/>
      <c r="R105" s="168"/>
      <c r="S105" s="168"/>
      <c r="T105" s="168"/>
      <c r="U105" s="168"/>
      <c r="V105" s="168"/>
      <c r="W105" s="168"/>
    </row>
    <row r="106" ht="15.0" customHeight="1">
      <c r="A106" s="168"/>
      <c r="B106" s="168"/>
      <c r="C106" s="299" t="str">
        <f t="array" ref="C106">IFERROR(INDEX('Licence Effluent'!$F$5:$F$6,MATCH(UPPER($J$4)&amp;"|Limit|"&amp;MATCH("2|7",$Q$21:$Q$40,0),'Licence Effluent'!$L$5:$L$6,0))&amp;"","")</f>
        <v/>
      </c>
      <c r="D106" s="267" t="str">
        <f t="array" ref="D106">IFERROR(INDEX('Licence Effluent'!$G$5:$G$6,MATCH(UPPER($J$4)&amp;"|Limit|"&amp;MATCH("2|7",$Q$21:$Q$40,0),'Licence Effluent'!$L$5:$L$6,0))&amp;"","")</f>
        <v/>
      </c>
      <c r="E106" s="267" t="str">
        <f t="array" ref="E106">IFERROR(INDEX('Licence Effluent'!$H$5:$H$6,MATCH(UPPER($J$4)&amp;"|Limit|"&amp;MATCH("2|7",$Q$21:$Q$40,0),'Licence Effluent'!$L$5:$L$6,0))&amp;"","")</f>
        <v/>
      </c>
      <c r="F106" s="267" t="str">
        <f t="array" ref="F106">IFERROR(INDEX('Licence Effluent'!$I$5:$I$6,MATCH(UPPER($J$4)&amp;"|Limit|"&amp;MATCH("2|7",$Q$21:$Q$40,0),'Licence Effluent'!$L$5:$L$6,0))&amp;"","")</f>
        <v/>
      </c>
      <c r="G106" s="267" t="str">
        <f t="array" ref="G106">IFERROR(INDEX('Licence Effluent'!$J$5:$J$6,MATCH(UPPER($J$4)&amp;"|Limit|"&amp;MATCH("2|7",$Q$21:$Q$40,0),'Licence Effluent'!$L$5:$L$6,0))&amp;"","")</f>
        <v/>
      </c>
      <c r="H106" s="168"/>
      <c r="I106" s="168"/>
      <c r="J106" s="168"/>
      <c r="K106" s="168"/>
      <c r="L106" s="260" t="str">
        <f t="shared" si="12"/>
        <v>H</v>
      </c>
      <c r="M106" s="168"/>
      <c r="N106" s="168"/>
      <c r="O106" s="168"/>
      <c r="P106" s="168"/>
      <c r="Q106" s="168"/>
      <c r="R106" s="168"/>
      <c r="S106" s="168"/>
      <c r="T106" s="168"/>
      <c r="U106" s="168"/>
      <c r="V106" s="168"/>
      <c r="W106" s="168"/>
    </row>
    <row r="107" ht="15.0" customHeight="1">
      <c r="A107" s="168"/>
      <c r="B107" s="168"/>
      <c r="C107" s="299" t="str">
        <f t="array" ref="C107">IFERROR(INDEX('Licence Effluent'!$F$5:$F$6,MATCH(UPPER($J$4)&amp;"|Limit|"&amp;MATCH("2|8",$Q$21:$Q$40,0),'Licence Effluent'!$L$5:$L$6,0))&amp;"","")</f>
        <v/>
      </c>
      <c r="D107" s="267" t="str">
        <f t="array" ref="D107">IFERROR(INDEX('Licence Effluent'!$G$5:$G$6,MATCH(UPPER($J$4)&amp;"|Limit|"&amp;MATCH("2|8",$Q$21:$Q$40,0),'Licence Effluent'!$L$5:$L$6,0))&amp;"","")</f>
        <v/>
      </c>
      <c r="E107" s="267" t="str">
        <f t="array" ref="E107">IFERROR(INDEX('Licence Effluent'!$H$5:$H$6,MATCH(UPPER($J$4)&amp;"|Limit|"&amp;MATCH("2|8",$Q$21:$Q$40,0),'Licence Effluent'!$L$5:$L$6,0))&amp;"","")</f>
        <v/>
      </c>
      <c r="F107" s="267" t="str">
        <f t="array" ref="F107">IFERROR(INDEX('Licence Effluent'!$I$5:$I$6,MATCH(UPPER($J$4)&amp;"|Limit|"&amp;MATCH("2|8",$Q$21:$Q$40,0),'Licence Effluent'!$L$5:$L$6,0))&amp;"","")</f>
        <v/>
      </c>
      <c r="G107" s="267" t="str">
        <f t="array" ref="G107">IFERROR(INDEX('Licence Effluent'!$J$5:$J$6,MATCH(UPPER($J$4)&amp;"|Limit|"&amp;MATCH("2|8",$Q$21:$Q$40,0),'Licence Effluent'!$L$5:$L$6,0))&amp;"","")</f>
        <v/>
      </c>
      <c r="H107" s="168"/>
      <c r="I107" s="168"/>
      <c r="J107" s="168"/>
      <c r="K107" s="168"/>
      <c r="L107" s="260" t="str">
        <f t="shared" si="12"/>
        <v>H</v>
      </c>
      <c r="M107" s="168"/>
      <c r="N107" s="168"/>
      <c r="O107" s="168"/>
      <c r="P107" s="168"/>
      <c r="Q107" s="168"/>
      <c r="R107" s="168"/>
      <c r="S107" s="168"/>
      <c r="T107" s="168"/>
      <c r="U107" s="168"/>
      <c r="V107" s="168"/>
      <c r="W107" s="168"/>
    </row>
    <row r="108" ht="15.0" customHeight="1">
      <c r="A108" s="168"/>
      <c r="B108" s="168"/>
      <c r="C108" s="299" t="str">
        <f t="array" ref="C108">IFERROR(INDEX('Licence Effluent'!$F$5:$F$6,MATCH(UPPER($J$4)&amp;"|Limit|"&amp;MATCH("2|9",$Q$21:$Q$40,0),'Licence Effluent'!$L$5:$L$6,0))&amp;"","")</f>
        <v/>
      </c>
      <c r="D108" s="267" t="str">
        <f t="array" ref="D108">IFERROR(INDEX('Licence Effluent'!$G$5:$G$6,MATCH(UPPER($J$4)&amp;"|Limit|"&amp;MATCH("2|9",$Q$21:$Q$40,0),'Licence Effluent'!$L$5:$L$6,0))&amp;"","")</f>
        <v/>
      </c>
      <c r="E108" s="267" t="str">
        <f t="array" ref="E108">IFERROR(INDEX('Licence Effluent'!$H$5:$H$6,MATCH(UPPER($J$4)&amp;"|Limit|"&amp;MATCH("2|9",$Q$21:$Q$40,0),'Licence Effluent'!$L$5:$L$6,0))&amp;"","")</f>
        <v/>
      </c>
      <c r="F108" s="267" t="str">
        <f t="array" ref="F108">IFERROR(INDEX('Licence Effluent'!$I$5:$I$6,MATCH(UPPER($J$4)&amp;"|Limit|"&amp;MATCH("2|9",$Q$21:$Q$40,0),'Licence Effluent'!$L$5:$L$6,0))&amp;"","")</f>
        <v/>
      </c>
      <c r="G108" s="267" t="str">
        <f t="array" ref="G108">IFERROR(INDEX('Licence Effluent'!$J$5:$J$6,MATCH(UPPER($J$4)&amp;"|Limit|"&amp;MATCH("2|9",$Q$21:$Q$40,0),'Licence Effluent'!$L$5:$L$6,0))&amp;"","")</f>
        <v/>
      </c>
      <c r="H108" s="168"/>
      <c r="I108" s="168"/>
      <c r="J108" s="168"/>
      <c r="K108" s="168"/>
      <c r="L108" s="260" t="str">
        <f t="shared" si="12"/>
        <v>H</v>
      </c>
      <c r="M108" s="168"/>
      <c r="N108" s="168"/>
      <c r="O108" s="168"/>
      <c r="P108" s="168"/>
      <c r="Q108" s="168"/>
      <c r="R108" s="168"/>
      <c r="S108" s="168"/>
      <c r="T108" s="168"/>
      <c r="U108" s="168"/>
      <c r="V108" s="168"/>
      <c r="W108" s="168"/>
    </row>
    <row r="109" ht="15.0" customHeight="1">
      <c r="A109" s="168"/>
      <c r="B109" s="168"/>
      <c r="C109" s="299" t="str">
        <f t="array" ref="C109">IFERROR(INDEX('Licence Effluent'!$F$5:$F$6,MATCH(UPPER($J$4)&amp;"|Limit|"&amp;MATCH("2|10",$Q$21:$Q$40,0),'Licence Effluent'!$L$5:$L$6,0))&amp;"","")</f>
        <v/>
      </c>
      <c r="D109" s="267" t="str">
        <f t="array" ref="D109">IFERROR(INDEX('Licence Effluent'!$G$5:$G$6,MATCH(UPPER($J$4)&amp;"|Limit|"&amp;MATCH("2|10",$Q$21:$Q$40,0),'Licence Effluent'!$L$5:$L$6,0))&amp;"","")</f>
        <v/>
      </c>
      <c r="E109" s="267" t="str">
        <f t="array" ref="E109">IFERROR(INDEX('Licence Effluent'!$H$5:$H$6,MATCH(UPPER($J$4)&amp;"|Limit|"&amp;MATCH("2|10",$Q$21:$Q$40,0),'Licence Effluent'!$L$5:$L$6,0))&amp;"","")</f>
        <v/>
      </c>
      <c r="F109" s="267" t="str">
        <f t="array" ref="F109">IFERROR(INDEX('Licence Effluent'!$I$5:$I$6,MATCH(UPPER($J$4)&amp;"|Limit|"&amp;MATCH("2|10",$Q$21:$Q$40,0),'Licence Effluent'!$L$5:$L$6,0))&amp;"","")</f>
        <v/>
      </c>
      <c r="G109" s="267" t="str">
        <f t="array" ref="G109">IFERROR(INDEX('Licence Effluent'!$J$5:$J$6,MATCH(UPPER($J$4)&amp;"|Limit|"&amp;MATCH("2|10",$Q$21:$Q$40,0),'Licence Effluent'!$L$5:$L$6,0))&amp;"","")</f>
        <v/>
      </c>
      <c r="H109" s="168"/>
      <c r="I109" s="168"/>
      <c r="J109" s="168"/>
      <c r="K109" s="168"/>
      <c r="L109" s="260" t="str">
        <f t="shared" si="12"/>
        <v>H</v>
      </c>
      <c r="M109" s="168"/>
      <c r="N109" s="168"/>
      <c r="O109" s="168"/>
      <c r="P109" s="168"/>
      <c r="Q109" s="168"/>
      <c r="R109" s="168"/>
      <c r="S109" s="168"/>
      <c r="T109" s="168"/>
      <c r="U109" s="168"/>
      <c r="V109" s="168"/>
      <c r="W109" s="168"/>
    </row>
    <row r="110" ht="15.0" customHeight="1">
      <c r="A110" s="168"/>
      <c r="B110" s="168"/>
      <c r="C110" s="168"/>
      <c r="D110" s="168"/>
      <c r="E110" s="168"/>
      <c r="F110" s="168"/>
      <c r="G110" s="168"/>
      <c r="H110" s="168"/>
      <c r="I110" s="168"/>
      <c r="J110" s="168"/>
      <c r="K110" s="168"/>
      <c r="L110" s="260" t="str">
        <f>IF($N$44="","H","")</f>
        <v>H</v>
      </c>
      <c r="M110" s="168"/>
      <c r="N110" s="168"/>
      <c r="O110" s="168"/>
      <c r="P110" s="168"/>
      <c r="Q110" s="168"/>
      <c r="R110" s="168"/>
      <c r="S110" s="168"/>
      <c r="T110" s="168"/>
      <c r="U110" s="168"/>
      <c r="V110" s="168"/>
      <c r="W110" s="168"/>
    </row>
    <row r="111" ht="19.5" customHeight="1">
      <c r="A111" s="168"/>
      <c r="B111" s="298" t="str">
        <f>IF($N$45="","","3.4   EFFLUENT LIMITATION AND MONITORING"&amp;IF(IF($N$45="(none)","",$N$45)="",""," – "&amp;IF($N$45="(none)","",$N$45)))</f>
        <v/>
      </c>
      <c r="C111" s="168"/>
      <c r="D111" s="168"/>
      <c r="E111" s="168"/>
      <c r="F111" s="168"/>
      <c r="G111" s="168"/>
      <c r="H111" s="168"/>
      <c r="I111" s="168"/>
      <c r="J111" s="168"/>
      <c r="K111" s="168"/>
      <c r="L111" s="260" t="str">
        <f t="shared" ref="L111:L114" si="13">IF($N$45="","H","")</f>
        <v>H</v>
      </c>
      <c r="M111" s="168"/>
      <c r="N111" s="168"/>
      <c r="O111" s="168"/>
      <c r="P111" s="168"/>
      <c r="Q111" s="168"/>
      <c r="R111" s="168"/>
      <c r="S111" s="168"/>
      <c r="T111" s="168"/>
      <c r="U111" s="168"/>
      <c r="V111" s="168"/>
      <c r="W111" s="168"/>
    </row>
    <row r="112" ht="60.75" customHeight="1">
      <c r="A112" s="168"/>
      <c r="B112" s="168"/>
      <c r="C112" s="231" t="str">
        <f>IF($N$45="","",$J$8&amp;" must limit and monitor discharges"&amp;IF(IF($N$45="(none)","",$N$45)="",""," from "&amp;IF($N$45="(none)","",$N$45))&amp;" as specified in Table 5. The figure represents maximum effluent limits unless otherwise indicated. The licensee must comply with the effluent limits in the tables unless otherwise indicated, regardless of the frequency of monitoring or reporting required"," by other provisions of this license.")</f>
        <v>#N/A</v>
      </c>
      <c r="H112" s="168"/>
      <c r="I112" s="168"/>
      <c r="J112" s="168"/>
      <c r="K112" s="168"/>
      <c r="L112" s="260" t="str">
        <f t="shared" si="13"/>
        <v>H</v>
      </c>
      <c r="M112" s="168"/>
      <c r="N112" s="168"/>
      <c r="O112" s="168"/>
      <c r="P112" s="168"/>
      <c r="Q112" s="168"/>
      <c r="R112" s="168"/>
      <c r="S112" s="168"/>
      <c r="T112" s="168"/>
      <c r="U112" s="168"/>
      <c r="V112" s="168"/>
      <c r="W112" s="168"/>
    </row>
    <row r="113" ht="31.5" customHeight="1">
      <c r="A113" s="168"/>
      <c r="B113" s="168"/>
      <c r="C113" s="263" t="str">
        <f>IF($N$45="","","Table 5. "&amp;IF(IF($N$45="(none)","",$N$45)="","Effluent discharge limits","Effluent from "&amp;IF($N$45="(none)","",$N$45)))</f>
        <v/>
      </c>
      <c r="H113" s="168"/>
      <c r="I113" s="168"/>
      <c r="J113" s="168"/>
      <c r="K113" s="168"/>
      <c r="L113" s="260" t="str">
        <f t="shared" si="13"/>
        <v>H</v>
      </c>
      <c r="M113" s="168"/>
      <c r="N113" s="168"/>
      <c r="O113" s="168"/>
      <c r="P113" s="168"/>
      <c r="Q113" s="168"/>
      <c r="R113" s="168"/>
      <c r="S113" s="168"/>
      <c r="T113" s="168"/>
      <c r="U113" s="168"/>
      <c r="V113" s="168"/>
      <c r="W113" s="168"/>
    </row>
    <row r="114" ht="30.0" customHeight="1">
      <c r="A114" s="168"/>
      <c r="B114" s="168"/>
      <c r="C114" s="265" t="s">
        <v>394</v>
      </c>
      <c r="D114" s="265" t="s">
        <v>397</v>
      </c>
      <c r="E114" s="265" t="s">
        <v>945</v>
      </c>
      <c r="F114" s="265" t="s">
        <v>399</v>
      </c>
      <c r="G114" s="265" t="s">
        <v>400</v>
      </c>
      <c r="H114" s="168"/>
      <c r="I114" s="168"/>
      <c r="J114" s="168"/>
      <c r="K114" s="168"/>
      <c r="L114" s="260" t="str">
        <f t="shared" si="13"/>
        <v>H</v>
      </c>
      <c r="M114" s="168"/>
      <c r="N114" s="168"/>
      <c r="O114" s="168"/>
      <c r="P114" s="168"/>
      <c r="Q114" s="168"/>
      <c r="R114" s="168"/>
      <c r="S114" s="168"/>
      <c r="T114" s="168"/>
      <c r="U114" s="168"/>
      <c r="V114" s="168"/>
      <c r="W114" s="168"/>
    </row>
    <row r="115" ht="15.0" customHeight="1">
      <c r="A115" s="168"/>
      <c r="B115" s="168"/>
      <c r="C115" s="299" t="str">
        <f t="array" ref="C115">IFERROR(INDEX('Licence Effluent'!$F$5:$F$6,MATCH(UPPER($J$4)&amp;"|Limit|"&amp;MATCH("3|1",$Q$21:$Q$40,0),'Licence Effluent'!$L$5:$L$6,0))&amp;"","")</f>
        <v/>
      </c>
      <c r="D115" s="267" t="str">
        <f t="array" ref="D115">IFERROR(INDEX('Licence Effluent'!$G$5:$G$6,MATCH(UPPER($J$4)&amp;"|Limit|"&amp;MATCH("3|1",$Q$21:$Q$40,0),'Licence Effluent'!$L$5:$L$6,0))&amp;"","")</f>
        <v/>
      </c>
      <c r="E115" s="267" t="str">
        <f t="array" ref="E115">IFERROR(INDEX('Licence Effluent'!$H$5:$H$6,MATCH(UPPER($J$4)&amp;"|Limit|"&amp;MATCH("3|1",$Q$21:$Q$40,0),'Licence Effluent'!$L$5:$L$6,0))&amp;"","")</f>
        <v/>
      </c>
      <c r="F115" s="267" t="str">
        <f t="array" ref="F115">IFERROR(INDEX('Licence Effluent'!$I$5:$I$6,MATCH(UPPER($J$4)&amp;"|Limit|"&amp;MATCH("3|1",$Q$21:$Q$40,0),'Licence Effluent'!$L$5:$L$6,0))&amp;"","")</f>
        <v/>
      </c>
      <c r="G115" s="267" t="str">
        <f t="array" ref="G115">IFERROR(INDEX('Licence Effluent'!$J$5:$J$6,MATCH(UPPER($J$4)&amp;"|Limit|"&amp;MATCH("3|1",$Q$21:$Q$40,0),'Licence Effluent'!$L$5:$L$6,0))&amp;"","")</f>
        <v/>
      </c>
      <c r="H115" s="168"/>
      <c r="I115" s="168"/>
      <c r="J115" s="168"/>
      <c r="K115" s="168"/>
      <c r="L115" s="260" t="str">
        <f t="shared" ref="L115:L124" si="14">IF(C115="","H","")</f>
        <v>H</v>
      </c>
      <c r="M115" s="168"/>
      <c r="N115" s="168"/>
      <c r="O115" s="168"/>
      <c r="P115" s="168"/>
      <c r="Q115" s="168"/>
      <c r="R115" s="168"/>
      <c r="S115" s="168"/>
      <c r="T115" s="168"/>
      <c r="U115" s="168"/>
      <c r="V115" s="168"/>
      <c r="W115" s="168"/>
    </row>
    <row r="116" ht="15.0" customHeight="1">
      <c r="A116" s="168"/>
      <c r="B116" s="168"/>
      <c r="C116" s="299" t="str">
        <f t="array" ref="C116">IFERROR(INDEX('Licence Effluent'!$F$5:$F$6,MATCH(UPPER($J$4)&amp;"|Limit|"&amp;MATCH("3|2",$Q$21:$Q$40,0),'Licence Effluent'!$L$5:$L$6,0))&amp;"","")</f>
        <v/>
      </c>
      <c r="D116" s="267" t="str">
        <f t="array" ref="D116">IFERROR(INDEX('Licence Effluent'!$G$5:$G$6,MATCH(UPPER($J$4)&amp;"|Limit|"&amp;MATCH("3|2",$Q$21:$Q$40,0),'Licence Effluent'!$L$5:$L$6,0))&amp;"","")</f>
        <v/>
      </c>
      <c r="E116" s="267" t="str">
        <f t="array" ref="E116">IFERROR(INDEX('Licence Effluent'!$H$5:$H$6,MATCH(UPPER($J$4)&amp;"|Limit|"&amp;MATCH("3|2",$Q$21:$Q$40,0),'Licence Effluent'!$L$5:$L$6,0))&amp;"","")</f>
        <v/>
      </c>
      <c r="F116" s="267" t="str">
        <f t="array" ref="F116">IFERROR(INDEX('Licence Effluent'!$I$5:$I$6,MATCH(UPPER($J$4)&amp;"|Limit|"&amp;MATCH("3|2",$Q$21:$Q$40,0),'Licence Effluent'!$L$5:$L$6,0))&amp;"","")</f>
        <v/>
      </c>
      <c r="G116" s="267" t="str">
        <f t="array" ref="G116">IFERROR(INDEX('Licence Effluent'!$J$5:$J$6,MATCH(UPPER($J$4)&amp;"|Limit|"&amp;MATCH("3|2",$Q$21:$Q$40,0),'Licence Effluent'!$L$5:$L$6,0))&amp;"","")</f>
        <v/>
      </c>
      <c r="H116" s="168"/>
      <c r="I116" s="168"/>
      <c r="J116" s="168"/>
      <c r="K116" s="168"/>
      <c r="L116" s="260" t="str">
        <f t="shared" si="14"/>
        <v>H</v>
      </c>
      <c r="M116" s="168"/>
      <c r="N116" s="168"/>
      <c r="O116" s="168"/>
      <c r="P116" s="168"/>
      <c r="Q116" s="168"/>
      <c r="R116" s="168"/>
      <c r="S116" s="168"/>
      <c r="T116" s="168"/>
      <c r="U116" s="168"/>
      <c r="V116" s="168"/>
      <c r="W116" s="168"/>
    </row>
    <row r="117" ht="15.0" customHeight="1">
      <c r="A117" s="168"/>
      <c r="B117" s="168"/>
      <c r="C117" s="299" t="str">
        <f t="array" ref="C117">IFERROR(INDEX('Licence Effluent'!$F$5:$F$6,MATCH(UPPER($J$4)&amp;"|Limit|"&amp;MATCH("3|3",$Q$21:$Q$40,0),'Licence Effluent'!$L$5:$L$6,0))&amp;"","")</f>
        <v/>
      </c>
      <c r="D117" s="267" t="str">
        <f t="array" ref="D117">IFERROR(INDEX('Licence Effluent'!$G$5:$G$6,MATCH(UPPER($J$4)&amp;"|Limit|"&amp;MATCH("3|3",$Q$21:$Q$40,0),'Licence Effluent'!$L$5:$L$6,0))&amp;"","")</f>
        <v/>
      </c>
      <c r="E117" s="267" t="str">
        <f t="array" ref="E117">IFERROR(INDEX('Licence Effluent'!$H$5:$H$6,MATCH(UPPER($J$4)&amp;"|Limit|"&amp;MATCH("3|3",$Q$21:$Q$40,0),'Licence Effluent'!$L$5:$L$6,0))&amp;"","")</f>
        <v/>
      </c>
      <c r="F117" s="267" t="str">
        <f t="array" ref="F117">IFERROR(INDEX('Licence Effluent'!$I$5:$I$6,MATCH(UPPER($J$4)&amp;"|Limit|"&amp;MATCH("3|3",$Q$21:$Q$40,0),'Licence Effluent'!$L$5:$L$6,0))&amp;"","")</f>
        <v/>
      </c>
      <c r="G117" s="267" t="str">
        <f t="array" ref="G117">IFERROR(INDEX('Licence Effluent'!$J$5:$J$6,MATCH(UPPER($J$4)&amp;"|Limit|"&amp;MATCH("3|3",$Q$21:$Q$40,0),'Licence Effluent'!$L$5:$L$6,0))&amp;"","")</f>
        <v/>
      </c>
      <c r="H117" s="168"/>
      <c r="I117" s="168"/>
      <c r="J117" s="168"/>
      <c r="K117" s="168"/>
      <c r="L117" s="260" t="str">
        <f t="shared" si="14"/>
        <v>H</v>
      </c>
      <c r="M117" s="168"/>
      <c r="N117" s="168"/>
      <c r="O117" s="168"/>
      <c r="P117" s="168"/>
      <c r="Q117" s="168"/>
      <c r="R117" s="168"/>
      <c r="S117" s="168"/>
      <c r="T117" s="168"/>
      <c r="U117" s="168"/>
      <c r="V117" s="168"/>
      <c r="W117" s="168"/>
    </row>
    <row r="118" ht="15.0" customHeight="1">
      <c r="A118" s="168"/>
      <c r="B118" s="168"/>
      <c r="C118" s="299" t="str">
        <f t="array" ref="C118">IFERROR(INDEX('Licence Effluent'!$F$5:$F$6,MATCH(UPPER($J$4)&amp;"|Limit|"&amp;MATCH("3|4",$Q$21:$Q$40,0),'Licence Effluent'!$L$5:$L$6,0))&amp;"","")</f>
        <v/>
      </c>
      <c r="D118" s="267" t="str">
        <f t="array" ref="D118">IFERROR(INDEX('Licence Effluent'!$G$5:$G$6,MATCH(UPPER($J$4)&amp;"|Limit|"&amp;MATCH("3|4",$Q$21:$Q$40,0),'Licence Effluent'!$L$5:$L$6,0))&amp;"","")</f>
        <v/>
      </c>
      <c r="E118" s="267" t="str">
        <f t="array" ref="E118">IFERROR(INDEX('Licence Effluent'!$H$5:$H$6,MATCH(UPPER($J$4)&amp;"|Limit|"&amp;MATCH("3|4",$Q$21:$Q$40,0),'Licence Effluent'!$L$5:$L$6,0))&amp;"","")</f>
        <v/>
      </c>
      <c r="F118" s="267" t="str">
        <f t="array" ref="F118">IFERROR(INDEX('Licence Effluent'!$I$5:$I$6,MATCH(UPPER($J$4)&amp;"|Limit|"&amp;MATCH("3|4",$Q$21:$Q$40,0),'Licence Effluent'!$L$5:$L$6,0))&amp;"","")</f>
        <v/>
      </c>
      <c r="G118" s="267" t="str">
        <f t="array" ref="G118">IFERROR(INDEX('Licence Effluent'!$J$5:$J$6,MATCH(UPPER($J$4)&amp;"|Limit|"&amp;MATCH("3|4",$Q$21:$Q$40,0),'Licence Effluent'!$L$5:$L$6,0))&amp;"","")</f>
        <v/>
      </c>
      <c r="H118" s="168"/>
      <c r="I118" s="168"/>
      <c r="J118" s="168"/>
      <c r="K118" s="168"/>
      <c r="L118" s="260" t="str">
        <f t="shared" si="14"/>
        <v>H</v>
      </c>
      <c r="M118" s="168"/>
      <c r="N118" s="168"/>
      <c r="O118" s="168"/>
      <c r="P118" s="168"/>
      <c r="Q118" s="168"/>
      <c r="R118" s="168"/>
      <c r="S118" s="168"/>
      <c r="T118" s="168"/>
      <c r="U118" s="168"/>
      <c r="V118" s="168"/>
      <c r="W118" s="168"/>
    </row>
    <row r="119" ht="15.0" customHeight="1">
      <c r="A119" s="168"/>
      <c r="B119" s="168"/>
      <c r="C119" s="299" t="str">
        <f t="array" ref="C119">IFERROR(INDEX('Licence Effluent'!$F$5:$F$6,MATCH(UPPER($J$4)&amp;"|Limit|"&amp;MATCH("3|5",$Q$21:$Q$40,0),'Licence Effluent'!$L$5:$L$6,0))&amp;"","")</f>
        <v/>
      </c>
      <c r="D119" s="267" t="str">
        <f t="array" ref="D119">IFERROR(INDEX('Licence Effluent'!$G$5:$G$6,MATCH(UPPER($J$4)&amp;"|Limit|"&amp;MATCH("3|5",$Q$21:$Q$40,0),'Licence Effluent'!$L$5:$L$6,0))&amp;"","")</f>
        <v/>
      </c>
      <c r="E119" s="267" t="str">
        <f t="array" ref="E119">IFERROR(INDEX('Licence Effluent'!$H$5:$H$6,MATCH(UPPER($J$4)&amp;"|Limit|"&amp;MATCH("3|5",$Q$21:$Q$40,0),'Licence Effluent'!$L$5:$L$6,0))&amp;"","")</f>
        <v/>
      </c>
      <c r="F119" s="267" t="str">
        <f t="array" ref="F119">IFERROR(INDEX('Licence Effluent'!$I$5:$I$6,MATCH(UPPER($J$4)&amp;"|Limit|"&amp;MATCH("3|5",$Q$21:$Q$40,0),'Licence Effluent'!$L$5:$L$6,0))&amp;"","")</f>
        <v/>
      </c>
      <c r="G119" s="267" t="str">
        <f t="array" ref="G119">IFERROR(INDEX('Licence Effluent'!$J$5:$J$6,MATCH(UPPER($J$4)&amp;"|Limit|"&amp;MATCH("3|5",$Q$21:$Q$40,0),'Licence Effluent'!$L$5:$L$6,0))&amp;"","")</f>
        <v/>
      </c>
      <c r="H119" s="168"/>
      <c r="I119" s="168"/>
      <c r="J119" s="168"/>
      <c r="K119" s="168"/>
      <c r="L119" s="260" t="str">
        <f t="shared" si="14"/>
        <v>H</v>
      </c>
      <c r="M119" s="168"/>
      <c r="N119" s="168"/>
      <c r="O119" s="168"/>
      <c r="P119" s="168"/>
      <c r="Q119" s="168"/>
      <c r="R119" s="168"/>
      <c r="S119" s="168"/>
      <c r="T119" s="168"/>
      <c r="U119" s="168"/>
      <c r="V119" s="168"/>
      <c r="W119" s="168"/>
    </row>
    <row r="120" ht="15.0" customHeight="1">
      <c r="A120" s="168"/>
      <c r="B120" s="168"/>
      <c r="C120" s="299" t="str">
        <f t="array" ref="C120">IFERROR(INDEX('Licence Effluent'!$F$5:$F$6,MATCH(UPPER($J$4)&amp;"|Limit|"&amp;MATCH("3|6",$Q$21:$Q$40,0),'Licence Effluent'!$L$5:$L$6,0))&amp;"","")</f>
        <v/>
      </c>
      <c r="D120" s="267" t="str">
        <f t="array" ref="D120">IFERROR(INDEX('Licence Effluent'!$G$5:$G$6,MATCH(UPPER($J$4)&amp;"|Limit|"&amp;MATCH("3|6",$Q$21:$Q$40,0),'Licence Effluent'!$L$5:$L$6,0))&amp;"","")</f>
        <v/>
      </c>
      <c r="E120" s="267" t="str">
        <f t="array" ref="E120">IFERROR(INDEX('Licence Effluent'!$H$5:$H$6,MATCH(UPPER($J$4)&amp;"|Limit|"&amp;MATCH("3|6",$Q$21:$Q$40,0),'Licence Effluent'!$L$5:$L$6,0))&amp;"","")</f>
        <v/>
      </c>
      <c r="F120" s="267" t="str">
        <f t="array" ref="F120">IFERROR(INDEX('Licence Effluent'!$I$5:$I$6,MATCH(UPPER($J$4)&amp;"|Limit|"&amp;MATCH("3|6",$Q$21:$Q$40,0),'Licence Effluent'!$L$5:$L$6,0))&amp;"","")</f>
        <v/>
      </c>
      <c r="G120" s="267" t="str">
        <f t="array" ref="G120">IFERROR(INDEX('Licence Effluent'!$J$5:$J$6,MATCH(UPPER($J$4)&amp;"|Limit|"&amp;MATCH("3|6",$Q$21:$Q$40,0),'Licence Effluent'!$L$5:$L$6,0))&amp;"","")</f>
        <v/>
      </c>
      <c r="H120" s="168"/>
      <c r="I120" s="168"/>
      <c r="J120" s="168"/>
      <c r="K120" s="168"/>
      <c r="L120" s="260" t="str">
        <f t="shared" si="14"/>
        <v>H</v>
      </c>
      <c r="M120" s="168"/>
      <c r="N120" s="168"/>
      <c r="O120" s="168"/>
      <c r="P120" s="168"/>
      <c r="Q120" s="168"/>
      <c r="R120" s="168"/>
      <c r="S120" s="168"/>
      <c r="T120" s="168"/>
      <c r="U120" s="168"/>
      <c r="V120" s="168"/>
      <c r="W120" s="168"/>
    </row>
    <row r="121" ht="15.0" customHeight="1">
      <c r="A121" s="168"/>
      <c r="B121" s="168"/>
      <c r="C121" s="299" t="str">
        <f t="array" ref="C121">IFERROR(INDEX('Licence Effluent'!$F$5:$F$6,MATCH(UPPER($J$4)&amp;"|Limit|"&amp;MATCH("3|7",$Q$21:$Q$40,0),'Licence Effluent'!$L$5:$L$6,0))&amp;"","")</f>
        <v/>
      </c>
      <c r="D121" s="267" t="str">
        <f t="array" ref="D121">IFERROR(INDEX('Licence Effluent'!$G$5:$G$6,MATCH(UPPER($J$4)&amp;"|Limit|"&amp;MATCH("3|7",$Q$21:$Q$40,0),'Licence Effluent'!$L$5:$L$6,0))&amp;"","")</f>
        <v/>
      </c>
      <c r="E121" s="267" t="str">
        <f t="array" ref="E121">IFERROR(INDEX('Licence Effluent'!$H$5:$H$6,MATCH(UPPER($J$4)&amp;"|Limit|"&amp;MATCH("3|7",$Q$21:$Q$40,0),'Licence Effluent'!$L$5:$L$6,0))&amp;"","")</f>
        <v/>
      </c>
      <c r="F121" s="267" t="str">
        <f t="array" ref="F121">IFERROR(INDEX('Licence Effluent'!$I$5:$I$6,MATCH(UPPER($J$4)&amp;"|Limit|"&amp;MATCH("3|7",$Q$21:$Q$40,0),'Licence Effluent'!$L$5:$L$6,0))&amp;"","")</f>
        <v/>
      </c>
      <c r="G121" s="267" t="str">
        <f t="array" ref="G121">IFERROR(INDEX('Licence Effluent'!$J$5:$J$6,MATCH(UPPER($J$4)&amp;"|Limit|"&amp;MATCH("3|7",$Q$21:$Q$40,0),'Licence Effluent'!$L$5:$L$6,0))&amp;"","")</f>
        <v/>
      </c>
      <c r="H121" s="168"/>
      <c r="I121" s="168"/>
      <c r="J121" s="168"/>
      <c r="K121" s="168"/>
      <c r="L121" s="260" t="str">
        <f t="shared" si="14"/>
        <v>H</v>
      </c>
      <c r="M121" s="168"/>
      <c r="N121" s="168"/>
      <c r="O121" s="168"/>
      <c r="P121" s="168"/>
      <c r="Q121" s="168"/>
      <c r="R121" s="168"/>
      <c r="S121" s="168"/>
      <c r="T121" s="168"/>
      <c r="U121" s="168"/>
      <c r="V121" s="168"/>
      <c r="W121" s="168"/>
    </row>
    <row r="122" ht="15.0" customHeight="1">
      <c r="A122" s="168"/>
      <c r="B122" s="168"/>
      <c r="C122" s="299" t="str">
        <f t="array" ref="C122">IFERROR(INDEX('Licence Effluent'!$F$5:$F$6,MATCH(UPPER($J$4)&amp;"|Limit|"&amp;MATCH("3|8",$Q$21:$Q$40,0),'Licence Effluent'!$L$5:$L$6,0))&amp;"","")</f>
        <v/>
      </c>
      <c r="D122" s="267" t="str">
        <f t="array" ref="D122">IFERROR(INDEX('Licence Effluent'!$G$5:$G$6,MATCH(UPPER($J$4)&amp;"|Limit|"&amp;MATCH("3|8",$Q$21:$Q$40,0),'Licence Effluent'!$L$5:$L$6,0))&amp;"","")</f>
        <v/>
      </c>
      <c r="E122" s="267" t="str">
        <f t="array" ref="E122">IFERROR(INDEX('Licence Effluent'!$H$5:$H$6,MATCH(UPPER($J$4)&amp;"|Limit|"&amp;MATCH("3|8",$Q$21:$Q$40,0),'Licence Effluent'!$L$5:$L$6,0))&amp;"","")</f>
        <v/>
      </c>
      <c r="F122" s="267" t="str">
        <f t="array" ref="F122">IFERROR(INDEX('Licence Effluent'!$I$5:$I$6,MATCH(UPPER($J$4)&amp;"|Limit|"&amp;MATCH("3|8",$Q$21:$Q$40,0),'Licence Effluent'!$L$5:$L$6,0))&amp;"","")</f>
        <v/>
      </c>
      <c r="G122" s="267" t="str">
        <f t="array" ref="G122">IFERROR(INDEX('Licence Effluent'!$J$5:$J$6,MATCH(UPPER($J$4)&amp;"|Limit|"&amp;MATCH("3|8",$Q$21:$Q$40,0),'Licence Effluent'!$L$5:$L$6,0))&amp;"","")</f>
        <v/>
      </c>
      <c r="H122" s="168"/>
      <c r="I122" s="168"/>
      <c r="J122" s="168"/>
      <c r="K122" s="168"/>
      <c r="L122" s="260" t="str">
        <f t="shared" si="14"/>
        <v>H</v>
      </c>
      <c r="M122" s="168"/>
      <c r="N122" s="168"/>
      <c r="O122" s="168"/>
      <c r="P122" s="168"/>
      <c r="Q122" s="168"/>
      <c r="R122" s="168"/>
      <c r="S122" s="168"/>
      <c r="T122" s="168"/>
      <c r="U122" s="168"/>
      <c r="V122" s="168"/>
      <c r="W122" s="168"/>
    </row>
    <row r="123" ht="15.0" customHeight="1">
      <c r="A123" s="168"/>
      <c r="B123" s="168"/>
      <c r="C123" s="299" t="str">
        <f t="array" ref="C123">IFERROR(INDEX('Licence Effluent'!$F$5:$F$6,MATCH(UPPER($J$4)&amp;"|Limit|"&amp;MATCH("3|9",$Q$21:$Q$40,0),'Licence Effluent'!$L$5:$L$6,0))&amp;"","")</f>
        <v/>
      </c>
      <c r="D123" s="267" t="str">
        <f t="array" ref="D123">IFERROR(INDEX('Licence Effluent'!$G$5:$G$6,MATCH(UPPER($J$4)&amp;"|Limit|"&amp;MATCH("3|9",$Q$21:$Q$40,0),'Licence Effluent'!$L$5:$L$6,0))&amp;"","")</f>
        <v/>
      </c>
      <c r="E123" s="267" t="str">
        <f t="array" ref="E123">IFERROR(INDEX('Licence Effluent'!$H$5:$H$6,MATCH(UPPER($J$4)&amp;"|Limit|"&amp;MATCH("3|9",$Q$21:$Q$40,0),'Licence Effluent'!$L$5:$L$6,0))&amp;"","")</f>
        <v/>
      </c>
      <c r="F123" s="267" t="str">
        <f t="array" ref="F123">IFERROR(INDEX('Licence Effluent'!$I$5:$I$6,MATCH(UPPER($J$4)&amp;"|Limit|"&amp;MATCH("3|9",$Q$21:$Q$40,0),'Licence Effluent'!$L$5:$L$6,0))&amp;"","")</f>
        <v/>
      </c>
      <c r="G123" s="267" t="str">
        <f t="array" ref="G123">IFERROR(INDEX('Licence Effluent'!$J$5:$J$6,MATCH(UPPER($J$4)&amp;"|Limit|"&amp;MATCH("3|9",$Q$21:$Q$40,0),'Licence Effluent'!$L$5:$L$6,0))&amp;"","")</f>
        <v/>
      </c>
      <c r="H123" s="168"/>
      <c r="I123" s="168"/>
      <c r="J123" s="168"/>
      <c r="K123" s="168"/>
      <c r="L123" s="260" t="str">
        <f t="shared" si="14"/>
        <v>H</v>
      </c>
      <c r="M123" s="168"/>
      <c r="N123" s="168"/>
      <c r="O123" s="168"/>
      <c r="P123" s="168"/>
      <c r="Q123" s="168"/>
      <c r="R123" s="168"/>
      <c r="S123" s="168"/>
      <c r="T123" s="168"/>
      <c r="U123" s="168"/>
      <c r="V123" s="168"/>
      <c r="W123" s="168"/>
    </row>
    <row r="124" ht="15.0" customHeight="1">
      <c r="A124" s="168"/>
      <c r="B124" s="168"/>
      <c r="C124" s="299" t="str">
        <f t="array" ref="C124">IFERROR(INDEX('Licence Effluent'!$F$5:$F$6,MATCH(UPPER($J$4)&amp;"|Limit|"&amp;MATCH("3|10",$Q$21:$Q$40,0),'Licence Effluent'!$L$5:$L$6,0))&amp;"","")</f>
        <v/>
      </c>
      <c r="D124" s="267" t="str">
        <f t="array" ref="D124">IFERROR(INDEX('Licence Effluent'!$G$5:$G$6,MATCH(UPPER($J$4)&amp;"|Limit|"&amp;MATCH("3|10",$Q$21:$Q$40,0),'Licence Effluent'!$L$5:$L$6,0))&amp;"","")</f>
        <v/>
      </c>
      <c r="E124" s="267" t="str">
        <f t="array" ref="E124">IFERROR(INDEX('Licence Effluent'!$H$5:$H$6,MATCH(UPPER($J$4)&amp;"|Limit|"&amp;MATCH("3|10",$Q$21:$Q$40,0),'Licence Effluent'!$L$5:$L$6,0))&amp;"","")</f>
        <v/>
      </c>
      <c r="F124" s="267" t="str">
        <f t="array" ref="F124">IFERROR(INDEX('Licence Effluent'!$I$5:$I$6,MATCH(UPPER($J$4)&amp;"|Limit|"&amp;MATCH("3|10",$Q$21:$Q$40,0),'Licence Effluent'!$L$5:$L$6,0))&amp;"","")</f>
        <v/>
      </c>
      <c r="G124" s="267" t="str">
        <f t="array" ref="G124">IFERROR(INDEX('Licence Effluent'!$J$5:$J$6,MATCH(UPPER($J$4)&amp;"|Limit|"&amp;MATCH("3|10",$Q$21:$Q$40,0),'Licence Effluent'!$L$5:$L$6,0))&amp;"","")</f>
        <v/>
      </c>
      <c r="H124" s="168"/>
      <c r="I124" s="168"/>
      <c r="J124" s="168"/>
      <c r="K124" s="168"/>
      <c r="L124" s="260" t="str">
        <f t="shared" si="14"/>
        <v>H</v>
      </c>
      <c r="M124" s="168"/>
      <c r="N124" s="168"/>
      <c r="O124" s="168"/>
      <c r="P124" s="168"/>
      <c r="Q124" s="168"/>
      <c r="R124" s="168"/>
      <c r="S124" s="168"/>
      <c r="T124" s="168"/>
      <c r="U124" s="168"/>
      <c r="V124" s="168"/>
      <c r="W124" s="168"/>
    </row>
    <row r="125" ht="12.0" customHeight="1">
      <c r="A125" s="168"/>
      <c r="B125" s="168"/>
      <c r="C125" s="168"/>
      <c r="D125" s="168"/>
      <c r="E125" s="168"/>
      <c r="F125" s="168"/>
      <c r="G125" s="168"/>
      <c r="H125" s="168"/>
      <c r="I125" s="168"/>
      <c r="J125" s="168"/>
      <c r="K125" s="168"/>
      <c r="L125" s="260"/>
      <c r="M125" s="168"/>
      <c r="N125" s="168"/>
      <c r="O125" s="168"/>
      <c r="P125" s="168"/>
      <c r="Q125" s="168"/>
      <c r="R125" s="168"/>
      <c r="S125" s="168"/>
      <c r="T125" s="168"/>
      <c r="U125" s="168"/>
      <c r="V125" s="168"/>
      <c r="W125" s="168"/>
    </row>
    <row r="126" ht="19.5" customHeight="1">
      <c r="A126" s="168"/>
      <c r="B126" s="298" t="str">
        <f>"3."&amp;(2+$N$46)&amp;"   GENERAL CONDITIONS"</f>
        <v>3.2   GENERAL CONDITIONS</v>
      </c>
      <c r="C126" s="168"/>
      <c r="D126" s="168"/>
      <c r="E126" s="168"/>
      <c r="F126" s="168"/>
      <c r="G126" s="168"/>
      <c r="H126" s="168"/>
      <c r="I126" s="168"/>
      <c r="J126" s="168"/>
      <c r="K126" s="168"/>
      <c r="L126" s="260"/>
      <c r="M126" s="168"/>
      <c r="N126" s="168"/>
      <c r="O126" s="168"/>
      <c r="P126" s="168"/>
      <c r="Q126" s="168"/>
      <c r="R126" s="168"/>
      <c r="S126" s="168"/>
      <c r="T126" s="168"/>
      <c r="U126" s="168"/>
      <c r="V126" s="168"/>
      <c r="W126" s="168"/>
    </row>
    <row r="127" ht="60.75" customHeight="1">
      <c r="A127" s="168"/>
      <c r="B127" s="230" t="s">
        <v>638</v>
      </c>
      <c r="C127" s="231" t="s">
        <v>641</v>
      </c>
      <c r="H127" s="168"/>
      <c r="I127" s="168"/>
      <c r="J127" s="168"/>
      <c r="K127" s="168"/>
      <c r="L127" s="260"/>
      <c r="M127" s="168"/>
      <c r="N127" s="168"/>
      <c r="O127" s="168"/>
      <c r="P127" s="168"/>
      <c r="Q127" s="168"/>
      <c r="R127" s="168"/>
      <c r="S127" s="168"/>
      <c r="T127" s="168"/>
      <c r="U127" s="168"/>
      <c r="V127" s="168"/>
      <c r="W127" s="168"/>
    </row>
    <row r="128" ht="60.75" customHeight="1">
      <c r="A128" s="168"/>
      <c r="B128" s="230" t="s">
        <v>639</v>
      </c>
      <c r="C128" s="231" t="s">
        <v>645</v>
      </c>
      <c r="H128" s="168"/>
      <c r="I128" s="168"/>
      <c r="J128" s="168"/>
      <c r="K128" s="168"/>
      <c r="L128" s="260"/>
      <c r="M128" s="168"/>
      <c r="N128" s="168"/>
      <c r="O128" s="168"/>
      <c r="P128" s="168"/>
      <c r="Q128" s="168"/>
      <c r="R128" s="168"/>
      <c r="S128" s="168"/>
      <c r="T128" s="168"/>
      <c r="U128" s="168"/>
      <c r="V128" s="168"/>
      <c r="W128" s="168"/>
    </row>
    <row r="129" ht="46.5" customHeight="1">
      <c r="A129" s="168"/>
      <c r="B129" s="230" t="s">
        <v>640</v>
      </c>
      <c r="C129" s="231" t="s">
        <v>647</v>
      </c>
      <c r="H129" s="168"/>
      <c r="I129" s="168"/>
      <c r="J129" s="168"/>
      <c r="K129" s="168"/>
      <c r="L129" s="260"/>
      <c r="M129" s="168"/>
      <c r="N129" s="168"/>
      <c r="O129" s="168"/>
      <c r="P129" s="168"/>
      <c r="Q129" s="168"/>
      <c r="R129" s="168"/>
      <c r="S129" s="168"/>
      <c r="T129" s="168"/>
      <c r="U129" s="168"/>
      <c r="V129" s="168"/>
      <c r="W129" s="168"/>
    </row>
    <row r="130" ht="46.5" customHeight="1">
      <c r="A130" s="168"/>
      <c r="B130" s="230" t="s">
        <v>642</v>
      </c>
      <c r="C130" s="231" t="s">
        <v>649</v>
      </c>
      <c r="H130" s="168"/>
      <c r="I130" s="168"/>
      <c r="J130" s="168"/>
      <c r="K130" s="168"/>
      <c r="L130" s="260"/>
      <c r="M130" s="168"/>
      <c r="N130" s="168"/>
      <c r="O130" s="168"/>
      <c r="P130" s="168"/>
      <c r="Q130" s="168"/>
      <c r="R130" s="168"/>
      <c r="S130" s="168"/>
      <c r="T130" s="168"/>
      <c r="U130" s="168"/>
      <c r="V130" s="168"/>
      <c r="W130" s="168"/>
    </row>
    <row r="131" ht="46.5" customHeight="1">
      <c r="A131" s="168"/>
      <c r="B131" s="230" t="s">
        <v>644</v>
      </c>
      <c r="C131" s="231" t="s">
        <v>651</v>
      </c>
      <c r="H131" s="168"/>
      <c r="I131" s="168"/>
      <c r="J131" s="168"/>
      <c r="K131" s="168"/>
      <c r="L131" s="260"/>
      <c r="M131" s="168"/>
      <c r="N131" s="168"/>
      <c r="O131" s="168"/>
      <c r="P131" s="168"/>
      <c r="Q131" s="168"/>
      <c r="R131" s="168"/>
      <c r="S131" s="168"/>
      <c r="T131" s="168"/>
      <c r="U131" s="168"/>
      <c r="V131" s="168"/>
      <c r="W131" s="168"/>
    </row>
    <row r="132" ht="75.0" customHeight="1">
      <c r="A132" s="168"/>
      <c r="B132" s="230" t="s">
        <v>646</v>
      </c>
      <c r="C132" s="231" t="s">
        <v>653</v>
      </c>
      <c r="H132" s="168"/>
      <c r="I132" s="168"/>
      <c r="J132" s="168"/>
      <c r="K132" s="168"/>
      <c r="L132" s="260"/>
      <c r="M132" s="168"/>
      <c r="N132" s="168"/>
      <c r="O132" s="168"/>
      <c r="P132" s="168"/>
      <c r="Q132" s="168"/>
      <c r="R132" s="168"/>
      <c r="S132" s="168"/>
      <c r="T132" s="168"/>
      <c r="U132" s="168"/>
      <c r="V132" s="168"/>
      <c r="W132" s="168"/>
    </row>
    <row r="133" ht="75.0" customHeight="1">
      <c r="A133" s="168"/>
      <c r="B133" s="230" t="s">
        <v>648</v>
      </c>
      <c r="C133" s="231" t="s">
        <v>655</v>
      </c>
      <c r="H133" s="168"/>
      <c r="I133" s="168"/>
      <c r="J133" s="168"/>
      <c r="K133" s="168"/>
      <c r="L133" s="260"/>
      <c r="M133" s="168"/>
      <c r="N133" s="168"/>
      <c r="O133" s="168"/>
      <c r="P133" s="168"/>
      <c r="Q133" s="168"/>
      <c r="R133" s="168"/>
      <c r="S133" s="168"/>
      <c r="T133" s="168"/>
      <c r="U133" s="168"/>
      <c r="V133" s="168"/>
      <c r="W133" s="168"/>
    </row>
    <row r="134" ht="46.5" customHeight="1">
      <c r="A134" s="168"/>
      <c r="B134" s="230" t="s">
        <v>650</v>
      </c>
      <c r="C134" s="231" t="s">
        <v>657</v>
      </c>
      <c r="H134" s="168"/>
      <c r="I134" s="168"/>
      <c r="J134" s="168"/>
      <c r="K134" s="168"/>
      <c r="L134" s="260"/>
      <c r="M134" s="168"/>
      <c r="N134" s="168"/>
      <c r="O134" s="168"/>
      <c r="P134" s="168"/>
      <c r="Q134" s="168"/>
      <c r="R134" s="168"/>
      <c r="S134" s="168"/>
      <c r="T134" s="168"/>
      <c r="U134" s="168"/>
      <c r="V134" s="168"/>
      <c r="W134" s="168"/>
    </row>
    <row r="135" ht="46.5" customHeight="1">
      <c r="A135" s="168"/>
      <c r="B135" s="230" t="s">
        <v>652</v>
      </c>
      <c r="C135" s="231" t="s">
        <v>659</v>
      </c>
      <c r="H135" s="168"/>
      <c r="I135" s="168"/>
      <c r="J135" s="168"/>
      <c r="K135" s="168"/>
      <c r="L135" s="260"/>
      <c r="M135" s="168"/>
      <c r="N135" s="168"/>
      <c r="O135" s="168"/>
      <c r="P135" s="168"/>
      <c r="Q135" s="168"/>
      <c r="R135" s="168"/>
      <c r="S135" s="168"/>
      <c r="T135" s="168"/>
      <c r="U135" s="168"/>
      <c r="V135" s="168"/>
      <c r="W135" s="168"/>
    </row>
    <row r="136" ht="60.75" customHeight="1">
      <c r="A136" s="168"/>
      <c r="B136" s="230" t="s">
        <v>654</v>
      </c>
      <c r="C136" s="231" t="s">
        <v>661</v>
      </c>
      <c r="H136" s="168"/>
      <c r="I136" s="168"/>
      <c r="J136" s="168"/>
      <c r="K136" s="168"/>
      <c r="L136" s="260"/>
      <c r="M136" s="168"/>
      <c r="N136" s="168"/>
      <c r="O136" s="168"/>
      <c r="P136" s="168"/>
      <c r="Q136" s="168"/>
      <c r="R136" s="168"/>
      <c r="S136" s="168"/>
      <c r="T136" s="168"/>
      <c r="U136" s="168"/>
      <c r="V136" s="168"/>
      <c r="W136" s="168"/>
    </row>
    <row r="137" ht="46.5" customHeight="1">
      <c r="A137" s="168"/>
      <c r="B137" s="230" t="s">
        <v>656</v>
      </c>
      <c r="C137" s="231" t="s">
        <v>663</v>
      </c>
      <c r="H137" s="168"/>
      <c r="I137" s="168"/>
      <c r="J137" s="168"/>
      <c r="K137" s="168"/>
      <c r="L137" s="260"/>
      <c r="M137" s="168"/>
      <c r="N137" s="168"/>
      <c r="O137" s="168"/>
      <c r="P137" s="168"/>
      <c r="Q137" s="168"/>
      <c r="R137" s="168"/>
      <c r="S137" s="168"/>
      <c r="T137" s="168"/>
      <c r="U137" s="168"/>
      <c r="V137" s="168"/>
      <c r="W137" s="168"/>
    </row>
    <row r="138" ht="31.5" customHeight="1">
      <c r="A138" s="168"/>
      <c r="B138" s="230" t="s">
        <v>658</v>
      </c>
      <c r="C138" s="231" t="s">
        <v>665</v>
      </c>
      <c r="H138" s="168"/>
      <c r="I138" s="168"/>
      <c r="J138" s="168"/>
      <c r="K138" s="168"/>
      <c r="L138" s="260"/>
      <c r="M138" s="168"/>
      <c r="N138" s="168"/>
      <c r="O138" s="168"/>
      <c r="P138" s="168"/>
      <c r="Q138" s="168"/>
      <c r="R138" s="168"/>
      <c r="S138" s="168"/>
      <c r="T138" s="168"/>
      <c r="U138" s="168"/>
      <c r="V138" s="168"/>
      <c r="W138" s="168"/>
    </row>
    <row r="139" ht="31.5" customHeight="1">
      <c r="A139" s="168"/>
      <c r="B139" s="230" t="s">
        <v>660</v>
      </c>
      <c r="C139" s="231" t="s">
        <v>667</v>
      </c>
      <c r="H139" s="168"/>
      <c r="I139" s="168"/>
      <c r="J139" s="168"/>
      <c r="K139" s="168"/>
      <c r="L139" s="260"/>
      <c r="M139" s="168"/>
      <c r="N139" s="168"/>
      <c r="O139" s="168"/>
      <c r="P139" s="168"/>
      <c r="Q139" s="168"/>
      <c r="R139" s="168"/>
      <c r="S139" s="168"/>
      <c r="T139" s="168"/>
      <c r="U139" s="168"/>
      <c r="V139" s="168"/>
      <c r="W139" s="168"/>
    </row>
    <row r="140" ht="31.5" customHeight="1">
      <c r="A140" s="168"/>
      <c r="B140" s="230" t="s">
        <v>662</v>
      </c>
      <c r="C140" s="231" t="s">
        <v>669</v>
      </c>
      <c r="H140" s="168"/>
      <c r="I140" s="168"/>
      <c r="J140" s="168"/>
      <c r="K140" s="168"/>
      <c r="L140" s="260"/>
      <c r="M140" s="168"/>
      <c r="N140" s="168"/>
      <c r="O140" s="168"/>
      <c r="P140" s="168"/>
      <c r="Q140" s="168"/>
      <c r="R140" s="168"/>
      <c r="S140" s="168"/>
      <c r="T140" s="168"/>
      <c r="U140" s="168"/>
      <c r="V140" s="168"/>
      <c r="W140" s="168"/>
    </row>
    <row r="141" ht="75.0" customHeight="1">
      <c r="A141" s="168"/>
      <c r="B141" s="230" t="s">
        <v>664</v>
      </c>
      <c r="C141" s="231" t="s">
        <v>671</v>
      </c>
      <c r="H141" s="168"/>
      <c r="I141" s="168"/>
      <c r="J141" s="168"/>
      <c r="K141" s="168"/>
      <c r="L141" s="260"/>
      <c r="M141" s="168"/>
      <c r="N141" s="168"/>
      <c r="O141" s="168"/>
      <c r="P141" s="168"/>
      <c r="Q141" s="168"/>
      <c r="R141" s="168"/>
      <c r="S141" s="168"/>
      <c r="T141" s="168"/>
      <c r="U141" s="168"/>
      <c r="V141" s="168"/>
      <c r="W141" s="168"/>
    </row>
    <row r="142" ht="46.5" customHeight="1">
      <c r="A142" s="168"/>
      <c r="B142" s="230" t="s">
        <v>666</v>
      </c>
      <c r="C142" s="231" t="s">
        <v>673</v>
      </c>
      <c r="H142" s="168"/>
      <c r="I142" s="168"/>
      <c r="J142" s="168"/>
      <c r="K142" s="168"/>
      <c r="L142" s="260"/>
      <c r="M142" s="168"/>
      <c r="N142" s="168"/>
      <c r="O142" s="168"/>
      <c r="P142" s="168"/>
      <c r="Q142" s="168"/>
      <c r="R142" s="168"/>
      <c r="S142" s="168"/>
      <c r="T142" s="168"/>
      <c r="U142" s="168"/>
      <c r="V142" s="168"/>
      <c r="W142" s="168"/>
    </row>
    <row r="143" ht="75.0" customHeight="1">
      <c r="A143" s="168"/>
      <c r="B143" s="230" t="s">
        <v>668</v>
      </c>
      <c r="C143" s="231" t="s">
        <v>675</v>
      </c>
      <c r="H143" s="168"/>
      <c r="I143" s="168"/>
      <c r="J143" s="168"/>
      <c r="K143" s="168"/>
      <c r="L143" s="260"/>
      <c r="M143" s="168"/>
      <c r="N143" s="168"/>
      <c r="O143" s="168"/>
      <c r="P143" s="168"/>
      <c r="Q143" s="168"/>
      <c r="R143" s="168"/>
      <c r="S143" s="168"/>
      <c r="T143" s="168"/>
      <c r="U143" s="168"/>
      <c r="V143" s="168"/>
      <c r="W143" s="168"/>
    </row>
    <row r="144" ht="46.5" customHeight="1">
      <c r="A144" s="168"/>
      <c r="B144" s="230" t="s">
        <v>670</v>
      </c>
      <c r="C144" s="231" t="s">
        <v>677</v>
      </c>
      <c r="H144" s="168"/>
      <c r="I144" s="168"/>
      <c r="J144" s="168"/>
      <c r="K144" s="168"/>
      <c r="L144" s="260"/>
      <c r="M144" s="168"/>
      <c r="N144" s="168"/>
      <c r="O144" s="168"/>
      <c r="P144" s="168"/>
      <c r="Q144" s="168"/>
      <c r="R144" s="168"/>
      <c r="S144" s="168"/>
      <c r="T144" s="168"/>
      <c r="U144" s="168"/>
      <c r="V144" s="168"/>
      <c r="W144" s="168"/>
    </row>
    <row r="145" ht="31.5" customHeight="1">
      <c r="A145" s="168"/>
      <c r="B145" s="230" t="s">
        <v>672</v>
      </c>
      <c r="C145" s="231" t="s">
        <v>679</v>
      </c>
      <c r="H145" s="168"/>
      <c r="I145" s="168"/>
      <c r="J145" s="168"/>
      <c r="K145" s="168"/>
      <c r="L145" s="260"/>
      <c r="M145" s="168"/>
      <c r="N145" s="168"/>
      <c r="O145" s="168"/>
      <c r="P145" s="168"/>
      <c r="Q145" s="168"/>
      <c r="R145" s="168"/>
      <c r="S145" s="168"/>
      <c r="T145" s="168"/>
      <c r="U145" s="168"/>
      <c r="V145" s="168"/>
      <c r="W145" s="168"/>
    </row>
    <row r="146" ht="15.0" customHeight="1">
      <c r="A146" s="168"/>
      <c r="B146" s="168"/>
      <c r="C146" s="168"/>
      <c r="D146" s="168"/>
      <c r="E146" s="168"/>
      <c r="F146" s="168"/>
      <c r="G146" s="168"/>
      <c r="H146" s="168"/>
      <c r="I146" s="168"/>
      <c r="J146" s="168"/>
      <c r="K146" s="168"/>
      <c r="L146" s="260"/>
      <c r="M146" s="168"/>
      <c r="N146" s="168"/>
      <c r="O146" s="168"/>
      <c r="P146" s="168"/>
      <c r="Q146" s="168"/>
      <c r="R146" s="168"/>
      <c r="S146" s="168"/>
      <c r="T146" s="168"/>
      <c r="U146" s="168"/>
      <c r="V146" s="168"/>
      <c r="W146" s="168"/>
    </row>
    <row r="147" ht="16.5" customHeight="1">
      <c r="B147" s="237" t="str">
        <f>"Issued Date:  "&amp;IF($J$10="","________",DAY($J$10)&amp;IF(AND(DAY($J$10)&gt;=11,DAY($J$10)&lt;=13),"th",CHOOSE(MIN(MOD(DAY($J$10),10)+1,5),"th","st","nd","rd","th"))&amp;" "&amp;TEXT($J$10,"mmmm, yyyy"))</f>
        <v>Issued Date:  1st January, 2026</v>
      </c>
      <c r="D147" s="238" t="str">
        <f>"Expired Date:  "&amp;IF($J$11="","________",DAY($J$11)&amp;IF(AND(DAY($J$11)&gt;=11,DAY($J$11)&lt;=13),"th",CHOOSE(MIN(MOD(DAY($J$11),10)+1,5),"th","st","nd","rd","th"))&amp;" "&amp;TEXT($J$11,"mmmm, yyyy"))</f>
        <v>Expired Date:  31st December, 2026</v>
      </c>
    </row>
    <row r="148" ht="21.75" customHeight="1"/>
    <row r="149" ht="21.75" customHeight="1"/>
    <row r="150" ht="16.5" customHeight="1">
      <c r="B150" s="183" t="s">
        <v>680</v>
      </c>
    </row>
    <row r="151" ht="16.5" customHeight="1">
      <c r="B151" s="183" t="str">
        <f t="array" ref="B151">IFERROR(INDEX(Lists!$U$5:$U$7,MATCH($J$12,Lists!$T$5:$T$7,0)),"")</f>
        <v>Dr. Emmanuel K. Urey Yarkpawolo</v>
      </c>
    </row>
    <row r="152" ht="16.5" customHeight="1">
      <c r="B152" s="239" t="str">
        <f t="array" ref="B152">UPPER(IFERROR(INDEX(Lists!$V$5:$V$7,MATCH($J$12,Lists!$T$5:$T$7,0)),""))</f>
        <v>EXECUTIVE DIRECTOR/CEO</v>
      </c>
    </row>
    <row r="153" ht="12.0"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4.25" customHeight="1"/>
    <row r="169" ht="14.25" customHeight="1"/>
    <row r="170" ht="33.0" customHeight="1"/>
    <row r="171" ht="63.0" customHeight="1"/>
    <row r="172" ht="48.0" customHeight="1"/>
    <row r="173" ht="33.0" customHeight="1"/>
    <row r="174" ht="14.25" customHeight="1"/>
    <row r="175" ht="14.25" customHeight="1"/>
    <row r="176" ht="39.7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c r="A227" s="168"/>
      <c r="B227" s="168"/>
      <c r="C227" s="168"/>
      <c r="D227" s="168"/>
      <c r="E227" s="168"/>
      <c r="F227" s="168"/>
      <c r="G227" s="168"/>
      <c r="H227" s="168"/>
    </row>
    <row r="228" ht="14.25" customHeight="1">
      <c r="A228" s="168"/>
      <c r="B228" s="168"/>
      <c r="C228" s="168"/>
      <c r="D228" s="168"/>
      <c r="E228" s="168"/>
      <c r="F228" s="168"/>
      <c r="G228" s="168"/>
      <c r="H228" s="168"/>
    </row>
    <row r="229" ht="14.25" customHeight="1">
      <c r="A229" s="168"/>
      <c r="B229" s="168"/>
      <c r="C229" s="168"/>
      <c r="D229" s="168"/>
      <c r="E229" s="168"/>
      <c r="F229" s="168"/>
      <c r="G229" s="168"/>
      <c r="H229" s="168"/>
    </row>
    <row r="230" ht="14.25" customHeight="1">
      <c r="A230" s="168"/>
      <c r="B230" s="168"/>
      <c r="C230" s="168"/>
      <c r="D230" s="168"/>
      <c r="E230" s="168"/>
      <c r="F230" s="168"/>
      <c r="G230" s="168"/>
      <c r="H230" s="168"/>
    </row>
    <row r="231" ht="14.25" customHeight="1">
      <c r="A231" s="168"/>
      <c r="B231" s="168"/>
      <c r="C231" s="168"/>
      <c r="D231" s="168"/>
      <c r="E231" s="168"/>
      <c r="F231" s="168"/>
      <c r="G231" s="168"/>
      <c r="H231" s="168"/>
    </row>
    <row r="232" ht="14.25" customHeight="1">
      <c r="A232" s="168"/>
      <c r="B232" s="168"/>
      <c r="C232" s="168"/>
      <c r="D232" s="168"/>
      <c r="E232" s="168"/>
      <c r="F232" s="168"/>
      <c r="G232" s="168"/>
      <c r="H232" s="168"/>
    </row>
    <row r="233" ht="14.25" customHeight="1">
      <c r="A233" s="168"/>
      <c r="B233" s="168"/>
      <c r="C233" s="168"/>
      <c r="D233" s="168"/>
      <c r="E233" s="168"/>
      <c r="F233" s="168"/>
      <c r="G233" s="168"/>
      <c r="H233" s="168"/>
    </row>
    <row r="234" ht="14.25" customHeight="1">
      <c r="A234" s="168"/>
      <c r="B234" s="168"/>
      <c r="C234" s="168"/>
      <c r="D234" s="168"/>
      <c r="E234" s="168"/>
      <c r="F234" s="168"/>
      <c r="G234" s="168"/>
      <c r="H234" s="168"/>
    </row>
    <row r="235" ht="14.25" customHeight="1">
      <c r="A235" s="168"/>
      <c r="B235" s="168"/>
      <c r="C235" s="168"/>
      <c r="D235" s="168"/>
      <c r="E235" s="168"/>
      <c r="F235" s="168"/>
      <c r="G235" s="168"/>
      <c r="H235" s="168"/>
    </row>
    <row r="236" ht="14.25" customHeight="1">
      <c r="A236" s="168"/>
      <c r="B236" s="168"/>
      <c r="C236" s="168"/>
      <c r="D236" s="168"/>
      <c r="E236" s="168"/>
      <c r="F236" s="168"/>
      <c r="G236" s="168"/>
      <c r="H236" s="168"/>
    </row>
    <row r="237" ht="14.25" customHeight="1">
      <c r="A237" s="168"/>
      <c r="B237" s="168"/>
      <c r="C237" s="168"/>
      <c r="D237" s="168"/>
      <c r="E237" s="168"/>
      <c r="F237" s="168"/>
      <c r="G237" s="168"/>
      <c r="H237" s="168"/>
    </row>
    <row r="238" ht="14.25" customHeight="1">
      <c r="A238" s="168"/>
      <c r="B238" s="168"/>
      <c r="C238" s="168"/>
      <c r="D238" s="168"/>
      <c r="E238" s="168"/>
      <c r="F238" s="168"/>
      <c r="G238" s="168"/>
      <c r="H238" s="168"/>
    </row>
    <row r="239" ht="14.25" customHeight="1">
      <c r="A239" s="168"/>
      <c r="B239" s="168"/>
      <c r="C239" s="168"/>
      <c r="D239" s="168"/>
      <c r="E239" s="168"/>
      <c r="F239" s="168"/>
      <c r="G239" s="168"/>
      <c r="H239" s="168"/>
    </row>
    <row r="240" ht="14.25" customHeight="1">
      <c r="A240" s="168"/>
      <c r="B240" s="168"/>
      <c r="C240" s="168"/>
      <c r="D240" s="168"/>
      <c r="E240" s="168"/>
      <c r="F240" s="168"/>
      <c r="G240" s="168"/>
      <c r="H240" s="168"/>
    </row>
    <row r="241" ht="14.25" customHeight="1">
      <c r="A241" s="168"/>
      <c r="B241" s="168"/>
      <c r="C241" s="168"/>
      <c r="D241" s="168"/>
      <c r="E241" s="168"/>
      <c r="F241" s="168"/>
      <c r="G241" s="168"/>
      <c r="H241" s="168"/>
    </row>
    <row r="242" ht="14.25" customHeight="1">
      <c r="A242" s="168"/>
      <c r="B242" s="168"/>
      <c r="C242" s="168"/>
      <c r="D242" s="168"/>
      <c r="E242" s="168"/>
      <c r="F242" s="168"/>
      <c r="G242" s="168"/>
      <c r="H242" s="168"/>
    </row>
    <row r="243" ht="14.25" customHeight="1">
      <c r="A243" s="168"/>
      <c r="B243" s="168"/>
      <c r="C243" s="168"/>
      <c r="D243" s="168"/>
      <c r="E243" s="168"/>
      <c r="F243" s="168"/>
      <c r="G243" s="168"/>
      <c r="H243" s="168"/>
    </row>
    <row r="244" ht="14.25" customHeight="1">
      <c r="A244" s="168"/>
      <c r="B244" s="168"/>
      <c r="C244" s="168"/>
      <c r="D244" s="168"/>
      <c r="E244" s="168"/>
      <c r="F244" s="168"/>
      <c r="G244" s="168"/>
      <c r="H244" s="168"/>
    </row>
    <row r="245" ht="14.25" customHeight="1">
      <c r="A245" s="168"/>
      <c r="B245" s="168"/>
      <c r="C245" s="168"/>
      <c r="D245" s="168"/>
      <c r="E245" s="168"/>
      <c r="F245" s="168"/>
      <c r="G245" s="168"/>
      <c r="H245" s="168"/>
    </row>
    <row r="246" ht="14.25" customHeight="1">
      <c r="A246" s="168"/>
      <c r="B246" s="168"/>
      <c r="C246" s="168"/>
      <c r="D246" s="168"/>
      <c r="E246" s="168"/>
      <c r="F246" s="168"/>
      <c r="G246" s="168"/>
      <c r="H246" s="168"/>
    </row>
    <row r="247" ht="14.25" customHeight="1">
      <c r="A247" s="168"/>
      <c r="B247" s="168"/>
      <c r="C247" s="168"/>
      <c r="D247" s="168"/>
      <c r="E247" s="168"/>
      <c r="F247" s="168"/>
      <c r="G247" s="168"/>
      <c r="H247" s="168"/>
    </row>
    <row r="248" ht="14.25" customHeight="1">
      <c r="A248" s="168"/>
      <c r="B248" s="168"/>
      <c r="C248" s="168"/>
      <c r="D248" s="168"/>
      <c r="E248" s="168"/>
      <c r="F248" s="168"/>
      <c r="G248" s="168"/>
      <c r="H248" s="168"/>
    </row>
    <row r="249" ht="14.25" customHeight="1">
      <c r="A249" s="168"/>
      <c r="B249" s="168"/>
      <c r="C249" s="168"/>
      <c r="D249" s="168"/>
      <c r="E249" s="168"/>
      <c r="F249" s="168"/>
      <c r="G249" s="168"/>
      <c r="H249" s="168"/>
    </row>
    <row r="250" ht="14.25" customHeight="1">
      <c r="A250" s="168"/>
      <c r="B250" s="168"/>
      <c r="C250" s="168"/>
      <c r="D250" s="168"/>
      <c r="E250" s="168"/>
      <c r="F250" s="168"/>
      <c r="G250" s="168"/>
      <c r="H250" s="168"/>
    </row>
    <row r="251" ht="14.25" customHeight="1">
      <c r="A251" s="168"/>
      <c r="B251" s="168"/>
      <c r="C251" s="168"/>
      <c r="D251" s="168"/>
      <c r="E251" s="168"/>
      <c r="F251" s="168"/>
      <c r="G251" s="168"/>
      <c r="H251" s="168"/>
    </row>
    <row r="252" ht="14.25" customHeight="1">
      <c r="A252" s="168"/>
      <c r="B252" s="168"/>
      <c r="C252" s="168"/>
      <c r="D252" s="168"/>
      <c r="E252" s="168"/>
      <c r="F252" s="168"/>
      <c r="G252" s="168"/>
      <c r="H252" s="168"/>
    </row>
    <row r="253" ht="14.25" customHeight="1">
      <c r="A253" s="168"/>
      <c r="B253" s="168"/>
      <c r="C253" s="168"/>
      <c r="D253" s="168"/>
      <c r="E253" s="168"/>
      <c r="F253" s="168"/>
      <c r="G253" s="168"/>
      <c r="H253" s="168"/>
    </row>
    <row r="254" ht="14.25" customHeight="1">
      <c r="A254" s="168"/>
      <c r="B254" s="168"/>
      <c r="C254" s="168"/>
      <c r="D254" s="168"/>
      <c r="E254" s="168"/>
      <c r="F254" s="168"/>
      <c r="G254" s="168"/>
      <c r="H254" s="168"/>
    </row>
    <row r="255" ht="14.25" customHeight="1">
      <c r="A255" s="168"/>
      <c r="B255" s="168"/>
      <c r="C255" s="168"/>
      <c r="D255" s="168"/>
      <c r="E255" s="168"/>
      <c r="F255" s="168"/>
      <c r="G255" s="168"/>
      <c r="H255" s="168"/>
    </row>
    <row r="256" ht="14.25" customHeight="1">
      <c r="A256" s="168"/>
      <c r="B256" s="168"/>
      <c r="C256" s="168"/>
      <c r="D256" s="168"/>
      <c r="E256" s="168"/>
      <c r="F256" s="168"/>
      <c r="G256" s="168"/>
      <c r="H256" s="168"/>
    </row>
    <row r="257" ht="14.25" customHeight="1">
      <c r="A257" s="168"/>
      <c r="B257" s="168"/>
      <c r="C257" s="168"/>
      <c r="D257" s="168"/>
      <c r="E257" s="168"/>
      <c r="F257" s="168"/>
      <c r="G257" s="168"/>
      <c r="H257" s="168"/>
    </row>
    <row r="258" ht="14.25" customHeight="1">
      <c r="A258" s="168"/>
      <c r="B258" s="168"/>
      <c r="C258" s="168"/>
      <c r="D258" s="168"/>
      <c r="E258" s="168"/>
      <c r="F258" s="168"/>
      <c r="G258" s="168"/>
      <c r="H258" s="168"/>
    </row>
    <row r="259" ht="14.25" customHeight="1">
      <c r="A259" s="168"/>
      <c r="B259" s="168"/>
      <c r="C259" s="168"/>
      <c r="D259" s="168"/>
      <c r="E259" s="168"/>
      <c r="F259" s="168"/>
      <c r="G259" s="168"/>
      <c r="H259" s="168"/>
    </row>
    <row r="260" ht="14.25" customHeight="1">
      <c r="A260" s="168"/>
      <c r="B260" s="168"/>
      <c r="C260" s="168"/>
      <c r="D260" s="168"/>
      <c r="E260" s="168"/>
      <c r="F260" s="168"/>
      <c r="G260" s="168"/>
      <c r="H260" s="168"/>
    </row>
    <row r="261" ht="14.25" customHeight="1">
      <c r="A261" s="168"/>
      <c r="B261" s="168"/>
      <c r="C261" s="168"/>
      <c r="D261" s="168"/>
      <c r="E261" s="168"/>
      <c r="F261" s="168"/>
      <c r="G261" s="168"/>
      <c r="H261" s="168"/>
    </row>
    <row r="262" ht="14.25" customHeight="1">
      <c r="A262" s="168"/>
      <c r="B262" s="168"/>
      <c r="C262" s="168"/>
      <c r="D262" s="168"/>
      <c r="E262" s="168"/>
      <c r="F262" s="168"/>
      <c r="G262" s="168"/>
      <c r="H262" s="168"/>
    </row>
    <row r="263" ht="14.25" customHeight="1">
      <c r="A263" s="168"/>
      <c r="B263" s="168"/>
      <c r="C263" s="168"/>
      <c r="D263" s="168"/>
      <c r="E263" s="168"/>
      <c r="F263" s="168"/>
      <c r="G263" s="168"/>
      <c r="H263" s="168"/>
    </row>
    <row r="264" ht="14.25" customHeight="1">
      <c r="A264" s="168"/>
      <c r="B264" s="168"/>
      <c r="C264" s="168"/>
      <c r="D264" s="168"/>
      <c r="E264" s="168"/>
      <c r="F264" s="168"/>
      <c r="G264" s="168"/>
      <c r="H264" s="168"/>
    </row>
    <row r="265" ht="14.25" customHeight="1">
      <c r="A265" s="168"/>
      <c r="B265" s="168"/>
      <c r="C265" s="168"/>
      <c r="D265" s="168"/>
      <c r="E265" s="168"/>
      <c r="F265" s="168"/>
      <c r="G265" s="168"/>
      <c r="H265" s="168"/>
    </row>
    <row r="266" ht="14.25" customHeight="1">
      <c r="A266" s="168"/>
      <c r="B266" s="168"/>
      <c r="C266" s="168"/>
      <c r="D266" s="168"/>
      <c r="E266" s="168"/>
      <c r="F266" s="168"/>
      <c r="G266" s="168"/>
      <c r="H266" s="168"/>
    </row>
    <row r="267" ht="14.25" customHeight="1">
      <c r="A267" s="168"/>
      <c r="B267" s="168"/>
      <c r="C267" s="168"/>
      <c r="D267" s="168"/>
      <c r="E267" s="168"/>
      <c r="F267" s="168"/>
      <c r="G267" s="168"/>
      <c r="H267" s="168"/>
    </row>
    <row r="268" ht="14.25" customHeight="1">
      <c r="A268" s="168"/>
      <c r="B268" s="168"/>
      <c r="C268" s="168"/>
      <c r="D268" s="168"/>
      <c r="E268" s="168"/>
      <c r="F268" s="168"/>
      <c r="G268" s="168"/>
      <c r="H268" s="168"/>
    </row>
    <row r="269" ht="14.25" customHeight="1">
      <c r="A269" s="168"/>
      <c r="B269" s="168"/>
      <c r="C269" s="168"/>
      <c r="D269" s="168"/>
      <c r="E269" s="168"/>
      <c r="F269" s="168"/>
      <c r="G269" s="168"/>
      <c r="H269" s="168"/>
    </row>
    <row r="270" ht="14.25" customHeight="1">
      <c r="A270" s="168"/>
      <c r="B270" s="168"/>
      <c r="C270" s="168"/>
      <c r="D270" s="168"/>
      <c r="E270" s="168"/>
      <c r="F270" s="168"/>
      <c r="G270" s="168"/>
      <c r="H270" s="168"/>
    </row>
    <row r="271" ht="14.25" customHeight="1">
      <c r="A271" s="168"/>
      <c r="B271" s="168"/>
      <c r="C271" s="168"/>
      <c r="D271" s="168"/>
      <c r="E271" s="168"/>
      <c r="F271" s="168"/>
      <c r="G271" s="168"/>
      <c r="H271" s="168"/>
    </row>
    <row r="272" ht="14.25" customHeight="1">
      <c r="A272" s="168"/>
      <c r="B272" s="168"/>
      <c r="C272" s="168"/>
      <c r="D272" s="168"/>
      <c r="E272" s="168"/>
      <c r="F272" s="168"/>
      <c r="G272" s="168"/>
      <c r="H272" s="168"/>
    </row>
    <row r="273" ht="14.25" customHeight="1">
      <c r="A273" s="168"/>
      <c r="B273" s="168"/>
      <c r="C273" s="168"/>
      <c r="D273" s="168"/>
      <c r="E273" s="168"/>
      <c r="F273" s="168"/>
      <c r="G273" s="168"/>
      <c r="H273" s="168"/>
    </row>
    <row r="274" ht="14.25" customHeight="1">
      <c r="A274" s="168"/>
      <c r="B274" s="168"/>
      <c r="C274" s="168"/>
      <c r="D274" s="168"/>
      <c r="E274" s="168"/>
      <c r="F274" s="168"/>
      <c r="G274" s="168"/>
      <c r="H274" s="168"/>
    </row>
    <row r="275" ht="14.25" customHeight="1">
      <c r="A275" s="168"/>
      <c r="B275" s="168"/>
      <c r="C275" s="168"/>
      <c r="D275" s="168"/>
      <c r="E275" s="168"/>
      <c r="F275" s="168"/>
      <c r="G275" s="168"/>
      <c r="H275" s="168"/>
    </row>
    <row r="276" ht="14.25" customHeight="1">
      <c r="A276" s="168"/>
      <c r="B276" s="168"/>
      <c r="C276" s="168"/>
      <c r="D276" s="168"/>
      <c r="E276" s="168"/>
      <c r="F276" s="168"/>
      <c r="G276" s="168"/>
      <c r="H276" s="168"/>
    </row>
    <row r="277" ht="14.25" customHeight="1">
      <c r="A277" s="168"/>
      <c r="B277" s="168"/>
      <c r="C277" s="168"/>
      <c r="D277" s="168"/>
      <c r="E277" s="168"/>
      <c r="F277" s="168"/>
      <c r="G277" s="168"/>
      <c r="H277" s="168"/>
    </row>
    <row r="278" ht="14.25" customHeight="1">
      <c r="A278" s="168"/>
      <c r="B278" s="168"/>
      <c r="C278" s="168"/>
      <c r="D278" s="168"/>
      <c r="E278" s="168"/>
      <c r="F278" s="168"/>
      <c r="G278" s="168"/>
      <c r="H278" s="168"/>
    </row>
    <row r="279" ht="14.25" customHeight="1">
      <c r="A279" s="168"/>
      <c r="B279" s="168"/>
      <c r="C279" s="168"/>
      <c r="D279" s="168"/>
      <c r="E279" s="168"/>
      <c r="F279" s="168"/>
      <c r="G279" s="168"/>
      <c r="H279" s="168"/>
    </row>
    <row r="280" ht="14.25" customHeight="1">
      <c r="A280" s="168"/>
      <c r="B280" s="168"/>
      <c r="C280" s="168"/>
      <c r="D280" s="168"/>
      <c r="E280" s="168"/>
      <c r="F280" s="168"/>
      <c r="G280" s="168"/>
      <c r="H280" s="168"/>
    </row>
    <row r="281" ht="14.25" customHeight="1">
      <c r="A281" s="168"/>
      <c r="B281" s="168"/>
      <c r="C281" s="168"/>
      <c r="D281" s="168"/>
      <c r="E281" s="168"/>
      <c r="F281" s="168"/>
      <c r="G281" s="168"/>
      <c r="H281" s="168"/>
    </row>
    <row r="282" ht="14.25" customHeight="1">
      <c r="A282" s="168"/>
      <c r="B282" s="168"/>
      <c r="C282" s="168"/>
      <c r="D282" s="168"/>
      <c r="E282" s="168"/>
      <c r="F282" s="168"/>
      <c r="G282" s="168"/>
      <c r="H282" s="168"/>
    </row>
    <row r="283" ht="14.25" customHeight="1">
      <c r="A283" s="168"/>
      <c r="B283" s="168"/>
      <c r="C283" s="168"/>
      <c r="D283" s="168"/>
      <c r="E283" s="168"/>
      <c r="F283" s="168"/>
      <c r="G283" s="168"/>
      <c r="H283" s="168"/>
    </row>
    <row r="284" ht="14.25" customHeight="1">
      <c r="A284" s="168"/>
      <c r="B284" s="168"/>
      <c r="C284" s="168"/>
      <c r="D284" s="168"/>
      <c r="E284" s="168"/>
      <c r="F284" s="168"/>
      <c r="G284" s="168"/>
      <c r="H284" s="168"/>
    </row>
    <row r="285" ht="14.25" customHeight="1">
      <c r="A285" s="168"/>
      <c r="B285" s="168"/>
      <c r="C285" s="168"/>
      <c r="D285" s="168"/>
      <c r="E285" s="168"/>
      <c r="F285" s="168"/>
      <c r="G285" s="168"/>
      <c r="H285" s="168"/>
    </row>
    <row r="286" ht="14.25" customHeight="1">
      <c r="A286" s="168"/>
      <c r="B286" s="168"/>
      <c r="C286" s="168"/>
      <c r="D286" s="168"/>
      <c r="E286" s="168"/>
      <c r="F286" s="168"/>
      <c r="G286" s="168"/>
      <c r="H286" s="168"/>
    </row>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5">
    <mergeCell ref="B2:G2"/>
    <mergeCell ref="I2:J2"/>
    <mergeCell ref="B3:G3"/>
    <mergeCell ref="B4:G4"/>
    <mergeCell ref="B5:G5"/>
    <mergeCell ref="B6:G6"/>
    <mergeCell ref="B8:G8"/>
    <mergeCell ref="B10:G10"/>
    <mergeCell ref="B11:G11"/>
    <mergeCell ref="B13:G13"/>
    <mergeCell ref="B14:G14"/>
    <mergeCell ref="B16:G16"/>
    <mergeCell ref="B17:G17"/>
    <mergeCell ref="I17:J20"/>
    <mergeCell ref="B19:G19"/>
    <mergeCell ref="C22:G22"/>
    <mergeCell ref="C23:G23"/>
    <mergeCell ref="C24:D24"/>
    <mergeCell ref="E24:F24"/>
    <mergeCell ref="C25:D25"/>
    <mergeCell ref="E25:F25"/>
    <mergeCell ref="E30:F30"/>
    <mergeCell ref="E31:F31"/>
    <mergeCell ref="E32:F32"/>
    <mergeCell ref="E33:F33"/>
    <mergeCell ref="E34:F34"/>
    <mergeCell ref="C35:G35"/>
    <mergeCell ref="E36:F36"/>
    <mergeCell ref="E37:F37"/>
    <mergeCell ref="C26:D26"/>
    <mergeCell ref="E26:F26"/>
    <mergeCell ref="C27:D27"/>
    <mergeCell ref="E27:F27"/>
    <mergeCell ref="C28:D28"/>
    <mergeCell ref="E28:F28"/>
    <mergeCell ref="E29:F29"/>
    <mergeCell ref="C29:D29"/>
    <mergeCell ref="C30:D30"/>
    <mergeCell ref="C31:D31"/>
    <mergeCell ref="C32:D32"/>
    <mergeCell ref="C33:D33"/>
    <mergeCell ref="C34:D34"/>
    <mergeCell ref="C36:D36"/>
    <mergeCell ref="C37:D37"/>
    <mergeCell ref="C38:D38"/>
    <mergeCell ref="E38:F38"/>
    <mergeCell ref="C39:D39"/>
    <mergeCell ref="E39:F39"/>
    <mergeCell ref="C40:D40"/>
    <mergeCell ref="E40:F40"/>
    <mergeCell ref="C68:G68"/>
    <mergeCell ref="C69:E69"/>
    <mergeCell ref="F69:G69"/>
    <mergeCell ref="C70:E70"/>
    <mergeCell ref="F70:G70"/>
    <mergeCell ref="C71:E71"/>
    <mergeCell ref="F71:G71"/>
    <mergeCell ref="C72:E72"/>
    <mergeCell ref="F72:G72"/>
    <mergeCell ref="C73:E73"/>
    <mergeCell ref="F73:G73"/>
    <mergeCell ref="C74:E74"/>
    <mergeCell ref="F74:G74"/>
    <mergeCell ref="F75:G75"/>
    <mergeCell ref="C75:E75"/>
    <mergeCell ref="C79:G79"/>
    <mergeCell ref="C80:G80"/>
    <mergeCell ref="C82:G82"/>
    <mergeCell ref="C83:G83"/>
    <mergeCell ref="C97:G97"/>
    <mergeCell ref="C98:G98"/>
    <mergeCell ref="C112:G112"/>
    <mergeCell ref="C113:G113"/>
    <mergeCell ref="C127:G127"/>
    <mergeCell ref="C128:G128"/>
    <mergeCell ref="C129:G129"/>
    <mergeCell ref="C130:G130"/>
    <mergeCell ref="C131:G131"/>
    <mergeCell ref="C132:G132"/>
    <mergeCell ref="C133:G133"/>
    <mergeCell ref="C134:G134"/>
    <mergeCell ref="C135:G135"/>
    <mergeCell ref="C136:G136"/>
    <mergeCell ref="C137:G137"/>
    <mergeCell ref="C138:G138"/>
    <mergeCell ref="B147:C147"/>
    <mergeCell ref="D147:G147"/>
    <mergeCell ref="B150:G150"/>
    <mergeCell ref="B151:G151"/>
    <mergeCell ref="B152:G152"/>
    <mergeCell ref="C139:G139"/>
    <mergeCell ref="C140:G140"/>
    <mergeCell ref="C141:G141"/>
    <mergeCell ref="C142:G142"/>
    <mergeCell ref="C143:G143"/>
    <mergeCell ref="C144:G144"/>
    <mergeCell ref="C145:G145"/>
    <mergeCell ref="C41:D41"/>
    <mergeCell ref="E41:F41"/>
    <mergeCell ref="C42:D42"/>
    <mergeCell ref="E42:F42"/>
    <mergeCell ref="C43:D43"/>
    <mergeCell ref="E43:F43"/>
    <mergeCell ref="E44:F44"/>
    <mergeCell ref="C44:D44"/>
    <mergeCell ref="C45:D45"/>
    <mergeCell ref="C46:D46"/>
    <mergeCell ref="C47:D47"/>
    <mergeCell ref="C48:D48"/>
    <mergeCell ref="C49:D49"/>
    <mergeCell ref="C50:D50"/>
    <mergeCell ref="E45:F45"/>
    <mergeCell ref="E46:F46"/>
    <mergeCell ref="E47:F47"/>
    <mergeCell ref="E48:F48"/>
    <mergeCell ref="E49:F49"/>
    <mergeCell ref="E50:F50"/>
    <mergeCell ref="E51:F51"/>
    <mergeCell ref="C58:D58"/>
    <mergeCell ref="C59:D59"/>
    <mergeCell ref="C60:D60"/>
    <mergeCell ref="C61:D61"/>
    <mergeCell ref="C62:D62"/>
    <mergeCell ref="C63:D63"/>
    <mergeCell ref="C51:D51"/>
    <mergeCell ref="C52:D52"/>
    <mergeCell ref="C53:D53"/>
    <mergeCell ref="C54:D54"/>
    <mergeCell ref="C55:D55"/>
    <mergeCell ref="C56:D56"/>
    <mergeCell ref="C57:D57"/>
    <mergeCell ref="E52:F52"/>
    <mergeCell ref="E53:F53"/>
    <mergeCell ref="E54:F54"/>
    <mergeCell ref="E55:F55"/>
    <mergeCell ref="E56:F56"/>
    <mergeCell ref="E57:F57"/>
    <mergeCell ref="E58:F58"/>
    <mergeCell ref="E59:F59"/>
    <mergeCell ref="E60:F60"/>
    <mergeCell ref="E61:F61"/>
    <mergeCell ref="E62:F62"/>
    <mergeCell ref="E63:F63"/>
    <mergeCell ref="C64:G64"/>
    <mergeCell ref="C67:G67"/>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dataValidations>
    <dataValidation type="list" allowBlank="1" showErrorMessage="1" sqref="J4">
      <formula1>'Licences &amp; Certificates'!$A$5:$A$73</formula1>
    </dataValidation>
    <dataValidation type="list" allowBlank="1" showErrorMessage="1" sqref="J12">
      <formula1>Lists!$T$5:$T$7</formula1>
    </dataValidation>
    <dataValidation type="list" allowBlank="1" showErrorMessage="1" sqref="J3">
      <formula1>"Yes,No"</formula1>
    </dataValidation>
  </dataValidations>
  <hyperlinks>
    <hyperlink display="⇄ Switch to Print EDL (standard)" location="'Print EDL'!J4" ref="I16"/>
  </hyperlinks>
  <printOptions horizontalCentered="1"/>
  <pageMargins bottom="0.5555555555555556" footer="0.0" header="0.0" left="0.5" right="0.5" top="0.5"/>
  <pageSetup fitToHeight="0" paperSize="9" orientation="portrait"/>
  <headerFooter>
    <oddFooter>&amp;CPage &amp;P of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14"/>
    <col customWidth="1" min="2" max="2" width="31.43"/>
    <col customWidth="1" min="3" max="3" width="0.29"/>
    <col customWidth="1" min="4" max="4" width="18.57"/>
    <col customWidth="1" min="5" max="5" width="21.29"/>
    <col customWidth="1" min="6" max="6" width="14.71"/>
    <col customWidth="1" min="7" max="7" width="1.14"/>
    <col customWidth="1" min="8" max="8" width="11.14"/>
    <col customWidth="1" min="9" max="9" width="31.43"/>
    <col customWidth="1" min="10" max="10" width="42.57"/>
    <col customWidth="1" min="11" max="11" width="1.86"/>
    <col customWidth="1" min="12" max="12" width="11.14"/>
    <col customWidth="1" min="13" max="26" width="8.71"/>
  </cols>
  <sheetData>
    <row r="1" ht="9.75" customHeight="1">
      <c r="A1" s="240"/>
      <c r="B1" s="240"/>
      <c r="C1" s="240"/>
      <c r="D1" s="240"/>
      <c r="E1" s="240"/>
      <c r="F1" s="240"/>
      <c r="G1" s="240"/>
      <c r="I1" s="241"/>
      <c r="J1" s="241"/>
    </row>
    <row r="2" ht="21.75" customHeight="1">
      <c r="A2" s="240"/>
      <c r="B2" s="239" t="str">
        <f>IF($J$7="Yes",setLetterhead_1,"")</f>
        <v/>
      </c>
      <c r="G2" s="240"/>
      <c r="I2" s="242" t="s">
        <v>682</v>
      </c>
      <c r="J2" s="13"/>
    </row>
    <row r="3" ht="14.25" customHeight="1">
      <c r="A3" s="240"/>
      <c r="B3" s="243" t="str">
        <f>IF($J$7="Yes",setLetterhead_2,"")</f>
        <v/>
      </c>
      <c r="G3" s="240"/>
      <c r="I3" s="241"/>
      <c r="J3" s="241"/>
    </row>
    <row r="4" ht="14.25" customHeight="1">
      <c r="A4" s="240"/>
      <c r="B4" s="183" t="str">
        <f>IF($J$7="Yes",setLetterhead_3,"")</f>
        <v/>
      </c>
      <c r="G4" s="240"/>
      <c r="I4" s="172" t="s">
        <v>683</v>
      </c>
      <c r="J4" s="244" t="s">
        <v>685</v>
      </c>
      <c r="K4" s="245" t="str">
        <f>TRIM(LEFT($J$4,FIND(" ",$J$4&amp;" ")-1))</f>
        <v>CLN-140</v>
      </c>
    </row>
    <row r="5" ht="14.25" customHeight="1">
      <c r="A5" s="240"/>
      <c r="B5" s="183" t="str">
        <f>IF($J$7="Yes",setLetterhead_4,"")</f>
        <v/>
      </c>
      <c r="G5" s="240"/>
      <c r="I5" s="172" t="s">
        <v>0</v>
      </c>
      <c r="J5" s="246" t="str">
        <f>IF($K$4="","Choose a Clearance No.",IF($J$6="","⚠ Clearance not found",IF($J$9="","⚠ No EPA Ref. No. – add it on the Clearance Form",IF($J$10="","⚠ No clearance date",IF($J$11&gt;20,"⚠ More than 20 lines – only 20 print","✔ Ready to print")))))</f>
        <v>✔ Ready to print</v>
      </c>
    </row>
    <row r="6" ht="14.25" customHeight="1">
      <c r="A6" s="240"/>
      <c r="B6" s="183" t="str">
        <f>IF($J$7="Yes",setLetterhead_5,"")</f>
        <v/>
      </c>
      <c r="G6" s="240"/>
      <c r="I6" s="172" t="s">
        <v>686</v>
      </c>
      <c r="J6" s="246">
        <f>IFERROR(MATCH($K$4,'Chemical Clearances'!$B$5:$B$169,0),"")</f>
        <v>157</v>
      </c>
    </row>
    <row r="7" ht="12.75" customHeight="1">
      <c r="A7" s="240"/>
      <c r="B7" s="247" t="str">
        <f t="array" ref="B7">IF($J$7="Yes",IFERROR(INDEX(Lists!$AG$5:$AG$7,MATCH($J$13,Lists!$AF$5:$AF$7,0))&amp;IF(INDEX(Lists!$AH$5:$AH$7,MATCH($J$13,Lists!$AF$5:$AF$7,0))="",""," · "&amp;INDEX(Lists!$AH$5:$AH$7,MATCH($J$13,Lists!$AF$5:$AF$7,0))),""),"")</f>
        <v/>
      </c>
      <c r="G7" s="240"/>
      <c r="I7" s="172" t="s">
        <v>542</v>
      </c>
      <c r="J7" s="199" t="s">
        <v>687</v>
      </c>
    </row>
    <row r="8" ht="15.0" customHeight="1">
      <c r="A8" s="240"/>
      <c r="B8" s="240"/>
      <c r="C8" s="240"/>
      <c r="D8" s="240"/>
      <c r="E8" s="240"/>
      <c r="F8" s="240"/>
      <c r="G8" s="240"/>
      <c r="I8" s="172" t="s">
        <v>218</v>
      </c>
      <c r="J8" s="246" t="str">
        <f t="array" ref="J8">IF($J$6="","",INDEX('Chemical Clearances'!$D$5:$D$169,$J$6))</f>
        <v>Mano Manufacturing Company (MANCO)</v>
      </c>
    </row>
    <row r="9" ht="14.25" customHeight="1">
      <c r="A9" s="240"/>
      <c r="B9" s="248" t="str">
        <f>$J$9</f>
        <v>DEDA/EPA-02/232/26/RL</v>
      </c>
      <c r="G9" s="240"/>
      <c r="I9" s="172" t="s">
        <v>459</v>
      </c>
      <c r="J9" s="246" t="str">
        <f t="array" ref="J9">IF($J$6="","",INDEX('Chemical Clearances'!$L$5:$L$169,$J$6)&amp;"")</f>
        <v>DEDA/EPA-02/232/26/RL</v>
      </c>
    </row>
    <row r="10" ht="14.25" customHeight="1">
      <c r="A10" s="240"/>
      <c r="B10" s="240"/>
      <c r="C10" s="240"/>
      <c r="D10" s="240"/>
      <c r="E10" s="240"/>
      <c r="F10" s="240"/>
      <c r="G10" s="240"/>
      <c r="I10" s="172" t="s">
        <v>688</v>
      </c>
      <c r="J10" s="249">
        <f t="array" ref="J10">IF($J$6="","",IF(INDEX('Chemical Clearances'!$M$5:$M$169,$J$6)="","",INDEX('Chemical Clearances'!$M$5:$M$169,$J$6)))</f>
        <v>46163</v>
      </c>
    </row>
    <row r="11" ht="14.25" customHeight="1">
      <c r="A11" s="240"/>
      <c r="B11" s="183" t="str">
        <f>IF($J$10="","",TEXT($J$10,"mmmm d, yyyy"))</f>
        <v>May 21, 2026</v>
      </c>
      <c r="G11" s="240"/>
      <c r="I11" s="172" t="s">
        <v>317</v>
      </c>
      <c r="J11" s="246">
        <f>COUNTIF('Chemical Clearances'!$B$5:$B$169,$K$4)</f>
        <v>1</v>
      </c>
    </row>
    <row r="12" ht="14.25" customHeight="1">
      <c r="A12" s="240"/>
      <c r="B12" s="240"/>
      <c r="C12" s="240"/>
      <c r="D12" s="240"/>
      <c r="E12" s="240"/>
      <c r="F12" s="240"/>
      <c r="G12" s="240"/>
      <c r="I12" s="172" t="s">
        <v>690</v>
      </c>
      <c r="J12" s="250">
        <f>SUMIFS('Chemical Clearances'!$I$5:$I$169,'Chemical Clearances'!$B$5:$B$169,$K$4)</f>
        <v>13000</v>
      </c>
    </row>
    <row r="13" ht="14.25" customHeight="1">
      <c r="A13" s="240"/>
      <c r="B13" s="251" t="s">
        <v>691</v>
      </c>
      <c r="G13" s="240"/>
      <c r="I13" s="172" t="s">
        <v>571</v>
      </c>
      <c r="J13" s="173" t="s">
        <v>572</v>
      </c>
    </row>
    <row r="14" ht="14.25" customHeight="1">
      <c r="A14" s="240"/>
      <c r="B14" s="240"/>
      <c r="C14" s="240"/>
      <c r="D14" s="240"/>
      <c r="E14" s="240"/>
      <c r="F14" s="240"/>
      <c r="G14" s="240"/>
      <c r="I14" s="188" t="s">
        <v>692</v>
      </c>
    </row>
    <row r="15" ht="51.75" customHeight="1">
      <c r="A15" s="240"/>
      <c r="B15" s="252" t="str">
        <f>"This is to testify that "&amp;$J$8&amp;" is in the process of obtaining the Environmental Protection Agency (EPA) Importation License issued for the clearance of the following consignments:"</f>
        <v>This is to testify that Mano Manufacturing Company (MANCO) is in the process of obtaining the Environmental Protection Agency (EPA) Importation License issued for the clearance of the following consignments:</v>
      </c>
      <c r="G15" s="240"/>
    </row>
    <row r="16" ht="14.25" customHeight="1">
      <c r="A16" s="240"/>
      <c r="B16" s="240"/>
      <c r="C16" s="240"/>
      <c r="D16" s="240"/>
      <c r="E16" s="240"/>
      <c r="F16" s="240"/>
      <c r="G16" s="240"/>
    </row>
    <row r="17" ht="21.75" customHeight="1">
      <c r="A17" s="240"/>
      <c r="B17" s="253" t="s">
        <v>693</v>
      </c>
      <c r="C17" s="254"/>
      <c r="D17" s="254" t="s">
        <v>694</v>
      </c>
      <c r="E17" s="255" t="s">
        <v>695</v>
      </c>
      <c r="F17" s="255" t="s">
        <v>492</v>
      </c>
      <c r="G17" s="240"/>
      <c r="L17" s="225" t="s">
        <v>582</v>
      </c>
    </row>
    <row r="18" ht="14.25" customHeight="1">
      <c r="A18" s="240"/>
      <c r="B18" s="256" t="str">
        <f t="array" ref="B18">IF($L18="","",UPPER(IF(INDEX('Chemical Clearances'!$E$5:$E$169,$L18)&lt;&gt;"",INDEX('Chemical Clearances'!$E$5:$E$169,$L18),INDEX('Chemical Clearances'!$F$5:$F$169,$L18))))</f>
        <v>LIQUID CHLORINE 99.8% (HS 2801100000, 1000 KG CYLINDERS)</v>
      </c>
      <c r="C18" s="257"/>
      <c r="D18" s="261" t="str">
        <f t="array" ref="D18">IF($L18="","",IF(ISNUMBER(INDEX('Chemical Clearances'!$I$5:$I$169,$L18)),IF(INDEX('Chemical Clearances'!$I$5:$I$169,$L18)=INT(INDEX('Chemical Clearances'!$I$5:$I$169,$L18)),TEXT(INDEX('Chemical Clearances'!$I$5:$I$169,$L18),"#,##0"),TEXT(INDEX('Chemical Clearances'!$I$5:$I$169,$L18),"#,##0.0##"))&amp;"KGS",INDEX('Chemical Clearances'!$G$5:$G$169,$L18)&amp;" "&amp;UPPER(INDEX('Chemical Clearances'!$H$5:$H$169,$L18))))</f>
        <v>13,000KGS</v>
      </c>
      <c r="E18" s="262" t="str">
        <f t="array" ref="E18">IF($L18="","",IF(INDEX('Chemical Clearances'!$K$5:$K$169,$L18)="","N/A",INDEX('Chemical Clearances'!$K$5:$K$169,$L18)&amp;""))</f>
        <v>BL HLCULE1260410450</v>
      </c>
      <c r="F18" s="262" t="str">
        <f t="array" ref="F18">IF($L18="","",IF(INDEX('Chemical Clearances'!$P$5:$P$169,$L18)="","N/A",IF(ISNUMBER(INDEX('Chemical Clearances'!$P$5:$P$169,$L18)),TEXT(INDEX('Chemical Clearances'!$P$5:$P$169,$L18),"dd-mmm-yyyy"),INDEX('Chemical Clearances'!$P$5:$P$169,$L18)&amp;"")))</f>
        <v>N/A</v>
      </c>
      <c r="G18" s="240"/>
      <c r="L18" s="225">
        <f>IFERROR(__xludf.DUMMYFUNCTION("ARRAY_CONSTRAIN(ARRAYFORMULA(IFERROR(SMALL(FILTER((ROW('Chemical Clearances'!$B$5:$B$169)-ROW('Chemical Clearances'!$A$4:$Q$4)),IFERROR(('Chemical Clearances'!$B$5:$B$169=$K$4),FALSE)),ROWS($L$18:L18)),"""")), 1, 1)"),157.0)</f>
        <v>157</v>
      </c>
    </row>
    <row r="19">
      <c r="A19" s="240"/>
      <c r="B19" s="256" t="str">
        <f t="array" ref="B19">IF($L19="","",UPPER(IF(INDEX('Chemical Clearances'!$E$5:$E$169,$L19)&lt;&gt;"",INDEX('Chemical Clearances'!$E$5:$E$169,$L19),INDEX('Chemical Clearances'!$F$5:$F$169,$L19))))</f>
        <v/>
      </c>
      <c r="C19" s="257"/>
      <c r="D19" s="261" t="str">
        <f t="array" ref="D19">IF($L19="","",IF(ISNUMBER(INDEX('Chemical Clearances'!$I$5:$I$169,$L19)),IF(INDEX('Chemical Clearances'!$I$5:$I$169,$L19)=INT(INDEX('Chemical Clearances'!$I$5:$I$169,$L19)),TEXT(INDEX('Chemical Clearances'!$I$5:$I$169,$L19),"#,##0"),TEXT(INDEX('Chemical Clearances'!$I$5:$I$169,$L19),"#,##0.0##"))&amp;"KGS",INDEX('Chemical Clearances'!$G$5:$G$169,$L19)&amp;" "&amp;UPPER(INDEX('Chemical Clearances'!$H$5:$H$169,$L19))))</f>
        <v/>
      </c>
      <c r="E19" s="262" t="str">
        <f t="array" ref="E19">IF($L19="","",IF(INDEX('Chemical Clearances'!$K$5:$K$169,$L19)="","N/A",INDEX('Chemical Clearances'!$K$5:$K$169,$L19)&amp;""))</f>
        <v/>
      </c>
      <c r="F19" s="262" t="str">
        <f t="array" ref="F19">IF($L19="","",IF(INDEX('Chemical Clearances'!$P$5:$P$169,$L19)="","N/A",IF(ISNUMBER(INDEX('Chemical Clearances'!$P$5:$P$169,$L19)),TEXT(INDEX('Chemical Clearances'!$P$5:$P$169,$L19),"dd-mmm-yyyy"),INDEX('Chemical Clearances'!$P$5:$P$169,$L19)&amp;"")))</f>
        <v/>
      </c>
      <c r="G19" s="240"/>
      <c r="L19" s="225" t="str">
        <f>IFERROR(__xludf.DUMMYFUNCTION("ARRAY_CONSTRAIN(ARRAYFORMULA(IFERROR(SMALL(FILTER((ROW('Chemical Clearances'!$B$5:$B$169)-ROW('Chemical Clearances'!$A$4:$Q$4)),IFERROR(('Chemical Clearances'!$B$5:$B$169=$K$4),FALSE)),ROWS($L$18:L19)),"""")), 1, 1)"),"")</f>
        <v/>
      </c>
    </row>
    <row r="20">
      <c r="A20" s="240"/>
      <c r="B20" s="256" t="str">
        <f t="array" ref="B20">IF($L20="","",UPPER(IF(INDEX('Chemical Clearances'!$E$5:$E$169,$L20)&lt;&gt;"",INDEX('Chemical Clearances'!$E$5:$E$169,$L20),INDEX('Chemical Clearances'!$F$5:$F$169,$L20))))</f>
        <v/>
      </c>
      <c r="C20" s="257"/>
      <c r="D20" s="261" t="str">
        <f t="array" ref="D20">IF($L20="","",IF(ISNUMBER(INDEX('Chemical Clearances'!$I$5:$I$169,$L20)),IF(INDEX('Chemical Clearances'!$I$5:$I$169,$L20)=INT(INDEX('Chemical Clearances'!$I$5:$I$169,$L20)),TEXT(INDEX('Chemical Clearances'!$I$5:$I$169,$L20),"#,##0"),TEXT(INDEX('Chemical Clearances'!$I$5:$I$169,$L20),"#,##0.0##"))&amp;"KGS",INDEX('Chemical Clearances'!$G$5:$G$169,$L20)&amp;" "&amp;UPPER(INDEX('Chemical Clearances'!$H$5:$H$169,$L20))))</f>
        <v/>
      </c>
      <c r="E20" s="262" t="str">
        <f t="array" ref="E20">IF($L20="","",IF(INDEX('Chemical Clearances'!$K$5:$K$169,$L20)="","N/A",INDEX('Chemical Clearances'!$K$5:$K$169,$L20)&amp;""))</f>
        <v/>
      </c>
      <c r="F20" s="262" t="str">
        <f t="array" ref="F20">IF($L20="","",IF(INDEX('Chemical Clearances'!$P$5:$P$169,$L20)="","N/A",IF(ISNUMBER(INDEX('Chemical Clearances'!$P$5:$P$169,$L20)),TEXT(INDEX('Chemical Clearances'!$P$5:$P$169,$L20),"dd-mmm-yyyy"),INDEX('Chemical Clearances'!$P$5:$P$169,$L20)&amp;"")))</f>
        <v/>
      </c>
      <c r="G20" s="240"/>
      <c r="I20" s="241"/>
      <c r="J20" s="241"/>
      <c r="L20" s="225" t="str">
        <f>IFERROR(__xludf.DUMMYFUNCTION("ARRAY_CONSTRAIN(ARRAYFORMULA(IFERROR(SMALL(FILTER((ROW('Chemical Clearances'!$B$5:$B$169)-ROW('Chemical Clearances'!$A$4:$Q$4)),IFERROR(('Chemical Clearances'!$B$5:$B$169=$K$4),FALSE)),ROWS($L$18:L20)),"""")), 1, 1)"),"")</f>
        <v/>
      </c>
    </row>
    <row r="21">
      <c r="A21" s="240"/>
      <c r="B21" s="256" t="str">
        <f t="array" ref="B21">IF($L21="","",UPPER(IF(INDEX('Chemical Clearances'!$E$5:$E$169,$L21)&lt;&gt;"",INDEX('Chemical Clearances'!$E$5:$E$169,$L21),INDEX('Chemical Clearances'!$F$5:$F$169,$L21))))</f>
        <v/>
      </c>
      <c r="C21" s="257"/>
      <c r="D21" s="261" t="str">
        <f t="array" ref="D21">IF($L21="","",IF(ISNUMBER(INDEX('Chemical Clearances'!$I$5:$I$169,$L21)),IF(INDEX('Chemical Clearances'!$I$5:$I$169,$L21)=INT(INDEX('Chemical Clearances'!$I$5:$I$169,$L21)),TEXT(INDEX('Chemical Clearances'!$I$5:$I$169,$L21),"#,##0"),TEXT(INDEX('Chemical Clearances'!$I$5:$I$169,$L21),"#,##0.0##"))&amp;"KGS",INDEX('Chemical Clearances'!$G$5:$G$169,$L21)&amp;" "&amp;UPPER(INDEX('Chemical Clearances'!$H$5:$H$169,$L21))))</f>
        <v/>
      </c>
      <c r="E21" s="262" t="str">
        <f t="array" ref="E21">IF($L21="","",IF(INDEX('Chemical Clearances'!$K$5:$K$169,$L21)="","N/A",INDEX('Chemical Clearances'!$K$5:$K$169,$L21)&amp;""))</f>
        <v/>
      </c>
      <c r="F21" s="262" t="str">
        <f t="array" ref="F21">IF($L21="","",IF(INDEX('Chemical Clearances'!$P$5:$P$169,$L21)="","N/A",IF(ISNUMBER(INDEX('Chemical Clearances'!$P$5:$P$169,$L21)),TEXT(INDEX('Chemical Clearances'!$P$5:$P$169,$L21),"dd-mmm-yyyy"),INDEX('Chemical Clearances'!$P$5:$P$169,$L21)&amp;"")))</f>
        <v/>
      </c>
      <c r="G21" s="240"/>
      <c r="I21" s="241"/>
      <c r="J21" s="241"/>
      <c r="L21" s="225" t="str">
        <f>IFERROR(__xludf.DUMMYFUNCTION("ARRAY_CONSTRAIN(ARRAYFORMULA(IFERROR(SMALL(FILTER((ROW('Chemical Clearances'!$B$5:$B$169)-ROW('Chemical Clearances'!$A$4:$Q$4)),IFERROR(('Chemical Clearances'!$B$5:$B$169=$K$4),FALSE)),ROWS($L$18:L21)),"""")), 1, 1)"),"")</f>
        <v/>
      </c>
    </row>
    <row r="22">
      <c r="A22" s="240"/>
      <c r="B22" s="256" t="str">
        <f t="array" ref="B22">IF($L22="","",UPPER(IF(INDEX('Chemical Clearances'!$E$5:$E$169,$L22)&lt;&gt;"",INDEX('Chemical Clearances'!$E$5:$E$169,$L22),INDEX('Chemical Clearances'!$F$5:$F$169,$L22))))</f>
        <v/>
      </c>
      <c r="C22" s="257"/>
      <c r="D22" s="261" t="str">
        <f t="array" ref="D22">IF($L22="","",IF(ISNUMBER(INDEX('Chemical Clearances'!$I$5:$I$169,$L22)),IF(INDEX('Chemical Clearances'!$I$5:$I$169,$L22)=INT(INDEX('Chemical Clearances'!$I$5:$I$169,$L22)),TEXT(INDEX('Chemical Clearances'!$I$5:$I$169,$L22),"#,##0"),TEXT(INDEX('Chemical Clearances'!$I$5:$I$169,$L22),"#,##0.0##"))&amp;"KGS",INDEX('Chemical Clearances'!$G$5:$G$169,$L22)&amp;" "&amp;UPPER(INDEX('Chemical Clearances'!$H$5:$H$169,$L22))))</f>
        <v/>
      </c>
      <c r="E22" s="262" t="str">
        <f t="array" ref="E22">IF($L22="","",IF(INDEX('Chemical Clearances'!$K$5:$K$169,$L22)="","N/A",INDEX('Chemical Clearances'!$K$5:$K$169,$L22)&amp;""))</f>
        <v/>
      </c>
      <c r="F22" s="262" t="str">
        <f t="array" ref="F22">IF($L22="","",IF(INDEX('Chemical Clearances'!$P$5:$P$169,$L22)="","N/A",IF(ISNUMBER(INDEX('Chemical Clearances'!$P$5:$P$169,$L22)),TEXT(INDEX('Chemical Clearances'!$P$5:$P$169,$L22),"dd-mmm-yyyy"),INDEX('Chemical Clearances'!$P$5:$P$169,$L22)&amp;"")))</f>
        <v/>
      </c>
      <c r="G22" s="240"/>
      <c r="I22" s="241"/>
      <c r="J22" s="241"/>
      <c r="L22" s="225" t="str">
        <f>IFERROR(__xludf.DUMMYFUNCTION("ARRAY_CONSTRAIN(ARRAYFORMULA(IFERROR(SMALL(FILTER((ROW('Chemical Clearances'!$B$5:$B$169)-ROW('Chemical Clearances'!$A$4:$Q$4)),IFERROR(('Chemical Clearances'!$B$5:$B$169=$K$4),FALSE)),ROWS($L$18:L22)),"""")), 1, 1)"),"")</f>
        <v/>
      </c>
    </row>
    <row r="23">
      <c r="A23" s="240"/>
      <c r="B23" s="256" t="str">
        <f t="array" ref="B23">IF($L23="","",UPPER(IF(INDEX('Chemical Clearances'!$E$5:$E$169,$L23)&lt;&gt;"",INDEX('Chemical Clearances'!$E$5:$E$169,$L23),INDEX('Chemical Clearances'!$F$5:$F$169,$L23))))</f>
        <v/>
      </c>
      <c r="C23" s="257"/>
      <c r="D23" s="261" t="str">
        <f t="array" ref="D23">IF($L23="","",IF(ISNUMBER(INDEX('Chemical Clearances'!$I$5:$I$169,$L23)),IF(INDEX('Chemical Clearances'!$I$5:$I$169,$L23)=INT(INDEX('Chemical Clearances'!$I$5:$I$169,$L23)),TEXT(INDEX('Chemical Clearances'!$I$5:$I$169,$L23),"#,##0"),TEXT(INDEX('Chemical Clearances'!$I$5:$I$169,$L23),"#,##0.0##"))&amp;"KGS",INDEX('Chemical Clearances'!$G$5:$G$169,$L23)&amp;" "&amp;UPPER(INDEX('Chemical Clearances'!$H$5:$H$169,$L23))))</f>
        <v/>
      </c>
      <c r="E23" s="262" t="str">
        <f t="array" ref="E23">IF($L23="","",IF(INDEX('Chemical Clearances'!$K$5:$K$169,$L23)="","N/A",INDEX('Chemical Clearances'!$K$5:$K$169,$L23)&amp;""))</f>
        <v/>
      </c>
      <c r="F23" s="262" t="str">
        <f t="array" ref="F23">IF($L23="","",IF(INDEX('Chemical Clearances'!$P$5:$P$169,$L23)="","N/A",IF(ISNUMBER(INDEX('Chemical Clearances'!$P$5:$P$169,$L23)),TEXT(INDEX('Chemical Clearances'!$P$5:$P$169,$L23),"dd-mmm-yyyy"),INDEX('Chemical Clearances'!$P$5:$P$169,$L23)&amp;"")))</f>
        <v/>
      </c>
      <c r="G23" s="240"/>
      <c r="I23" s="241"/>
      <c r="J23" s="241"/>
      <c r="L23" s="225" t="str">
        <f>IFERROR(__xludf.DUMMYFUNCTION("ARRAY_CONSTRAIN(ARRAYFORMULA(IFERROR(SMALL(FILTER((ROW('Chemical Clearances'!$B$5:$B$169)-ROW('Chemical Clearances'!$A$4:$Q$4)),IFERROR(('Chemical Clearances'!$B$5:$B$169=$K$4),FALSE)),ROWS($L$18:L23)),"""")), 1, 1)"),"")</f>
        <v/>
      </c>
    </row>
    <row r="24" ht="14.25" customHeight="1">
      <c r="A24" s="240"/>
      <c r="B24" s="256" t="str">
        <f t="array" ref="B24">IF($L24="","",UPPER(IF(INDEX('Chemical Clearances'!$E$5:$E$169,$L24)&lt;&gt;"",INDEX('Chemical Clearances'!$E$5:$E$169,$L24),INDEX('Chemical Clearances'!$F$5:$F$169,$L24))))</f>
        <v/>
      </c>
      <c r="C24" s="257"/>
      <c r="D24" s="261" t="str">
        <f t="array" ref="D24">IF($L24="","",IF(ISNUMBER(INDEX('Chemical Clearances'!$I$5:$I$169,$L24)),IF(INDEX('Chemical Clearances'!$I$5:$I$169,$L24)=INT(INDEX('Chemical Clearances'!$I$5:$I$169,$L24)),TEXT(INDEX('Chemical Clearances'!$I$5:$I$169,$L24),"#,##0"),TEXT(INDEX('Chemical Clearances'!$I$5:$I$169,$L24),"#,##0.0##"))&amp;"KGS",INDEX('Chemical Clearances'!$G$5:$G$169,$L24)&amp;" "&amp;UPPER(INDEX('Chemical Clearances'!$H$5:$H$169,$L24))))</f>
        <v/>
      </c>
      <c r="E24" s="262" t="str">
        <f t="array" ref="E24">IF($L24="","",IF(INDEX('Chemical Clearances'!$K$5:$K$169,$L24)="","N/A",INDEX('Chemical Clearances'!$K$5:$K$169,$L24)&amp;""))</f>
        <v/>
      </c>
      <c r="F24" s="262" t="str">
        <f t="array" ref="F24">IF($L24="","",IF(INDEX('Chemical Clearances'!$P$5:$P$169,$L24)="","N/A",IF(ISNUMBER(INDEX('Chemical Clearances'!$P$5:$P$169,$L24)),TEXT(INDEX('Chemical Clearances'!$P$5:$P$169,$L24),"dd-mmm-yyyy"),INDEX('Chemical Clearances'!$P$5:$P$169,$L24)&amp;"")))</f>
        <v/>
      </c>
      <c r="G24" s="240"/>
      <c r="I24" s="241"/>
      <c r="J24" s="241"/>
      <c r="L24" s="225" t="str">
        <f>IFERROR(__xludf.DUMMYFUNCTION("ARRAY_CONSTRAIN(ARRAYFORMULA(IFERROR(SMALL(FILTER((ROW('Chemical Clearances'!$B$5:$B$169)-ROW('Chemical Clearances'!$A$4:$Q$4)),IFERROR(('Chemical Clearances'!$B$5:$B$169=$K$4),FALSE)),ROWS($L$18:L24)),"""")), 1, 1)"),"")</f>
        <v/>
      </c>
    </row>
    <row r="25" ht="14.25" customHeight="1">
      <c r="A25" s="240"/>
      <c r="B25" s="256" t="str">
        <f t="array" ref="B25">IF($L25="","",UPPER(IF(INDEX('Chemical Clearances'!$E$5:$E$169,$L25)&lt;&gt;"",INDEX('Chemical Clearances'!$E$5:$E$169,$L25),INDEX('Chemical Clearances'!$F$5:$F$169,$L25))))</f>
        <v/>
      </c>
      <c r="C25" s="257"/>
      <c r="D25" s="261" t="str">
        <f t="array" ref="D25">IF($L25="","",IF(ISNUMBER(INDEX('Chemical Clearances'!$I$5:$I$169,$L25)),IF(INDEX('Chemical Clearances'!$I$5:$I$169,$L25)=INT(INDEX('Chemical Clearances'!$I$5:$I$169,$L25)),TEXT(INDEX('Chemical Clearances'!$I$5:$I$169,$L25),"#,##0"),TEXT(INDEX('Chemical Clearances'!$I$5:$I$169,$L25),"#,##0.0##"))&amp;"KGS",INDEX('Chemical Clearances'!$G$5:$G$169,$L25)&amp;" "&amp;UPPER(INDEX('Chemical Clearances'!$H$5:$H$169,$L25))))</f>
        <v/>
      </c>
      <c r="E25" s="262" t="str">
        <f t="array" ref="E25">IF($L25="","",IF(INDEX('Chemical Clearances'!$K$5:$K$169,$L25)="","N/A",INDEX('Chemical Clearances'!$K$5:$K$169,$L25)&amp;""))</f>
        <v/>
      </c>
      <c r="F25" s="262" t="str">
        <f t="array" ref="F25">IF($L25="","",IF(INDEX('Chemical Clearances'!$P$5:$P$169,$L25)="","N/A",IF(ISNUMBER(INDEX('Chemical Clearances'!$P$5:$P$169,$L25)),TEXT(INDEX('Chemical Clearances'!$P$5:$P$169,$L25),"dd-mmm-yyyy"),INDEX('Chemical Clearances'!$P$5:$P$169,$L25)&amp;"")))</f>
        <v/>
      </c>
      <c r="G25" s="240"/>
      <c r="I25" s="241"/>
      <c r="J25" s="241"/>
      <c r="L25" s="225" t="str">
        <f>IFERROR(__xludf.DUMMYFUNCTION("ARRAY_CONSTRAIN(ARRAYFORMULA(IFERROR(SMALL(FILTER((ROW('Chemical Clearances'!$B$5:$B$169)-ROW('Chemical Clearances'!$A$4:$Q$4)),IFERROR(('Chemical Clearances'!$B$5:$B$169=$K$4),FALSE)),ROWS($L$18:L25)),"""")), 1, 1)"),"")</f>
        <v/>
      </c>
    </row>
    <row r="26" ht="14.25" customHeight="1">
      <c r="A26" s="240"/>
      <c r="B26" s="256" t="str">
        <f t="array" ref="B26">IF($L26="","",UPPER(IF(INDEX('Chemical Clearances'!$E$5:$E$169,$L26)&lt;&gt;"",INDEX('Chemical Clearances'!$E$5:$E$169,$L26),INDEX('Chemical Clearances'!$F$5:$F$169,$L26))))</f>
        <v/>
      </c>
      <c r="C26" s="257"/>
      <c r="D26" s="261" t="str">
        <f t="array" ref="D26">IF($L26="","",IF(ISNUMBER(INDEX('Chemical Clearances'!$I$5:$I$169,$L26)),IF(INDEX('Chemical Clearances'!$I$5:$I$169,$L26)=INT(INDEX('Chemical Clearances'!$I$5:$I$169,$L26)),TEXT(INDEX('Chemical Clearances'!$I$5:$I$169,$L26),"#,##0"),TEXT(INDEX('Chemical Clearances'!$I$5:$I$169,$L26),"#,##0.0##"))&amp;"KGS",INDEX('Chemical Clearances'!$G$5:$G$169,$L26)&amp;" "&amp;UPPER(INDEX('Chemical Clearances'!$H$5:$H$169,$L26))))</f>
        <v/>
      </c>
      <c r="E26" s="262" t="str">
        <f t="array" ref="E26">IF($L26="","",IF(INDEX('Chemical Clearances'!$K$5:$K$169,$L26)="","N/A",INDEX('Chemical Clearances'!$K$5:$K$169,$L26)&amp;""))</f>
        <v/>
      </c>
      <c r="F26" s="262" t="str">
        <f t="array" ref="F26">IF($L26="","",IF(INDEX('Chemical Clearances'!$P$5:$P$169,$L26)="","N/A",IF(ISNUMBER(INDEX('Chemical Clearances'!$P$5:$P$169,$L26)),TEXT(INDEX('Chemical Clearances'!$P$5:$P$169,$L26),"dd-mmm-yyyy"),INDEX('Chemical Clearances'!$P$5:$P$169,$L26)&amp;"")))</f>
        <v/>
      </c>
      <c r="G26" s="240"/>
      <c r="I26" s="241"/>
      <c r="J26" s="241"/>
      <c r="L26" s="225" t="str">
        <f>IFERROR(__xludf.DUMMYFUNCTION("ARRAY_CONSTRAIN(ARRAYFORMULA(IFERROR(SMALL(FILTER((ROW('Chemical Clearances'!$B$5:$B$169)-ROW('Chemical Clearances'!$A$4:$Q$4)),IFERROR(('Chemical Clearances'!$B$5:$B$169=$K$4),FALSE)),ROWS($L$18:L26)),"""")), 1, 1)"),"")</f>
        <v/>
      </c>
    </row>
    <row r="27" ht="14.25" customHeight="1">
      <c r="A27" s="240"/>
      <c r="B27" s="256" t="str">
        <f t="array" ref="B27">IF($L27="","",UPPER(IF(INDEX('Chemical Clearances'!$E$5:$E$169,$L27)&lt;&gt;"",INDEX('Chemical Clearances'!$E$5:$E$169,$L27),INDEX('Chemical Clearances'!$F$5:$F$169,$L27))))</f>
        <v/>
      </c>
      <c r="C27" s="257"/>
      <c r="D27" s="261" t="str">
        <f t="array" ref="D27">IF($L27="","",IF(ISNUMBER(INDEX('Chemical Clearances'!$I$5:$I$169,$L27)),IF(INDEX('Chemical Clearances'!$I$5:$I$169,$L27)=INT(INDEX('Chemical Clearances'!$I$5:$I$169,$L27)),TEXT(INDEX('Chemical Clearances'!$I$5:$I$169,$L27),"#,##0"),TEXT(INDEX('Chemical Clearances'!$I$5:$I$169,$L27),"#,##0.0##"))&amp;"KGS",INDEX('Chemical Clearances'!$G$5:$G$169,$L27)&amp;" "&amp;UPPER(INDEX('Chemical Clearances'!$H$5:$H$169,$L27))))</f>
        <v/>
      </c>
      <c r="E27" s="262" t="str">
        <f t="array" ref="E27">IF($L27="","",IF(INDEX('Chemical Clearances'!$K$5:$K$169,$L27)="","N/A",INDEX('Chemical Clearances'!$K$5:$K$169,$L27)&amp;""))</f>
        <v/>
      </c>
      <c r="F27" s="262" t="str">
        <f t="array" ref="F27">IF($L27="","",IF(INDEX('Chemical Clearances'!$P$5:$P$169,$L27)="","N/A",IF(ISNUMBER(INDEX('Chemical Clearances'!$P$5:$P$169,$L27)),TEXT(INDEX('Chemical Clearances'!$P$5:$P$169,$L27),"dd-mmm-yyyy"),INDEX('Chemical Clearances'!$P$5:$P$169,$L27)&amp;"")))</f>
        <v/>
      </c>
      <c r="G27" s="240"/>
      <c r="I27" s="241"/>
      <c r="J27" s="241"/>
      <c r="L27" s="225" t="str">
        <f>IFERROR(__xludf.DUMMYFUNCTION("ARRAY_CONSTRAIN(ARRAYFORMULA(IFERROR(SMALL(FILTER((ROW('Chemical Clearances'!$B$5:$B$169)-ROW('Chemical Clearances'!$A$4:$Q$4)),IFERROR(('Chemical Clearances'!$B$5:$B$169=$K$4),FALSE)),ROWS($L$18:L27)),"""")), 1, 1)"),"")</f>
        <v/>
      </c>
    </row>
    <row r="28" ht="14.25" customHeight="1">
      <c r="A28" s="240"/>
      <c r="B28" s="256" t="str">
        <f t="array" ref="B28">IF($L28="","",UPPER(IF(INDEX('Chemical Clearances'!$E$5:$E$169,$L28)&lt;&gt;"",INDEX('Chemical Clearances'!$E$5:$E$169,$L28),INDEX('Chemical Clearances'!$F$5:$F$169,$L28))))</f>
        <v/>
      </c>
      <c r="C28" s="257"/>
      <c r="D28" s="261" t="str">
        <f t="array" ref="D28">IF($L28="","",IF(ISNUMBER(INDEX('Chemical Clearances'!$I$5:$I$169,$L28)),IF(INDEX('Chemical Clearances'!$I$5:$I$169,$L28)=INT(INDEX('Chemical Clearances'!$I$5:$I$169,$L28)),TEXT(INDEX('Chemical Clearances'!$I$5:$I$169,$L28),"#,##0"),TEXT(INDEX('Chemical Clearances'!$I$5:$I$169,$L28),"#,##0.0##"))&amp;"KGS",INDEX('Chemical Clearances'!$G$5:$G$169,$L28)&amp;" "&amp;UPPER(INDEX('Chemical Clearances'!$H$5:$H$169,$L28))))</f>
        <v/>
      </c>
      <c r="E28" s="262" t="str">
        <f t="array" ref="E28">IF($L28="","",IF(INDEX('Chemical Clearances'!$K$5:$K$169,$L28)="","N/A",INDEX('Chemical Clearances'!$K$5:$K$169,$L28)&amp;""))</f>
        <v/>
      </c>
      <c r="F28" s="262" t="str">
        <f t="array" ref="F28">IF($L28="","",IF(INDEX('Chemical Clearances'!$P$5:$P$169,$L28)="","N/A",IF(ISNUMBER(INDEX('Chemical Clearances'!$P$5:$P$169,$L28)),TEXT(INDEX('Chemical Clearances'!$P$5:$P$169,$L28),"dd-mmm-yyyy"),INDEX('Chemical Clearances'!$P$5:$P$169,$L28)&amp;"")))</f>
        <v/>
      </c>
      <c r="G28" s="240"/>
      <c r="I28" s="241"/>
      <c r="J28" s="241"/>
      <c r="L28" s="225" t="str">
        <f>IFERROR(__xludf.DUMMYFUNCTION("ARRAY_CONSTRAIN(ARRAYFORMULA(IFERROR(SMALL(FILTER((ROW('Chemical Clearances'!$B$5:$B$169)-ROW('Chemical Clearances'!$A$4:$Q$4)),IFERROR(('Chemical Clearances'!$B$5:$B$169=$K$4),FALSE)),ROWS($L$18:L28)),"""")), 1, 1)"),"")</f>
        <v/>
      </c>
    </row>
    <row r="29" ht="14.25" customHeight="1">
      <c r="A29" s="240"/>
      <c r="B29" s="256" t="str">
        <f t="array" ref="B29">IF($L29="","",UPPER(IF(INDEX('Chemical Clearances'!$E$5:$E$169,$L29)&lt;&gt;"",INDEX('Chemical Clearances'!$E$5:$E$169,$L29),INDEX('Chemical Clearances'!$F$5:$F$169,$L29))))</f>
        <v/>
      </c>
      <c r="C29" s="257"/>
      <c r="D29" s="261" t="str">
        <f t="array" ref="D29">IF($L29="","",IF(ISNUMBER(INDEX('Chemical Clearances'!$I$5:$I$169,$L29)),IF(INDEX('Chemical Clearances'!$I$5:$I$169,$L29)=INT(INDEX('Chemical Clearances'!$I$5:$I$169,$L29)),TEXT(INDEX('Chemical Clearances'!$I$5:$I$169,$L29),"#,##0"),TEXT(INDEX('Chemical Clearances'!$I$5:$I$169,$L29),"#,##0.0##"))&amp;"KGS",INDEX('Chemical Clearances'!$G$5:$G$169,$L29)&amp;" "&amp;UPPER(INDEX('Chemical Clearances'!$H$5:$H$169,$L29))))</f>
        <v/>
      </c>
      <c r="E29" s="262" t="str">
        <f t="array" ref="E29">IF($L29="","",IF(INDEX('Chemical Clearances'!$K$5:$K$169,$L29)="","N/A",INDEX('Chemical Clearances'!$K$5:$K$169,$L29)&amp;""))</f>
        <v/>
      </c>
      <c r="F29" s="262" t="str">
        <f t="array" ref="F29">IF($L29="","",IF(INDEX('Chemical Clearances'!$P$5:$P$169,$L29)="","N/A",IF(ISNUMBER(INDEX('Chemical Clearances'!$P$5:$P$169,$L29)),TEXT(INDEX('Chemical Clearances'!$P$5:$P$169,$L29),"dd-mmm-yyyy"),INDEX('Chemical Clearances'!$P$5:$P$169,$L29)&amp;"")))</f>
        <v/>
      </c>
      <c r="G29" s="240"/>
      <c r="I29" s="241"/>
      <c r="J29" s="241"/>
      <c r="L29" s="225" t="str">
        <f>IFERROR(__xludf.DUMMYFUNCTION("ARRAY_CONSTRAIN(ARRAYFORMULA(IFERROR(SMALL(FILTER((ROW('Chemical Clearances'!$B$5:$B$169)-ROW('Chemical Clearances'!$A$4:$Q$4)),IFERROR(('Chemical Clearances'!$B$5:$B$169=$K$4),FALSE)),ROWS($L$18:L29)),"""")), 1, 1)"),"")</f>
        <v/>
      </c>
    </row>
    <row r="30" ht="14.25" customHeight="1">
      <c r="A30" s="240"/>
      <c r="B30" s="256" t="str">
        <f t="array" ref="B30">IF($L30="","",UPPER(IF(INDEX('Chemical Clearances'!$E$5:$E$169,$L30)&lt;&gt;"",INDEX('Chemical Clearances'!$E$5:$E$169,$L30),INDEX('Chemical Clearances'!$F$5:$F$169,$L30))))</f>
        <v/>
      </c>
      <c r="C30" s="257"/>
      <c r="D30" s="261" t="str">
        <f t="array" ref="D30">IF($L30="","",IF(ISNUMBER(INDEX('Chemical Clearances'!$I$5:$I$169,$L30)),IF(INDEX('Chemical Clearances'!$I$5:$I$169,$L30)=INT(INDEX('Chemical Clearances'!$I$5:$I$169,$L30)),TEXT(INDEX('Chemical Clearances'!$I$5:$I$169,$L30),"#,##0"),TEXT(INDEX('Chemical Clearances'!$I$5:$I$169,$L30),"#,##0.0##"))&amp;"KGS",INDEX('Chemical Clearances'!$G$5:$G$169,$L30)&amp;" "&amp;UPPER(INDEX('Chemical Clearances'!$H$5:$H$169,$L30))))</f>
        <v/>
      </c>
      <c r="E30" s="262" t="str">
        <f t="array" ref="E30">IF($L30="","",IF(INDEX('Chemical Clearances'!$K$5:$K$169,$L30)="","N/A",INDEX('Chemical Clearances'!$K$5:$K$169,$L30)&amp;""))</f>
        <v/>
      </c>
      <c r="F30" s="262" t="str">
        <f t="array" ref="F30">IF($L30="","",IF(INDEX('Chemical Clearances'!$P$5:$P$169,$L30)="","N/A",IF(ISNUMBER(INDEX('Chemical Clearances'!$P$5:$P$169,$L30)),TEXT(INDEX('Chemical Clearances'!$P$5:$P$169,$L30),"dd-mmm-yyyy"),INDEX('Chemical Clearances'!$P$5:$P$169,$L30)&amp;"")))</f>
        <v/>
      </c>
      <c r="G30" s="240"/>
      <c r="I30" s="241"/>
      <c r="J30" s="241"/>
      <c r="L30" s="225" t="str">
        <f>IFERROR(__xludf.DUMMYFUNCTION("ARRAY_CONSTRAIN(ARRAYFORMULA(IFERROR(SMALL(FILTER((ROW('Chemical Clearances'!$B$5:$B$169)-ROW('Chemical Clearances'!$A$4:$Q$4)),IFERROR(('Chemical Clearances'!$B$5:$B$169=$K$4),FALSE)),ROWS($L$18:L30)),"""")), 1, 1)"),"")</f>
        <v/>
      </c>
    </row>
    <row r="31" ht="14.25" customHeight="1">
      <c r="A31" s="240"/>
      <c r="B31" s="256" t="str">
        <f t="array" ref="B31">IF($L31="","",UPPER(IF(INDEX('Chemical Clearances'!$E$5:$E$169,$L31)&lt;&gt;"",INDEX('Chemical Clearances'!$E$5:$E$169,$L31),INDEX('Chemical Clearances'!$F$5:$F$169,$L31))))</f>
        <v/>
      </c>
      <c r="C31" s="257"/>
      <c r="D31" s="261" t="str">
        <f t="array" ref="D31">IF($L31="","",IF(ISNUMBER(INDEX('Chemical Clearances'!$I$5:$I$169,$L31)),IF(INDEX('Chemical Clearances'!$I$5:$I$169,$L31)=INT(INDEX('Chemical Clearances'!$I$5:$I$169,$L31)),TEXT(INDEX('Chemical Clearances'!$I$5:$I$169,$L31),"#,##0"),TEXT(INDEX('Chemical Clearances'!$I$5:$I$169,$L31),"#,##0.0##"))&amp;"KGS",INDEX('Chemical Clearances'!$G$5:$G$169,$L31)&amp;" "&amp;UPPER(INDEX('Chemical Clearances'!$H$5:$H$169,$L31))))</f>
        <v/>
      </c>
      <c r="E31" s="262" t="str">
        <f t="array" ref="E31">IF($L31="","",IF(INDEX('Chemical Clearances'!$K$5:$K$169,$L31)="","N/A",INDEX('Chemical Clearances'!$K$5:$K$169,$L31)&amp;""))</f>
        <v/>
      </c>
      <c r="F31" s="262" t="str">
        <f t="array" ref="F31">IF($L31="","",IF(INDEX('Chemical Clearances'!$P$5:$P$169,$L31)="","N/A",IF(ISNUMBER(INDEX('Chemical Clearances'!$P$5:$P$169,$L31)),TEXT(INDEX('Chemical Clearances'!$P$5:$P$169,$L31),"dd-mmm-yyyy"),INDEX('Chemical Clearances'!$P$5:$P$169,$L31)&amp;"")))</f>
        <v/>
      </c>
      <c r="G31" s="240"/>
      <c r="I31" s="241"/>
      <c r="J31" s="241"/>
      <c r="L31" s="225" t="str">
        <f>IFERROR(__xludf.DUMMYFUNCTION("ARRAY_CONSTRAIN(ARRAYFORMULA(IFERROR(SMALL(FILTER((ROW('Chemical Clearances'!$B$5:$B$169)-ROW('Chemical Clearances'!$A$4:$Q$4)),IFERROR(('Chemical Clearances'!$B$5:$B$169=$K$4),FALSE)),ROWS($L$18:L31)),"""")), 1, 1)"),"")</f>
        <v/>
      </c>
    </row>
    <row r="32" ht="14.25" customHeight="1">
      <c r="A32" s="240"/>
      <c r="B32" s="256" t="str">
        <f t="array" ref="B32">IF($L32="","",UPPER(IF(INDEX('Chemical Clearances'!$E$5:$E$169,$L32)&lt;&gt;"",INDEX('Chemical Clearances'!$E$5:$E$169,$L32),INDEX('Chemical Clearances'!$F$5:$F$169,$L32))))</f>
        <v/>
      </c>
      <c r="C32" s="257"/>
      <c r="D32" s="261" t="str">
        <f t="array" ref="D32">IF($L32="","",IF(ISNUMBER(INDEX('Chemical Clearances'!$I$5:$I$169,$L32)),IF(INDEX('Chemical Clearances'!$I$5:$I$169,$L32)=INT(INDEX('Chemical Clearances'!$I$5:$I$169,$L32)),TEXT(INDEX('Chemical Clearances'!$I$5:$I$169,$L32),"#,##0"),TEXT(INDEX('Chemical Clearances'!$I$5:$I$169,$L32),"#,##0.0##"))&amp;"KGS",INDEX('Chemical Clearances'!$G$5:$G$169,$L32)&amp;" "&amp;UPPER(INDEX('Chemical Clearances'!$H$5:$H$169,$L32))))</f>
        <v/>
      </c>
      <c r="E32" s="262" t="str">
        <f t="array" ref="E32">IF($L32="","",IF(INDEX('Chemical Clearances'!$K$5:$K$169,$L32)="","N/A",INDEX('Chemical Clearances'!$K$5:$K$169,$L32)&amp;""))</f>
        <v/>
      </c>
      <c r="F32" s="262" t="str">
        <f t="array" ref="F32">IF($L32="","",IF(INDEX('Chemical Clearances'!$P$5:$P$169,$L32)="","N/A",IF(ISNUMBER(INDEX('Chemical Clearances'!$P$5:$P$169,$L32)),TEXT(INDEX('Chemical Clearances'!$P$5:$P$169,$L32),"dd-mmm-yyyy"),INDEX('Chemical Clearances'!$P$5:$P$169,$L32)&amp;"")))</f>
        <v/>
      </c>
      <c r="G32" s="240"/>
      <c r="I32" s="241"/>
      <c r="J32" s="241"/>
      <c r="L32" s="225" t="str">
        <f>IFERROR(__xludf.DUMMYFUNCTION("ARRAY_CONSTRAIN(ARRAYFORMULA(IFERROR(SMALL(FILTER((ROW('Chemical Clearances'!$B$5:$B$169)-ROW('Chemical Clearances'!$A$4:$Q$4)),IFERROR(('Chemical Clearances'!$B$5:$B$169=$K$4),FALSE)),ROWS($L$18:L32)),"""")), 1, 1)"),"")</f>
        <v/>
      </c>
    </row>
    <row r="33" ht="14.25" customHeight="1">
      <c r="A33" s="240"/>
      <c r="B33" s="256" t="str">
        <f t="array" ref="B33">IF($L33="","",UPPER(IF(INDEX('Chemical Clearances'!$E$5:$E$169,$L33)&lt;&gt;"",INDEX('Chemical Clearances'!$E$5:$E$169,$L33),INDEX('Chemical Clearances'!$F$5:$F$169,$L33))))</f>
        <v/>
      </c>
      <c r="C33" s="257"/>
      <c r="D33" s="261" t="str">
        <f t="array" ref="D33">IF($L33="","",IF(ISNUMBER(INDEX('Chemical Clearances'!$I$5:$I$169,$L33)),IF(INDEX('Chemical Clearances'!$I$5:$I$169,$L33)=INT(INDEX('Chemical Clearances'!$I$5:$I$169,$L33)),TEXT(INDEX('Chemical Clearances'!$I$5:$I$169,$L33),"#,##0"),TEXT(INDEX('Chemical Clearances'!$I$5:$I$169,$L33),"#,##0.0##"))&amp;"KGS",INDEX('Chemical Clearances'!$G$5:$G$169,$L33)&amp;" "&amp;UPPER(INDEX('Chemical Clearances'!$H$5:$H$169,$L33))))</f>
        <v/>
      </c>
      <c r="E33" s="262" t="str">
        <f t="array" ref="E33">IF($L33="","",IF(INDEX('Chemical Clearances'!$K$5:$K$169,$L33)="","N/A",INDEX('Chemical Clearances'!$K$5:$K$169,$L33)&amp;""))</f>
        <v/>
      </c>
      <c r="F33" s="262" t="str">
        <f t="array" ref="F33">IF($L33="","",IF(INDEX('Chemical Clearances'!$P$5:$P$169,$L33)="","N/A",IF(ISNUMBER(INDEX('Chemical Clearances'!$P$5:$P$169,$L33)),TEXT(INDEX('Chemical Clearances'!$P$5:$P$169,$L33),"dd-mmm-yyyy"),INDEX('Chemical Clearances'!$P$5:$P$169,$L33)&amp;"")))</f>
        <v/>
      </c>
      <c r="G33" s="240"/>
      <c r="I33" s="241"/>
      <c r="J33" s="241"/>
      <c r="L33" s="225" t="str">
        <f>IFERROR(__xludf.DUMMYFUNCTION("ARRAY_CONSTRAIN(ARRAYFORMULA(IFERROR(SMALL(FILTER((ROW('Chemical Clearances'!$B$5:$B$169)-ROW('Chemical Clearances'!$A$4:$Q$4)),IFERROR(('Chemical Clearances'!$B$5:$B$169=$K$4),FALSE)),ROWS($L$18:L33)),"""")), 1, 1)"),"")</f>
        <v/>
      </c>
    </row>
    <row r="34" ht="14.25" customHeight="1">
      <c r="A34" s="240"/>
      <c r="B34" s="256" t="str">
        <f t="array" ref="B34">IF($L34="","",UPPER(IF(INDEX('Chemical Clearances'!$E$5:$E$169,$L34)&lt;&gt;"",INDEX('Chemical Clearances'!$E$5:$E$169,$L34),INDEX('Chemical Clearances'!$F$5:$F$169,$L34))))</f>
        <v/>
      </c>
      <c r="C34" s="257"/>
      <c r="D34" s="261" t="str">
        <f t="array" ref="D34">IF($L34="","",IF(ISNUMBER(INDEX('Chemical Clearances'!$I$5:$I$169,$L34)),IF(INDEX('Chemical Clearances'!$I$5:$I$169,$L34)=INT(INDEX('Chemical Clearances'!$I$5:$I$169,$L34)),TEXT(INDEX('Chemical Clearances'!$I$5:$I$169,$L34),"#,##0"),TEXT(INDEX('Chemical Clearances'!$I$5:$I$169,$L34),"#,##0.0##"))&amp;"KGS",INDEX('Chemical Clearances'!$G$5:$G$169,$L34)&amp;" "&amp;UPPER(INDEX('Chemical Clearances'!$H$5:$H$169,$L34))))</f>
        <v/>
      </c>
      <c r="E34" s="262" t="str">
        <f t="array" ref="E34">IF($L34="","",IF(INDEX('Chemical Clearances'!$K$5:$K$169,$L34)="","N/A",INDEX('Chemical Clearances'!$K$5:$K$169,$L34)&amp;""))</f>
        <v/>
      </c>
      <c r="F34" s="262" t="str">
        <f t="array" ref="F34">IF($L34="","",IF(INDEX('Chemical Clearances'!$P$5:$P$169,$L34)="","N/A",IF(ISNUMBER(INDEX('Chemical Clearances'!$P$5:$P$169,$L34)),TEXT(INDEX('Chemical Clearances'!$P$5:$P$169,$L34),"dd-mmm-yyyy"),INDEX('Chemical Clearances'!$P$5:$P$169,$L34)&amp;"")))</f>
        <v/>
      </c>
      <c r="G34" s="240"/>
      <c r="I34" s="241"/>
      <c r="J34" s="241"/>
      <c r="L34" s="225" t="str">
        <f>IFERROR(__xludf.DUMMYFUNCTION("ARRAY_CONSTRAIN(ARRAYFORMULA(IFERROR(SMALL(FILTER((ROW('Chemical Clearances'!$B$5:$B$169)-ROW('Chemical Clearances'!$A$4:$Q$4)),IFERROR(('Chemical Clearances'!$B$5:$B$169=$K$4),FALSE)),ROWS($L$18:L34)),"""")), 1, 1)"),"")</f>
        <v/>
      </c>
    </row>
    <row r="35" ht="14.25" customHeight="1">
      <c r="A35" s="240"/>
      <c r="B35" s="256" t="str">
        <f t="array" ref="B35">IF($L35="","",UPPER(IF(INDEX('Chemical Clearances'!$E$5:$E$169,$L35)&lt;&gt;"",INDEX('Chemical Clearances'!$E$5:$E$169,$L35),INDEX('Chemical Clearances'!$F$5:$F$169,$L35))))</f>
        <v/>
      </c>
      <c r="C35" s="257"/>
      <c r="D35" s="261" t="str">
        <f t="array" ref="D35">IF($L35="","",IF(ISNUMBER(INDEX('Chemical Clearances'!$I$5:$I$169,$L35)),IF(INDEX('Chemical Clearances'!$I$5:$I$169,$L35)=INT(INDEX('Chemical Clearances'!$I$5:$I$169,$L35)),TEXT(INDEX('Chemical Clearances'!$I$5:$I$169,$L35),"#,##0"),TEXT(INDEX('Chemical Clearances'!$I$5:$I$169,$L35),"#,##0.0##"))&amp;"KGS",INDEX('Chemical Clearances'!$G$5:$G$169,$L35)&amp;" "&amp;UPPER(INDEX('Chemical Clearances'!$H$5:$H$169,$L35))))</f>
        <v/>
      </c>
      <c r="E35" s="262" t="str">
        <f t="array" ref="E35">IF($L35="","",IF(INDEX('Chemical Clearances'!$K$5:$K$169,$L35)="","N/A",INDEX('Chemical Clearances'!$K$5:$K$169,$L35)&amp;""))</f>
        <v/>
      </c>
      <c r="F35" s="262" t="str">
        <f t="array" ref="F35">IF($L35="","",IF(INDEX('Chemical Clearances'!$P$5:$P$169,$L35)="","N/A",IF(ISNUMBER(INDEX('Chemical Clearances'!$P$5:$P$169,$L35)),TEXT(INDEX('Chemical Clearances'!$P$5:$P$169,$L35),"dd-mmm-yyyy"),INDEX('Chemical Clearances'!$P$5:$P$169,$L35)&amp;"")))</f>
        <v/>
      </c>
      <c r="G35" s="240"/>
      <c r="I35" s="241"/>
      <c r="J35" s="241"/>
      <c r="L35" s="225" t="str">
        <f>IFERROR(__xludf.DUMMYFUNCTION("ARRAY_CONSTRAIN(ARRAYFORMULA(IFERROR(SMALL(FILTER((ROW('Chemical Clearances'!$B$5:$B$169)-ROW('Chemical Clearances'!$A$4:$Q$4)),IFERROR(('Chemical Clearances'!$B$5:$B$169=$K$4),FALSE)),ROWS($L$18:L35)),"""")), 1, 1)"),"")</f>
        <v/>
      </c>
    </row>
    <row r="36" ht="14.25" customHeight="1">
      <c r="A36" s="240"/>
      <c r="B36" s="256" t="str">
        <f t="array" ref="B36">IF($L36="","",UPPER(IF(INDEX('Chemical Clearances'!$E$5:$E$169,$L36)&lt;&gt;"",INDEX('Chemical Clearances'!$E$5:$E$169,$L36),INDEX('Chemical Clearances'!$F$5:$F$169,$L36))))</f>
        <v/>
      </c>
      <c r="C36" s="257"/>
      <c r="D36" s="261" t="str">
        <f t="array" ref="D36">IF($L36="","",IF(ISNUMBER(INDEX('Chemical Clearances'!$I$5:$I$169,$L36)),IF(INDEX('Chemical Clearances'!$I$5:$I$169,$L36)=INT(INDEX('Chemical Clearances'!$I$5:$I$169,$L36)),TEXT(INDEX('Chemical Clearances'!$I$5:$I$169,$L36),"#,##0"),TEXT(INDEX('Chemical Clearances'!$I$5:$I$169,$L36),"#,##0.0##"))&amp;"KGS",INDEX('Chemical Clearances'!$G$5:$G$169,$L36)&amp;" "&amp;UPPER(INDEX('Chemical Clearances'!$H$5:$H$169,$L36))))</f>
        <v/>
      </c>
      <c r="E36" s="262" t="str">
        <f t="array" ref="E36">IF($L36="","",IF(INDEX('Chemical Clearances'!$K$5:$K$169,$L36)="","N/A",INDEX('Chemical Clearances'!$K$5:$K$169,$L36)&amp;""))</f>
        <v/>
      </c>
      <c r="F36" s="262" t="str">
        <f t="array" ref="F36">IF($L36="","",IF(INDEX('Chemical Clearances'!$P$5:$P$169,$L36)="","N/A",IF(ISNUMBER(INDEX('Chemical Clearances'!$P$5:$P$169,$L36)),TEXT(INDEX('Chemical Clearances'!$P$5:$P$169,$L36),"dd-mmm-yyyy"),INDEX('Chemical Clearances'!$P$5:$P$169,$L36)&amp;"")))</f>
        <v/>
      </c>
      <c r="G36" s="240"/>
      <c r="I36" s="241"/>
      <c r="J36" s="241"/>
      <c r="L36" s="225" t="str">
        <f>IFERROR(__xludf.DUMMYFUNCTION("ARRAY_CONSTRAIN(ARRAYFORMULA(IFERROR(SMALL(FILTER((ROW('Chemical Clearances'!$B$5:$B$169)-ROW('Chemical Clearances'!$A$4:$Q$4)),IFERROR(('Chemical Clearances'!$B$5:$B$169=$K$4),FALSE)),ROWS($L$18:L36)),"""")), 1, 1)"),"")</f>
        <v/>
      </c>
    </row>
    <row r="37" ht="14.25" customHeight="1">
      <c r="A37" s="240"/>
      <c r="B37" s="256" t="str">
        <f t="array" ref="B37">IF($L37="","",UPPER(IF(INDEX('Chemical Clearances'!$E$5:$E$169,$L37)&lt;&gt;"",INDEX('Chemical Clearances'!$E$5:$E$169,$L37),INDEX('Chemical Clearances'!$F$5:$F$169,$L37))))</f>
        <v/>
      </c>
      <c r="C37" s="257"/>
      <c r="D37" s="261" t="str">
        <f t="array" ref="D37">IF($L37="","",IF(ISNUMBER(INDEX('Chemical Clearances'!$I$5:$I$169,$L37)),IF(INDEX('Chemical Clearances'!$I$5:$I$169,$L37)=INT(INDEX('Chemical Clearances'!$I$5:$I$169,$L37)),TEXT(INDEX('Chemical Clearances'!$I$5:$I$169,$L37),"#,##0"),TEXT(INDEX('Chemical Clearances'!$I$5:$I$169,$L37),"#,##0.0##"))&amp;"KGS",INDEX('Chemical Clearances'!$G$5:$G$169,$L37)&amp;" "&amp;UPPER(INDEX('Chemical Clearances'!$H$5:$H$169,$L37))))</f>
        <v/>
      </c>
      <c r="E37" s="262" t="str">
        <f t="array" ref="E37">IF($L37="","",IF(INDEX('Chemical Clearances'!$K$5:$K$169,$L37)="","N/A",INDEX('Chemical Clearances'!$K$5:$K$169,$L37)&amp;""))</f>
        <v/>
      </c>
      <c r="F37" s="262" t="str">
        <f t="array" ref="F37">IF($L37="","",IF(INDEX('Chemical Clearances'!$P$5:$P$169,$L37)="","N/A",IF(ISNUMBER(INDEX('Chemical Clearances'!$P$5:$P$169,$L37)),TEXT(INDEX('Chemical Clearances'!$P$5:$P$169,$L37),"dd-mmm-yyyy"),INDEX('Chemical Clearances'!$P$5:$P$169,$L37)&amp;"")))</f>
        <v/>
      </c>
      <c r="G37" s="240"/>
      <c r="I37" s="241"/>
      <c r="J37" s="241"/>
      <c r="L37" s="225" t="str">
        <f>IFERROR(__xludf.DUMMYFUNCTION("ARRAY_CONSTRAIN(ARRAYFORMULA(IFERROR(SMALL(FILTER((ROW('Chemical Clearances'!$B$5:$B$169)-ROW('Chemical Clearances'!$A$4:$Q$4)),IFERROR(('Chemical Clearances'!$B$5:$B$169=$K$4),FALSE)),ROWS($L$18:L37)),"""")), 1, 1)"),"")</f>
        <v/>
      </c>
    </row>
    <row r="38" ht="14.25" customHeight="1">
      <c r="A38" s="240"/>
      <c r="B38" s="240"/>
      <c r="C38" s="240"/>
      <c r="D38" s="240"/>
      <c r="E38" s="240"/>
      <c r="F38" s="240"/>
      <c r="G38" s="240"/>
      <c r="I38" s="241"/>
      <c r="J38" s="241"/>
    </row>
    <row r="39" ht="36.0" customHeight="1">
      <c r="A39" s="240"/>
      <c r="B39" s="189" t="s">
        <v>1138</v>
      </c>
      <c r="G39" s="240"/>
      <c r="I39" s="241"/>
      <c r="J39" s="241"/>
    </row>
    <row r="40" ht="14.25" customHeight="1">
      <c r="A40" s="240"/>
      <c r="B40" s="240"/>
      <c r="C40" s="240"/>
      <c r="D40" s="240"/>
      <c r="E40" s="240"/>
      <c r="F40" s="240"/>
      <c r="G40" s="240"/>
      <c r="I40" s="241"/>
      <c r="J40" s="241"/>
    </row>
    <row r="41" ht="51.75" customHeight="1">
      <c r="A41" s="240"/>
      <c r="B41" s="189" t="s">
        <v>1141</v>
      </c>
      <c r="G41" s="240"/>
    </row>
    <row r="42" ht="14.25" customHeight="1">
      <c r="A42" s="240"/>
      <c r="B42" s="240"/>
      <c r="C42" s="240"/>
      <c r="D42" s="240"/>
      <c r="E42" s="240"/>
      <c r="F42" s="240"/>
      <c r="G42" s="240"/>
    </row>
    <row r="43" ht="14.25" customHeight="1">
      <c r="A43" s="240"/>
      <c r="B43" s="183" t="s">
        <v>919</v>
      </c>
      <c r="G43" s="240"/>
    </row>
    <row r="44" ht="21.75" customHeight="1">
      <c r="A44" s="240"/>
      <c r="B44" s="240"/>
      <c r="C44" s="240"/>
      <c r="D44" s="240"/>
      <c r="E44" s="240"/>
      <c r="F44" s="240"/>
      <c r="G44" s="240"/>
    </row>
    <row r="45" ht="21.75" customHeight="1">
      <c r="A45" s="240"/>
      <c r="B45" s="240"/>
      <c r="C45" s="240"/>
      <c r="D45" s="240"/>
      <c r="E45" s="240"/>
      <c r="F45" s="240"/>
      <c r="G45" s="240"/>
    </row>
    <row r="46" ht="14.25" customHeight="1">
      <c r="A46" s="240"/>
      <c r="B46" s="183" t="str">
        <f t="array" ref="B46">IFERROR(INDEX(Lists!$U$5:$U$7,MATCH($J$13,Lists!$T$5:$T$7,0)),"")</f>
        <v>Dr. Emmanuel K. Urey Yarkpawolo</v>
      </c>
      <c r="G46" s="240"/>
    </row>
    <row r="47" ht="14.25" customHeight="1">
      <c r="A47" s="240"/>
      <c r="B47" s="239" t="str">
        <f t="array" ref="B47">IFERROR(INDEX(Lists!$V$5:$V$7,MATCH($J$13,Lists!$T$5:$T$7,0)),"")</f>
        <v>EXECUTIVE DIRECTOR/CEO</v>
      </c>
      <c r="G47" s="240"/>
    </row>
    <row r="48" ht="14.25" customHeight="1">
      <c r="A48" s="240"/>
      <c r="B48" s="240"/>
      <c r="C48" s="240"/>
      <c r="D48" s="240"/>
      <c r="E48" s="240"/>
      <c r="F48" s="240"/>
      <c r="G48" s="240"/>
    </row>
    <row r="49" ht="14.25" customHeight="1">
      <c r="A49" s="240"/>
      <c r="B49" s="306" t="str">
        <f>IF($J$7="Yes","“Ensuring environmental protection &amp; conserving biodiversity.”","")</f>
        <v/>
      </c>
      <c r="G49" s="240"/>
    </row>
    <row r="50" ht="14.25" customHeight="1">
      <c r="A50" s="240"/>
      <c r="B50" s="240"/>
      <c r="C50" s="240"/>
      <c r="D50" s="240"/>
      <c r="E50" s="240"/>
      <c r="F50" s="240"/>
      <c r="G50" s="240"/>
    </row>
    <row r="51" ht="14.25" customHeight="1">
      <c r="A51" s="240"/>
      <c r="B51" s="240"/>
      <c r="C51" s="240"/>
      <c r="D51" s="240"/>
      <c r="E51" s="240"/>
      <c r="F51" s="240"/>
      <c r="G51" s="240"/>
    </row>
    <row r="52" ht="14.25" customHeight="1">
      <c r="A52" s="240"/>
      <c r="B52" s="240"/>
      <c r="C52" s="240"/>
      <c r="D52" s="240"/>
      <c r="E52" s="240"/>
      <c r="F52" s="240"/>
      <c r="G52" s="240"/>
    </row>
    <row r="53" ht="14.25" customHeight="1">
      <c r="A53" s="240"/>
      <c r="B53" s="240"/>
      <c r="C53" s="240"/>
      <c r="D53" s="240"/>
      <c r="E53" s="240"/>
      <c r="F53" s="240"/>
      <c r="G53" s="240"/>
    </row>
    <row r="54" ht="14.25" customHeight="1">
      <c r="A54" s="240"/>
      <c r="B54" s="240"/>
      <c r="C54" s="240"/>
      <c r="D54" s="240"/>
      <c r="E54" s="240"/>
      <c r="F54" s="240"/>
      <c r="G54" s="240"/>
    </row>
    <row r="55" ht="14.25" customHeight="1">
      <c r="A55" s="240"/>
      <c r="B55" s="240"/>
      <c r="C55" s="240"/>
      <c r="D55" s="240"/>
      <c r="E55" s="240"/>
      <c r="F55" s="240"/>
      <c r="G55" s="240"/>
    </row>
    <row r="56" ht="14.25" customHeight="1">
      <c r="A56" s="240"/>
      <c r="B56" s="240"/>
      <c r="C56" s="240"/>
      <c r="D56" s="240"/>
      <c r="E56" s="240"/>
      <c r="F56" s="240"/>
      <c r="G56" s="240"/>
    </row>
    <row r="57" ht="14.25" customHeight="1">
      <c r="A57" s="240"/>
      <c r="B57" s="240"/>
      <c r="C57" s="240"/>
      <c r="D57" s="240"/>
      <c r="E57" s="240"/>
      <c r="F57" s="240"/>
      <c r="G57" s="240"/>
    </row>
    <row r="58" ht="14.25" customHeight="1">
      <c r="A58" s="240"/>
      <c r="B58" s="240"/>
      <c r="C58" s="240"/>
      <c r="D58" s="240"/>
      <c r="E58" s="240"/>
      <c r="F58" s="240"/>
      <c r="G58" s="240"/>
    </row>
    <row r="59" ht="14.25" customHeight="1">
      <c r="A59" s="240"/>
      <c r="B59" s="240"/>
      <c r="C59" s="240"/>
      <c r="D59" s="240"/>
      <c r="E59" s="240"/>
      <c r="F59" s="240"/>
      <c r="G59" s="240"/>
    </row>
    <row r="60" ht="14.25" customHeight="1">
      <c r="A60" s="240"/>
      <c r="B60" s="240"/>
      <c r="C60" s="240"/>
      <c r="D60" s="240"/>
      <c r="E60" s="240"/>
      <c r="F60" s="240"/>
      <c r="G60" s="240"/>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B2:F2"/>
    <mergeCell ref="I2:J2"/>
    <mergeCell ref="B3:F3"/>
    <mergeCell ref="B4:F4"/>
    <mergeCell ref="B5:F5"/>
    <mergeCell ref="B6:F6"/>
    <mergeCell ref="B7:F7"/>
    <mergeCell ref="B43:F43"/>
    <mergeCell ref="B46:F46"/>
    <mergeCell ref="B47:F47"/>
    <mergeCell ref="B49:F49"/>
    <mergeCell ref="B9:F9"/>
    <mergeCell ref="B11:F11"/>
    <mergeCell ref="B13:F13"/>
    <mergeCell ref="I14:J19"/>
    <mergeCell ref="B15:F15"/>
    <mergeCell ref="B39:F39"/>
    <mergeCell ref="B41:F41"/>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dataValidations>
    <dataValidation type="list" allowBlank="1" showErrorMessage="1" sqref="J4">
      <formula1>Lists!$R$5:$R$404</formula1>
    </dataValidation>
    <dataValidation type="list" allowBlank="1" showErrorMessage="1" sqref="J13">
      <formula1>Lists!$T$5:$T$7</formula1>
    </dataValidation>
    <dataValidation type="list" allowBlank="1" showErrorMessage="1" sqref="J7">
      <formula1>"Yes,No"</formula1>
    </dataValidation>
  </dataValidations>
  <printOptions horizontalCentered="1"/>
  <pageMargins bottom="0.75" footer="0.0" header="0.0" left="0.75" right="0.75"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1.14"/>
    <col customWidth="1" min="2" max="2" width="5.29"/>
    <col customWidth="1" min="3" max="3" width="30.57"/>
    <col customWidth="1" min="4" max="4" width="20.29"/>
    <col customWidth="1" min="5" max="5" width="14.71"/>
    <col customWidth="1" min="6" max="6" width="16.71"/>
    <col customWidth="1" min="7" max="7" width="1.14"/>
    <col customWidth="1" min="8" max="8" width="11.14"/>
    <col customWidth="1" min="9" max="9" width="31.43"/>
    <col customWidth="1" min="10" max="10" width="46.29"/>
    <col customWidth="1" min="11" max="11" width="1.86"/>
    <col customWidth="1" min="12" max="12" width="11.14"/>
    <col customWidth="1" min="13" max="26" width="8.71"/>
  </cols>
  <sheetData>
    <row r="1" ht="9.75" customHeight="1">
      <c r="A1" s="271"/>
      <c r="B1" s="271"/>
      <c r="C1" s="271"/>
      <c r="D1" s="271"/>
      <c r="E1" s="271"/>
      <c r="F1" s="271"/>
      <c r="G1" s="271"/>
      <c r="I1" s="241"/>
      <c r="J1" s="241"/>
    </row>
    <row r="2" ht="21.75" customHeight="1">
      <c r="A2" s="271"/>
      <c r="B2" s="272" t="str">
        <f>IF($J$8="Yes",setLetterhead_1,"")</f>
        <v>REPUBLIC OF LIBERIA</v>
      </c>
      <c r="G2" s="271"/>
      <c r="I2" s="242" t="s">
        <v>723</v>
      </c>
      <c r="J2" s="13"/>
    </row>
    <row r="3" ht="14.25" customHeight="1">
      <c r="A3" s="271"/>
      <c r="B3" s="273" t="str">
        <f>IF($J$8="Yes",setLetterhead_2,"")</f>
        <v>ENVIRONMENTAL PROTECTION AGENCY</v>
      </c>
      <c r="G3" s="271"/>
      <c r="I3" s="241"/>
      <c r="J3" s="241"/>
    </row>
    <row r="4" ht="14.25" customHeight="1">
      <c r="A4" s="271"/>
      <c r="B4" s="274" t="str">
        <f>IF($J$8="Yes",setLetterhead_3,"")</f>
        <v>P.O. Box 4024</v>
      </c>
      <c r="G4" s="271"/>
      <c r="I4" s="172" t="s">
        <v>724</v>
      </c>
      <c r="J4" s="275" t="s">
        <v>725</v>
      </c>
      <c r="K4" s="245" t="str">
        <f>TRIM(LEFT($J$4,FIND(" ",$J$4&amp;" ")-1))</f>
        <v>BN-2026-015</v>
      </c>
    </row>
    <row r="5" ht="14.25" customHeight="1">
      <c r="A5" s="271"/>
      <c r="B5" s="274" t="str">
        <f>IF($J$8="Yes",setLetterhead_4,"")</f>
        <v>Bright Building 302-A, Sekou Toure Avenue, Mamba Point</v>
      </c>
      <c r="G5" s="271"/>
      <c r="I5" s="172" t="s">
        <v>0</v>
      </c>
      <c r="J5" s="246" t="str">
        <f>IF($K$4="","Choose a Bill No.",IF($J$6="","⚠ Bill not found",IF($J$7="","⚠ This bill has no Bill Type – open it on the Bill Form, choose the type and Update",IF(LEFT($J$21,1)="⚠","⚠ Paste the macros so the amount prints in words",IF($J$16="","⚠ No Bill Ref. No. – add it on the Bill Form","✔ Ready – "&amp;$J$7&amp;" letter")))))</f>
        <v>⚠ No Bill Ref. No. – add it on the Bill Form</v>
      </c>
    </row>
    <row r="6" ht="14.25" customHeight="1">
      <c r="A6" s="271"/>
      <c r="B6" s="274" t="str">
        <f>IF($J$8="Yes",setLetterhead_5,"")</f>
        <v>1000 Monrovia, 10 Liberia</v>
      </c>
      <c r="G6" s="271"/>
      <c r="I6" s="172" t="s">
        <v>686</v>
      </c>
      <c r="J6" s="246">
        <f>IFERROR(MATCH($K$4,'Bills &amp; Invoices'!$B$5:$B$32,0),"")</f>
        <v>22</v>
      </c>
    </row>
    <row r="7" ht="12.75" customHeight="1">
      <c r="A7" s="271"/>
      <c r="B7" s="276" t="str">
        <f>IF($J$8="Yes",$J$26&amp;IF($J$27="",""," · "&amp;$J$27),"")</f>
        <v>Office of the Executive Director · Cell #: +231 888 608 224 / +231 777 596 220   |   Email: info@epa.gov.lr / www.epa.gov.lr</v>
      </c>
      <c r="G7" s="271"/>
      <c r="I7" s="172" t="s">
        <v>726</v>
      </c>
      <c r="J7" s="246" t="str">
        <f t="array" ref="J7">IF($J$6="","",INDEX('Bills &amp; Invoices'!$S$5:$S$32,$J$6)&amp;"")</f>
        <v>Licence – New Application</v>
      </c>
    </row>
    <row r="8" ht="12.0" customHeight="1">
      <c r="A8" s="271"/>
      <c r="G8" s="271"/>
      <c r="I8" s="172" t="s">
        <v>542</v>
      </c>
      <c r="J8" s="173" t="s">
        <v>543</v>
      </c>
    </row>
    <row r="9" ht="14.25" customHeight="1">
      <c r="A9" s="271"/>
      <c r="B9" s="248" t="str">
        <f>$J$16</f>
        <v/>
      </c>
      <c r="G9" s="271"/>
      <c r="I9" s="172" t="s">
        <v>727</v>
      </c>
      <c r="J9" s="173"/>
    </row>
    <row r="10" ht="14.25" customHeight="1">
      <c r="A10" s="271"/>
      <c r="B10" s="277" t="str">
        <f>IF($J$17="","",TEXT($J$17,"mmmm d, yyyy"))</f>
        <v/>
      </c>
      <c r="G10" s="271"/>
      <c r="I10" s="172" t="s">
        <v>571</v>
      </c>
      <c r="J10" s="173" t="s">
        <v>572</v>
      </c>
    </row>
    <row r="11" ht="14.25" customHeight="1">
      <c r="A11" s="271"/>
      <c r="B11" s="271"/>
      <c r="C11" s="271"/>
      <c r="D11" s="271"/>
      <c r="E11" s="271"/>
      <c r="F11" s="271"/>
      <c r="G11" s="271"/>
      <c r="I11" s="172" t="s">
        <v>728</v>
      </c>
      <c r="J11" s="246" t="str">
        <f>$J$7</f>
        <v>Licence – New Application</v>
      </c>
    </row>
    <row r="12" ht="14.25" customHeight="1">
      <c r="A12" s="271"/>
      <c r="B12" s="277" t="str">
        <f>IFERROR(__xludf.DUMMYFUNCTION("ARRAY_CONSTRAIN(ARRAYFORMULA(IFERROR(INDEX(FILTER(VSTACK(IF(OR(LEFT($J$15&amp;"" "",3)=""Mr "",LEFT($J$15,3)=""Mr."",LEFT($J$15,4)=""Mrs."",LEFT($J$15,3)=""Ms."",LEFT($J$15,3)=""Dr."",LEFT($J$15,4)=""Hon."",LEFT($J$15,5)=""Madam"",$J$15=""Mrs"",$J$15=""Ms"",$"&amp;"J$15=""Dr"",$J$15=""Hon""),TRIM($J$15&amp;"" ""&amp;$J$14),$J$14),IF(OR(LEFT($J$15&amp;"" "",3)=""Mr "",LEFT($J$15,3)=""Mr."",LEFT($J$15,4)=""Mrs."",LEFT($J$15,3)=""Ms."",LEFT($J$15,3)=""Dr."",LEFT($J$15,4)=""Hon."",LEFT($J$15,5)=""Madam"",$J$15=""Mrs"",$J$15=""Ms"","&amp;"$J$15=""Dr"",$J$15=""Hon""),"""",$J$15),$J$12,$J$13),VSTACK(IF(OR(LEFT($J$15&amp;"" "",3)=""Mr "",LEFT($J$15,3)=""Mr."",LEFT($J$15,4)=""Mrs."",LEFT($J$15,3)=""Ms."",LEFT($J$15,3)=""Dr."",LEFT($J$15,4)=""Hon."",LEFT($J$15,5)=""Madam"",$J$15=""Mrs"",$J$15=""Ms"&amp;""",$J$15=""Dr"",$J$15=""Hon""),TRIM($J$15&amp;"" ""&amp;$J$14),$J$14),IF(OR(LEFT($J$15&amp;"" "",3)=""Mr "",LEFT($J$15,3)=""Mr."",LEFT($J$15,4)=""Mrs."",LEFT($J$15,3)=""Ms."",LEFT($J$15,3)=""Dr."",LEFT($J$15,4)=""Hon."",LEFT($J$15,5)=""Madam"",$J$15=""Mrs"",$J$15=""M"&amp;"s"",$J$15=""Dr"",$J$15=""Hon""),"""",$J$15),$J$12,$J$13)&lt;&gt;"""",""""),1),"""")), 1, 1)"),"")</f>
        <v/>
      </c>
      <c r="G12" s="271"/>
      <c r="I12" s="172" t="s">
        <v>218</v>
      </c>
      <c r="J12" s="246" t="str">
        <f t="array" ref="J12">IF($J$6="","",INDEX('Bills &amp; Invoices'!$D$5:$D$32,$J$6))</f>
        <v>Greenfield Liberia Inc.</v>
      </c>
    </row>
    <row r="13" ht="14.25" customHeight="1">
      <c r="A13" s="271"/>
      <c r="B13" s="277" t="str">
        <f>IFERROR(__xludf.DUMMYFUNCTION("ARRAY_CONSTRAIN(ARRAYFORMULA(IFERROR(INDEX(FILTER(VSTACK(IF(OR(LEFT($J$15&amp;"" "",3)=""Mr "",LEFT($J$15,3)=""Mr."",LEFT($J$15,4)=""Mrs."",LEFT($J$15,3)=""Ms."",LEFT($J$15,3)=""Dr."",LEFT($J$15,4)=""Hon."",LEFT($J$15,5)=""Madam"",$J$15=""Mrs"",$J$15=""Ms"",$"&amp;"J$15=""Dr"",$J$15=""Hon""),TRIM($J$15&amp;"" ""&amp;$J$14),$J$14),IF(OR(LEFT($J$15&amp;"" "",3)=""Mr "",LEFT($J$15,3)=""Mr."",LEFT($J$15,4)=""Mrs."",LEFT($J$15,3)=""Ms."",LEFT($J$15,3)=""Dr."",LEFT($J$15,4)=""Hon."",LEFT($J$15,5)=""Madam"",$J$15=""Mrs"",$J$15=""Ms"","&amp;"$J$15=""Dr"",$J$15=""Hon""),"""",$J$15),$J$12,$J$13),VSTACK(IF(OR(LEFT($J$15&amp;"" "",3)=""Mr "",LEFT($J$15,3)=""Mr."",LEFT($J$15,4)=""Mrs."",LEFT($J$15,3)=""Ms."",LEFT($J$15,3)=""Dr."",LEFT($J$15,4)=""Hon."",LEFT($J$15,5)=""Madam"",$J$15=""Mrs"",$J$15=""Ms"&amp;""",$J$15=""Dr"",$J$15=""Hon""),TRIM($J$15&amp;"" ""&amp;$J$14),$J$14),IF(OR(LEFT($J$15&amp;"" "",3)=""Mr "",LEFT($J$15,3)=""Mr."",LEFT($J$15,4)=""Mrs."",LEFT($J$15,3)=""Ms."",LEFT($J$15,3)=""Dr."",LEFT($J$15,4)=""Hon."",LEFT($J$15,5)=""Madam"",$J$15=""Mrs"",$J$15=""M"&amp;"s"",$J$15=""Dr"",$J$15=""Hon""),"""",$J$15),$J$12,$J$13)&lt;&gt;"""",""""),2),"""")), 1, 1)"),"")</f>
        <v/>
      </c>
      <c r="G13" s="271"/>
      <c r="I13" s="172" t="s">
        <v>730</v>
      </c>
      <c r="J13" s="246" t="str">
        <f t="array" ref="J13">IF($J$6="","",IF(INDEX('Bills &amp; Invoices'!$G$5:$G$32,$J$6)&lt;&gt;"",INDEX('Bills &amp; Invoices'!$G$5:$G$32,$J$6)&amp;"",IFERROR(INDEX(Companies!$D$5:$D$74,MATCH(INDEX('Bills &amp; Invoices'!$C$5:$C$32,$J$6),Companies!$A$5:$A$74,0))&amp;"","")))</f>
        <v>Capitol Bye-Pass</v>
      </c>
    </row>
    <row r="14" ht="14.25" customHeight="1">
      <c r="A14" s="271"/>
      <c r="B14" s="277" t="str">
        <f>IFERROR(__xludf.DUMMYFUNCTION("ARRAY_CONSTRAIN(ARRAYFORMULA(IFERROR(INDEX(FILTER(VSTACK(IF(OR(LEFT($J$15&amp;"" "",3)=""Mr "",LEFT($J$15,3)=""Mr."",LEFT($J$15,4)=""Mrs."",LEFT($J$15,3)=""Ms."",LEFT($J$15,3)=""Dr."",LEFT($J$15,4)=""Hon."",LEFT($J$15,5)=""Madam"",$J$15=""Mrs"",$J$15=""Ms"",$"&amp;"J$15=""Dr"",$J$15=""Hon""),TRIM($J$15&amp;"" ""&amp;$J$14),$J$14),IF(OR(LEFT($J$15&amp;"" "",3)=""Mr "",LEFT($J$15,3)=""Mr."",LEFT($J$15,4)=""Mrs."",LEFT($J$15,3)=""Ms."",LEFT($J$15,3)=""Dr."",LEFT($J$15,4)=""Hon."",LEFT($J$15,5)=""Madam"",$J$15=""Mrs"",$J$15=""Ms"","&amp;"$J$15=""Dr"",$J$15=""Hon""),"""",$J$15),$J$12,$J$13),VSTACK(IF(OR(LEFT($J$15&amp;"" "",3)=""Mr "",LEFT($J$15,3)=""Mr."",LEFT($J$15,4)=""Mrs."",LEFT($J$15,3)=""Ms."",LEFT($J$15,3)=""Dr."",LEFT($J$15,4)=""Hon."",LEFT($J$15,5)=""Madam"",$J$15=""Mrs"",$J$15=""Ms"&amp;""",$J$15=""Dr"",$J$15=""Hon""),TRIM($J$15&amp;"" ""&amp;$J$14),$J$14),IF(OR(LEFT($J$15&amp;"" "",3)=""Mr "",LEFT($J$15,3)=""Mr."",LEFT($J$15,4)=""Mrs."",LEFT($J$15,3)=""Ms."",LEFT($J$15,3)=""Dr."",LEFT($J$15,4)=""Hon."",LEFT($J$15,5)=""Madam"",$J$15=""Mrs"",$J$15=""M"&amp;"s"",$J$15=""Dr"",$J$15=""Hon""),"""",$J$15),$J$12,$J$13)&lt;&gt;"""",""""),3),"""")), 1, 1)"),"")</f>
        <v/>
      </c>
      <c r="G14" s="271"/>
      <c r="I14" s="172" t="s">
        <v>733</v>
      </c>
      <c r="J14" s="246" t="str">
        <f t="array" ref="J14">IF($J$6="","",INDEX('Bills &amp; Invoices'!$Q$5:$Q$32,$J$6)&amp;"")</f>
        <v/>
      </c>
    </row>
    <row r="15" ht="14.25" customHeight="1">
      <c r="A15" s="271"/>
      <c r="B15" s="277" t="str">
        <f>IFERROR(__xludf.DUMMYFUNCTION("ARRAY_CONSTRAIN(ARRAYFORMULA(IFERROR(INDEX(FILTER(VSTACK(IF(OR(LEFT($J$15&amp;"" "",3)=""Mr "",LEFT($J$15,3)=""Mr."",LEFT($J$15,4)=""Mrs."",LEFT($J$15,3)=""Ms."",LEFT($J$15,3)=""Dr."",LEFT($J$15,4)=""Hon."",LEFT($J$15,5)=""Madam"",$J$15=""Mrs"",$J$15=""Ms"",$"&amp;"J$15=""Dr"",$J$15=""Hon""),TRIM($J$15&amp;"" ""&amp;$J$14),$J$14),IF(OR(LEFT($J$15&amp;"" "",3)=""Mr "",LEFT($J$15,3)=""Mr."",LEFT($J$15,4)=""Mrs."",LEFT($J$15,3)=""Ms."",LEFT($J$15,3)=""Dr."",LEFT($J$15,4)=""Hon."",LEFT($J$15,5)=""Madam"",$J$15=""Mrs"",$J$15=""Ms"","&amp;"$J$15=""Dr"",$J$15=""Hon""),"""",$J$15),$J$12,$J$13),VSTACK(IF(OR(LEFT($J$15&amp;"" "",3)=""Mr "",LEFT($J$15,3)=""Mr."",LEFT($J$15,4)=""Mrs."",LEFT($J$15,3)=""Ms."",LEFT($J$15,3)=""Dr."",LEFT($J$15,4)=""Hon."",LEFT($J$15,5)=""Madam"",$J$15=""Mrs"",$J$15=""Ms"&amp;""",$J$15=""Dr"",$J$15=""Hon""),TRIM($J$15&amp;"" ""&amp;$J$14),$J$14),IF(OR(LEFT($J$15&amp;"" "",3)=""Mr "",LEFT($J$15,3)=""Mr."",LEFT($J$15,4)=""Mrs."",LEFT($J$15,3)=""Ms."",LEFT($J$15,3)=""Dr."",LEFT($J$15,4)=""Hon."",LEFT($J$15,5)=""Madam"",$J$15=""Mrs"",$J$15=""M"&amp;"s"",$J$15=""Dr"",$J$15=""Hon""),"""",$J$15),$J$12,$J$13)&lt;&gt;"""",""""),4),"""")), 1, 1)"),"")</f>
        <v/>
      </c>
      <c r="G15" s="271"/>
      <c r="I15" s="172" t="s">
        <v>744</v>
      </c>
      <c r="J15" s="246" t="str">
        <f t="array" ref="J15">IF($J$6="","",INDEX('Bills &amp; Invoices'!$R$5:$R$32,$J$6)&amp;"")</f>
        <v/>
      </c>
    </row>
    <row r="16" ht="14.25" customHeight="1">
      <c r="A16" s="271"/>
      <c r="B16" s="271"/>
      <c r="C16" s="271"/>
      <c r="D16" s="271"/>
      <c r="E16" s="271"/>
      <c r="F16" s="271"/>
      <c r="G16" s="271"/>
      <c r="I16" s="172" t="s">
        <v>602</v>
      </c>
      <c r="J16" s="246" t="str">
        <f t="array" ref="J16">IF($J$6="","",INDEX('Bills &amp; Invoices'!$P$5:$P$32,$J$6)&amp;"")</f>
        <v/>
      </c>
    </row>
    <row r="17" ht="14.25" customHeight="1">
      <c r="A17" s="271"/>
      <c r="B17" s="277" t="str">
        <f>IF($J$9&lt;&gt;"",$J$9,IF($J$14="","Dear Sir/Madam:","Dear "&amp;IF(OR(LEFT($J$15&amp;" ",3)="Mr ",LEFT($J$15,3)="Mr.",LEFT($J$15,4)="Mrs.",LEFT($J$15,3)="Ms.",LEFT($J$15,3)="Dr.",LEFT($J$15,4)="Hon.",LEFT($J$15,5)="Madam",$J$15="Mrs",$J$15="Ms",$J$15="Dr",$J$15="Hon"),TRIM($J$15&amp;" "&amp;TRIM(RIGHT(SUBSTITUTE($J$14," ",REPT(" ",50)),50))),IF(OR(LEFT($J$14,3)="Mr.",LEFT($J$14,4)="Mrs.",LEFT($J$14,3)="Ms.",LEFT($J$14,3)="Dr.",LEFT($J$14,4)="Hon.",LEFT($J$14,5)="Madam"),TRIM(LEFT($J$14,FIND(" ",$J$14&amp;" ")))&amp;" "&amp;TRIM(RIGHT(SUBSTITUTE($J$14," ",REPT(" ",50)),50)),$J$14))&amp;":"))</f>
        <v>Dear Sir/Madam:</v>
      </c>
      <c r="G17" s="271"/>
      <c r="I17" s="172" t="s">
        <v>754</v>
      </c>
      <c r="J17" s="249" t="str">
        <f t="array" ref="J17">IF($J$6="","",IF(INDEX('Bills &amp; Invoices'!$K$5:$K$32,$J$6)="","",INDEX('Bills &amp; Invoices'!$K$5:$K$32,$J$6)))</f>
        <v/>
      </c>
    </row>
    <row r="18" ht="15.0" customHeight="1">
      <c r="A18" s="271"/>
      <c r="B18" s="271"/>
      <c r="C18" s="271"/>
      <c r="D18" s="271"/>
      <c r="E18" s="271"/>
      <c r="F18" s="271"/>
      <c r="G18" s="271"/>
      <c r="I18" s="172" t="s">
        <v>759</v>
      </c>
      <c r="J18" s="246">
        <f>COUNTIF('Bills &amp; Invoices'!$B$5:$B$32,$K$4)</f>
        <v>1</v>
      </c>
    </row>
    <row r="19" ht="49.5" customHeight="1">
      <c r="A19" s="271"/>
      <c r="B19" s="286" t="str">
        <f>$J$23</f>
        <v>I present my professional compliments and acknowledge receipt of your application for the Annual Chemical Registration License.</v>
      </c>
      <c r="G19" s="271"/>
      <c r="I19" s="172" t="s">
        <v>764</v>
      </c>
      <c r="J19" s="246" t="str">
        <f>IFERROR(__xludf.DUMMYFUNCTION("ARRAY_CONSTRAIN(ARRAYFORMULA(IF($J$6="""","""",TEXTJOIN("", "",TRUE,UNIQUE(FILTER('Bills &amp; Invoices'!$H$5:$H$32,'Bills &amp; Invoices'!$B$5:$B$32=$K$4))))), 1, 1)"),"Annual Chemical Registration License")</f>
        <v>Annual Chemical Registration License</v>
      </c>
      <c r="L19" s="225" t="s">
        <v>765</v>
      </c>
    </row>
    <row r="20" ht="7.5" customHeight="1">
      <c r="A20" s="271"/>
      <c r="G20" s="271"/>
      <c r="I20" s="172" t="s">
        <v>766</v>
      </c>
      <c r="J20" s="287">
        <f>SUMIFS('Bills &amp; Invoices'!$J$5:$J$32,'Bills &amp; Invoices'!$B$5:$B$32,$K$4)</f>
        <v>500</v>
      </c>
      <c r="L20" s="225" t="str">
        <f t="array" ref="L20">IF($J$6="","No",IF(AND(IFERROR(INDEX('Fee Schedule'!$G$20:$G$26,MATCH($J$7,'Fee Schedule'!$A$20:$A$26,0)),"")="Yes",$J$18&gt;1),"Yes","No"))</f>
        <v>No</v>
      </c>
    </row>
    <row r="21" ht="49.5" customHeight="1">
      <c r="A21" s="271"/>
      <c r="B21" s="286" t="str">
        <f>IF($J$6="","",$J$28&amp;" UNITED STATES DOLLARS-"&amp;IF(LEFT($J$21,1)="⚠","________",UPPER($J$21))&amp;" (US$"&amp;TEXT($J$20,"#,##0.00")&amp;") payable at the "&amp;setBank&amp;"; Account Number: "&amp;setAcctNo&amp;"; Account Title: "&amp;setAcctTitle&amp;".")</f>
        <v>The total bill for the license is UNITED STATES DOLLARS-FIVE HUNDRED (US$500.00) payable at the Eco-Bank Liberia Limited; Account Number: 6100064132; Account Title: NATIONAL ENVIRONMENTAL COMMISSION.</v>
      </c>
      <c r="G21" s="271"/>
      <c r="I21" s="172" t="s">
        <v>772</v>
      </c>
      <c r="J21" s="246" t="str">
        <f t="array" ref="J21">IFERROR(AmountInWords($J$20),"⚠ enable macros (AmountInWords)")</f>
        <v>FIVE HUNDRED</v>
      </c>
    </row>
    <row r="22" ht="7.5" customHeight="1">
      <c r="A22" s="271"/>
      <c r="G22" s="271"/>
      <c r="I22" s="172" t="s">
        <v>777</v>
      </c>
      <c r="J22" s="246">
        <f>IF($J$17="",YEAR(TODAY()),YEAR($J$17))</f>
        <v>2026</v>
      </c>
    </row>
    <row r="23" ht="19.5" customHeight="1">
      <c r="A23" s="271"/>
      <c r="B23" s="288" t="str">
        <f>IF($L$20="Yes","No.","")</f>
        <v/>
      </c>
      <c r="C23" s="288" t="str">
        <f>IF($L$20="Yes","Service","")</f>
        <v/>
      </c>
      <c r="D23" s="288" t="str">
        <f>IF($L$20="Yes","Details","")</f>
        <v/>
      </c>
      <c r="F23" s="288" t="str">
        <f>IF($L$20="Yes","Amount (USD)","")</f>
        <v/>
      </c>
      <c r="G23" s="271"/>
      <c r="I23" s="172" t="s">
        <v>782</v>
      </c>
      <c r="J23" s="246" t="str">
        <f t="array" ref="J23">IF($J$6="","",SUBSTITUTE(SUBSTITUTE(IFERROR(INDEX('Fee Schedule'!$C$20:$C$26,MATCH($J$7,'Fee Schedule'!$A$20:$A$26,0)),""),"{SERVICES}",$J$19),"{DETAILS}",INDEX('Bills &amp; Invoices'!$I$5:$I$32,$J$6)&amp;"")&amp;IF(IFERROR(INDEX('Fee Schedule'!$D$20:$D$26,MATCH($J$7,'Fee Schedule'!$A$20:$A$26,0)),"")="","",CHAR(10)&amp;CHAR(10)&amp;IFERROR(INDEX('Fee Schedule'!$D$20:$D$26,MATCH($J$7,'Fee Schedule'!$A$20:$A$26,0)),"")))</f>
        <v>I present my professional compliments and acknowledge receipt of your application for the Annual Chemical Registration License.</v>
      </c>
      <c r="L23" s="225" t="s">
        <v>582</v>
      </c>
    </row>
    <row r="24" ht="14.25" customHeight="1">
      <c r="A24" s="271"/>
      <c r="B24" s="221" t="str">
        <f t="shared" ref="B24:B34" si="1">IF($L24="","",ROWS($L$24:L24))</f>
        <v/>
      </c>
      <c r="C24" s="289" t="str">
        <f t="array" ref="C24">IF($L24="","",INDEX('Bills &amp; Invoices'!$H$5:$H$32,$L24)&amp;"")</f>
        <v/>
      </c>
      <c r="D24" s="229" t="str">
        <f t="array" ref="D24">IF($L24&lt;&gt;"",INDEX('Bills &amp; Invoices'!$I$5:$I$32,$L24)&amp;"",IF($M24="T","TOTAL",""))</f>
        <v/>
      </c>
      <c r="F24" s="290" t="str">
        <f t="array" ref="F24">IF($L24&lt;&gt;"",INDEX('Bills &amp; Invoices'!$J$5:$J$32,$L24),IF($M24="T",$J$20,""))</f>
        <v/>
      </c>
      <c r="G24" s="271"/>
      <c r="I24" s="172" t="s">
        <v>810</v>
      </c>
      <c r="J24" s="246" t="str">
        <f t="array" ref="J24">IF($J$6="","",IF($J$18=1,SUBSTITUTE(SUBSTITUTE(IFERROR(INDEX('Fee Schedule'!$F$20:$F$26,MATCH($J$7,'Fee Schedule'!$A$20:$A$26,0)),""),"licenses","license"),"fee(s)","fee"),IFERROR(INDEX('Fee Schedule'!$F$20:$F$26,MATCH($J$7,'Fee Schedule'!$A$20:$A$26,0)),"")))</f>
        <v>Please come with this letter and the deposit slip, after payment, to the EPA Account section for the issuance of an official receipt and proceed to the ERRS Laboratory for the license.</v>
      </c>
      <c r="L24" s="225" t="str">
        <f>IFERROR(__xludf.DUMMYFUNCTION("ARRAY_CONSTRAIN(ARRAYFORMULA(IF($L$20&lt;&gt;""Yes"","""",IFERROR(SMALL(FILTER((ROW('Bills &amp; Invoices'!$B$5:$B$32)-ROW('Bills &amp; Invoices'!$A$4:$V$4)),IFERROR(('Bills &amp; Invoices'!$B$5:$B$32=$K$4),FALSE)),ROWS($L$24:L24)),""""))), 1, 1)"),"")</f>
        <v/>
      </c>
      <c r="M24" s="225" t="str">
        <f t="shared" ref="M24:M34" si="2">IF(AND($L$20="Yes",ROWS($L$24:L24)=$J$18+1),"T","")</f>
        <v/>
      </c>
    </row>
    <row r="25" ht="16.5" customHeight="1">
      <c r="A25" s="271"/>
      <c r="B25" s="221" t="str">
        <f t="shared" si="1"/>
        <v/>
      </c>
      <c r="C25" s="289" t="str">
        <f t="array" ref="C25">IF($L25="","",INDEX('Bills &amp; Invoices'!$H$5:$H$32,$L25)&amp;"")</f>
        <v/>
      </c>
      <c r="D25" s="229" t="str">
        <f t="array" ref="D25">IF($L25&lt;&gt;"",INDEX('Bills &amp; Invoices'!$I$5:$I$32,$L25)&amp;"",IF($M25="T","TOTAL",""))</f>
        <v/>
      </c>
      <c r="F25" s="290" t="str">
        <f t="array" ref="F25">IF($L25&lt;&gt;"",INDEX('Bills &amp; Invoices'!$J$5:$J$32,$L25),IF($M25="T",$J$20,""))</f>
        <v/>
      </c>
      <c r="G25" s="271"/>
      <c r="I25" s="172" t="s">
        <v>819</v>
      </c>
      <c r="J25" s="291" t="s">
        <v>687</v>
      </c>
      <c r="L25" s="225" t="str">
        <f>IFERROR(__xludf.DUMMYFUNCTION("ARRAY_CONSTRAIN(ARRAYFORMULA(IF($L$20&lt;&gt;""Yes"","""",IFERROR(SMALL(FILTER((ROW('Bills &amp; Invoices'!$B$5:$B$32)-ROW('Bills &amp; Invoices'!$A$4:$V$4)),IFERROR(('Bills &amp; Invoices'!$B$5:$B$32=$K$4),FALSE)),ROWS($L$24:L25)),""""))), 1, 1)"),"")</f>
        <v/>
      </c>
      <c r="M25" s="225" t="str">
        <f t="shared" si="2"/>
        <v/>
      </c>
    </row>
    <row r="26" ht="16.5" customHeight="1">
      <c r="A26" s="271"/>
      <c r="B26" s="221" t="str">
        <f t="shared" si="1"/>
        <v/>
      </c>
      <c r="C26" s="289" t="str">
        <f t="array" ref="C26">IF($L26="","",INDEX('Bills &amp; Invoices'!$H$5:$H$32,$L26)&amp;"")</f>
        <v/>
      </c>
      <c r="D26" s="229" t="str">
        <f t="array" ref="D26">IF($L26&lt;&gt;"",INDEX('Bills &amp; Invoices'!$I$5:$I$32,$L26)&amp;"",IF($M26="T","TOTAL",""))</f>
        <v/>
      </c>
      <c r="F26" s="290" t="str">
        <f t="array" ref="F26">IF($L26&lt;&gt;"",INDEX('Bills &amp; Invoices'!$J$5:$J$32,$L26),IF($M26="T",$J$20,""))</f>
        <v/>
      </c>
      <c r="G26" s="271"/>
      <c r="I26" s="175" t="s">
        <v>837</v>
      </c>
      <c r="J26" s="179" t="str">
        <f t="array" ref="J26">IFERROR(INDEX(Lists!$AG$5:$AG$7,MATCH($J$10,Lists!$AF$5:$AF$7,0))&amp;"","")</f>
        <v>Office of the Executive Director</v>
      </c>
      <c r="L26" s="225" t="str">
        <f>IFERROR(__xludf.DUMMYFUNCTION("ARRAY_CONSTRAIN(ARRAYFORMULA(IF($L$20&lt;&gt;""Yes"","""",IFERROR(SMALL(FILTER((ROW('Bills &amp; Invoices'!$B$5:$B$32)-ROW('Bills &amp; Invoices'!$A$4:$V$4)),IFERROR(('Bills &amp; Invoices'!$B$5:$B$32=$K$4),FALSE)),ROWS($L$24:L26)),""""))), 1, 1)"),"")</f>
        <v/>
      </c>
      <c r="M26" s="225" t="str">
        <f t="shared" si="2"/>
        <v/>
      </c>
    </row>
    <row r="27" ht="16.5" customHeight="1">
      <c r="A27" s="271"/>
      <c r="B27" s="221" t="str">
        <f t="shared" si="1"/>
        <v/>
      </c>
      <c r="C27" s="289" t="str">
        <f t="array" ref="C27">IF($L27="","",INDEX('Bills &amp; Invoices'!$H$5:$H$32,$L27)&amp;"")</f>
        <v/>
      </c>
      <c r="D27" s="229" t="str">
        <f t="array" ref="D27">IF($L27&lt;&gt;"",INDEX('Bills &amp; Invoices'!$I$5:$I$32,$L27)&amp;"",IF($M27="T","TOTAL",""))</f>
        <v/>
      </c>
      <c r="F27" s="290" t="str">
        <f t="array" ref="F27">IF($L27&lt;&gt;"",INDEX('Bills &amp; Invoices'!$J$5:$J$32,$L27),IF($M27="T",$J$20,""))</f>
        <v/>
      </c>
      <c r="G27" s="271"/>
      <c r="I27" s="175" t="s">
        <v>848</v>
      </c>
      <c r="J27" s="179" t="str">
        <f t="array" ref="J27">IFERROR(INDEX(Lists!$AH$5:$AH$7,MATCH($J$10,Lists!$AF$5:$AF$7,0))&amp;"","")</f>
        <v>Cell #: +231 888 608 224 / +231 777 596 220   |   Email: info@epa.gov.lr / www.epa.gov.lr</v>
      </c>
      <c r="L27" s="225" t="str">
        <f>IFERROR(__xludf.DUMMYFUNCTION("ARRAY_CONSTRAIN(ARRAYFORMULA(IF($L$20&lt;&gt;""Yes"","""",IFERROR(SMALL(FILTER((ROW('Bills &amp; Invoices'!$B$5:$B$32)-ROW('Bills &amp; Invoices'!$A$4:$V$4)),IFERROR(('Bills &amp; Invoices'!$B$5:$B$32=$K$4),FALSE)),ROWS($L$24:L27)),""""))), 1, 1)"),"")</f>
        <v/>
      </c>
      <c r="M27" s="225" t="str">
        <f t="shared" si="2"/>
        <v/>
      </c>
    </row>
    <row r="28" ht="16.5" customHeight="1">
      <c r="A28" s="271"/>
      <c r="B28" s="221" t="str">
        <f t="shared" si="1"/>
        <v/>
      </c>
      <c r="C28" s="289" t="str">
        <f t="array" ref="C28">IF($L28="","",INDEX('Bills &amp; Invoices'!$H$5:$H$32,$L28)&amp;"")</f>
        <v/>
      </c>
      <c r="D28" s="229" t="str">
        <f t="array" ref="D28">IF($L28&lt;&gt;"",INDEX('Bills &amp; Invoices'!$I$5:$I$32,$L28)&amp;"",IF($M28="T","TOTAL",""))</f>
        <v/>
      </c>
      <c r="F28" s="290" t="str">
        <f t="array" ref="F28">IF($L28&lt;&gt;"",INDEX('Bills &amp; Invoices'!$J$5:$J$32,$L28),IF($M28="T",$J$20,""))</f>
        <v/>
      </c>
      <c r="G28" s="271"/>
      <c r="I28" s="175" t="s">
        <v>856</v>
      </c>
      <c r="J28" s="26" t="str">
        <f t="array" ref="J28">IF($J$6="","",IF($J$18=1,SUBSTITUTE(SUBSTITUTE(IFERROR(INDEX('Fee Schedule'!$E$20:$E$26,MATCH($J$7,'Fee Schedule'!$A$20:$A$26,0)),""),"licenses","license"),"fee(s)","fee"),IFERROR(INDEX('Fee Schedule'!$E$20:$E$26,MATCH($J$7,'Fee Schedule'!$A$20:$A$26,0)),"")))</f>
        <v>The total bill for the license is</v>
      </c>
      <c r="L28" s="225" t="str">
        <f>IFERROR(__xludf.DUMMYFUNCTION("ARRAY_CONSTRAIN(ARRAYFORMULA(IF($L$20&lt;&gt;""Yes"","""",IFERROR(SMALL(FILTER((ROW('Bills &amp; Invoices'!$B$5:$B$32)-ROW('Bills &amp; Invoices'!$A$4:$V$4)),IFERROR(('Bills &amp; Invoices'!$B$5:$B$32=$K$4),FALSE)),ROWS($L$24:L28)),""""))), 1, 1)"),"")</f>
        <v/>
      </c>
      <c r="M28" s="225" t="str">
        <f t="shared" si="2"/>
        <v/>
      </c>
    </row>
    <row r="29" ht="16.5" customHeight="1">
      <c r="A29" s="271"/>
      <c r="B29" s="221" t="str">
        <f t="shared" si="1"/>
        <v/>
      </c>
      <c r="C29" s="289" t="str">
        <f t="array" ref="C29">IF($L29="","",INDEX('Bills &amp; Invoices'!$H$5:$H$32,$L29)&amp;"")</f>
        <v/>
      </c>
      <c r="D29" s="229" t="str">
        <f t="array" ref="D29">IF($L29&lt;&gt;"",INDEX('Bills &amp; Invoices'!$I$5:$I$32,$L29)&amp;"",IF($M29="T","TOTAL",""))</f>
        <v/>
      </c>
      <c r="F29" s="290" t="str">
        <f t="array" ref="F29">IF($L29&lt;&gt;"",INDEX('Bills &amp; Invoices'!$J$5:$J$32,$L29),IF($M29="T",$J$20,""))</f>
        <v/>
      </c>
      <c r="G29" s="271"/>
      <c r="I29" s="10" t="s">
        <v>866</v>
      </c>
      <c r="L29" s="225" t="str">
        <f>IFERROR(__xludf.DUMMYFUNCTION("ARRAY_CONSTRAIN(ARRAYFORMULA(IF($L$20&lt;&gt;""Yes"","""",IFERROR(SMALL(FILTER((ROW('Bills &amp; Invoices'!$B$5:$B$32)-ROW('Bills &amp; Invoices'!$A$4:$V$4)),IFERROR(('Bills &amp; Invoices'!$B$5:$B$32=$K$4),FALSE)),ROWS($L$24:L29)),""""))), 1, 1)"),"")</f>
        <v/>
      </c>
      <c r="M29" s="225" t="str">
        <f t="shared" si="2"/>
        <v/>
      </c>
    </row>
    <row r="30" ht="16.5" customHeight="1">
      <c r="A30" s="271"/>
      <c r="B30" s="221" t="str">
        <f t="shared" si="1"/>
        <v/>
      </c>
      <c r="C30" s="289" t="str">
        <f t="array" ref="C30">IF($L30="","",INDEX('Bills &amp; Invoices'!$H$5:$H$32,$L30)&amp;"")</f>
        <v/>
      </c>
      <c r="D30" s="229" t="str">
        <f t="array" ref="D30">IF($L30&lt;&gt;"",INDEX('Bills &amp; Invoices'!$I$5:$I$32,$L30)&amp;"",IF($M30="T","TOTAL",""))</f>
        <v/>
      </c>
      <c r="F30" s="290" t="str">
        <f t="array" ref="F30">IF($L30&lt;&gt;"",INDEX('Bills &amp; Invoices'!$J$5:$J$32,$L30),IF($M30="T",$J$20,""))</f>
        <v/>
      </c>
      <c r="G30" s="271"/>
      <c r="L30" s="225" t="str">
        <f>IFERROR(__xludf.DUMMYFUNCTION("ARRAY_CONSTRAIN(ARRAYFORMULA(IF($L$20&lt;&gt;""Yes"","""",IFERROR(SMALL(FILTER((ROW('Bills &amp; Invoices'!$B$5:$B$32)-ROW('Bills &amp; Invoices'!$A$4:$V$4)),IFERROR(('Bills &amp; Invoices'!$B$5:$B$32=$K$4),FALSE)),ROWS($L$24:L30)),""""))), 1, 1)"),"")</f>
        <v/>
      </c>
      <c r="M30" s="225" t="str">
        <f t="shared" si="2"/>
        <v/>
      </c>
    </row>
    <row r="31" ht="16.5" customHeight="1">
      <c r="A31" s="271"/>
      <c r="B31" s="221" t="str">
        <f t="shared" si="1"/>
        <v/>
      </c>
      <c r="C31" s="289" t="str">
        <f t="array" ref="C31">IF($L31="","",INDEX('Bills &amp; Invoices'!$H$5:$H$32,$L31)&amp;"")</f>
        <v/>
      </c>
      <c r="D31" s="229" t="str">
        <f t="array" ref="D31">IF($L31&lt;&gt;"",INDEX('Bills &amp; Invoices'!$I$5:$I$32,$L31)&amp;"",IF($M31="T","TOTAL",""))</f>
        <v/>
      </c>
      <c r="F31" s="290" t="str">
        <f t="array" ref="F31">IF($L31&lt;&gt;"",INDEX('Bills &amp; Invoices'!$J$5:$J$32,$L31),IF($M31="T",$J$20,""))</f>
        <v/>
      </c>
      <c r="G31" s="271"/>
      <c r="L31" s="225" t="str">
        <f>IFERROR(__xludf.DUMMYFUNCTION("ARRAY_CONSTRAIN(ARRAYFORMULA(IF($L$20&lt;&gt;""Yes"","""",IFERROR(SMALL(FILTER((ROW('Bills &amp; Invoices'!$B$5:$B$32)-ROW('Bills &amp; Invoices'!$A$4:$V$4)),IFERROR(('Bills &amp; Invoices'!$B$5:$B$32=$K$4),FALSE)),ROWS($L$24:L31)),""""))), 1, 1)"),"")</f>
        <v/>
      </c>
      <c r="M31" s="225" t="str">
        <f t="shared" si="2"/>
        <v/>
      </c>
    </row>
    <row r="32" ht="16.5" customHeight="1">
      <c r="A32" s="271"/>
      <c r="B32" s="221" t="str">
        <f t="shared" si="1"/>
        <v/>
      </c>
      <c r="C32" s="289" t="str">
        <f t="array" ref="C32">IF($L32="","",INDEX('Bills &amp; Invoices'!$H$5:$H$32,$L32)&amp;"")</f>
        <v/>
      </c>
      <c r="D32" s="229" t="str">
        <f t="array" ref="D32">IF($L32&lt;&gt;"",INDEX('Bills &amp; Invoices'!$I$5:$I$32,$L32)&amp;"",IF($M32="T","TOTAL",""))</f>
        <v/>
      </c>
      <c r="F32" s="290" t="str">
        <f t="array" ref="F32">IF($L32&lt;&gt;"",INDEX('Bills &amp; Invoices'!$J$5:$J$32,$L32),IF($M32="T",$J$20,""))</f>
        <v/>
      </c>
      <c r="G32" s="271"/>
      <c r="L32" s="225" t="str">
        <f>IFERROR(__xludf.DUMMYFUNCTION("ARRAY_CONSTRAIN(ARRAYFORMULA(IF($L$20&lt;&gt;""Yes"","""",IFERROR(SMALL(FILTER((ROW('Bills &amp; Invoices'!$B$5:$B$32)-ROW('Bills &amp; Invoices'!$A$4:$V$4)),IFERROR(('Bills &amp; Invoices'!$B$5:$B$32=$K$4),FALSE)),ROWS($L$24:L32)),""""))), 1, 1)"),"")</f>
        <v/>
      </c>
      <c r="M32" s="225" t="str">
        <f t="shared" si="2"/>
        <v/>
      </c>
    </row>
    <row r="33" ht="16.5" customHeight="1">
      <c r="A33" s="271"/>
      <c r="B33" s="221" t="str">
        <f t="shared" si="1"/>
        <v/>
      </c>
      <c r="C33" s="289" t="str">
        <f t="array" ref="C33">IF($L33="","",INDEX('Bills &amp; Invoices'!$H$5:$H$32,$L33)&amp;"")</f>
        <v/>
      </c>
      <c r="D33" s="229" t="str">
        <f t="array" ref="D33">IF($L33&lt;&gt;"",INDEX('Bills &amp; Invoices'!$I$5:$I$32,$L33)&amp;"",IF($M33="T","TOTAL",""))</f>
        <v/>
      </c>
      <c r="F33" s="290" t="str">
        <f t="array" ref="F33">IF($L33&lt;&gt;"",INDEX('Bills &amp; Invoices'!$J$5:$J$32,$L33),IF($M33="T",$J$20,""))</f>
        <v/>
      </c>
      <c r="G33" s="271"/>
      <c r="L33" s="225" t="str">
        <f>IFERROR(__xludf.DUMMYFUNCTION("ARRAY_CONSTRAIN(ARRAYFORMULA(IF($L$20&lt;&gt;""Yes"","""",IFERROR(SMALL(FILTER((ROW('Bills &amp; Invoices'!$B$5:$B$32)-ROW('Bills &amp; Invoices'!$A$4:$V$4)),IFERROR(('Bills &amp; Invoices'!$B$5:$B$32=$K$4),FALSE)),ROWS($L$24:L33)),""""))), 1, 1)"),"")</f>
        <v/>
      </c>
      <c r="M33" s="225" t="str">
        <f t="shared" si="2"/>
        <v/>
      </c>
    </row>
    <row r="34" ht="16.5" customHeight="1">
      <c r="A34" s="271"/>
      <c r="B34" s="221" t="str">
        <f t="shared" si="1"/>
        <v/>
      </c>
      <c r="C34" s="289" t="str">
        <f t="array" ref="C34">IF($L34="","",INDEX('Bills &amp; Invoices'!$H$5:$H$32,$L34)&amp;"")</f>
        <v/>
      </c>
      <c r="D34" s="229" t="str">
        <f t="array" ref="D34">IF($L34&lt;&gt;"",INDEX('Bills &amp; Invoices'!$I$5:$I$32,$L34)&amp;"",IF($M34="T","TOTAL",""))</f>
        <v/>
      </c>
      <c r="F34" s="290" t="str">
        <f t="array" ref="F34">IF($L34&lt;&gt;"",INDEX('Bills &amp; Invoices'!$J$5:$J$32,$L34),IF($M34="T",$J$20,""))</f>
        <v/>
      </c>
      <c r="G34" s="271"/>
      <c r="I34" s="241"/>
      <c r="J34" s="241"/>
      <c r="L34" s="225" t="str">
        <f>IFERROR(__xludf.DUMMYFUNCTION("ARRAY_CONSTRAIN(ARRAYFORMULA(IF($L$20&lt;&gt;""Yes"","""",IFERROR(SMALL(FILTER((ROW('Bills &amp; Invoices'!$B$5:$B$32)-ROW('Bills &amp; Invoices'!$A$4:$V$4)),IFERROR(('Bills &amp; Invoices'!$B$5:$B$32=$K$4),FALSE)),ROWS($L$24:L34)),""""))), 1, 1)"),"")</f>
        <v/>
      </c>
      <c r="M34" s="225" t="str">
        <f t="shared" si="2"/>
        <v/>
      </c>
    </row>
    <row r="35" ht="9.75" customHeight="1">
      <c r="A35" s="271"/>
      <c r="G35" s="271"/>
      <c r="I35" s="241"/>
      <c r="J35" s="241"/>
    </row>
    <row r="36" ht="49.5" customHeight="1">
      <c r="A36" s="271"/>
      <c r="B36" s="286" t="str">
        <f>IF($J$25="Yes",SUBSTITUTE($J$24,"Please come","Please pay this amount within "&amp;setPayDeadline&amp;" of receipt of this communication and come"),$J$24)</f>
        <v>Please come with this letter and the deposit slip, after payment, to the EPA Account section for the issuance of an official receipt and proceed to the ERRS Laboratory for the license.</v>
      </c>
      <c r="G36" s="271"/>
      <c r="I36" s="241"/>
      <c r="J36" s="241"/>
    </row>
    <row r="37" ht="7.5" customHeight="1">
      <c r="A37" s="271"/>
      <c r="G37" s="271"/>
      <c r="I37" s="241"/>
      <c r="J37" s="241"/>
    </row>
    <row r="38" ht="33.75" customHeight="1">
      <c r="A38" s="271"/>
      <c r="B38" s="286" t="s">
        <v>916</v>
      </c>
      <c r="G38" s="271"/>
      <c r="I38" s="241"/>
      <c r="J38" s="241"/>
    </row>
    <row r="39" ht="7.5" customHeight="1">
      <c r="A39" s="271"/>
      <c r="G39" s="271"/>
      <c r="I39" s="241"/>
      <c r="J39" s="241"/>
    </row>
    <row r="40" ht="33.75" customHeight="1">
      <c r="A40" s="271"/>
      <c r="B40" s="294" t="s">
        <v>919</v>
      </c>
      <c r="G40" s="271"/>
      <c r="I40" s="241"/>
      <c r="J40" s="241"/>
    </row>
    <row r="41" ht="15.75" customHeight="1">
      <c r="A41" s="271"/>
      <c r="G41" s="271"/>
    </row>
    <row r="42" ht="15.75" customHeight="1">
      <c r="A42" s="271"/>
      <c r="G42" s="271"/>
    </row>
    <row r="43" ht="15.75" customHeight="1">
      <c r="A43" s="271"/>
      <c r="G43" s="271"/>
    </row>
    <row r="44" ht="18.0" customHeight="1">
      <c r="A44" s="271"/>
      <c r="B44" s="294" t="str">
        <f t="array" ref="B44">IFERROR(INDEX(Lists!$U$5:$U$7,MATCH($J$10,Lists!$T$5:$T$7,0)),"")</f>
        <v>Dr. Emmanuel K. Urey Yarkpawolo</v>
      </c>
      <c r="G44" s="271"/>
    </row>
    <row r="45" ht="18.0" customHeight="1">
      <c r="A45" s="271"/>
      <c r="B45" s="295" t="str">
        <f t="array" ref="B45">IFERROR(INDEX(Lists!$V$5:$V$7,MATCH($J$10,Lists!$T$5:$T$7,0)),"")</f>
        <v>EXECUTIVE DIRECTOR/CEO</v>
      </c>
      <c r="G45" s="271"/>
    </row>
    <row r="46" ht="13.5" customHeight="1">
      <c r="A46" s="271"/>
      <c r="G46" s="271"/>
    </row>
    <row r="47" ht="14.25" customHeight="1">
      <c r="A47" s="271"/>
      <c r="B47" s="296" t="s">
        <v>922</v>
      </c>
      <c r="G47" s="271"/>
    </row>
    <row r="48" ht="13.5" customHeight="1">
      <c r="A48" s="271"/>
      <c r="G48" s="271"/>
    </row>
    <row r="49" ht="14.25" customHeight="1">
      <c r="A49" s="271"/>
      <c r="B49" s="297" t="str">
        <f>IF($J$8="Yes","“Ensuring environmental protection &amp; conserving biodiversity.”","")</f>
        <v>“Ensuring environmental protection &amp; conserving biodiversity.”</v>
      </c>
      <c r="G49" s="271"/>
    </row>
    <row r="50" ht="14.25" customHeight="1">
      <c r="A50" s="271"/>
      <c r="G50" s="271"/>
    </row>
    <row r="51" ht="14.25" customHeight="1">
      <c r="A51" s="271"/>
      <c r="G51" s="271"/>
    </row>
    <row r="52" ht="14.25" customHeight="1">
      <c r="A52" s="271"/>
      <c r="G52" s="271"/>
    </row>
    <row r="53" ht="14.25" customHeight="1">
      <c r="A53" s="271"/>
      <c r="B53" s="271"/>
      <c r="C53" s="271"/>
      <c r="D53" s="271"/>
      <c r="E53" s="271"/>
      <c r="F53" s="271"/>
      <c r="G53" s="271"/>
    </row>
    <row r="54" ht="14.25" customHeight="1">
      <c r="A54" s="271"/>
      <c r="B54" s="271"/>
      <c r="C54" s="271"/>
      <c r="D54" s="271"/>
      <c r="E54" s="271"/>
      <c r="F54" s="271"/>
      <c r="G54" s="271"/>
    </row>
    <row r="55" ht="14.25" customHeight="1">
      <c r="A55" s="271"/>
      <c r="B55" s="271"/>
      <c r="C55" s="271"/>
      <c r="D55" s="271"/>
      <c r="E55" s="271"/>
      <c r="F55" s="271"/>
      <c r="G55" s="271"/>
    </row>
    <row r="56" ht="14.25" customHeight="1">
      <c r="A56" s="271"/>
      <c r="B56" s="271"/>
      <c r="C56" s="271"/>
      <c r="D56" s="271"/>
      <c r="E56" s="271"/>
      <c r="F56" s="271"/>
      <c r="G56" s="271"/>
    </row>
    <row r="57" ht="14.25" customHeight="1">
      <c r="A57" s="271"/>
      <c r="B57" s="271"/>
      <c r="C57" s="271"/>
      <c r="D57" s="271"/>
      <c r="E57" s="271"/>
      <c r="F57" s="271"/>
      <c r="G57" s="271"/>
    </row>
    <row r="58" ht="14.25" customHeight="1">
      <c r="A58" s="271"/>
      <c r="B58" s="271"/>
      <c r="C58" s="271"/>
      <c r="D58" s="271"/>
      <c r="E58" s="271"/>
      <c r="F58" s="271"/>
      <c r="G58" s="271"/>
    </row>
    <row r="59" ht="14.25" customHeight="1">
      <c r="A59" s="271"/>
      <c r="B59" s="271"/>
      <c r="C59" s="271"/>
      <c r="D59" s="271"/>
      <c r="E59" s="271"/>
      <c r="F59" s="271"/>
      <c r="G59" s="271"/>
    </row>
    <row r="60" ht="14.25" customHeight="1">
      <c r="A60" s="271"/>
      <c r="B60" s="271"/>
      <c r="C60" s="271"/>
      <c r="D60" s="271"/>
      <c r="E60" s="271"/>
      <c r="F60" s="271"/>
      <c r="G60" s="271"/>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6">
    <mergeCell ref="B2:F2"/>
    <mergeCell ref="I2:J2"/>
    <mergeCell ref="B3:F3"/>
    <mergeCell ref="B4:F4"/>
    <mergeCell ref="B5:F5"/>
    <mergeCell ref="B6:F6"/>
    <mergeCell ref="B7:F7"/>
    <mergeCell ref="B9:F9"/>
    <mergeCell ref="B10:F10"/>
    <mergeCell ref="B12:F12"/>
    <mergeCell ref="B13:F13"/>
    <mergeCell ref="B14:F14"/>
    <mergeCell ref="B15:F15"/>
    <mergeCell ref="B17:F17"/>
    <mergeCell ref="B19:F19"/>
    <mergeCell ref="B21:F21"/>
    <mergeCell ref="D23:E23"/>
    <mergeCell ref="D24:E24"/>
    <mergeCell ref="D25:E25"/>
    <mergeCell ref="D26:E26"/>
    <mergeCell ref="D27:E27"/>
    <mergeCell ref="D34:E34"/>
    <mergeCell ref="B36:F36"/>
    <mergeCell ref="B38:F38"/>
    <mergeCell ref="B40:F40"/>
    <mergeCell ref="B44:F44"/>
    <mergeCell ref="B45:F45"/>
    <mergeCell ref="B47:F47"/>
    <mergeCell ref="B49:F49"/>
    <mergeCell ref="D28:E28"/>
    <mergeCell ref="D29:E29"/>
    <mergeCell ref="I29:J33"/>
    <mergeCell ref="D30:E30"/>
    <mergeCell ref="D31:E31"/>
    <mergeCell ref="D32:E32"/>
    <mergeCell ref="D33:E33"/>
  </mergeCells>
  <conditionalFormatting sqref="J5">
    <cfRule type="containsText" dxfId="0" priority="1" operator="containsText" text="⚠">
      <formula>NOT(ISERROR(SEARCH(("⚠"),(J5))))</formula>
    </cfRule>
  </conditionalFormatting>
  <conditionalFormatting sqref="J5">
    <cfRule type="containsText" dxfId="1" priority="2" operator="containsText" text="✔">
      <formula>NOT(ISERROR(SEARCH(("✔"),(J5))))</formula>
    </cfRule>
  </conditionalFormatting>
  <conditionalFormatting sqref="B23:F23">
    <cfRule type="expression" dxfId="7" priority="3">
      <formula>$L$20="Yes"</formula>
    </cfRule>
  </conditionalFormatting>
  <conditionalFormatting sqref="B24:F34">
    <cfRule type="expression" dxfId="8" priority="4">
      <formula>$L24&lt;&gt;""</formula>
    </cfRule>
  </conditionalFormatting>
  <conditionalFormatting sqref="B24:F34">
    <cfRule type="expression" dxfId="9" priority="5">
      <formula>$M24="T"</formula>
    </cfRule>
  </conditionalFormatting>
  <conditionalFormatting sqref="B24:B34">
    <cfRule type="expression" dxfId="10" priority="6">
      <formula>$M24="T"</formula>
    </cfRule>
  </conditionalFormatting>
  <conditionalFormatting sqref="F24:F34">
    <cfRule type="expression" dxfId="11" priority="7">
      <formula>$M24="T"</formula>
    </cfRule>
  </conditionalFormatting>
  <conditionalFormatting sqref="D24:E34">
    <cfRule type="expression" dxfId="12" priority="8">
      <formula>$M24="T"</formula>
    </cfRule>
  </conditionalFormatting>
  <dataValidations>
    <dataValidation type="list" allowBlank="1" showErrorMessage="1" sqref="J10">
      <formula1>Lists!$T$5:$T$7</formula1>
    </dataValidation>
    <dataValidation type="list" allowBlank="1" showErrorMessage="1" sqref="J8 J25">
      <formula1>"Yes,No"</formula1>
    </dataValidation>
    <dataValidation type="list" allowBlank="1" showErrorMessage="1" sqref="J4">
      <formula1>Lists!$Y$5:$Y$404</formula1>
    </dataValidation>
  </dataValidations>
  <printOptions horizontalCentered="1"/>
  <pageMargins bottom="0.75" footer="0.0" header="0.0" left="0.75" right="0.75"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3.0"/>
    <col customWidth="1" min="2" max="2" width="42.57"/>
    <col customWidth="1" min="3" max="3" width="27.71"/>
    <col customWidth="1" min="4" max="4" width="40.71"/>
    <col customWidth="1" min="5" max="5" width="48.14"/>
    <col customWidth="1" min="6" max="7" width="13.0"/>
    <col customWidth="1" min="8" max="10" width="18.57"/>
    <col customWidth="1" min="11" max="26" width="8.86"/>
  </cols>
  <sheetData>
    <row r="1" ht="25.5" customHeight="1">
      <c r="A1" s="25" t="s">
        <v>734</v>
      </c>
      <c r="B1" s="25"/>
      <c r="C1" s="25"/>
      <c r="D1" s="25"/>
      <c r="E1" s="25"/>
      <c r="F1" s="25"/>
      <c r="G1" s="25"/>
      <c r="H1" s="25"/>
      <c r="I1" s="25"/>
      <c r="J1" s="25"/>
      <c r="K1" s="26"/>
      <c r="L1" s="26"/>
      <c r="M1" s="26"/>
      <c r="N1" s="26"/>
      <c r="O1" s="26"/>
      <c r="P1" s="26"/>
      <c r="Q1" s="26"/>
      <c r="R1" s="26"/>
      <c r="S1" s="26"/>
      <c r="T1" s="26"/>
      <c r="U1" s="26"/>
      <c r="V1" s="26"/>
      <c r="W1" s="26"/>
      <c r="X1" s="26"/>
      <c r="Y1" s="26"/>
      <c r="Z1" s="26"/>
    </row>
    <row r="2" ht="14.25" customHeight="1">
      <c r="A2" s="30" t="s">
        <v>735</v>
      </c>
      <c r="B2" s="30"/>
      <c r="C2" s="30"/>
      <c r="D2" s="30"/>
      <c r="E2" s="30"/>
      <c r="F2" s="30"/>
      <c r="G2" s="30"/>
      <c r="H2" s="30"/>
      <c r="I2" s="30"/>
      <c r="J2" s="30"/>
      <c r="K2" s="26"/>
      <c r="L2" s="26"/>
      <c r="M2" s="26"/>
      <c r="N2" s="26"/>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280" t="s">
        <v>171</v>
      </c>
      <c r="B4" s="280" t="s">
        <v>736</v>
      </c>
      <c r="C4" s="280" t="s">
        <v>205</v>
      </c>
      <c r="D4" s="280" t="s">
        <v>208</v>
      </c>
      <c r="E4" s="280" t="s">
        <v>210</v>
      </c>
      <c r="F4" s="280" t="s">
        <v>737</v>
      </c>
      <c r="G4" s="280" t="s">
        <v>133</v>
      </c>
      <c r="H4" s="280" t="s">
        <v>738</v>
      </c>
      <c r="I4" s="280" t="s">
        <v>135</v>
      </c>
      <c r="J4" s="280" t="s">
        <v>136</v>
      </c>
      <c r="K4" s="281"/>
      <c r="L4" s="281"/>
      <c r="M4" s="281"/>
      <c r="N4" s="281"/>
      <c r="O4" s="281"/>
      <c r="P4" s="281"/>
      <c r="Q4" s="281"/>
      <c r="R4" s="281"/>
      <c r="S4" s="281"/>
      <c r="T4" s="281"/>
      <c r="U4" s="281"/>
      <c r="V4" s="281"/>
      <c r="W4" s="281"/>
      <c r="X4" s="281"/>
      <c r="Y4" s="281"/>
      <c r="Z4" s="281"/>
    </row>
    <row r="5" ht="14.25" customHeight="1">
      <c r="A5" s="282" t="s">
        <v>739</v>
      </c>
      <c r="B5" s="282" t="s">
        <v>740</v>
      </c>
      <c r="C5" s="282" t="s">
        <v>741</v>
      </c>
      <c r="D5" s="282" t="s">
        <v>742</v>
      </c>
      <c r="E5" s="282" t="s">
        <v>743</v>
      </c>
      <c r="F5" s="283">
        <f>COUNTIFS('Licences &amp; Certificates'!$B$5:$B$73,$A5)</f>
        <v>3</v>
      </c>
      <c r="G5" s="283">
        <f>COUNTIFS('Chemical Clearances'!$C$5:$C$169,$A5)</f>
        <v>112</v>
      </c>
      <c r="H5" s="284">
        <f>SUMIFS('Chemical Clearances'!$I$5:$I$169,'Chemical Clearances'!$C$5:$C$169,$A5)</f>
        <v>11911712.66</v>
      </c>
      <c r="I5" s="285">
        <f>SUMIFS('Bills &amp; Invoices'!$J$5:$J$32,'Bills &amp; Invoices'!$C$5:$C$32,$A5)</f>
        <v>233651</v>
      </c>
      <c r="J5" s="285">
        <f>SUMIFS('Payments &amp; Receipts'!$F$5:$F$58,'Payments &amp; Receipts'!$B$5:$B$58,$A5)</f>
        <v>237167</v>
      </c>
      <c r="K5" s="26"/>
      <c r="L5" s="26"/>
      <c r="M5" s="26"/>
      <c r="N5" s="26"/>
      <c r="O5" s="26"/>
      <c r="P5" s="26"/>
      <c r="Q5" s="26"/>
      <c r="R5" s="26"/>
      <c r="S5" s="26"/>
      <c r="T5" s="26"/>
      <c r="U5" s="26"/>
      <c r="V5" s="26"/>
      <c r="W5" s="26"/>
      <c r="X5" s="26"/>
      <c r="Y5" s="26"/>
      <c r="Z5" s="26"/>
    </row>
    <row r="6" ht="14.25" customHeight="1">
      <c r="A6" s="282" t="s">
        <v>745</v>
      </c>
      <c r="B6" s="282" t="s">
        <v>746</v>
      </c>
      <c r="C6" s="282" t="s">
        <v>741</v>
      </c>
      <c r="D6" s="282" t="s">
        <v>747</v>
      </c>
      <c r="E6" s="282" t="s">
        <v>748</v>
      </c>
      <c r="F6" s="283">
        <f>COUNTIFS('Licences &amp; Certificates'!$B$5:$B$73,$A6)</f>
        <v>2</v>
      </c>
      <c r="G6" s="283">
        <f>COUNTIFS('Chemical Clearances'!$C$5:$C$169,$A6)</f>
        <v>6</v>
      </c>
      <c r="H6" s="284">
        <f>SUMIFS('Chemical Clearances'!$I$5:$I$169,'Chemical Clearances'!$C$5:$C$169,$A6)</f>
        <v>1174670</v>
      </c>
      <c r="I6" s="285">
        <f>SUMIFS('Bills &amp; Invoices'!$J$5:$J$32,'Bills &amp; Invoices'!$C$5:$C$32,$A6)</f>
        <v>11150</v>
      </c>
      <c r="J6" s="285">
        <f>SUMIFS('Payments &amp; Receipts'!$F$5:$F$58,'Payments &amp; Receipts'!$B$5:$B$58,$A6)</f>
        <v>13675</v>
      </c>
      <c r="K6" s="26"/>
      <c r="L6" s="26"/>
      <c r="M6" s="26"/>
      <c r="N6" s="26"/>
      <c r="O6" s="26"/>
      <c r="P6" s="26"/>
      <c r="Q6" s="26"/>
      <c r="R6" s="26"/>
      <c r="S6" s="26"/>
      <c r="T6" s="26"/>
      <c r="U6" s="26"/>
      <c r="V6" s="26"/>
      <c r="W6" s="26"/>
      <c r="X6" s="26"/>
      <c r="Y6" s="26"/>
      <c r="Z6" s="26"/>
    </row>
    <row r="7" ht="14.25" customHeight="1">
      <c r="A7" s="282" t="s">
        <v>749</v>
      </c>
      <c r="B7" s="282" t="s">
        <v>750</v>
      </c>
      <c r="C7" s="282" t="s">
        <v>751</v>
      </c>
      <c r="D7" s="282" t="s">
        <v>752</v>
      </c>
      <c r="E7" s="282" t="s">
        <v>753</v>
      </c>
      <c r="F7" s="283">
        <f>COUNTIFS('Licences &amp; Certificates'!$B$5:$B$73,$A7)</f>
        <v>4</v>
      </c>
      <c r="G7" s="283">
        <f>COUNTIFS('Chemical Clearances'!$C$5:$C$169,$A7)</f>
        <v>0</v>
      </c>
      <c r="H7" s="284">
        <f>SUMIFS('Chemical Clearances'!$I$5:$I$169,'Chemical Clearances'!$C$5:$C$169,$A7)</f>
        <v>0</v>
      </c>
      <c r="I7" s="285">
        <f>SUMIFS('Bills &amp; Invoices'!$J$5:$J$32,'Bills &amp; Invoices'!$C$5:$C$32,$A7)</f>
        <v>0</v>
      </c>
      <c r="J7" s="285">
        <f>SUMIFS('Payments &amp; Receipts'!$F$5:$F$58,'Payments &amp; Receipts'!$B$5:$B$58,$A7)</f>
        <v>13815</v>
      </c>
      <c r="K7" s="26"/>
      <c r="L7" s="26"/>
      <c r="M7" s="26"/>
      <c r="N7" s="26"/>
      <c r="O7" s="26"/>
      <c r="P7" s="26"/>
      <c r="Q7" s="26"/>
      <c r="R7" s="26"/>
      <c r="S7" s="26"/>
      <c r="T7" s="26"/>
      <c r="U7" s="26"/>
      <c r="V7" s="26"/>
      <c r="W7" s="26"/>
      <c r="X7" s="26"/>
      <c r="Y7" s="26"/>
      <c r="Z7" s="26"/>
    </row>
    <row r="8" ht="14.25" customHeight="1">
      <c r="A8" s="282" t="s">
        <v>755</v>
      </c>
      <c r="B8" s="282" t="s">
        <v>756</v>
      </c>
      <c r="C8" s="282" t="s">
        <v>757</v>
      </c>
      <c r="D8" s="282" t="s">
        <v>758</v>
      </c>
      <c r="E8" s="282"/>
      <c r="F8" s="283">
        <f>COUNTIFS('Licences &amp; Certificates'!$B$5:$B$73,$A8)</f>
        <v>1</v>
      </c>
      <c r="G8" s="283">
        <f>COUNTIFS('Chemical Clearances'!$C$5:$C$169,$A8)</f>
        <v>0</v>
      </c>
      <c r="H8" s="284">
        <f>SUMIFS('Chemical Clearances'!$I$5:$I$169,'Chemical Clearances'!$C$5:$C$169,$A8)</f>
        <v>0</v>
      </c>
      <c r="I8" s="285">
        <f>SUMIFS('Bills &amp; Invoices'!$J$5:$J$32,'Bills &amp; Invoices'!$C$5:$C$32,$A8)</f>
        <v>0</v>
      </c>
      <c r="J8" s="285">
        <f>SUMIFS('Payments &amp; Receipts'!$F$5:$F$58,'Payments &amp; Receipts'!$B$5:$B$58,$A8)</f>
        <v>0</v>
      </c>
      <c r="K8" s="26"/>
      <c r="L8" s="26"/>
      <c r="M8" s="26"/>
      <c r="N8" s="26"/>
      <c r="O8" s="26"/>
      <c r="P8" s="26"/>
      <c r="Q8" s="26"/>
      <c r="R8" s="26"/>
      <c r="S8" s="26"/>
      <c r="T8" s="26"/>
      <c r="U8" s="26"/>
      <c r="V8" s="26"/>
      <c r="W8" s="26"/>
      <c r="X8" s="26"/>
      <c r="Y8" s="26"/>
      <c r="Z8" s="26"/>
    </row>
    <row r="9" ht="14.25" customHeight="1">
      <c r="A9" s="282" t="s">
        <v>760</v>
      </c>
      <c r="B9" s="282" t="s">
        <v>761</v>
      </c>
      <c r="C9" s="282" t="s">
        <v>762</v>
      </c>
      <c r="D9" s="282" t="s">
        <v>758</v>
      </c>
      <c r="E9" s="282" t="s">
        <v>763</v>
      </c>
      <c r="F9" s="283">
        <f>COUNTIFS('Licences &amp; Certificates'!$B$5:$B$73,$A9)</f>
        <v>1</v>
      </c>
      <c r="G9" s="283">
        <f>COUNTIFS('Chemical Clearances'!$C$5:$C$169,$A9)</f>
        <v>1</v>
      </c>
      <c r="H9" s="284">
        <f>SUMIFS('Chemical Clearances'!$I$5:$I$169,'Chemical Clearances'!$C$5:$C$169,$A9)</f>
        <v>55000</v>
      </c>
      <c r="I9" s="285">
        <f>SUMIFS('Bills &amp; Invoices'!$J$5:$J$32,'Bills &amp; Invoices'!$C$5:$C$32,$A9)</f>
        <v>0</v>
      </c>
      <c r="J9" s="285">
        <f>SUMIFS('Payments &amp; Receipts'!$F$5:$F$58,'Payments &amp; Receipts'!$B$5:$B$58,$A9)</f>
        <v>0</v>
      </c>
      <c r="K9" s="26"/>
      <c r="L9" s="26"/>
      <c r="M9" s="26"/>
      <c r="N9" s="26"/>
      <c r="O9" s="26"/>
      <c r="P9" s="26"/>
      <c r="Q9" s="26"/>
      <c r="R9" s="26"/>
      <c r="S9" s="26"/>
      <c r="T9" s="26"/>
      <c r="U9" s="26"/>
      <c r="V9" s="26"/>
      <c r="W9" s="26"/>
      <c r="X9" s="26"/>
      <c r="Y9" s="26"/>
      <c r="Z9" s="26"/>
    </row>
    <row r="10" ht="14.25" customHeight="1">
      <c r="A10" s="282" t="s">
        <v>767</v>
      </c>
      <c r="B10" s="282" t="s">
        <v>768</v>
      </c>
      <c r="C10" s="282" t="s">
        <v>769</v>
      </c>
      <c r="D10" s="282" t="s">
        <v>770</v>
      </c>
      <c r="E10" s="282" t="s">
        <v>771</v>
      </c>
      <c r="F10" s="283">
        <f>COUNTIFS('Licences &amp; Certificates'!$B$5:$B$73,$A10)</f>
        <v>2</v>
      </c>
      <c r="G10" s="283">
        <f>COUNTIFS('Chemical Clearances'!$C$5:$C$169,$A10)</f>
        <v>0</v>
      </c>
      <c r="H10" s="284">
        <f>SUMIFS('Chemical Clearances'!$I$5:$I$169,'Chemical Clearances'!$C$5:$C$169,$A10)</f>
        <v>0</v>
      </c>
      <c r="I10" s="285">
        <f>SUMIFS('Bills &amp; Invoices'!$J$5:$J$32,'Bills &amp; Invoices'!$C$5:$C$32,$A10)</f>
        <v>1500</v>
      </c>
      <c r="J10" s="285">
        <f>SUMIFS('Payments &amp; Receipts'!$F$5:$F$58,'Payments &amp; Receipts'!$B$5:$B$58,$A10)</f>
        <v>0</v>
      </c>
      <c r="K10" s="26"/>
      <c r="L10" s="26"/>
      <c r="M10" s="26"/>
      <c r="N10" s="26"/>
      <c r="O10" s="26"/>
      <c r="P10" s="26"/>
      <c r="Q10" s="26"/>
      <c r="R10" s="26"/>
      <c r="S10" s="26"/>
      <c r="T10" s="26"/>
      <c r="U10" s="26"/>
      <c r="V10" s="26"/>
      <c r="W10" s="26"/>
      <c r="X10" s="26"/>
      <c r="Y10" s="26"/>
      <c r="Z10" s="26"/>
    </row>
    <row r="11" ht="14.25" customHeight="1">
      <c r="A11" s="282" t="s">
        <v>773</v>
      </c>
      <c r="B11" s="282" t="s">
        <v>774</v>
      </c>
      <c r="C11" s="282" t="s">
        <v>757</v>
      </c>
      <c r="D11" s="282" t="s">
        <v>775</v>
      </c>
      <c r="E11" s="282" t="s">
        <v>776</v>
      </c>
      <c r="F11" s="283">
        <f>COUNTIFS('Licences &amp; Certificates'!$B$5:$B$73,$A11)</f>
        <v>1</v>
      </c>
      <c r="G11" s="283">
        <f>COUNTIFS('Chemical Clearances'!$C$5:$C$169,$A11)</f>
        <v>0</v>
      </c>
      <c r="H11" s="284">
        <f>SUMIFS('Chemical Clearances'!$I$5:$I$169,'Chemical Clearances'!$C$5:$C$169,$A11)</f>
        <v>0</v>
      </c>
      <c r="I11" s="285">
        <f>SUMIFS('Bills &amp; Invoices'!$J$5:$J$32,'Bills &amp; Invoices'!$C$5:$C$32,$A11)</f>
        <v>0</v>
      </c>
      <c r="J11" s="285">
        <f>SUMIFS('Payments &amp; Receipts'!$F$5:$F$58,'Payments &amp; Receipts'!$B$5:$B$58,$A11)</f>
        <v>0</v>
      </c>
      <c r="K11" s="26"/>
      <c r="L11" s="26"/>
      <c r="M11" s="26"/>
      <c r="N11" s="26"/>
      <c r="O11" s="26"/>
      <c r="P11" s="26"/>
      <c r="Q11" s="26"/>
      <c r="R11" s="26"/>
      <c r="S11" s="26"/>
      <c r="T11" s="26"/>
      <c r="U11" s="26"/>
      <c r="V11" s="26"/>
      <c r="W11" s="26"/>
      <c r="X11" s="26"/>
      <c r="Y11" s="26"/>
      <c r="Z11" s="26"/>
    </row>
    <row r="12" ht="14.25" customHeight="1">
      <c r="A12" s="282" t="s">
        <v>778</v>
      </c>
      <c r="B12" s="282" t="s">
        <v>779</v>
      </c>
      <c r="C12" s="282" t="s">
        <v>757</v>
      </c>
      <c r="D12" s="282" t="s">
        <v>780</v>
      </c>
      <c r="E12" s="282" t="s">
        <v>781</v>
      </c>
      <c r="F12" s="283">
        <f>COUNTIFS('Licences &amp; Certificates'!$B$5:$B$73,$A12)</f>
        <v>1</v>
      </c>
      <c r="G12" s="283">
        <f>COUNTIFS('Chemical Clearances'!$C$5:$C$169,$A12)</f>
        <v>0</v>
      </c>
      <c r="H12" s="284">
        <f>SUMIFS('Chemical Clearances'!$I$5:$I$169,'Chemical Clearances'!$C$5:$C$169,$A12)</f>
        <v>0</v>
      </c>
      <c r="I12" s="285">
        <f>SUMIFS('Bills &amp; Invoices'!$J$5:$J$32,'Bills &amp; Invoices'!$C$5:$C$32,$A12)</f>
        <v>0</v>
      </c>
      <c r="J12" s="285">
        <f>SUMIFS('Payments &amp; Receipts'!$F$5:$F$58,'Payments &amp; Receipts'!$B$5:$B$58,$A12)</f>
        <v>0</v>
      </c>
      <c r="K12" s="26"/>
      <c r="L12" s="26"/>
      <c r="M12" s="26"/>
      <c r="N12" s="26"/>
      <c r="O12" s="26"/>
      <c r="P12" s="26"/>
      <c r="Q12" s="26"/>
      <c r="R12" s="26"/>
      <c r="S12" s="26"/>
      <c r="T12" s="26"/>
      <c r="U12" s="26"/>
      <c r="V12" s="26"/>
      <c r="W12" s="26"/>
      <c r="X12" s="26"/>
      <c r="Y12" s="26"/>
      <c r="Z12" s="26"/>
    </row>
    <row r="13" ht="14.25" customHeight="1">
      <c r="A13" s="282" t="s">
        <v>783</v>
      </c>
      <c r="B13" s="282" t="s">
        <v>784</v>
      </c>
      <c r="C13" s="282" t="s">
        <v>785</v>
      </c>
      <c r="D13" s="282" t="s">
        <v>786</v>
      </c>
      <c r="E13" s="282" t="s">
        <v>787</v>
      </c>
      <c r="F13" s="283">
        <f>COUNTIFS('Licences &amp; Certificates'!$B$5:$B$73,$A13)</f>
        <v>1</v>
      </c>
      <c r="G13" s="283">
        <f>COUNTIFS('Chemical Clearances'!$C$5:$C$169,$A13)</f>
        <v>28</v>
      </c>
      <c r="H13" s="284">
        <f>SUMIFS('Chemical Clearances'!$I$5:$I$169,'Chemical Clearances'!$C$5:$C$169,$A13)</f>
        <v>1841169.78</v>
      </c>
      <c r="I13" s="285">
        <f>SUMIFS('Bills &amp; Invoices'!$J$5:$J$32,'Bills &amp; Invoices'!$C$5:$C$32,$A13)</f>
        <v>0</v>
      </c>
      <c r="J13" s="285">
        <f>SUMIFS('Payments &amp; Receipts'!$F$5:$F$58,'Payments &amp; Receipts'!$B$5:$B$58,$A13)</f>
        <v>0</v>
      </c>
      <c r="K13" s="26"/>
      <c r="L13" s="26"/>
      <c r="M13" s="26"/>
      <c r="N13" s="26"/>
      <c r="O13" s="26"/>
      <c r="P13" s="26"/>
      <c r="Q13" s="26"/>
      <c r="R13" s="26"/>
      <c r="S13" s="26"/>
      <c r="T13" s="26"/>
      <c r="U13" s="26"/>
      <c r="V13" s="26"/>
      <c r="W13" s="26"/>
      <c r="X13" s="26"/>
      <c r="Y13" s="26"/>
      <c r="Z13" s="26"/>
    </row>
    <row r="14" ht="14.25" customHeight="1">
      <c r="A14" s="282" t="s">
        <v>788</v>
      </c>
      <c r="B14" s="282" t="s">
        <v>789</v>
      </c>
      <c r="C14" s="282" t="s">
        <v>790</v>
      </c>
      <c r="D14" s="282"/>
      <c r="E14" s="282"/>
      <c r="F14" s="283">
        <f>COUNTIFS('Licences &amp; Certificates'!$B$5:$B$73,$A14)</f>
        <v>3</v>
      </c>
      <c r="G14" s="283">
        <f>COUNTIFS('Chemical Clearances'!$C$5:$C$169,$A14)</f>
        <v>0</v>
      </c>
      <c r="H14" s="284">
        <f>SUMIFS('Chemical Clearances'!$I$5:$I$169,'Chemical Clearances'!$C$5:$C$169,$A14)</f>
        <v>0</v>
      </c>
      <c r="I14" s="285">
        <f>SUMIFS('Bills &amp; Invoices'!$J$5:$J$32,'Bills &amp; Invoices'!$C$5:$C$32,$A14)</f>
        <v>0</v>
      </c>
      <c r="J14" s="285">
        <f>SUMIFS('Payments &amp; Receipts'!$F$5:$F$58,'Payments &amp; Receipts'!$B$5:$B$58,$A14)</f>
        <v>0</v>
      </c>
      <c r="K14" s="26"/>
      <c r="L14" s="26"/>
      <c r="M14" s="26"/>
      <c r="N14" s="26"/>
      <c r="O14" s="26"/>
      <c r="P14" s="26"/>
      <c r="Q14" s="26"/>
      <c r="R14" s="26"/>
      <c r="S14" s="26"/>
      <c r="T14" s="26"/>
      <c r="U14" s="26"/>
      <c r="V14" s="26"/>
      <c r="W14" s="26"/>
      <c r="X14" s="26"/>
      <c r="Y14" s="26"/>
      <c r="Z14" s="26"/>
    </row>
    <row r="15" ht="14.25" customHeight="1">
      <c r="A15" s="282" t="s">
        <v>791</v>
      </c>
      <c r="B15" s="282" t="s">
        <v>792</v>
      </c>
      <c r="C15" s="282" t="s">
        <v>762</v>
      </c>
      <c r="D15" s="282" t="s">
        <v>793</v>
      </c>
      <c r="E15" s="282" t="s">
        <v>794</v>
      </c>
      <c r="F15" s="283">
        <f>COUNTIFS('Licences &amp; Certificates'!$B$5:$B$73,$A15)</f>
        <v>1</v>
      </c>
      <c r="G15" s="283">
        <f>COUNTIFS('Chemical Clearances'!$C$5:$C$169,$A15)</f>
        <v>0</v>
      </c>
      <c r="H15" s="284">
        <f>SUMIFS('Chemical Clearances'!$I$5:$I$169,'Chemical Clearances'!$C$5:$C$169,$A15)</f>
        <v>0</v>
      </c>
      <c r="I15" s="285">
        <f>SUMIFS('Bills &amp; Invoices'!$J$5:$J$32,'Bills &amp; Invoices'!$C$5:$C$32,$A15)</f>
        <v>0</v>
      </c>
      <c r="J15" s="285">
        <f>SUMIFS('Payments &amp; Receipts'!$F$5:$F$58,'Payments &amp; Receipts'!$B$5:$B$58,$A15)</f>
        <v>0</v>
      </c>
      <c r="K15" s="26"/>
      <c r="L15" s="26"/>
      <c r="M15" s="26"/>
      <c r="N15" s="26"/>
      <c r="O15" s="26"/>
      <c r="P15" s="26"/>
      <c r="Q15" s="26"/>
      <c r="R15" s="26"/>
      <c r="S15" s="26"/>
      <c r="T15" s="26"/>
      <c r="U15" s="26"/>
      <c r="V15" s="26"/>
      <c r="W15" s="26"/>
      <c r="X15" s="26"/>
      <c r="Y15" s="26"/>
      <c r="Z15" s="26"/>
    </row>
    <row r="16" ht="14.25" customHeight="1">
      <c r="A16" s="282" t="s">
        <v>795</v>
      </c>
      <c r="B16" s="282" t="s">
        <v>796</v>
      </c>
      <c r="C16" s="282" t="s">
        <v>762</v>
      </c>
      <c r="D16" s="282" t="s">
        <v>797</v>
      </c>
      <c r="E16" s="282" t="s">
        <v>798</v>
      </c>
      <c r="F16" s="283">
        <f>COUNTIFS('Licences &amp; Certificates'!$B$5:$B$73,$A16)</f>
        <v>1</v>
      </c>
      <c r="G16" s="283">
        <f>COUNTIFS('Chemical Clearances'!$C$5:$C$169,$A16)</f>
        <v>1</v>
      </c>
      <c r="H16" s="284">
        <f>SUMIFS('Chemical Clearances'!$I$5:$I$169,'Chemical Clearances'!$C$5:$C$169,$A16)</f>
        <v>137500</v>
      </c>
      <c r="I16" s="285">
        <f>SUMIFS('Bills &amp; Invoices'!$J$5:$J$32,'Bills &amp; Invoices'!$C$5:$C$32,$A16)</f>
        <v>1500</v>
      </c>
      <c r="J16" s="285">
        <f>SUMIFS('Payments &amp; Receipts'!$F$5:$F$58,'Payments &amp; Receipts'!$B$5:$B$58,$A16)</f>
        <v>1500</v>
      </c>
      <c r="K16" s="26"/>
      <c r="L16" s="26"/>
      <c r="M16" s="26"/>
      <c r="N16" s="26"/>
      <c r="O16" s="26"/>
      <c r="P16" s="26"/>
      <c r="Q16" s="26"/>
      <c r="R16" s="26"/>
      <c r="S16" s="26"/>
      <c r="T16" s="26"/>
      <c r="U16" s="26"/>
      <c r="V16" s="26"/>
      <c r="W16" s="26"/>
      <c r="X16" s="26"/>
      <c r="Y16" s="26"/>
      <c r="Z16" s="26"/>
    </row>
    <row r="17" ht="14.25" customHeight="1">
      <c r="A17" s="282" t="s">
        <v>799</v>
      </c>
      <c r="B17" s="282" t="s">
        <v>800</v>
      </c>
      <c r="C17" s="282" t="s">
        <v>801</v>
      </c>
      <c r="D17" s="282" t="s">
        <v>802</v>
      </c>
      <c r="E17" s="282" t="s">
        <v>803</v>
      </c>
      <c r="F17" s="283">
        <f>COUNTIFS('Licences &amp; Certificates'!$B$5:$B$73,$A17)</f>
        <v>4</v>
      </c>
      <c r="G17" s="283">
        <f>COUNTIFS('Chemical Clearances'!$C$5:$C$169,$A17)</f>
        <v>0</v>
      </c>
      <c r="H17" s="284">
        <f>SUMIFS('Chemical Clearances'!$I$5:$I$169,'Chemical Clearances'!$C$5:$C$169,$A17)</f>
        <v>0</v>
      </c>
      <c r="I17" s="285">
        <f>SUMIFS('Bills &amp; Invoices'!$J$5:$J$32,'Bills &amp; Invoices'!$C$5:$C$32,$A17)</f>
        <v>0</v>
      </c>
      <c r="J17" s="285">
        <f>SUMIFS('Payments &amp; Receipts'!$F$5:$F$58,'Payments &amp; Receipts'!$B$5:$B$58,$A17)</f>
        <v>0</v>
      </c>
      <c r="K17" s="26"/>
      <c r="L17" s="26"/>
      <c r="M17" s="26"/>
      <c r="N17" s="26"/>
      <c r="O17" s="26"/>
      <c r="P17" s="26"/>
      <c r="Q17" s="26"/>
      <c r="R17" s="26"/>
      <c r="S17" s="26"/>
      <c r="T17" s="26"/>
      <c r="U17" s="26"/>
      <c r="V17" s="26"/>
      <c r="W17" s="26"/>
      <c r="X17" s="26"/>
      <c r="Y17" s="26"/>
      <c r="Z17" s="26"/>
    </row>
    <row r="18" ht="14.25" customHeight="1">
      <c r="A18" s="282" t="s">
        <v>805</v>
      </c>
      <c r="B18" s="282" t="s">
        <v>806</v>
      </c>
      <c r="C18" s="282" t="s">
        <v>807</v>
      </c>
      <c r="D18" s="282" t="s">
        <v>808</v>
      </c>
      <c r="E18" s="282" t="s">
        <v>809</v>
      </c>
      <c r="F18" s="283">
        <f>COUNTIFS('Licences &amp; Certificates'!$B$5:$B$73,$A18)</f>
        <v>1</v>
      </c>
      <c r="G18" s="283">
        <f>COUNTIFS('Chemical Clearances'!$C$5:$C$169,$A18)</f>
        <v>9</v>
      </c>
      <c r="H18" s="284">
        <f>SUMIFS('Chemical Clearances'!$I$5:$I$169,'Chemical Clearances'!$C$5:$C$169,$A18)</f>
        <v>221219</v>
      </c>
      <c r="I18" s="285">
        <f>SUMIFS('Bills &amp; Invoices'!$J$5:$J$32,'Bills &amp; Invoices'!$C$5:$C$32,$A18)</f>
        <v>1500</v>
      </c>
      <c r="J18" s="285">
        <f>SUMIFS('Payments &amp; Receipts'!$F$5:$F$58,'Payments &amp; Receipts'!$B$5:$B$58,$A18)</f>
        <v>0</v>
      </c>
      <c r="K18" s="26"/>
      <c r="L18" s="26"/>
      <c r="M18" s="26"/>
      <c r="N18" s="26"/>
      <c r="O18" s="26"/>
      <c r="P18" s="26"/>
      <c r="Q18" s="26"/>
      <c r="R18" s="26"/>
      <c r="S18" s="26"/>
      <c r="T18" s="26"/>
      <c r="U18" s="26"/>
      <c r="V18" s="26"/>
      <c r="W18" s="26"/>
      <c r="X18" s="26"/>
      <c r="Y18" s="26"/>
      <c r="Z18" s="26"/>
    </row>
    <row r="19" ht="14.25" customHeight="1">
      <c r="A19" s="282" t="s">
        <v>811</v>
      </c>
      <c r="B19" s="282" t="s">
        <v>812</v>
      </c>
      <c r="C19" s="282" t="s">
        <v>790</v>
      </c>
      <c r="D19" s="282" t="s">
        <v>813</v>
      </c>
      <c r="E19" s="282" t="s">
        <v>814</v>
      </c>
      <c r="F19" s="283">
        <f>COUNTIFS('Licences &amp; Certificates'!$B$5:$B$73,$A19)</f>
        <v>2</v>
      </c>
      <c r="G19" s="283">
        <f>COUNTIFS('Chemical Clearances'!$C$5:$C$169,$A19)</f>
        <v>0</v>
      </c>
      <c r="H19" s="284">
        <f>SUMIFS('Chemical Clearances'!$I$5:$I$169,'Chemical Clearances'!$C$5:$C$169,$A19)</f>
        <v>0</v>
      </c>
      <c r="I19" s="285">
        <f>SUMIFS('Bills &amp; Invoices'!$J$5:$J$32,'Bills &amp; Invoices'!$C$5:$C$32,$A19)</f>
        <v>2500</v>
      </c>
      <c r="J19" s="285">
        <f>SUMIFS('Payments &amp; Receipts'!$F$5:$F$58,'Payments &amp; Receipts'!$B$5:$B$58,$A19)</f>
        <v>2500</v>
      </c>
      <c r="K19" s="26"/>
      <c r="L19" s="26"/>
      <c r="M19" s="26"/>
      <c r="N19" s="26"/>
      <c r="O19" s="26"/>
      <c r="P19" s="26"/>
      <c r="Q19" s="26"/>
      <c r="R19" s="26"/>
      <c r="S19" s="26"/>
      <c r="T19" s="26"/>
      <c r="U19" s="26"/>
      <c r="V19" s="26"/>
      <c r="W19" s="26"/>
      <c r="X19" s="26"/>
      <c r="Y19" s="26"/>
      <c r="Z19" s="26"/>
    </row>
    <row r="20" ht="14.25" customHeight="1">
      <c r="A20" s="282" t="s">
        <v>815</v>
      </c>
      <c r="B20" s="282" t="s">
        <v>816</v>
      </c>
      <c r="C20" s="282" t="s">
        <v>762</v>
      </c>
      <c r="D20" s="282"/>
      <c r="E20" s="282"/>
      <c r="F20" s="283">
        <f>COUNTIFS('Licences &amp; Certificates'!$B$5:$B$73,$A20)</f>
        <v>1</v>
      </c>
      <c r="G20" s="283">
        <f>COUNTIFS('Chemical Clearances'!$C$5:$C$169,$A20)</f>
        <v>1</v>
      </c>
      <c r="H20" s="284">
        <f>SUMIFS('Chemical Clearances'!$I$5:$I$169,'Chemical Clearances'!$C$5:$C$169,$A20)</f>
        <v>55400</v>
      </c>
      <c r="I20" s="285">
        <f>SUMIFS('Bills &amp; Invoices'!$J$5:$J$32,'Bills &amp; Invoices'!$C$5:$C$32,$A20)</f>
        <v>1800</v>
      </c>
      <c r="J20" s="285">
        <f>SUMIFS('Payments &amp; Receipts'!$F$5:$F$58,'Payments &amp; Receipts'!$B$5:$B$58,$A20)</f>
        <v>1800</v>
      </c>
      <c r="K20" s="26"/>
      <c r="L20" s="26"/>
      <c r="M20" s="26"/>
      <c r="N20" s="26"/>
      <c r="O20" s="26"/>
      <c r="P20" s="26"/>
      <c r="Q20" s="26"/>
      <c r="R20" s="26"/>
      <c r="S20" s="26"/>
      <c r="T20" s="26"/>
      <c r="U20" s="26"/>
      <c r="V20" s="26"/>
      <c r="W20" s="26"/>
      <c r="X20" s="26"/>
      <c r="Y20" s="26"/>
      <c r="Z20" s="26"/>
    </row>
    <row r="21" ht="14.25" customHeight="1">
      <c r="A21" s="282" t="s">
        <v>817</v>
      </c>
      <c r="B21" s="282" t="s">
        <v>818</v>
      </c>
      <c r="C21" s="282" t="s">
        <v>762</v>
      </c>
      <c r="D21" s="282"/>
      <c r="E21" s="282"/>
      <c r="F21" s="283">
        <f>COUNTIFS('Licences &amp; Certificates'!$B$5:$B$73,$A21)</f>
        <v>2</v>
      </c>
      <c r="G21" s="283">
        <f>COUNTIFS('Chemical Clearances'!$C$5:$C$169,$A21)</f>
        <v>0</v>
      </c>
      <c r="H21" s="284">
        <f>SUMIFS('Chemical Clearances'!$I$5:$I$169,'Chemical Clearances'!$C$5:$C$169,$A21)</f>
        <v>0</v>
      </c>
      <c r="I21" s="285">
        <f>SUMIFS('Bills &amp; Invoices'!$J$5:$J$32,'Bills &amp; Invoices'!$C$5:$C$32,$A21)</f>
        <v>3000</v>
      </c>
      <c r="J21" s="285">
        <f>SUMIFS('Payments &amp; Receipts'!$F$5:$F$58,'Payments &amp; Receipts'!$B$5:$B$58,$A21)</f>
        <v>0</v>
      </c>
      <c r="K21" s="26"/>
      <c r="L21" s="26"/>
      <c r="M21" s="26"/>
      <c r="N21" s="26"/>
      <c r="O21" s="26"/>
      <c r="P21" s="26"/>
      <c r="Q21" s="26"/>
      <c r="R21" s="26"/>
      <c r="S21" s="26"/>
      <c r="T21" s="26"/>
      <c r="U21" s="26"/>
      <c r="V21" s="26"/>
      <c r="W21" s="26"/>
      <c r="X21" s="26"/>
      <c r="Y21" s="26"/>
      <c r="Z21" s="26"/>
    </row>
    <row r="22" ht="14.25" customHeight="1">
      <c r="A22" s="282" t="s">
        <v>820</v>
      </c>
      <c r="B22" s="282" t="s">
        <v>821</v>
      </c>
      <c r="C22" s="282" t="s">
        <v>822</v>
      </c>
      <c r="D22" s="282" t="s">
        <v>823</v>
      </c>
      <c r="E22" s="282" t="s">
        <v>824</v>
      </c>
      <c r="F22" s="283">
        <f>COUNTIFS('Licences &amp; Certificates'!$B$5:$B$73,$A22)</f>
        <v>3</v>
      </c>
      <c r="G22" s="283">
        <f>COUNTIFS('Chemical Clearances'!$C$5:$C$169,$A22)</f>
        <v>2</v>
      </c>
      <c r="H22" s="284">
        <f>SUMIFS('Chemical Clearances'!$I$5:$I$169,'Chemical Clearances'!$C$5:$C$169,$A22)</f>
        <v>139080</v>
      </c>
      <c r="I22" s="285">
        <f>SUMIFS('Bills &amp; Invoices'!$J$5:$J$32,'Bills &amp; Invoices'!$C$5:$C$32,$A22)</f>
        <v>0</v>
      </c>
      <c r="J22" s="285">
        <f>SUMIFS('Payments &amp; Receipts'!$F$5:$F$58,'Payments &amp; Receipts'!$B$5:$B$58,$A22)</f>
        <v>0</v>
      </c>
      <c r="K22" s="26"/>
      <c r="L22" s="26"/>
      <c r="M22" s="26"/>
      <c r="N22" s="26"/>
      <c r="O22" s="26"/>
      <c r="P22" s="26"/>
      <c r="Q22" s="26"/>
      <c r="R22" s="26"/>
      <c r="S22" s="26"/>
      <c r="T22" s="26"/>
      <c r="U22" s="26"/>
      <c r="V22" s="26"/>
      <c r="W22" s="26"/>
      <c r="X22" s="26"/>
      <c r="Y22" s="26"/>
      <c r="Z22" s="26"/>
    </row>
    <row r="23" ht="14.25" customHeight="1">
      <c r="A23" s="282" t="s">
        <v>825</v>
      </c>
      <c r="B23" s="282" t="s">
        <v>826</v>
      </c>
      <c r="C23" s="282" t="s">
        <v>827</v>
      </c>
      <c r="D23" s="282" t="s">
        <v>828</v>
      </c>
      <c r="E23" s="282" t="s">
        <v>829</v>
      </c>
      <c r="F23" s="283">
        <f>COUNTIFS('Licences &amp; Certificates'!$B$5:$B$73,$A23)</f>
        <v>1</v>
      </c>
      <c r="G23" s="283">
        <f>COUNTIFS('Chemical Clearances'!$C$5:$C$169,$A23)</f>
        <v>0</v>
      </c>
      <c r="H23" s="284">
        <f>SUMIFS('Chemical Clearances'!$I$5:$I$169,'Chemical Clearances'!$C$5:$C$169,$A23)</f>
        <v>0</v>
      </c>
      <c r="I23" s="285">
        <f>SUMIFS('Bills &amp; Invoices'!$J$5:$J$32,'Bills &amp; Invoices'!$C$5:$C$32,$A23)</f>
        <v>0</v>
      </c>
      <c r="J23" s="285">
        <f>SUMIFS('Payments &amp; Receipts'!$F$5:$F$58,'Payments &amp; Receipts'!$B$5:$B$58,$A23)</f>
        <v>7050</v>
      </c>
      <c r="K23" s="26"/>
      <c r="L23" s="26"/>
      <c r="M23" s="26"/>
      <c r="N23" s="26"/>
      <c r="O23" s="26"/>
      <c r="P23" s="26"/>
      <c r="Q23" s="26"/>
      <c r="R23" s="26"/>
      <c r="S23" s="26"/>
      <c r="T23" s="26"/>
      <c r="U23" s="26"/>
      <c r="V23" s="26"/>
      <c r="W23" s="26"/>
      <c r="X23" s="26"/>
      <c r="Y23" s="26"/>
      <c r="Z23" s="26"/>
    </row>
    <row r="24" ht="14.25" customHeight="1">
      <c r="A24" s="282" t="s">
        <v>830</v>
      </c>
      <c r="B24" s="282" t="s">
        <v>831</v>
      </c>
      <c r="C24" s="282" t="s">
        <v>807</v>
      </c>
      <c r="D24" s="282" t="s">
        <v>770</v>
      </c>
      <c r="E24" s="282" t="s">
        <v>832</v>
      </c>
      <c r="F24" s="283">
        <f>COUNTIFS('Licences &amp; Certificates'!$B$5:$B$73,$A24)</f>
        <v>2</v>
      </c>
      <c r="G24" s="283">
        <f>COUNTIFS('Chemical Clearances'!$C$5:$C$169,$A24)</f>
        <v>0</v>
      </c>
      <c r="H24" s="284">
        <f>SUMIFS('Chemical Clearances'!$I$5:$I$169,'Chemical Clearances'!$C$5:$C$169,$A24)</f>
        <v>0</v>
      </c>
      <c r="I24" s="285">
        <f>SUMIFS('Bills &amp; Invoices'!$J$5:$J$32,'Bills &amp; Invoices'!$C$5:$C$32,$A24)</f>
        <v>0</v>
      </c>
      <c r="J24" s="285">
        <f>SUMIFS('Payments &amp; Receipts'!$F$5:$F$58,'Payments &amp; Receipts'!$B$5:$B$58,$A24)</f>
        <v>2500</v>
      </c>
      <c r="K24" s="26"/>
      <c r="L24" s="26"/>
      <c r="M24" s="26"/>
      <c r="N24" s="26"/>
      <c r="O24" s="26"/>
      <c r="P24" s="26"/>
      <c r="Q24" s="26"/>
      <c r="R24" s="26"/>
      <c r="S24" s="26"/>
      <c r="T24" s="26"/>
      <c r="U24" s="26"/>
      <c r="V24" s="26"/>
      <c r="W24" s="26"/>
      <c r="X24" s="26"/>
      <c r="Y24" s="26"/>
      <c r="Z24" s="26"/>
    </row>
    <row r="25" ht="14.25" customHeight="1">
      <c r="A25" s="282" t="s">
        <v>833</v>
      </c>
      <c r="B25" s="282" t="s">
        <v>834</v>
      </c>
      <c r="C25" s="282" t="s">
        <v>801</v>
      </c>
      <c r="D25" s="282" t="s">
        <v>835</v>
      </c>
      <c r="E25" s="282" t="s">
        <v>836</v>
      </c>
      <c r="F25" s="283">
        <f>COUNTIFS('Licences &amp; Certificates'!$B$5:$B$73,$A25)</f>
        <v>2</v>
      </c>
      <c r="G25" s="283">
        <f>COUNTIFS('Chemical Clearances'!$C$5:$C$169,$A25)</f>
        <v>0</v>
      </c>
      <c r="H25" s="284">
        <f>SUMIFS('Chemical Clearances'!$I$5:$I$169,'Chemical Clearances'!$C$5:$C$169,$A25)</f>
        <v>0</v>
      </c>
      <c r="I25" s="285">
        <f>SUMIFS('Bills &amp; Invoices'!$J$5:$J$32,'Bills &amp; Invoices'!$C$5:$C$32,$A25)</f>
        <v>0</v>
      </c>
      <c r="J25" s="285">
        <f>SUMIFS('Payments &amp; Receipts'!$F$5:$F$58,'Payments &amp; Receipts'!$B$5:$B$58,$A25)</f>
        <v>4550</v>
      </c>
      <c r="K25" s="26"/>
      <c r="L25" s="26"/>
      <c r="M25" s="26"/>
      <c r="N25" s="26"/>
      <c r="O25" s="26"/>
      <c r="P25" s="26"/>
      <c r="Q25" s="26"/>
      <c r="R25" s="26"/>
      <c r="S25" s="26"/>
      <c r="T25" s="26"/>
      <c r="U25" s="26"/>
      <c r="V25" s="26"/>
      <c r="W25" s="26"/>
      <c r="X25" s="26"/>
      <c r="Y25" s="26"/>
      <c r="Z25" s="26"/>
    </row>
    <row r="26" ht="14.25" customHeight="1">
      <c r="A26" s="282" t="s">
        <v>838</v>
      </c>
      <c r="B26" s="282" t="s">
        <v>839</v>
      </c>
      <c r="C26" s="282" t="s">
        <v>807</v>
      </c>
      <c r="D26" s="282"/>
      <c r="E26" s="282"/>
      <c r="F26" s="283">
        <f>COUNTIFS('Licences &amp; Certificates'!$B$5:$B$73,$A26)</f>
        <v>2</v>
      </c>
      <c r="G26" s="283">
        <f>COUNTIFS('Chemical Clearances'!$C$5:$C$169,$A26)</f>
        <v>0</v>
      </c>
      <c r="H26" s="284">
        <f>SUMIFS('Chemical Clearances'!$I$5:$I$169,'Chemical Clearances'!$C$5:$C$169,$A26)</f>
        <v>0</v>
      </c>
      <c r="I26" s="285">
        <f>SUMIFS('Bills &amp; Invoices'!$J$5:$J$32,'Bills &amp; Invoices'!$C$5:$C$32,$A26)</f>
        <v>0</v>
      </c>
      <c r="J26" s="285">
        <f>SUMIFS('Payments &amp; Receipts'!$F$5:$F$58,'Payments &amp; Receipts'!$B$5:$B$58,$A26)</f>
        <v>0</v>
      </c>
      <c r="K26" s="26"/>
      <c r="L26" s="26"/>
      <c r="M26" s="26"/>
      <c r="N26" s="26"/>
      <c r="O26" s="26"/>
      <c r="P26" s="26"/>
      <c r="Q26" s="26"/>
      <c r="R26" s="26"/>
      <c r="S26" s="26"/>
      <c r="T26" s="26"/>
      <c r="U26" s="26"/>
      <c r="V26" s="26"/>
      <c r="W26" s="26"/>
      <c r="X26" s="26"/>
      <c r="Y26" s="26"/>
      <c r="Z26" s="26"/>
    </row>
    <row r="27" ht="14.25" customHeight="1">
      <c r="A27" s="282" t="s">
        <v>840</v>
      </c>
      <c r="B27" s="282" t="s">
        <v>841</v>
      </c>
      <c r="C27" s="282" t="s">
        <v>842</v>
      </c>
      <c r="D27" s="282"/>
      <c r="E27" s="282" t="s">
        <v>843</v>
      </c>
      <c r="F27" s="283">
        <f>COUNTIFS('Licences &amp; Certificates'!$B$5:$B$73,$A27)</f>
        <v>2</v>
      </c>
      <c r="G27" s="283">
        <f>COUNTIFS('Chemical Clearances'!$C$5:$C$169,$A27)</f>
        <v>0</v>
      </c>
      <c r="H27" s="284">
        <f>SUMIFS('Chemical Clearances'!$I$5:$I$169,'Chemical Clearances'!$C$5:$C$169,$A27)</f>
        <v>0</v>
      </c>
      <c r="I27" s="285">
        <f>SUMIFS('Bills &amp; Invoices'!$J$5:$J$32,'Bills &amp; Invoices'!$C$5:$C$32,$A27)</f>
        <v>0</v>
      </c>
      <c r="J27" s="285">
        <f>SUMIFS('Payments &amp; Receipts'!$F$5:$F$58,'Payments &amp; Receipts'!$B$5:$B$58,$A27)</f>
        <v>8550</v>
      </c>
      <c r="K27" s="26"/>
      <c r="L27" s="26"/>
      <c r="M27" s="26"/>
      <c r="N27" s="26"/>
      <c r="O27" s="26"/>
      <c r="P27" s="26"/>
      <c r="Q27" s="26"/>
      <c r="R27" s="26"/>
      <c r="S27" s="26"/>
      <c r="T27" s="26"/>
      <c r="U27" s="26"/>
      <c r="V27" s="26"/>
      <c r="W27" s="26"/>
      <c r="X27" s="26"/>
      <c r="Y27" s="26"/>
      <c r="Z27" s="26"/>
    </row>
    <row r="28" ht="14.25" customHeight="1">
      <c r="A28" s="282" t="s">
        <v>844</v>
      </c>
      <c r="B28" s="282" t="s">
        <v>845</v>
      </c>
      <c r="C28" s="282" t="s">
        <v>846</v>
      </c>
      <c r="D28" s="282"/>
      <c r="E28" s="282" t="s">
        <v>847</v>
      </c>
      <c r="F28" s="283">
        <f>COUNTIFS('Licences &amp; Certificates'!$B$5:$B$73,$A28)</f>
        <v>2</v>
      </c>
      <c r="G28" s="283">
        <f>COUNTIFS('Chemical Clearances'!$C$5:$C$169,$A28)</f>
        <v>0</v>
      </c>
      <c r="H28" s="284">
        <f>SUMIFS('Chemical Clearances'!$I$5:$I$169,'Chemical Clearances'!$C$5:$C$169,$A28)</f>
        <v>0</v>
      </c>
      <c r="I28" s="285">
        <f>SUMIFS('Bills &amp; Invoices'!$J$5:$J$32,'Bills &amp; Invoices'!$C$5:$C$32,$A28)</f>
        <v>0</v>
      </c>
      <c r="J28" s="285">
        <f>SUMIFS('Payments &amp; Receipts'!$F$5:$F$58,'Payments &amp; Receipts'!$B$5:$B$58,$A28)</f>
        <v>2775</v>
      </c>
      <c r="K28" s="26"/>
      <c r="L28" s="26"/>
      <c r="M28" s="26"/>
      <c r="N28" s="26"/>
      <c r="O28" s="26"/>
      <c r="P28" s="26"/>
      <c r="Q28" s="26"/>
      <c r="R28" s="26"/>
      <c r="S28" s="26"/>
      <c r="T28" s="26"/>
      <c r="U28" s="26"/>
      <c r="V28" s="26"/>
      <c r="W28" s="26"/>
      <c r="X28" s="26"/>
      <c r="Y28" s="26"/>
      <c r="Z28" s="26"/>
    </row>
    <row r="29" ht="14.25" customHeight="1">
      <c r="A29" s="282" t="s">
        <v>849</v>
      </c>
      <c r="B29" s="282" t="s">
        <v>850</v>
      </c>
      <c r="C29" s="282"/>
      <c r="D29" s="282"/>
      <c r="E29" s="282"/>
      <c r="F29" s="283">
        <f>COUNTIFS('Licences &amp; Certificates'!$B$5:$B$73,$A29)</f>
        <v>1</v>
      </c>
      <c r="G29" s="283">
        <f>COUNTIFS('Chemical Clearances'!$C$5:$C$169,$A29)</f>
        <v>0</v>
      </c>
      <c r="H29" s="284">
        <f>SUMIFS('Chemical Clearances'!$I$5:$I$169,'Chemical Clearances'!$C$5:$C$169,$A29)</f>
        <v>0</v>
      </c>
      <c r="I29" s="285">
        <f>SUMIFS('Bills &amp; Invoices'!$J$5:$J$32,'Bills &amp; Invoices'!$C$5:$C$32,$A29)</f>
        <v>0</v>
      </c>
      <c r="J29" s="285">
        <f>SUMIFS('Payments &amp; Receipts'!$F$5:$F$58,'Payments &amp; Receipts'!$B$5:$B$58,$A29)</f>
        <v>1500</v>
      </c>
      <c r="K29" s="26"/>
      <c r="L29" s="26"/>
      <c r="M29" s="26"/>
      <c r="N29" s="26"/>
      <c r="O29" s="26"/>
      <c r="P29" s="26"/>
      <c r="Q29" s="26"/>
      <c r="R29" s="26"/>
      <c r="S29" s="26"/>
      <c r="T29" s="26"/>
      <c r="U29" s="26"/>
      <c r="V29" s="26"/>
      <c r="W29" s="26"/>
      <c r="X29" s="26"/>
      <c r="Y29" s="26"/>
      <c r="Z29" s="26"/>
    </row>
    <row r="30" ht="14.25" customHeight="1">
      <c r="A30" s="282" t="s">
        <v>851</v>
      </c>
      <c r="B30" s="282" t="s">
        <v>852</v>
      </c>
      <c r="C30" s="282" t="s">
        <v>853</v>
      </c>
      <c r="D30" s="282" t="s">
        <v>854</v>
      </c>
      <c r="E30" s="282" t="s">
        <v>855</v>
      </c>
      <c r="F30" s="283">
        <f>COUNTIFS('Licences &amp; Certificates'!$B$5:$B$73,$A30)</f>
        <v>1</v>
      </c>
      <c r="G30" s="283">
        <f>COUNTIFS('Chemical Clearances'!$C$5:$C$169,$A30)</f>
        <v>1</v>
      </c>
      <c r="H30" s="284">
        <f>SUMIFS('Chemical Clearances'!$I$5:$I$169,'Chemical Clearances'!$C$5:$C$169,$A30)</f>
        <v>64800</v>
      </c>
      <c r="I30" s="285">
        <f>SUMIFS('Bills &amp; Invoices'!$J$5:$J$32,'Bills &amp; Invoices'!$C$5:$C$32,$A30)</f>
        <v>1950</v>
      </c>
      <c r="J30" s="285">
        <f>SUMIFS('Payments &amp; Receipts'!$F$5:$F$58,'Payments &amp; Receipts'!$B$5:$B$58,$A30)</f>
        <v>1950</v>
      </c>
      <c r="K30" s="26"/>
      <c r="L30" s="26"/>
      <c r="M30" s="26"/>
      <c r="N30" s="26"/>
      <c r="O30" s="26"/>
      <c r="P30" s="26"/>
      <c r="Q30" s="26"/>
      <c r="R30" s="26"/>
      <c r="S30" s="26"/>
      <c r="T30" s="26"/>
      <c r="U30" s="26"/>
      <c r="V30" s="26"/>
      <c r="W30" s="26"/>
      <c r="X30" s="26"/>
      <c r="Y30" s="26"/>
      <c r="Z30" s="26"/>
    </row>
    <row r="31" ht="14.25" customHeight="1">
      <c r="A31" s="282" t="s">
        <v>857</v>
      </c>
      <c r="B31" s="282" t="s">
        <v>858</v>
      </c>
      <c r="C31" s="282" t="s">
        <v>822</v>
      </c>
      <c r="D31" s="282" t="s">
        <v>786</v>
      </c>
      <c r="E31" s="282"/>
      <c r="F31" s="283">
        <f>COUNTIFS('Licences &amp; Certificates'!$B$5:$B$73,$A31)</f>
        <v>2</v>
      </c>
      <c r="G31" s="283">
        <f>COUNTIFS('Chemical Clearances'!$C$5:$C$169,$A31)</f>
        <v>1</v>
      </c>
      <c r="H31" s="284">
        <f>SUMIFS('Chemical Clearances'!$I$5:$I$169,'Chemical Clearances'!$C$5:$C$169,$A31)</f>
        <v>43840</v>
      </c>
      <c r="I31" s="285">
        <f>SUMIFS('Bills &amp; Invoices'!$J$5:$J$32,'Bills &amp; Invoices'!$C$5:$C$32,$A31)</f>
        <v>0</v>
      </c>
      <c r="J31" s="285">
        <f>SUMIFS('Payments &amp; Receipts'!$F$5:$F$58,'Payments &amp; Receipts'!$B$5:$B$58,$A31)</f>
        <v>0</v>
      </c>
      <c r="K31" s="26"/>
      <c r="L31" s="26"/>
      <c r="M31" s="26"/>
      <c r="N31" s="26"/>
      <c r="O31" s="26"/>
      <c r="P31" s="26"/>
      <c r="Q31" s="26"/>
      <c r="R31" s="26"/>
      <c r="S31" s="26"/>
      <c r="T31" s="26"/>
      <c r="U31" s="26"/>
      <c r="V31" s="26"/>
      <c r="W31" s="26"/>
      <c r="X31" s="26"/>
      <c r="Y31" s="26"/>
      <c r="Z31" s="26"/>
    </row>
    <row r="32" ht="14.25" customHeight="1">
      <c r="A32" s="282" t="s">
        <v>859</v>
      </c>
      <c r="B32" s="282" t="s">
        <v>860</v>
      </c>
      <c r="C32" s="282" t="s">
        <v>348</v>
      </c>
      <c r="D32" s="282" t="s">
        <v>861</v>
      </c>
      <c r="E32" s="282" t="s">
        <v>862</v>
      </c>
      <c r="F32" s="283">
        <f>COUNTIFS('Licences &amp; Certificates'!$B$5:$B$73,$A32)</f>
        <v>1</v>
      </c>
      <c r="G32" s="283">
        <f>COUNTIFS('Chemical Clearances'!$C$5:$C$169,$A32)</f>
        <v>0</v>
      </c>
      <c r="H32" s="284">
        <f>SUMIFS('Chemical Clearances'!$I$5:$I$169,'Chemical Clearances'!$C$5:$C$169,$A32)</f>
        <v>0</v>
      </c>
      <c r="I32" s="285">
        <f>SUMIFS('Bills &amp; Invoices'!$J$5:$J$32,'Bills &amp; Invoices'!$C$5:$C$32,$A32)</f>
        <v>275</v>
      </c>
      <c r="J32" s="285">
        <f>SUMIFS('Payments &amp; Receipts'!$F$5:$F$58,'Payments &amp; Receipts'!$B$5:$B$58,$A32)</f>
        <v>275</v>
      </c>
      <c r="K32" s="26"/>
      <c r="L32" s="26"/>
      <c r="M32" s="26"/>
      <c r="N32" s="26"/>
      <c r="O32" s="26"/>
      <c r="P32" s="26"/>
      <c r="Q32" s="26"/>
      <c r="R32" s="26"/>
      <c r="S32" s="26"/>
      <c r="T32" s="26"/>
      <c r="U32" s="26"/>
      <c r="V32" s="26"/>
      <c r="W32" s="26"/>
      <c r="X32" s="26"/>
      <c r="Y32" s="26"/>
      <c r="Z32" s="26"/>
    </row>
    <row r="33" ht="14.25" customHeight="1">
      <c r="A33" s="282" t="s">
        <v>863</v>
      </c>
      <c r="B33" s="282" t="s">
        <v>864</v>
      </c>
      <c r="C33" s="282" t="s">
        <v>348</v>
      </c>
      <c r="D33" s="282" t="s">
        <v>786</v>
      </c>
      <c r="E33" s="282" t="s">
        <v>865</v>
      </c>
      <c r="F33" s="283">
        <f>COUNTIFS('Licences &amp; Certificates'!$B$5:$B$73,$A33)</f>
        <v>2</v>
      </c>
      <c r="G33" s="283">
        <f>COUNTIFS('Chemical Clearances'!$C$5:$C$169,$A33)</f>
        <v>0</v>
      </c>
      <c r="H33" s="284">
        <f>SUMIFS('Chemical Clearances'!$I$5:$I$169,'Chemical Clearances'!$C$5:$C$169,$A33)</f>
        <v>0</v>
      </c>
      <c r="I33" s="285">
        <f>SUMIFS('Bills &amp; Invoices'!$J$5:$J$32,'Bills &amp; Invoices'!$C$5:$C$32,$A33)</f>
        <v>275</v>
      </c>
      <c r="J33" s="285">
        <f>SUMIFS('Payments &amp; Receipts'!$F$5:$F$58,'Payments &amp; Receipts'!$B$5:$B$58,$A33)</f>
        <v>275</v>
      </c>
      <c r="K33" s="26"/>
      <c r="L33" s="26"/>
      <c r="M33" s="26"/>
      <c r="N33" s="26"/>
      <c r="O33" s="26"/>
      <c r="P33" s="26"/>
      <c r="Q33" s="26"/>
      <c r="R33" s="26"/>
      <c r="S33" s="26"/>
      <c r="T33" s="26"/>
      <c r="U33" s="26"/>
      <c r="V33" s="26"/>
      <c r="W33" s="26"/>
      <c r="X33" s="26"/>
      <c r="Y33" s="26"/>
      <c r="Z33" s="26"/>
    </row>
    <row r="34" ht="14.25" customHeight="1">
      <c r="A34" s="282" t="s">
        <v>867</v>
      </c>
      <c r="B34" s="282" t="s">
        <v>868</v>
      </c>
      <c r="C34" s="282" t="s">
        <v>869</v>
      </c>
      <c r="D34" s="282" t="s">
        <v>870</v>
      </c>
      <c r="E34" s="282" t="s">
        <v>871</v>
      </c>
      <c r="F34" s="283">
        <f>COUNTIFS('Licences &amp; Certificates'!$B$5:$B$73,$A34)</f>
        <v>2</v>
      </c>
      <c r="G34" s="283">
        <f>COUNTIFS('Chemical Clearances'!$C$5:$C$169,$A34)</f>
        <v>0</v>
      </c>
      <c r="H34" s="284">
        <f>SUMIFS('Chemical Clearances'!$I$5:$I$169,'Chemical Clearances'!$C$5:$C$169,$A34)</f>
        <v>0</v>
      </c>
      <c r="I34" s="285">
        <f>SUMIFS('Bills &amp; Invoices'!$J$5:$J$32,'Bills &amp; Invoices'!$C$5:$C$32,$A34)</f>
        <v>0</v>
      </c>
      <c r="J34" s="285">
        <f>SUMIFS('Payments &amp; Receipts'!$F$5:$F$58,'Payments &amp; Receipts'!$B$5:$B$58,$A34)</f>
        <v>750</v>
      </c>
      <c r="K34" s="26"/>
      <c r="L34" s="26"/>
      <c r="M34" s="26"/>
      <c r="N34" s="26"/>
      <c r="O34" s="26"/>
      <c r="P34" s="26"/>
      <c r="Q34" s="26"/>
      <c r="R34" s="26"/>
      <c r="S34" s="26"/>
      <c r="T34" s="26"/>
      <c r="U34" s="26"/>
      <c r="V34" s="26"/>
      <c r="W34" s="26"/>
      <c r="X34" s="26"/>
      <c r="Y34" s="26"/>
      <c r="Z34" s="26"/>
    </row>
    <row r="35" ht="14.25" customHeight="1">
      <c r="A35" s="282" t="s">
        <v>872</v>
      </c>
      <c r="B35" s="282" t="s">
        <v>873</v>
      </c>
      <c r="C35" s="282" t="s">
        <v>869</v>
      </c>
      <c r="D35" s="282" t="s">
        <v>874</v>
      </c>
      <c r="E35" s="282" t="s">
        <v>875</v>
      </c>
      <c r="F35" s="283">
        <f>COUNTIFS('Licences &amp; Certificates'!$B$5:$B$73,$A35)</f>
        <v>1</v>
      </c>
      <c r="G35" s="283">
        <f>COUNTIFS('Chemical Clearances'!$C$5:$C$169,$A35)</f>
        <v>0</v>
      </c>
      <c r="H35" s="284">
        <f>SUMIFS('Chemical Clearances'!$I$5:$I$169,'Chemical Clearances'!$C$5:$C$169,$A35)</f>
        <v>0</v>
      </c>
      <c r="I35" s="285">
        <f>SUMIFS('Bills &amp; Invoices'!$J$5:$J$32,'Bills &amp; Invoices'!$C$5:$C$32,$A35)</f>
        <v>2400</v>
      </c>
      <c r="J35" s="285">
        <f>SUMIFS('Payments &amp; Receipts'!$F$5:$F$58,'Payments &amp; Receipts'!$B$5:$B$58,$A35)</f>
        <v>2400</v>
      </c>
      <c r="K35" s="26"/>
      <c r="L35" s="26"/>
      <c r="M35" s="26"/>
      <c r="N35" s="26"/>
      <c r="O35" s="26"/>
      <c r="P35" s="26"/>
      <c r="Q35" s="26"/>
      <c r="R35" s="26"/>
      <c r="S35" s="26"/>
      <c r="T35" s="26"/>
      <c r="U35" s="26"/>
      <c r="V35" s="26"/>
      <c r="W35" s="26"/>
      <c r="X35" s="26"/>
      <c r="Y35" s="26"/>
      <c r="Z35" s="26"/>
    </row>
    <row r="36" ht="14.25" customHeight="1">
      <c r="A36" s="282" t="s">
        <v>876</v>
      </c>
      <c r="B36" s="282" t="s">
        <v>877</v>
      </c>
      <c r="C36" s="282" t="s">
        <v>869</v>
      </c>
      <c r="D36" s="282" t="s">
        <v>878</v>
      </c>
      <c r="E36" s="282"/>
      <c r="F36" s="283">
        <f>COUNTIFS('Licences &amp; Certificates'!$B$5:$B$73,$A36)</f>
        <v>1</v>
      </c>
      <c r="G36" s="283">
        <f>COUNTIFS('Chemical Clearances'!$C$5:$C$169,$A36)</f>
        <v>0</v>
      </c>
      <c r="H36" s="284">
        <f>SUMIFS('Chemical Clearances'!$I$5:$I$169,'Chemical Clearances'!$C$5:$C$169,$A36)</f>
        <v>0</v>
      </c>
      <c r="I36" s="285">
        <f>SUMIFS('Bills &amp; Invoices'!$J$5:$J$32,'Bills &amp; Invoices'!$C$5:$C$32,$A36)</f>
        <v>0</v>
      </c>
      <c r="J36" s="285">
        <f>SUMIFS('Payments &amp; Receipts'!$F$5:$F$58,'Payments &amp; Receipts'!$B$5:$B$58,$A36)</f>
        <v>0</v>
      </c>
      <c r="K36" s="26"/>
      <c r="L36" s="26"/>
      <c r="M36" s="26"/>
      <c r="N36" s="26"/>
      <c r="O36" s="26"/>
      <c r="P36" s="26"/>
      <c r="Q36" s="26"/>
      <c r="R36" s="26"/>
      <c r="S36" s="26"/>
      <c r="T36" s="26"/>
      <c r="U36" s="26"/>
      <c r="V36" s="26"/>
      <c r="W36" s="26"/>
      <c r="X36" s="26"/>
      <c r="Y36" s="26"/>
      <c r="Z36" s="26"/>
    </row>
    <row r="37" ht="14.25" customHeight="1">
      <c r="A37" s="282" t="s">
        <v>879</v>
      </c>
      <c r="B37" s="282" t="s">
        <v>880</v>
      </c>
      <c r="C37" s="282" t="s">
        <v>757</v>
      </c>
      <c r="D37" s="282" t="s">
        <v>881</v>
      </c>
      <c r="E37" s="282" t="s">
        <v>882</v>
      </c>
      <c r="F37" s="283">
        <f>COUNTIFS('Licences &amp; Certificates'!$B$5:$B$73,$A37)</f>
        <v>0</v>
      </c>
      <c r="G37" s="283">
        <f>COUNTIFS('Chemical Clearances'!$C$5:$C$169,$A37)</f>
        <v>0</v>
      </c>
      <c r="H37" s="284">
        <f>SUMIFS('Chemical Clearances'!$I$5:$I$169,'Chemical Clearances'!$C$5:$C$169,$A37)</f>
        <v>0</v>
      </c>
      <c r="I37" s="285">
        <f>SUMIFS('Bills &amp; Invoices'!$J$5:$J$32,'Bills &amp; Invoices'!$C$5:$C$32,$A37)</f>
        <v>0</v>
      </c>
      <c r="J37" s="285">
        <f>SUMIFS('Payments &amp; Receipts'!$F$5:$F$58,'Payments &amp; Receipts'!$B$5:$B$58,$A37)</f>
        <v>1500</v>
      </c>
      <c r="K37" s="26"/>
      <c r="L37" s="26"/>
      <c r="M37" s="26"/>
      <c r="N37" s="26"/>
      <c r="O37" s="26"/>
      <c r="P37" s="26"/>
      <c r="Q37" s="26"/>
      <c r="R37" s="26"/>
      <c r="S37" s="26"/>
      <c r="T37" s="26"/>
      <c r="U37" s="26"/>
      <c r="V37" s="26"/>
      <c r="W37" s="26"/>
      <c r="X37" s="26"/>
      <c r="Y37" s="26"/>
      <c r="Z37" s="26"/>
    </row>
    <row r="38" ht="14.25" customHeight="1">
      <c r="A38" s="282" t="s">
        <v>883</v>
      </c>
      <c r="B38" s="282" t="s">
        <v>884</v>
      </c>
      <c r="C38" s="282" t="s">
        <v>348</v>
      </c>
      <c r="D38" s="282" t="s">
        <v>885</v>
      </c>
      <c r="E38" s="282" t="s">
        <v>886</v>
      </c>
      <c r="F38" s="283">
        <f>COUNTIFS('Licences &amp; Certificates'!$B$5:$B$73,$A38)</f>
        <v>0</v>
      </c>
      <c r="G38" s="283">
        <f>COUNTIFS('Chemical Clearances'!$C$5:$C$169,$A38)</f>
        <v>0</v>
      </c>
      <c r="H38" s="284">
        <f>SUMIFS('Chemical Clearances'!$I$5:$I$169,'Chemical Clearances'!$C$5:$C$169,$A38)</f>
        <v>0</v>
      </c>
      <c r="I38" s="285">
        <f>SUMIFS('Bills &amp; Invoices'!$J$5:$J$32,'Bills &amp; Invoices'!$C$5:$C$32,$A38)</f>
        <v>275</v>
      </c>
      <c r="J38" s="285">
        <f>SUMIFS('Payments &amp; Receipts'!$F$5:$F$58,'Payments &amp; Receipts'!$B$5:$B$58,$A38)</f>
        <v>0</v>
      </c>
      <c r="K38" s="26"/>
      <c r="L38" s="26"/>
      <c r="M38" s="26"/>
      <c r="N38" s="26"/>
      <c r="O38" s="26"/>
      <c r="P38" s="26"/>
      <c r="Q38" s="26"/>
      <c r="R38" s="26"/>
      <c r="S38" s="26"/>
      <c r="T38" s="26"/>
      <c r="U38" s="26"/>
      <c r="V38" s="26"/>
      <c r="W38" s="26"/>
      <c r="X38" s="26"/>
      <c r="Y38" s="26"/>
      <c r="Z38" s="26"/>
    </row>
    <row r="39" ht="14.25" customHeight="1">
      <c r="A39" s="282" t="s">
        <v>887</v>
      </c>
      <c r="B39" s="282" t="s">
        <v>888</v>
      </c>
      <c r="C39" s="282" t="s">
        <v>889</v>
      </c>
      <c r="D39" s="282" t="s">
        <v>890</v>
      </c>
      <c r="E39" s="282"/>
      <c r="F39" s="283">
        <f>COUNTIFS('Licences &amp; Certificates'!$B$5:$B$73,$A39)</f>
        <v>0</v>
      </c>
      <c r="G39" s="283">
        <f>COUNTIFS('Chemical Clearances'!$C$5:$C$169,$A39)</f>
        <v>0</v>
      </c>
      <c r="H39" s="284">
        <f>SUMIFS('Chemical Clearances'!$I$5:$I$169,'Chemical Clearances'!$C$5:$C$169,$A39)</f>
        <v>0</v>
      </c>
      <c r="I39" s="285">
        <f>SUMIFS('Bills &amp; Invoices'!$J$5:$J$32,'Bills &amp; Invoices'!$C$5:$C$32,$A39)</f>
        <v>0</v>
      </c>
      <c r="J39" s="285">
        <f>SUMIFS('Payments &amp; Receipts'!$F$5:$F$58,'Payments &amp; Receipts'!$B$5:$B$58,$A39)</f>
        <v>0</v>
      </c>
      <c r="K39" s="26"/>
      <c r="L39" s="26"/>
      <c r="M39" s="26"/>
      <c r="N39" s="26"/>
      <c r="O39" s="26"/>
      <c r="P39" s="26"/>
      <c r="Q39" s="26"/>
      <c r="R39" s="26"/>
      <c r="S39" s="26"/>
      <c r="T39" s="26"/>
      <c r="U39" s="26"/>
      <c r="V39" s="26"/>
      <c r="W39" s="26"/>
      <c r="X39" s="26"/>
      <c r="Y39" s="26"/>
      <c r="Z39" s="26"/>
    </row>
    <row r="40" ht="14.25" customHeight="1">
      <c r="A40" s="282" t="s">
        <v>891</v>
      </c>
      <c r="B40" s="282" t="s">
        <v>892</v>
      </c>
      <c r="C40" s="282" t="s">
        <v>869</v>
      </c>
      <c r="D40" s="282" t="s">
        <v>893</v>
      </c>
      <c r="E40" s="282" t="s">
        <v>894</v>
      </c>
      <c r="F40" s="283">
        <f>COUNTIFS('Licences &amp; Certificates'!$B$5:$B$73,$A40)</f>
        <v>1</v>
      </c>
      <c r="G40" s="283">
        <f>COUNTIFS('Chemical Clearances'!$C$5:$C$169,$A40)</f>
        <v>0</v>
      </c>
      <c r="H40" s="284">
        <f>SUMIFS('Chemical Clearances'!$I$5:$I$169,'Chemical Clearances'!$C$5:$C$169,$A40)</f>
        <v>0</v>
      </c>
      <c r="I40" s="285">
        <f>SUMIFS('Bills &amp; Invoices'!$J$5:$J$32,'Bills &amp; Invoices'!$C$5:$C$32,$A40)</f>
        <v>0</v>
      </c>
      <c r="J40" s="285">
        <f>SUMIFS('Payments &amp; Receipts'!$F$5:$F$58,'Payments &amp; Receipts'!$B$5:$B$58,$A40)</f>
        <v>2000</v>
      </c>
      <c r="K40" s="26"/>
      <c r="L40" s="26"/>
      <c r="M40" s="26"/>
      <c r="N40" s="26"/>
      <c r="O40" s="26"/>
      <c r="P40" s="26"/>
      <c r="Q40" s="26"/>
      <c r="R40" s="26"/>
      <c r="S40" s="26"/>
      <c r="T40" s="26"/>
      <c r="U40" s="26"/>
      <c r="V40" s="26"/>
      <c r="W40" s="26"/>
      <c r="X40" s="26"/>
      <c r="Y40" s="26"/>
      <c r="Z40" s="26"/>
    </row>
    <row r="41" ht="14.25" customHeight="1">
      <c r="A41" s="282" t="s">
        <v>895</v>
      </c>
      <c r="B41" s="282" t="s">
        <v>896</v>
      </c>
      <c r="C41" s="282" t="s">
        <v>897</v>
      </c>
      <c r="D41" s="282"/>
      <c r="E41" s="282"/>
      <c r="F41" s="283">
        <f>COUNTIFS('Licences &amp; Certificates'!$B$5:$B$73,$A41)</f>
        <v>0</v>
      </c>
      <c r="G41" s="283">
        <f>COUNTIFS('Chemical Clearances'!$C$5:$C$169,$A41)</f>
        <v>0</v>
      </c>
      <c r="H41" s="284">
        <f>SUMIFS('Chemical Clearances'!$I$5:$I$169,'Chemical Clearances'!$C$5:$C$169,$A41)</f>
        <v>0</v>
      </c>
      <c r="I41" s="285">
        <f>SUMIFS('Bills &amp; Invoices'!$J$5:$J$32,'Bills &amp; Invoices'!$C$5:$C$32,$A41)</f>
        <v>0</v>
      </c>
      <c r="J41" s="285">
        <f>SUMIFS('Payments &amp; Receipts'!$F$5:$F$58,'Payments &amp; Receipts'!$B$5:$B$58,$A41)</f>
        <v>4550</v>
      </c>
      <c r="K41" s="26"/>
      <c r="L41" s="26"/>
      <c r="M41" s="26"/>
      <c r="N41" s="26"/>
      <c r="O41" s="26"/>
      <c r="P41" s="26"/>
      <c r="Q41" s="26"/>
      <c r="R41" s="26"/>
      <c r="S41" s="26"/>
      <c r="T41" s="26"/>
      <c r="U41" s="26"/>
      <c r="V41" s="26"/>
      <c r="W41" s="26"/>
      <c r="X41" s="26"/>
      <c r="Y41" s="26"/>
      <c r="Z41" s="26"/>
    </row>
    <row r="42" ht="14.25" customHeight="1">
      <c r="A42" s="282" t="s">
        <v>898</v>
      </c>
      <c r="B42" s="282" t="s">
        <v>899</v>
      </c>
      <c r="C42" s="282" t="s">
        <v>900</v>
      </c>
      <c r="D42" s="282"/>
      <c r="E42" s="282" t="s">
        <v>901</v>
      </c>
      <c r="F42" s="283">
        <f>COUNTIFS('Licences &amp; Certificates'!$B$5:$B$73,$A42)</f>
        <v>0</v>
      </c>
      <c r="G42" s="283">
        <f>COUNTIFS('Chemical Clearances'!$C$5:$C$169,$A42)</f>
        <v>0</v>
      </c>
      <c r="H42" s="284">
        <f>SUMIFS('Chemical Clearances'!$I$5:$I$169,'Chemical Clearances'!$C$5:$C$169,$A42)</f>
        <v>0</v>
      </c>
      <c r="I42" s="285">
        <f>SUMIFS('Bills &amp; Invoices'!$J$5:$J$32,'Bills &amp; Invoices'!$C$5:$C$32,$A42)</f>
        <v>0</v>
      </c>
      <c r="J42" s="285">
        <f>SUMIFS('Payments &amp; Receipts'!$F$5:$F$58,'Payments &amp; Receipts'!$B$5:$B$58,$A42)</f>
        <v>1500</v>
      </c>
      <c r="K42" s="26"/>
      <c r="L42" s="26"/>
      <c r="M42" s="26"/>
      <c r="N42" s="26"/>
      <c r="O42" s="26"/>
      <c r="P42" s="26"/>
      <c r="Q42" s="26"/>
      <c r="R42" s="26"/>
      <c r="S42" s="26"/>
      <c r="T42" s="26"/>
      <c r="U42" s="26"/>
      <c r="V42" s="26"/>
      <c r="W42" s="26"/>
      <c r="X42" s="26"/>
      <c r="Y42" s="26"/>
      <c r="Z42" s="26"/>
    </row>
    <row r="43" ht="14.25" customHeight="1">
      <c r="A43" s="282" t="s">
        <v>902</v>
      </c>
      <c r="B43" s="282" t="s">
        <v>903</v>
      </c>
      <c r="C43" s="282" t="s">
        <v>904</v>
      </c>
      <c r="D43" s="282"/>
      <c r="E43" s="282" t="s">
        <v>905</v>
      </c>
      <c r="F43" s="283">
        <f>COUNTIFS('Licences &amp; Certificates'!$B$5:$B$73,$A43)</f>
        <v>0</v>
      </c>
      <c r="G43" s="283">
        <f>COUNTIFS('Chemical Clearances'!$C$5:$C$169,$A43)</f>
        <v>0</v>
      </c>
      <c r="H43" s="284">
        <f>SUMIFS('Chemical Clearances'!$I$5:$I$169,'Chemical Clearances'!$C$5:$C$169,$A43)</f>
        <v>0</v>
      </c>
      <c r="I43" s="285">
        <f>SUMIFS('Bills &amp; Invoices'!$J$5:$J$32,'Bills &amp; Invoices'!$C$5:$C$32,$A43)</f>
        <v>0</v>
      </c>
      <c r="J43" s="285">
        <f>SUMIFS('Payments &amp; Receipts'!$F$5:$F$58,'Payments &amp; Receipts'!$B$5:$B$58,$A43)</f>
        <v>1500</v>
      </c>
      <c r="K43" s="26"/>
      <c r="L43" s="26"/>
      <c r="M43" s="26"/>
      <c r="N43" s="26"/>
      <c r="O43" s="26"/>
      <c r="P43" s="26"/>
      <c r="Q43" s="26"/>
      <c r="R43" s="26"/>
      <c r="S43" s="26"/>
      <c r="T43" s="26"/>
      <c r="U43" s="26"/>
      <c r="V43" s="26"/>
      <c r="W43" s="26"/>
      <c r="X43" s="26"/>
      <c r="Y43" s="26"/>
      <c r="Z43" s="26"/>
    </row>
    <row r="44" ht="14.25" customHeight="1">
      <c r="A44" s="282" t="s">
        <v>906</v>
      </c>
      <c r="B44" s="282" t="s">
        <v>907</v>
      </c>
      <c r="C44" s="282" t="s">
        <v>807</v>
      </c>
      <c r="D44" s="282" t="s">
        <v>908</v>
      </c>
      <c r="E44" s="282" t="s">
        <v>909</v>
      </c>
      <c r="F44" s="283">
        <f>COUNTIFS('Licences &amp; Certificates'!$B$5:$B$73,$A44)</f>
        <v>1</v>
      </c>
      <c r="G44" s="283">
        <f>COUNTIFS('Chemical Clearances'!$C$5:$C$169,$A44)</f>
        <v>0</v>
      </c>
      <c r="H44" s="284">
        <f>SUMIFS('Chemical Clearances'!$I$5:$I$169,'Chemical Clearances'!$C$5:$C$169,$A44)</f>
        <v>0</v>
      </c>
      <c r="I44" s="285">
        <f>SUMIFS('Bills &amp; Invoices'!$J$5:$J$32,'Bills &amp; Invoices'!$C$5:$C$32,$A44)</f>
        <v>500</v>
      </c>
      <c r="J44" s="285">
        <f>SUMIFS('Payments &amp; Receipts'!$F$5:$F$58,'Payments &amp; Receipts'!$B$5:$B$58,$A44)</f>
        <v>500</v>
      </c>
      <c r="K44" s="26"/>
      <c r="L44" s="26"/>
      <c r="M44" s="26"/>
      <c r="N44" s="26"/>
      <c r="O44" s="26"/>
      <c r="P44" s="26"/>
      <c r="Q44" s="26"/>
      <c r="R44" s="26"/>
      <c r="S44" s="26"/>
      <c r="T44" s="26"/>
      <c r="U44" s="26"/>
      <c r="V44" s="26"/>
      <c r="W44" s="26"/>
      <c r="X44" s="26"/>
      <c r="Y44" s="26"/>
      <c r="Z44" s="26"/>
    </row>
    <row r="45" ht="14.25" customHeight="1">
      <c r="A45" s="282" t="s">
        <v>912</v>
      </c>
      <c r="B45" s="282" t="s">
        <v>913</v>
      </c>
      <c r="C45" s="282" t="s">
        <v>842</v>
      </c>
      <c r="D45" s="282"/>
      <c r="E45" s="282" t="s">
        <v>914</v>
      </c>
      <c r="F45" s="283">
        <f>COUNTIFS('Licences &amp; Certificates'!$B$5:$B$73,$A45)</f>
        <v>0</v>
      </c>
      <c r="G45" s="283">
        <f>COUNTIFS('Chemical Clearances'!$C$5:$C$169,$A45)</f>
        <v>0</v>
      </c>
      <c r="H45" s="284">
        <f>SUMIFS('Chemical Clearances'!$I$5:$I$169,'Chemical Clearances'!$C$5:$C$169,$A45)</f>
        <v>0</v>
      </c>
      <c r="I45" s="285">
        <f>SUMIFS('Bills &amp; Invoices'!$J$5:$J$32,'Bills &amp; Invoices'!$C$5:$C$32,$A45)</f>
        <v>0</v>
      </c>
      <c r="J45" s="285">
        <f>SUMIFS('Payments &amp; Receipts'!$F$5:$F$58,'Payments &amp; Receipts'!$B$5:$B$58,$A45)</f>
        <v>4550</v>
      </c>
      <c r="K45" s="26"/>
      <c r="L45" s="26"/>
      <c r="M45" s="26"/>
      <c r="N45" s="26"/>
      <c r="O45" s="26"/>
      <c r="P45" s="26"/>
      <c r="Q45" s="26"/>
      <c r="R45" s="26"/>
      <c r="S45" s="26"/>
      <c r="T45" s="26"/>
      <c r="U45" s="26"/>
      <c r="V45" s="26"/>
      <c r="W45" s="26"/>
      <c r="X45" s="26"/>
      <c r="Y45" s="26"/>
      <c r="Z45" s="26"/>
    </row>
    <row r="46" ht="14.25" customHeight="1">
      <c r="A46" s="282" t="s">
        <v>917</v>
      </c>
      <c r="B46" s="282" t="s">
        <v>918</v>
      </c>
      <c r="C46" s="282" t="s">
        <v>741</v>
      </c>
      <c r="D46" s="282"/>
      <c r="E46" s="282"/>
      <c r="F46" s="283">
        <f>COUNTIFS('Licences &amp; Certificates'!$B$5:$B$73,$A46)</f>
        <v>1</v>
      </c>
      <c r="G46" s="283">
        <f>COUNTIFS('Chemical Clearances'!$C$5:$C$169,$A46)</f>
        <v>0</v>
      </c>
      <c r="H46" s="284">
        <f>SUMIFS('Chemical Clearances'!$I$5:$I$169,'Chemical Clearances'!$C$5:$C$169,$A46)</f>
        <v>0</v>
      </c>
      <c r="I46" s="285">
        <f>SUMIFS('Bills &amp; Invoices'!$J$5:$J$32,'Bills &amp; Invoices'!$C$5:$C$32,$A46)</f>
        <v>0</v>
      </c>
      <c r="J46" s="285">
        <f>SUMIFS('Payments &amp; Receipts'!$F$5:$F$58,'Payments &amp; Receipts'!$B$5:$B$58,$A46)</f>
        <v>8500</v>
      </c>
      <c r="K46" s="26"/>
      <c r="L46" s="26"/>
      <c r="M46" s="26"/>
      <c r="N46" s="26"/>
      <c r="O46" s="26"/>
      <c r="P46" s="26"/>
      <c r="Q46" s="26"/>
      <c r="R46" s="26"/>
      <c r="S46" s="26"/>
      <c r="T46" s="26"/>
      <c r="U46" s="26"/>
      <c r="V46" s="26"/>
      <c r="W46" s="26"/>
      <c r="X46" s="26"/>
      <c r="Y46" s="26"/>
      <c r="Z46" s="26"/>
    </row>
    <row r="47" ht="14.25" customHeight="1">
      <c r="A47" s="282" t="s">
        <v>920</v>
      </c>
      <c r="B47" s="282" t="s">
        <v>921</v>
      </c>
      <c r="C47" s="282" t="s">
        <v>751</v>
      </c>
      <c r="D47" s="282"/>
      <c r="E47" s="282"/>
      <c r="F47" s="283">
        <f>COUNTIFS('Licences &amp; Certificates'!$B$5:$B$73,$A47)</f>
        <v>0</v>
      </c>
      <c r="G47" s="283">
        <f>COUNTIFS('Chemical Clearances'!$C$5:$C$169,$A47)</f>
        <v>0</v>
      </c>
      <c r="H47" s="284">
        <f>SUMIFS('Chemical Clearances'!$I$5:$I$169,'Chemical Clearances'!$C$5:$C$169,$A47)</f>
        <v>0</v>
      </c>
      <c r="I47" s="285">
        <f>SUMIFS('Bills &amp; Invoices'!$J$5:$J$32,'Bills &amp; Invoices'!$C$5:$C$32,$A47)</f>
        <v>0</v>
      </c>
      <c r="J47" s="285">
        <f>SUMIFS('Payments &amp; Receipts'!$F$5:$F$58,'Payments &amp; Receipts'!$B$5:$B$58,$A47)</f>
        <v>1500</v>
      </c>
      <c r="K47" s="26"/>
      <c r="L47" s="26"/>
      <c r="M47" s="26"/>
      <c r="N47" s="26"/>
      <c r="O47" s="26"/>
      <c r="P47" s="26"/>
      <c r="Q47" s="26"/>
      <c r="R47" s="26"/>
      <c r="S47" s="26"/>
      <c r="T47" s="26"/>
      <c r="U47" s="26"/>
      <c r="V47" s="26"/>
      <c r="W47" s="26"/>
      <c r="X47" s="26"/>
      <c r="Y47" s="26"/>
      <c r="Z47" s="26"/>
    </row>
    <row r="48" ht="14.25" customHeight="1">
      <c r="A48" s="282" t="s">
        <v>923</v>
      </c>
      <c r="B48" s="282" t="s">
        <v>924</v>
      </c>
      <c r="C48" s="282"/>
      <c r="D48" s="282"/>
      <c r="E48" s="282"/>
      <c r="F48" s="283">
        <f>COUNTIFS('Licences &amp; Certificates'!$B$5:$B$73,$A48)</f>
        <v>0</v>
      </c>
      <c r="G48" s="283">
        <f>COUNTIFS('Chemical Clearances'!$C$5:$C$169,$A48)</f>
        <v>0</v>
      </c>
      <c r="H48" s="284">
        <f>SUMIFS('Chemical Clearances'!$I$5:$I$169,'Chemical Clearances'!$C$5:$C$169,$A48)</f>
        <v>0</v>
      </c>
      <c r="I48" s="285">
        <f>SUMIFS('Bills &amp; Invoices'!$J$5:$J$32,'Bills &amp; Invoices'!$C$5:$C$32,$A48)</f>
        <v>0</v>
      </c>
      <c r="J48" s="285">
        <f>SUMIFS('Payments &amp; Receipts'!$F$5:$F$58,'Payments &amp; Receipts'!$B$5:$B$58,$A48)</f>
        <v>12150</v>
      </c>
      <c r="K48" s="26"/>
      <c r="L48" s="26"/>
      <c r="M48" s="26"/>
      <c r="N48" s="26"/>
      <c r="O48" s="26"/>
      <c r="P48" s="26"/>
      <c r="Q48" s="26"/>
      <c r="R48" s="26"/>
      <c r="S48" s="26"/>
      <c r="T48" s="26"/>
      <c r="U48" s="26"/>
      <c r="V48" s="26"/>
      <c r="W48" s="26"/>
      <c r="X48" s="26"/>
      <c r="Y48" s="26"/>
      <c r="Z48" s="26"/>
    </row>
    <row r="49" ht="14.25" customHeight="1">
      <c r="A49" s="282" t="s">
        <v>925</v>
      </c>
      <c r="B49" s="282" t="s">
        <v>926</v>
      </c>
      <c r="C49" s="282" t="s">
        <v>827</v>
      </c>
      <c r="D49" s="282"/>
      <c r="E49" s="282" t="s">
        <v>927</v>
      </c>
      <c r="F49" s="283">
        <f>COUNTIFS('Licences &amp; Certificates'!$B$5:$B$73,$A49)</f>
        <v>1</v>
      </c>
      <c r="G49" s="283">
        <f>COUNTIFS('Chemical Clearances'!$C$5:$C$169,$A49)</f>
        <v>0</v>
      </c>
      <c r="H49" s="284">
        <f>SUMIFS('Chemical Clearances'!$I$5:$I$169,'Chemical Clearances'!$C$5:$C$169,$A49)</f>
        <v>0</v>
      </c>
      <c r="I49" s="285">
        <f>SUMIFS('Bills &amp; Invoices'!$J$5:$J$32,'Bills &amp; Invoices'!$C$5:$C$32,$A49)</f>
        <v>0</v>
      </c>
      <c r="J49" s="285">
        <f>SUMIFS('Payments &amp; Receipts'!$F$5:$F$58,'Payments &amp; Receipts'!$B$5:$B$58,$A49)</f>
        <v>2500</v>
      </c>
      <c r="K49" s="26"/>
      <c r="L49" s="26"/>
      <c r="M49" s="26"/>
      <c r="N49" s="26"/>
      <c r="O49" s="26"/>
      <c r="P49" s="26"/>
      <c r="Q49" s="26"/>
      <c r="R49" s="26"/>
      <c r="S49" s="26"/>
      <c r="T49" s="26"/>
      <c r="U49" s="26"/>
      <c r="V49" s="26"/>
      <c r="W49" s="26"/>
      <c r="X49" s="26"/>
      <c r="Y49" s="26"/>
      <c r="Z49" s="26"/>
    </row>
    <row r="50" ht="14.25" customHeight="1">
      <c r="A50" s="282" t="s">
        <v>928</v>
      </c>
      <c r="B50" s="282" t="s">
        <v>929</v>
      </c>
      <c r="C50" s="282" t="s">
        <v>751</v>
      </c>
      <c r="D50" s="282" t="s">
        <v>758</v>
      </c>
      <c r="E50" s="282" t="s">
        <v>930</v>
      </c>
      <c r="F50" s="283">
        <f>COUNTIFS('Licences &amp; Certificates'!$B$5:$B$73,$A50)</f>
        <v>0</v>
      </c>
      <c r="G50" s="283">
        <f>COUNTIFS('Chemical Clearances'!$C$5:$C$169,$A50)</f>
        <v>0</v>
      </c>
      <c r="H50" s="284">
        <f>SUMIFS('Chemical Clearances'!$I$5:$I$169,'Chemical Clearances'!$C$5:$C$169,$A50)</f>
        <v>0</v>
      </c>
      <c r="I50" s="285">
        <f>SUMIFS('Bills &amp; Invoices'!$J$5:$J$32,'Bills &amp; Invoices'!$C$5:$C$32,$A50)</f>
        <v>1500</v>
      </c>
      <c r="J50" s="285">
        <f>SUMIFS('Payments &amp; Receipts'!$F$5:$F$58,'Payments &amp; Receipts'!$B$5:$B$58,$A50)</f>
        <v>1500</v>
      </c>
      <c r="K50" s="26"/>
      <c r="L50" s="26"/>
      <c r="M50" s="26"/>
      <c r="N50" s="26"/>
      <c r="O50" s="26"/>
      <c r="P50" s="26"/>
      <c r="Q50" s="26"/>
      <c r="R50" s="26"/>
      <c r="S50" s="26"/>
      <c r="T50" s="26"/>
      <c r="U50" s="26"/>
      <c r="V50" s="26"/>
      <c r="W50" s="26"/>
      <c r="X50" s="26"/>
      <c r="Y50" s="26"/>
      <c r="Z50" s="26"/>
    </row>
    <row r="51" ht="14.25" customHeight="1">
      <c r="A51" s="282" t="s">
        <v>931</v>
      </c>
      <c r="B51" s="282" t="s">
        <v>932</v>
      </c>
      <c r="C51" s="282"/>
      <c r="D51" s="282"/>
      <c r="E51" s="282"/>
      <c r="F51" s="283">
        <f>COUNTIFS('Licences &amp; Certificates'!$B$5:$B$73,$A51)</f>
        <v>0</v>
      </c>
      <c r="G51" s="283">
        <f>COUNTIFS('Chemical Clearances'!$C$5:$C$169,$A51)</f>
        <v>0</v>
      </c>
      <c r="H51" s="284">
        <f>SUMIFS('Chemical Clearances'!$I$5:$I$169,'Chemical Clearances'!$C$5:$C$169,$A51)</f>
        <v>0</v>
      </c>
      <c r="I51" s="285">
        <f>SUMIFS('Bills &amp; Invoices'!$J$5:$J$32,'Bills &amp; Invoices'!$C$5:$C$32,$A51)</f>
        <v>0</v>
      </c>
      <c r="J51" s="285">
        <f>SUMIFS('Payments &amp; Receipts'!$F$5:$F$58,'Payments &amp; Receipts'!$B$5:$B$58,$A51)</f>
        <v>3050</v>
      </c>
      <c r="K51" s="26"/>
      <c r="L51" s="26"/>
      <c r="M51" s="26"/>
      <c r="N51" s="26"/>
      <c r="O51" s="26"/>
      <c r="P51" s="26"/>
      <c r="Q51" s="26"/>
      <c r="R51" s="26"/>
      <c r="S51" s="26"/>
      <c r="T51" s="26"/>
      <c r="U51" s="26"/>
      <c r="V51" s="26"/>
      <c r="W51" s="26"/>
      <c r="X51" s="26"/>
      <c r="Y51" s="26"/>
      <c r="Z51" s="26"/>
    </row>
    <row r="52" ht="14.25" customHeight="1">
      <c r="A52" s="282" t="s">
        <v>934</v>
      </c>
      <c r="B52" s="282" t="s">
        <v>935</v>
      </c>
      <c r="C52" s="282" t="s">
        <v>936</v>
      </c>
      <c r="D52" s="282"/>
      <c r="E52" s="282"/>
      <c r="F52" s="283">
        <f>COUNTIFS('Licences &amp; Certificates'!$B$5:$B$73,$A52)</f>
        <v>0</v>
      </c>
      <c r="G52" s="283">
        <f>COUNTIFS('Chemical Clearances'!$C$5:$C$169,$A52)</f>
        <v>0</v>
      </c>
      <c r="H52" s="284">
        <f>SUMIFS('Chemical Clearances'!$I$5:$I$169,'Chemical Clearances'!$C$5:$C$169,$A52)</f>
        <v>0</v>
      </c>
      <c r="I52" s="285">
        <f>SUMIFS('Bills &amp; Invoices'!$J$5:$J$32,'Bills &amp; Invoices'!$C$5:$C$32,$A52)</f>
        <v>0</v>
      </c>
      <c r="J52" s="285">
        <f>SUMIFS('Payments &amp; Receipts'!$F$5:$F$58,'Payments &amp; Receipts'!$B$5:$B$58,$A52)</f>
        <v>200</v>
      </c>
      <c r="K52" s="26"/>
      <c r="L52" s="26"/>
      <c r="M52" s="26"/>
      <c r="N52" s="26"/>
      <c r="O52" s="26"/>
      <c r="P52" s="26"/>
      <c r="Q52" s="26"/>
      <c r="R52" s="26"/>
      <c r="S52" s="26"/>
      <c r="T52" s="26"/>
      <c r="U52" s="26"/>
      <c r="V52" s="26"/>
      <c r="W52" s="26"/>
      <c r="X52" s="26"/>
      <c r="Y52" s="26"/>
      <c r="Z52" s="26"/>
    </row>
    <row r="53" ht="14.25" customHeight="1">
      <c r="A53" s="282" t="s">
        <v>938</v>
      </c>
      <c r="B53" s="282" t="s">
        <v>939</v>
      </c>
      <c r="C53" s="282" t="s">
        <v>904</v>
      </c>
      <c r="D53" s="282"/>
      <c r="E53" s="282"/>
      <c r="F53" s="283">
        <f>COUNTIFS('Licences &amp; Certificates'!$B$5:$B$73,$A53)</f>
        <v>1</v>
      </c>
      <c r="G53" s="283">
        <f>COUNTIFS('Chemical Clearances'!$C$5:$C$169,$A53)</f>
        <v>0</v>
      </c>
      <c r="H53" s="284">
        <f>SUMIFS('Chemical Clearances'!$I$5:$I$169,'Chemical Clearances'!$C$5:$C$169,$A53)</f>
        <v>0</v>
      </c>
      <c r="I53" s="285">
        <f>SUMIFS('Bills &amp; Invoices'!$J$5:$J$32,'Bills &amp; Invoices'!$C$5:$C$32,$A53)</f>
        <v>0</v>
      </c>
      <c r="J53" s="285">
        <f>SUMIFS('Payments &amp; Receipts'!$F$5:$F$58,'Payments &amp; Receipts'!$B$5:$B$58,$A53)</f>
        <v>2760</v>
      </c>
      <c r="K53" s="26"/>
      <c r="L53" s="26"/>
      <c r="M53" s="26"/>
      <c r="N53" s="26"/>
      <c r="O53" s="26"/>
      <c r="P53" s="26"/>
      <c r="Q53" s="26"/>
      <c r="R53" s="26"/>
      <c r="S53" s="26"/>
      <c r="T53" s="26"/>
      <c r="U53" s="26"/>
      <c r="V53" s="26"/>
      <c r="W53" s="26"/>
      <c r="X53" s="26"/>
      <c r="Y53" s="26"/>
      <c r="Z53" s="26"/>
    </row>
    <row r="54" ht="14.25" customHeight="1">
      <c r="A54" s="282" t="s">
        <v>941</v>
      </c>
      <c r="B54" s="282" t="s">
        <v>942</v>
      </c>
      <c r="C54" s="282"/>
      <c r="D54" s="282"/>
      <c r="E54" s="282"/>
      <c r="F54" s="283">
        <f>COUNTIFS('Licences &amp; Certificates'!$B$5:$B$73,$A54)</f>
        <v>0</v>
      </c>
      <c r="G54" s="283">
        <f>COUNTIFS('Chemical Clearances'!$C$5:$C$169,$A54)</f>
        <v>0</v>
      </c>
      <c r="H54" s="284">
        <f>SUMIFS('Chemical Clearances'!$I$5:$I$169,'Chemical Clearances'!$C$5:$C$169,$A54)</f>
        <v>0</v>
      </c>
      <c r="I54" s="285">
        <f>SUMIFS('Bills &amp; Invoices'!$J$5:$J$32,'Bills &amp; Invoices'!$C$5:$C$32,$A54)</f>
        <v>0</v>
      </c>
      <c r="J54" s="285">
        <f>SUMIFS('Payments &amp; Receipts'!$F$5:$F$58,'Payments &amp; Receipts'!$B$5:$B$58,$A54)</f>
        <v>1500</v>
      </c>
      <c r="K54" s="26"/>
      <c r="L54" s="26"/>
      <c r="M54" s="26"/>
      <c r="N54" s="26"/>
      <c r="O54" s="26"/>
      <c r="P54" s="26"/>
      <c r="Q54" s="26"/>
      <c r="R54" s="26"/>
      <c r="S54" s="26"/>
      <c r="T54" s="26"/>
      <c r="U54" s="26"/>
      <c r="V54" s="26"/>
      <c r="W54" s="26"/>
      <c r="X54" s="26"/>
      <c r="Y54" s="26"/>
      <c r="Z54" s="26"/>
    </row>
    <row r="55" ht="14.25" customHeight="1">
      <c r="A55" s="282" t="s">
        <v>943</v>
      </c>
      <c r="B55" s="282" t="s">
        <v>944</v>
      </c>
      <c r="C55" s="282" t="s">
        <v>348</v>
      </c>
      <c r="D55" s="282"/>
      <c r="E55" s="282"/>
      <c r="F55" s="283">
        <f>COUNTIFS('Licences &amp; Certificates'!$B$5:$B$73,$A55)</f>
        <v>0</v>
      </c>
      <c r="G55" s="283">
        <f>COUNTIFS('Chemical Clearances'!$C$5:$C$169,$A55)</f>
        <v>0</v>
      </c>
      <c r="H55" s="284">
        <f>SUMIFS('Chemical Clearances'!$I$5:$I$169,'Chemical Clearances'!$C$5:$C$169,$A55)</f>
        <v>0</v>
      </c>
      <c r="I55" s="285">
        <f>SUMIFS('Bills &amp; Invoices'!$J$5:$J$32,'Bills &amp; Invoices'!$C$5:$C$32,$A55)</f>
        <v>0</v>
      </c>
      <c r="J55" s="285">
        <f>SUMIFS('Payments &amp; Receipts'!$F$5:$F$58,'Payments &amp; Receipts'!$B$5:$B$58,$A55)</f>
        <v>275</v>
      </c>
      <c r="K55" s="26"/>
      <c r="L55" s="26"/>
      <c r="M55" s="26"/>
      <c r="N55" s="26"/>
      <c r="O55" s="26"/>
      <c r="P55" s="26"/>
      <c r="Q55" s="26"/>
      <c r="R55" s="26"/>
      <c r="S55" s="26"/>
      <c r="T55" s="26"/>
      <c r="U55" s="26"/>
      <c r="V55" s="26"/>
      <c r="W55" s="26"/>
      <c r="X55" s="26"/>
      <c r="Y55" s="26"/>
      <c r="Z55" s="26"/>
    </row>
    <row r="56" ht="14.25" customHeight="1">
      <c r="A56" s="282" t="s">
        <v>946</v>
      </c>
      <c r="B56" s="282" t="s">
        <v>947</v>
      </c>
      <c r="C56" s="282" t="s">
        <v>948</v>
      </c>
      <c r="D56" s="282" t="s">
        <v>949</v>
      </c>
      <c r="E56" s="282" t="s">
        <v>950</v>
      </c>
      <c r="F56" s="283">
        <f>COUNTIFS('Licences &amp; Certificates'!$B$5:$B$73,$A56)</f>
        <v>0</v>
      </c>
      <c r="G56" s="283">
        <f>COUNTIFS('Chemical Clearances'!$C$5:$C$169,$A56)</f>
        <v>0</v>
      </c>
      <c r="H56" s="284">
        <f>SUMIFS('Chemical Clearances'!$I$5:$I$169,'Chemical Clearances'!$C$5:$C$169,$A56)</f>
        <v>0</v>
      </c>
      <c r="I56" s="285">
        <f>SUMIFS('Bills &amp; Invoices'!$J$5:$J$32,'Bills &amp; Invoices'!$C$5:$C$32,$A56)</f>
        <v>4550</v>
      </c>
      <c r="J56" s="285">
        <f>SUMIFS('Payments &amp; Receipts'!$F$5:$F$58,'Payments &amp; Receipts'!$B$5:$B$58,$A56)</f>
        <v>2500</v>
      </c>
      <c r="K56" s="26"/>
      <c r="L56" s="26"/>
      <c r="M56" s="26"/>
      <c r="N56" s="26"/>
      <c r="O56" s="26"/>
      <c r="P56" s="26"/>
      <c r="Q56" s="26"/>
      <c r="R56" s="26"/>
      <c r="S56" s="26"/>
      <c r="T56" s="26"/>
      <c r="U56" s="26"/>
      <c r="V56" s="26"/>
      <c r="W56" s="26"/>
      <c r="X56" s="26"/>
      <c r="Y56" s="26"/>
      <c r="Z56" s="26"/>
    </row>
    <row r="57" ht="14.25" customHeight="1">
      <c r="A57" s="282" t="s">
        <v>951</v>
      </c>
      <c r="B57" s="282" t="s">
        <v>952</v>
      </c>
      <c r="C57" s="282" t="s">
        <v>348</v>
      </c>
      <c r="D57" s="282"/>
      <c r="E57" s="282"/>
      <c r="F57" s="283">
        <f>COUNTIFS('Licences &amp; Certificates'!$B$5:$B$73,$A57)</f>
        <v>0</v>
      </c>
      <c r="G57" s="283">
        <f>COUNTIFS('Chemical Clearances'!$C$5:$C$169,$A57)</f>
        <v>0</v>
      </c>
      <c r="H57" s="284">
        <f>SUMIFS('Chemical Clearances'!$I$5:$I$169,'Chemical Clearances'!$C$5:$C$169,$A57)</f>
        <v>0</v>
      </c>
      <c r="I57" s="285">
        <f>SUMIFS('Bills &amp; Invoices'!$J$5:$J$32,'Bills &amp; Invoices'!$C$5:$C$32,$A57)</f>
        <v>0</v>
      </c>
      <c r="J57" s="285">
        <f>SUMIFS('Payments &amp; Receipts'!$F$5:$F$58,'Payments &amp; Receipts'!$B$5:$B$58,$A57)</f>
        <v>275</v>
      </c>
      <c r="K57" s="26"/>
      <c r="L57" s="26"/>
      <c r="M57" s="26"/>
      <c r="N57" s="26"/>
      <c r="O57" s="26"/>
      <c r="P57" s="26"/>
      <c r="Q57" s="26"/>
      <c r="R57" s="26"/>
      <c r="S57" s="26"/>
      <c r="T57" s="26"/>
      <c r="U57" s="26"/>
      <c r="V57" s="26"/>
      <c r="W57" s="26"/>
      <c r="X57" s="26"/>
      <c r="Y57" s="26"/>
      <c r="Z57" s="26"/>
    </row>
    <row r="58" ht="14.25" customHeight="1">
      <c r="A58" s="282" t="s">
        <v>953</v>
      </c>
      <c r="B58" s="282" t="s">
        <v>954</v>
      </c>
      <c r="C58" s="282" t="s">
        <v>790</v>
      </c>
      <c r="D58" s="282"/>
      <c r="E58" s="282"/>
      <c r="F58" s="283">
        <f>COUNTIFS('Licences &amp; Certificates'!$B$5:$B$73,$A58)</f>
        <v>1</v>
      </c>
      <c r="G58" s="283">
        <f>COUNTIFS('Chemical Clearances'!$C$5:$C$169,$A58)</f>
        <v>0</v>
      </c>
      <c r="H58" s="284">
        <f>SUMIFS('Chemical Clearances'!$I$5:$I$169,'Chemical Clearances'!$C$5:$C$169,$A58)</f>
        <v>0</v>
      </c>
      <c r="I58" s="285">
        <f>SUMIFS('Bills &amp; Invoices'!$J$5:$J$32,'Bills &amp; Invoices'!$C$5:$C$32,$A58)</f>
        <v>0</v>
      </c>
      <c r="J58" s="285">
        <f>SUMIFS('Payments &amp; Receipts'!$F$5:$F$58,'Payments &amp; Receipts'!$B$5:$B$58,$A58)</f>
        <v>2500</v>
      </c>
      <c r="K58" s="26"/>
      <c r="L58" s="26"/>
      <c r="M58" s="26"/>
      <c r="N58" s="26"/>
      <c r="O58" s="26"/>
      <c r="P58" s="26"/>
      <c r="Q58" s="26"/>
      <c r="R58" s="26"/>
      <c r="S58" s="26"/>
      <c r="T58" s="26"/>
      <c r="U58" s="26"/>
      <c r="V58" s="26"/>
      <c r="W58" s="26"/>
      <c r="X58" s="26"/>
      <c r="Y58" s="26"/>
      <c r="Z58" s="26"/>
    </row>
    <row r="59" ht="14.25" customHeight="1">
      <c r="A59" s="282" t="s">
        <v>955</v>
      </c>
      <c r="B59" s="282" t="s">
        <v>956</v>
      </c>
      <c r="C59" s="282" t="s">
        <v>348</v>
      </c>
      <c r="D59" s="282"/>
      <c r="E59" s="282" t="s">
        <v>957</v>
      </c>
      <c r="F59" s="283">
        <f>COUNTIFS('Licences &amp; Certificates'!$B$5:$B$73,$A59)</f>
        <v>0</v>
      </c>
      <c r="G59" s="283">
        <f>COUNTIFS('Chemical Clearances'!$C$5:$C$169,$A59)</f>
        <v>0</v>
      </c>
      <c r="H59" s="284">
        <f>SUMIFS('Chemical Clearances'!$I$5:$I$169,'Chemical Clearances'!$C$5:$C$169,$A59)</f>
        <v>0</v>
      </c>
      <c r="I59" s="285">
        <f>SUMIFS('Bills &amp; Invoices'!$J$5:$J$32,'Bills &amp; Invoices'!$C$5:$C$32,$A59)</f>
        <v>0</v>
      </c>
      <c r="J59" s="285">
        <f>SUMIFS('Payments &amp; Receipts'!$F$5:$F$58,'Payments &amp; Receipts'!$B$5:$B$58,$A59)</f>
        <v>275</v>
      </c>
      <c r="K59" s="26"/>
      <c r="L59" s="26"/>
      <c r="M59" s="26"/>
      <c r="N59" s="26"/>
      <c r="O59" s="26"/>
      <c r="P59" s="26"/>
      <c r="Q59" s="26"/>
      <c r="R59" s="26"/>
      <c r="S59" s="26"/>
      <c r="T59" s="26"/>
      <c r="U59" s="26"/>
      <c r="V59" s="26"/>
      <c r="W59" s="26"/>
      <c r="X59" s="26"/>
      <c r="Y59" s="26"/>
      <c r="Z59" s="26"/>
    </row>
    <row r="60" ht="14.25" customHeight="1">
      <c r="A60" s="282" t="s">
        <v>959</v>
      </c>
      <c r="B60" s="282" t="s">
        <v>960</v>
      </c>
      <c r="C60" s="282" t="s">
        <v>348</v>
      </c>
      <c r="D60" s="282"/>
      <c r="E60" s="282"/>
      <c r="F60" s="283">
        <f>COUNTIFS('Licences &amp; Certificates'!$B$5:$B$73,$A60)</f>
        <v>0</v>
      </c>
      <c r="G60" s="283">
        <f>COUNTIFS('Chemical Clearances'!$C$5:$C$169,$A60)</f>
        <v>0</v>
      </c>
      <c r="H60" s="284">
        <f>SUMIFS('Chemical Clearances'!$I$5:$I$169,'Chemical Clearances'!$C$5:$C$169,$A60)</f>
        <v>0</v>
      </c>
      <c r="I60" s="285">
        <f>SUMIFS('Bills &amp; Invoices'!$J$5:$J$32,'Bills &amp; Invoices'!$C$5:$C$32,$A60)</f>
        <v>0</v>
      </c>
      <c r="J60" s="285">
        <f>SUMIFS('Payments &amp; Receipts'!$F$5:$F$58,'Payments &amp; Receipts'!$B$5:$B$58,$A60)</f>
        <v>275</v>
      </c>
      <c r="K60" s="26"/>
      <c r="L60" s="26"/>
      <c r="M60" s="26"/>
      <c r="N60" s="26"/>
      <c r="O60" s="26"/>
      <c r="P60" s="26"/>
      <c r="Q60" s="26"/>
      <c r="R60" s="26"/>
      <c r="S60" s="26"/>
      <c r="T60" s="26"/>
      <c r="U60" s="26"/>
      <c r="V60" s="26"/>
      <c r="W60" s="26"/>
      <c r="X60" s="26"/>
      <c r="Y60" s="26"/>
      <c r="Z60" s="26"/>
    </row>
    <row r="61" ht="14.25" customHeight="1">
      <c r="A61" s="282" t="s">
        <v>966</v>
      </c>
      <c r="B61" s="282" t="s">
        <v>967</v>
      </c>
      <c r="C61" s="282" t="s">
        <v>827</v>
      </c>
      <c r="D61" s="282" t="s">
        <v>968</v>
      </c>
      <c r="E61" s="282" t="s">
        <v>969</v>
      </c>
      <c r="F61" s="283">
        <f>COUNTIFS('Licences &amp; Certificates'!$B$5:$B$73,$A61)</f>
        <v>1</v>
      </c>
      <c r="G61" s="283">
        <f>COUNTIFS('Chemical Clearances'!$C$5:$C$169,$A61)</f>
        <v>0</v>
      </c>
      <c r="H61" s="284">
        <f>SUMIFS('Chemical Clearances'!$I$5:$I$169,'Chemical Clearances'!$C$5:$C$169,$A61)</f>
        <v>0</v>
      </c>
      <c r="I61" s="285">
        <f>SUMIFS('Bills &amp; Invoices'!$J$5:$J$32,'Bills &amp; Invoices'!$C$5:$C$32,$A61)</f>
        <v>0</v>
      </c>
      <c r="J61" s="285">
        <f>SUMIFS('Payments &amp; Receipts'!$F$5:$F$58,'Payments &amp; Receipts'!$B$5:$B$58,$A61)</f>
        <v>73091</v>
      </c>
      <c r="K61" s="26"/>
      <c r="L61" s="26"/>
      <c r="M61" s="26"/>
      <c r="N61" s="26"/>
      <c r="O61" s="26"/>
      <c r="P61" s="26"/>
      <c r="Q61" s="26"/>
      <c r="R61" s="26"/>
      <c r="S61" s="26"/>
      <c r="T61" s="26"/>
      <c r="U61" s="26"/>
      <c r="V61" s="26"/>
      <c r="W61" s="26"/>
      <c r="X61" s="26"/>
      <c r="Y61" s="26"/>
      <c r="Z61" s="26"/>
    </row>
    <row r="62" ht="14.25" customHeight="1">
      <c r="A62" s="282" t="s">
        <v>974</v>
      </c>
      <c r="B62" s="282" t="s">
        <v>975</v>
      </c>
      <c r="C62" s="282"/>
      <c r="D62" s="282"/>
      <c r="E62" s="282" t="s">
        <v>976</v>
      </c>
      <c r="F62" s="283">
        <f>COUNTIFS('Licences &amp; Certificates'!$B$5:$B$73,$A62)</f>
        <v>0</v>
      </c>
      <c r="G62" s="283">
        <f>COUNTIFS('Chemical Clearances'!$C$5:$C$169,$A62)</f>
        <v>0</v>
      </c>
      <c r="H62" s="284">
        <f>SUMIFS('Chemical Clearances'!$I$5:$I$169,'Chemical Clearances'!$C$5:$C$169,$A62)</f>
        <v>0</v>
      </c>
      <c r="I62" s="285">
        <f>SUMIFS('Bills &amp; Invoices'!$J$5:$J$32,'Bills &amp; Invoices'!$C$5:$C$32,$A62)</f>
        <v>0</v>
      </c>
      <c r="J62" s="285">
        <f>SUMIFS('Payments &amp; Receipts'!$F$5:$F$58,'Payments &amp; Receipts'!$B$5:$B$58,$A62)</f>
        <v>3000</v>
      </c>
      <c r="K62" s="26"/>
      <c r="L62" s="26"/>
      <c r="M62" s="26"/>
      <c r="N62" s="26"/>
      <c r="O62" s="26"/>
      <c r="P62" s="26"/>
      <c r="Q62" s="26"/>
      <c r="R62" s="26"/>
      <c r="S62" s="26"/>
      <c r="T62" s="26"/>
      <c r="U62" s="26"/>
      <c r="V62" s="26"/>
      <c r="W62" s="26"/>
      <c r="X62" s="26"/>
      <c r="Y62" s="26"/>
      <c r="Z62" s="26"/>
    </row>
    <row r="63" ht="14.25" customHeight="1">
      <c r="A63" s="282" t="s">
        <v>979</v>
      </c>
      <c r="B63" s="282" t="s">
        <v>980</v>
      </c>
      <c r="C63" s="282" t="s">
        <v>348</v>
      </c>
      <c r="D63" s="282" t="s">
        <v>981</v>
      </c>
      <c r="E63" s="282"/>
      <c r="F63" s="283">
        <f>COUNTIFS('Licences &amp; Certificates'!$B$5:$B$73,$A63)</f>
        <v>0</v>
      </c>
      <c r="G63" s="283">
        <f>COUNTIFS('Chemical Clearances'!$C$5:$C$169,$A63)</f>
        <v>0</v>
      </c>
      <c r="H63" s="284">
        <f>SUMIFS('Chemical Clearances'!$I$5:$I$169,'Chemical Clearances'!$C$5:$C$169,$A63)</f>
        <v>0</v>
      </c>
      <c r="I63" s="285">
        <f>SUMIFS('Bills &amp; Invoices'!$J$5:$J$32,'Bills &amp; Invoices'!$C$5:$C$32,$A63)</f>
        <v>275</v>
      </c>
      <c r="J63" s="285">
        <f>SUMIFS('Payments &amp; Receipts'!$F$5:$F$58,'Payments &amp; Receipts'!$B$5:$B$58,$A63)</f>
        <v>0</v>
      </c>
      <c r="K63" s="26"/>
      <c r="L63" s="26"/>
      <c r="M63" s="26"/>
      <c r="N63" s="26"/>
      <c r="O63" s="26"/>
      <c r="P63" s="26"/>
      <c r="Q63" s="26"/>
      <c r="R63" s="26"/>
      <c r="S63" s="26"/>
      <c r="T63" s="26"/>
      <c r="U63" s="26"/>
      <c r="V63" s="26"/>
      <c r="W63" s="26"/>
      <c r="X63" s="26"/>
      <c r="Y63" s="26"/>
      <c r="Z63" s="26"/>
    </row>
    <row r="64" ht="14.25" customHeight="1">
      <c r="A64" s="282" t="s">
        <v>988</v>
      </c>
      <c r="B64" s="282" t="s">
        <v>989</v>
      </c>
      <c r="C64" s="282" t="s">
        <v>807</v>
      </c>
      <c r="D64" s="282"/>
      <c r="E64" s="282"/>
      <c r="F64" s="283">
        <f>COUNTIFS('Licences &amp; Certificates'!$B$5:$B$73,$A64)</f>
        <v>0</v>
      </c>
      <c r="G64" s="283">
        <f>COUNTIFS('Chemical Clearances'!$C$5:$C$169,$A64)</f>
        <v>0</v>
      </c>
      <c r="H64" s="284">
        <f>SUMIFS('Chemical Clearances'!$I$5:$I$169,'Chemical Clearances'!$C$5:$C$169,$A64)</f>
        <v>0</v>
      </c>
      <c r="I64" s="285">
        <f>SUMIFS('Bills &amp; Invoices'!$J$5:$J$32,'Bills &amp; Invoices'!$C$5:$C$32,$A64)</f>
        <v>7550</v>
      </c>
      <c r="J64" s="285">
        <f>SUMIFS('Payments &amp; Receipts'!$F$5:$F$58,'Payments &amp; Receipts'!$B$5:$B$58,$A64)</f>
        <v>0</v>
      </c>
      <c r="K64" s="26"/>
      <c r="L64" s="26"/>
      <c r="M64" s="26"/>
      <c r="N64" s="26"/>
      <c r="O64" s="26"/>
      <c r="P64" s="26"/>
      <c r="Q64" s="26"/>
      <c r="R64" s="26"/>
      <c r="S64" s="26"/>
      <c r="T64" s="26"/>
      <c r="U64" s="26"/>
      <c r="V64" s="26"/>
      <c r="W64" s="26"/>
      <c r="X64" s="26"/>
      <c r="Y64" s="26"/>
      <c r="Z64" s="26"/>
    </row>
    <row r="65" ht="14.25" customHeight="1">
      <c r="A65" s="282" t="s">
        <v>993</v>
      </c>
      <c r="B65" s="282" t="s">
        <v>994</v>
      </c>
      <c r="C65" s="282" t="s">
        <v>995</v>
      </c>
      <c r="D65" s="282" t="s">
        <v>996</v>
      </c>
      <c r="E65" s="282" t="s">
        <v>997</v>
      </c>
      <c r="F65" s="283">
        <f>COUNTIFS('Licences &amp; Certificates'!$B$5:$B$73,$A65)</f>
        <v>0</v>
      </c>
      <c r="G65" s="283">
        <f>COUNTIFS('Chemical Clearances'!$C$5:$C$169,$A65)</f>
        <v>0</v>
      </c>
      <c r="H65" s="284">
        <f>SUMIFS('Chemical Clearances'!$I$5:$I$169,'Chemical Clearances'!$C$5:$C$169,$A65)</f>
        <v>0</v>
      </c>
      <c r="I65" s="285">
        <f>SUMIFS('Bills &amp; Invoices'!$J$5:$J$32,'Bills &amp; Invoices'!$C$5:$C$32,$A65)</f>
        <v>1500</v>
      </c>
      <c r="J65" s="285">
        <f>SUMIFS('Payments &amp; Receipts'!$F$5:$F$58,'Payments &amp; Receipts'!$B$5:$B$58,$A65)</f>
        <v>0</v>
      </c>
      <c r="K65" s="26"/>
      <c r="L65" s="26"/>
      <c r="M65" s="26"/>
      <c r="N65" s="26"/>
      <c r="O65" s="26"/>
      <c r="P65" s="26"/>
      <c r="Q65" s="26"/>
      <c r="R65" s="26"/>
      <c r="S65" s="26"/>
      <c r="T65" s="26"/>
      <c r="U65" s="26"/>
      <c r="V65" s="26"/>
      <c r="W65" s="26"/>
      <c r="X65" s="26"/>
      <c r="Y65" s="26"/>
      <c r="Z65" s="26"/>
    </row>
    <row r="66" ht="14.25" customHeight="1">
      <c r="A66" s="282" t="s">
        <v>1001</v>
      </c>
      <c r="B66" s="282" t="s">
        <v>1002</v>
      </c>
      <c r="C66" s="282"/>
      <c r="D66" s="282" t="s">
        <v>1003</v>
      </c>
      <c r="E66" s="282"/>
      <c r="F66" s="283">
        <f>COUNTIFS('Licences &amp; Certificates'!$B$5:$B$73,$A66)</f>
        <v>0</v>
      </c>
      <c r="G66" s="283">
        <f>COUNTIFS('Chemical Clearances'!$C$5:$C$169,$A66)</f>
        <v>0</v>
      </c>
      <c r="H66" s="284">
        <f>SUMIFS('Chemical Clearances'!$I$5:$I$169,'Chemical Clearances'!$C$5:$C$169,$A66)</f>
        <v>0</v>
      </c>
      <c r="I66" s="285">
        <f>SUMIFS('Bills &amp; Invoices'!$J$5:$J$32,'Bills &amp; Invoices'!$C$5:$C$32,$A66)</f>
        <v>1500</v>
      </c>
      <c r="J66" s="285">
        <f>SUMIFS('Payments &amp; Receipts'!$F$5:$F$58,'Payments &amp; Receipts'!$B$5:$B$58,$A66)</f>
        <v>0</v>
      </c>
      <c r="K66" s="26"/>
      <c r="L66" s="26"/>
      <c r="M66" s="26"/>
      <c r="N66" s="26"/>
      <c r="O66" s="26"/>
      <c r="P66" s="26"/>
      <c r="Q66" s="26"/>
      <c r="R66" s="26"/>
      <c r="S66" s="26"/>
      <c r="T66" s="26"/>
      <c r="U66" s="26"/>
      <c r="V66" s="26"/>
      <c r="W66" s="26"/>
      <c r="X66" s="26"/>
      <c r="Y66" s="26"/>
      <c r="Z66" s="26"/>
    </row>
    <row r="67" ht="14.25" customHeight="1">
      <c r="A67" s="282" t="s">
        <v>1010</v>
      </c>
      <c r="B67" s="282" t="s">
        <v>1011</v>
      </c>
      <c r="C67" s="282" t="s">
        <v>842</v>
      </c>
      <c r="D67" s="282" t="s">
        <v>1012</v>
      </c>
      <c r="E67" s="282" t="s">
        <v>1013</v>
      </c>
      <c r="F67" s="283">
        <f>COUNTIFS('Licences &amp; Certificates'!$B$5:$B$73,$A67)</f>
        <v>1</v>
      </c>
      <c r="G67" s="283">
        <f>COUNTIFS('Chemical Clearances'!$C$5:$C$169,$A67)</f>
        <v>2</v>
      </c>
      <c r="H67" s="284">
        <f>SUMIFS('Chemical Clearances'!$I$5:$I$169,'Chemical Clearances'!$C$5:$C$169,$A67)</f>
        <v>135590</v>
      </c>
      <c r="I67" s="285">
        <f>SUMIFS('Bills &amp; Invoices'!$J$5:$J$32,'Bills &amp; Invoices'!$C$5:$C$32,$A67)</f>
        <v>0</v>
      </c>
      <c r="J67" s="285">
        <f>SUMIFS('Payments &amp; Receipts'!$F$5:$F$58,'Payments &amp; Receipts'!$B$5:$B$58,$A67)</f>
        <v>0</v>
      </c>
      <c r="K67" s="26"/>
      <c r="L67" s="26"/>
      <c r="M67" s="26"/>
      <c r="N67" s="26"/>
      <c r="O67" s="26"/>
      <c r="P67" s="26"/>
      <c r="Q67" s="26"/>
      <c r="R67" s="26"/>
      <c r="S67" s="26"/>
      <c r="T67" s="26"/>
      <c r="U67" s="26"/>
      <c r="V67" s="26"/>
      <c r="W67" s="26"/>
      <c r="X67" s="26"/>
      <c r="Y67" s="26"/>
      <c r="Z67" s="26"/>
    </row>
    <row r="68" ht="14.25" customHeight="1">
      <c r="A68" s="282" t="s">
        <v>1019</v>
      </c>
      <c r="B68" s="282" t="s">
        <v>1020</v>
      </c>
      <c r="C68" s="282" t="s">
        <v>757</v>
      </c>
      <c r="D68" s="282" t="s">
        <v>1021</v>
      </c>
      <c r="E68" s="282" t="s">
        <v>1022</v>
      </c>
      <c r="F68" s="283">
        <f>COUNTIFS('Licences &amp; Certificates'!$B$5:$B$73,$A68)</f>
        <v>1</v>
      </c>
      <c r="G68" s="283">
        <f>COUNTIFS('Chemical Clearances'!$C$5:$C$169,$A68)</f>
        <v>0</v>
      </c>
      <c r="H68" s="284">
        <f>SUMIFS('Chemical Clearances'!$I$5:$I$169,'Chemical Clearances'!$C$5:$C$169,$A68)</f>
        <v>0</v>
      </c>
      <c r="I68" s="285">
        <f>SUMIFS('Bills &amp; Invoices'!$J$5:$J$32,'Bills &amp; Invoices'!$C$5:$C$32,$A68)</f>
        <v>0</v>
      </c>
      <c r="J68" s="285">
        <f>SUMIFS('Payments &amp; Receipts'!$F$5:$F$58,'Payments &amp; Receipts'!$B$5:$B$58,$A68)</f>
        <v>0</v>
      </c>
      <c r="K68" s="26"/>
      <c r="L68" s="26"/>
      <c r="M68" s="26"/>
      <c r="N68" s="26"/>
      <c r="O68" s="26"/>
      <c r="P68" s="26"/>
      <c r="Q68" s="26"/>
      <c r="R68" s="26"/>
      <c r="S68" s="26"/>
      <c r="T68" s="26"/>
      <c r="U68" s="26"/>
      <c r="V68" s="26"/>
      <c r="W68" s="26"/>
      <c r="X68" s="26"/>
      <c r="Y68" s="26"/>
      <c r="Z68" s="26"/>
    </row>
    <row r="69" ht="14.25" customHeight="1">
      <c r="A69" s="282" t="s">
        <v>1027</v>
      </c>
      <c r="B69" s="282" t="s">
        <v>1028</v>
      </c>
      <c r="C69" s="282" t="s">
        <v>757</v>
      </c>
      <c r="D69" s="282" t="s">
        <v>1030</v>
      </c>
      <c r="E69" s="282" t="s">
        <v>1031</v>
      </c>
      <c r="F69" s="283">
        <f>COUNTIFS('Licences &amp; Certificates'!$B$5:$B$73,$A69)</f>
        <v>1</v>
      </c>
      <c r="G69" s="283">
        <f>COUNTIFS('Chemical Clearances'!$C$5:$C$169,$A69)</f>
        <v>0</v>
      </c>
      <c r="H69" s="284">
        <f>SUMIFS('Chemical Clearances'!$I$5:$I$169,'Chemical Clearances'!$C$5:$C$169,$A69)</f>
        <v>0</v>
      </c>
      <c r="I69" s="285">
        <f>SUMIFS('Bills &amp; Invoices'!$J$5:$J$32,'Bills &amp; Invoices'!$C$5:$C$32,$A69)</f>
        <v>0</v>
      </c>
      <c r="J69" s="285">
        <f>SUMIFS('Payments &amp; Receipts'!$F$5:$F$58,'Payments &amp; Receipts'!$B$5:$B$58,$A69)</f>
        <v>0</v>
      </c>
      <c r="K69" s="26"/>
      <c r="L69" s="26"/>
      <c r="M69" s="26"/>
      <c r="N69" s="26"/>
      <c r="O69" s="26"/>
      <c r="P69" s="26"/>
      <c r="Q69" s="26"/>
      <c r="R69" s="26"/>
      <c r="S69" s="26"/>
      <c r="T69" s="26"/>
      <c r="U69" s="26"/>
      <c r="V69" s="26"/>
      <c r="W69" s="26"/>
      <c r="X69" s="26"/>
      <c r="Y69" s="26"/>
      <c r="Z69" s="26"/>
    </row>
    <row r="70" ht="14.25" customHeight="1">
      <c r="A70" s="282" t="s">
        <v>1036</v>
      </c>
      <c r="B70" s="282" t="s">
        <v>1037</v>
      </c>
      <c r="C70" s="282" t="s">
        <v>995</v>
      </c>
      <c r="D70" s="282" t="s">
        <v>1038</v>
      </c>
      <c r="E70" s="282" t="s">
        <v>1039</v>
      </c>
      <c r="F70" s="283">
        <f>COUNTIFS('Licences &amp; Certificates'!$B$5:$B$73,$A70)</f>
        <v>1</v>
      </c>
      <c r="G70" s="283">
        <f>COUNTIFS('Chemical Clearances'!$C$5:$C$169,$A70)</f>
        <v>0</v>
      </c>
      <c r="H70" s="284">
        <f>SUMIFS('Chemical Clearances'!$I$5:$I$169,'Chemical Clearances'!$C$5:$C$169,$A70)</f>
        <v>0</v>
      </c>
      <c r="I70" s="285">
        <f>SUMIFS('Bills &amp; Invoices'!$J$5:$J$32,'Bills &amp; Invoices'!$C$5:$C$32,$A70)</f>
        <v>0</v>
      </c>
      <c r="J70" s="285">
        <f>SUMIFS('Payments &amp; Receipts'!$F$5:$F$58,'Payments &amp; Receipts'!$B$5:$B$58,$A70)</f>
        <v>0</v>
      </c>
      <c r="K70" s="26"/>
      <c r="L70" s="26"/>
      <c r="M70" s="26"/>
      <c r="N70" s="26"/>
      <c r="O70" s="26"/>
      <c r="P70" s="26"/>
      <c r="Q70" s="26"/>
      <c r="R70" s="26"/>
      <c r="S70" s="26"/>
      <c r="T70" s="26"/>
      <c r="U70" s="26"/>
      <c r="V70" s="26"/>
      <c r="W70" s="26"/>
      <c r="X70" s="26"/>
      <c r="Y70" s="26"/>
      <c r="Z70" s="26"/>
    </row>
    <row r="71" ht="14.25" customHeight="1">
      <c r="A71" s="282" t="s">
        <v>1045</v>
      </c>
      <c r="B71" s="282" t="s">
        <v>1046</v>
      </c>
      <c r="C71" s="282" t="s">
        <v>762</v>
      </c>
      <c r="D71" s="282" t="s">
        <v>1047</v>
      </c>
      <c r="E71" s="282" t="s">
        <v>1048</v>
      </c>
      <c r="F71" s="283">
        <f>COUNTIFS('Licences &amp; Certificates'!$B$5:$B$73,$A71)</f>
        <v>1</v>
      </c>
      <c r="G71" s="283">
        <f>COUNTIFS('Chemical Clearances'!$C$5:$C$169,$A71)</f>
        <v>0</v>
      </c>
      <c r="H71" s="284">
        <f>SUMIFS('Chemical Clearances'!$I$5:$I$169,'Chemical Clearances'!$C$5:$C$169,$A71)</f>
        <v>0</v>
      </c>
      <c r="I71" s="285">
        <f>SUMIFS('Bills &amp; Invoices'!$J$5:$J$32,'Bills &amp; Invoices'!$C$5:$C$32,$A71)</f>
        <v>0</v>
      </c>
      <c r="J71" s="285">
        <f>SUMIFS('Payments &amp; Receipts'!$F$5:$F$58,'Payments &amp; Receipts'!$B$5:$B$58,$A71)</f>
        <v>0</v>
      </c>
      <c r="K71" s="26"/>
      <c r="L71" s="26"/>
      <c r="M71" s="26"/>
      <c r="N71" s="26"/>
      <c r="O71" s="26"/>
      <c r="P71" s="26"/>
      <c r="Q71" s="26"/>
      <c r="R71" s="26"/>
      <c r="S71" s="26"/>
      <c r="T71" s="26"/>
      <c r="U71" s="26"/>
      <c r="V71" s="26"/>
      <c r="W71" s="26"/>
      <c r="X71" s="26"/>
      <c r="Y71" s="26"/>
      <c r="Z71" s="26"/>
    </row>
    <row r="72" ht="14.25" customHeight="1">
      <c r="A72" s="282" t="s">
        <v>1055</v>
      </c>
      <c r="B72" s="282" t="s">
        <v>1056</v>
      </c>
      <c r="C72" s="282" t="s">
        <v>869</v>
      </c>
      <c r="D72" s="282" t="s">
        <v>1058</v>
      </c>
      <c r="E72" s="282" t="s">
        <v>1060</v>
      </c>
      <c r="F72" s="283">
        <f>COUNTIFS('Licences &amp; Certificates'!$B$5:$B$73,$A72)</f>
        <v>1</v>
      </c>
      <c r="G72" s="283">
        <f>COUNTIFS('Chemical Clearances'!$C$5:$C$169,$A72)</f>
        <v>0</v>
      </c>
      <c r="H72" s="284">
        <f>SUMIFS('Chemical Clearances'!$I$5:$I$169,'Chemical Clearances'!$C$5:$C$169,$A72)</f>
        <v>0</v>
      </c>
      <c r="I72" s="285">
        <f>SUMIFS('Bills &amp; Invoices'!$J$5:$J$32,'Bills &amp; Invoices'!$C$5:$C$32,$A72)</f>
        <v>0</v>
      </c>
      <c r="J72" s="285">
        <f>SUMIFS('Payments &amp; Receipts'!$F$5:$F$58,'Payments &amp; Receipts'!$B$5:$B$58,$A72)</f>
        <v>0</v>
      </c>
      <c r="K72" s="26"/>
      <c r="L72" s="26"/>
      <c r="M72" s="26"/>
      <c r="N72" s="26"/>
      <c r="O72" s="26"/>
      <c r="P72" s="26"/>
      <c r="Q72" s="26"/>
      <c r="R72" s="26"/>
      <c r="S72" s="26"/>
      <c r="T72" s="26"/>
      <c r="U72" s="26"/>
      <c r="V72" s="26"/>
      <c r="W72" s="26"/>
      <c r="X72" s="26"/>
      <c r="Y72" s="26"/>
      <c r="Z72" s="26"/>
    </row>
    <row r="73" ht="14.25" customHeight="1">
      <c r="A73" s="282" t="s">
        <v>245</v>
      </c>
      <c r="B73" s="282" t="s">
        <v>1068</v>
      </c>
      <c r="C73" s="282"/>
      <c r="D73" s="282"/>
      <c r="E73" s="282"/>
      <c r="F73" s="283">
        <f>COUNTIFS('Licences &amp; Certificates'!$B$5:$B$73,$A73)</f>
        <v>0</v>
      </c>
      <c r="G73" s="283">
        <f>COUNTIFS('Chemical Clearances'!$C$5:$C$169,$A73)</f>
        <v>1</v>
      </c>
      <c r="H73" s="284">
        <f>SUMIFS('Chemical Clearances'!$I$5:$I$169,'Chemical Clearances'!$C$5:$C$169,$A73)</f>
        <v>0</v>
      </c>
      <c r="I73" s="285">
        <f>SUMIFS('Bills &amp; Invoices'!$J$5:$J$32,'Bills &amp; Invoices'!$C$5:$C$32,$A73)</f>
        <v>0</v>
      </c>
      <c r="J73" s="285">
        <f>SUMIFS('Payments &amp; Receipts'!$F$5:$F$58,'Payments &amp; Receipts'!$B$5:$B$58,$A73)</f>
        <v>0</v>
      </c>
      <c r="K73" s="26"/>
      <c r="L73" s="26"/>
      <c r="M73" s="26"/>
      <c r="N73" s="26"/>
      <c r="O73" s="26"/>
      <c r="P73" s="26"/>
      <c r="Q73" s="26"/>
      <c r="R73" s="26"/>
      <c r="S73" s="26"/>
      <c r="T73" s="26"/>
      <c r="U73" s="26"/>
      <c r="V73" s="26"/>
      <c r="W73" s="26"/>
      <c r="X73" s="26"/>
      <c r="Y73" s="26"/>
      <c r="Z73" s="26"/>
    </row>
    <row r="74" ht="14.25" customHeight="1">
      <c r="A74" s="302" t="s">
        <v>276</v>
      </c>
      <c r="B74" s="302" t="s">
        <v>1072</v>
      </c>
      <c r="C74" s="302" t="s">
        <v>846</v>
      </c>
      <c r="D74" s="302" t="s">
        <v>1073</v>
      </c>
      <c r="E74" s="302" t="s">
        <v>1074</v>
      </c>
      <c r="F74" s="283">
        <f>COUNTIFS('Licences &amp; Certificates'!$B$5:$B$73,$A74)</f>
        <v>0</v>
      </c>
      <c r="G74" s="283">
        <f>COUNTIFS('Chemical Clearances'!$C$5:$C$169,$A74)</f>
        <v>0</v>
      </c>
      <c r="H74" s="284">
        <f>SUMIFS('Chemical Clearances'!$I$5:$I$169,'Chemical Clearances'!$C$5:$C$169,$A74)</f>
        <v>0</v>
      </c>
      <c r="I74" s="285">
        <f>SUMIFS('Bills &amp; Invoices'!$J$5:$J$32,'Bills &amp; Invoices'!$C$5:$C$32,$A74)</f>
        <v>0</v>
      </c>
      <c r="J74" s="285">
        <f>SUMIFS('Payments &amp; Receipts'!$F$5:$F$58,'Payments &amp; Receipts'!$B$5:$B$58,$A74)</f>
        <v>0</v>
      </c>
      <c r="K74" s="26"/>
      <c r="L74" s="26"/>
      <c r="M74" s="26"/>
      <c r="N74" s="26"/>
      <c r="O74" s="26"/>
      <c r="P74" s="26"/>
      <c r="Q74" s="26"/>
      <c r="R74" s="26"/>
      <c r="S74" s="26"/>
      <c r="T74" s="26"/>
      <c r="U74" s="26"/>
      <c r="V74" s="26"/>
      <c r="W74" s="26"/>
      <c r="X74" s="26"/>
      <c r="Y74" s="26"/>
      <c r="Z74" s="26"/>
    </row>
    <row r="75" ht="14.25" customHeight="1">
      <c r="A75" s="303" t="s">
        <v>385</v>
      </c>
      <c r="B75" s="303"/>
      <c r="C75" s="303"/>
      <c r="D75" s="303"/>
      <c r="E75" s="303"/>
      <c r="F75" s="303">
        <f>SUBTOTAL(109,$F$5:$F$74)</f>
        <v>69</v>
      </c>
      <c r="G75" s="303">
        <f>SUBTOTAL(109,$G$5:$G$74)</f>
        <v>165</v>
      </c>
      <c r="H75" s="304">
        <f>SUBTOTAL(109,$H$5:$H$74)</f>
        <v>15779981.44</v>
      </c>
      <c r="I75" s="305">
        <f>SUBTOTAL(109,$I$5:$I$74)</f>
        <v>279151</v>
      </c>
      <c r="J75" s="305">
        <f>SUBTOTAL(109,$J$5:$J$74)</f>
        <v>434983</v>
      </c>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4.2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14"/>
    <col customWidth="1" min="2" max="2" width="12.0"/>
    <col customWidth="1" min="3" max="3" width="38.86"/>
    <col customWidth="1" min="4" max="4" width="31.43"/>
    <col customWidth="1" min="5" max="5" width="29.71"/>
    <col customWidth="1" min="6" max="6" width="37.0"/>
    <col customWidth="1" min="7" max="7" width="31.43"/>
    <col customWidth="1" min="8" max="9" width="13.86"/>
    <col customWidth="1" min="10" max="10" width="25.86"/>
    <col customWidth="1" min="11" max="11" width="27.71"/>
    <col customWidth="1" min="12" max="13" width="13.86"/>
    <col customWidth="1" min="14" max="14" width="27.71"/>
    <col customWidth="1" min="15" max="15" width="48.14"/>
    <col customWidth="1" min="16" max="16" width="78.0"/>
    <col customWidth="1" min="17" max="26" width="8.86"/>
    <col customWidth="1" min="27" max="27" width="8.71"/>
  </cols>
  <sheetData>
    <row r="1" ht="25.5" customHeight="1">
      <c r="A1" s="25" t="s">
        <v>958</v>
      </c>
      <c r="B1" s="25"/>
      <c r="C1" s="25"/>
      <c r="D1" s="25"/>
      <c r="E1" s="25"/>
      <c r="F1" s="25"/>
      <c r="G1" s="25"/>
      <c r="H1" s="25"/>
      <c r="I1" s="25"/>
      <c r="J1" s="25"/>
      <c r="K1" s="25"/>
      <c r="L1" s="25"/>
      <c r="M1" s="25"/>
      <c r="N1" s="25"/>
      <c r="O1" s="25"/>
      <c r="P1" s="25"/>
      <c r="Q1" s="26"/>
      <c r="R1" s="26"/>
      <c r="S1" s="26"/>
      <c r="T1" s="26"/>
      <c r="U1" s="26"/>
      <c r="V1" s="26"/>
      <c r="W1" s="26"/>
      <c r="X1" s="26"/>
      <c r="Y1" s="26"/>
      <c r="Z1" s="26"/>
    </row>
    <row r="2" ht="14.25" customHeight="1">
      <c r="A2" s="30" t="s">
        <v>961</v>
      </c>
      <c r="B2" s="30"/>
      <c r="C2" s="30"/>
      <c r="D2" s="30"/>
      <c r="E2" s="30"/>
      <c r="F2" s="30"/>
      <c r="G2" s="30"/>
      <c r="H2" s="30"/>
      <c r="I2" s="30"/>
      <c r="J2" s="30"/>
      <c r="K2" s="30"/>
      <c r="L2" s="30"/>
      <c r="M2" s="30"/>
      <c r="N2" s="30"/>
      <c r="O2" s="30"/>
      <c r="P2" s="30"/>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280" t="s">
        <v>294</v>
      </c>
      <c r="B4" s="280" t="s">
        <v>171</v>
      </c>
      <c r="C4" s="280" t="s">
        <v>736</v>
      </c>
      <c r="D4" s="280" t="s">
        <v>962</v>
      </c>
      <c r="E4" s="280" t="s">
        <v>177</v>
      </c>
      <c r="F4" s="280" t="s">
        <v>963</v>
      </c>
      <c r="G4" s="280" t="s">
        <v>208</v>
      </c>
      <c r="H4" s="280" t="s">
        <v>331</v>
      </c>
      <c r="I4" s="280" t="s">
        <v>336</v>
      </c>
      <c r="J4" s="280" t="s">
        <v>339</v>
      </c>
      <c r="K4" s="280" t="s">
        <v>341</v>
      </c>
      <c r="L4" s="280" t="s">
        <v>343</v>
      </c>
      <c r="M4" s="280" t="s">
        <v>344</v>
      </c>
      <c r="N4" s="280" t="s">
        <v>3</v>
      </c>
      <c r="O4" s="280" t="s">
        <v>349</v>
      </c>
      <c r="P4" s="280" t="s">
        <v>964</v>
      </c>
      <c r="Q4" s="280" t="s">
        <v>216</v>
      </c>
      <c r="R4" s="281"/>
      <c r="S4" s="281"/>
      <c r="T4" s="281"/>
      <c r="U4" s="281"/>
      <c r="V4" s="281"/>
      <c r="W4" s="281"/>
      <c r="X4" s="281"/>
      <c r="Y4" s="281"/>
      <c r="Z4" s="281"/>
      <c r="AA4" s="281"/>
    </row>
    <row r="5" ht="14.25" customHeight="1">
      <c r="A5" s="282" t="s">
        <v>965</v>
      </c>
      <c r="B5" s="282" t="s">
        <v>739</v>
      </c>
      <c r="C5" s="282" t="str">
        <f t="array" ref="C5">IFERROR(INDEX(Companies!$B$5:$B$74,MATCH($B5,Companies!$A$5:$A$74,0)),"Unknown ID")</f>
        <v>Bea Mountain Mining Corporation (BMMC)</v>
      </c>
      <c r="D5" s="282" t="s">
        <v>970</v>
      </c>
      <c r="E5" s="282" t="s">
        <v>212</v>
      </c>
      <c r="F5" s="282" t="s">
        <v>971</v>
      </c>
      <c r="G5" s="282" t="s">
        <v>972</v>
      </c>
      <c r="H5" s="300"/>
      <c r="I5" s="300"/>
      <c r="J5" s="282"/>
      <c r="K5" s="282" t="s">
        <v>973</v>
      </c>
      <c r="L5" s="300">
        <v>46023.0</v>
      </c>
      <c r="M5" s="300">
        <v>46387.0</v>
      </c>
      <c r="N5" s="282" t="str">
        <f t="shared" ref="N5:N73" si="1">IF(AND($K5="",$L5=""),"Pending – no licence no.",IF($M5="","Issued – expiry not recorded",IF($M5&lt;TODAY(),"Expired","Active")))</f>
        <v>Active</v>
      </c>
      <c r="O5" s="282" t="s">
        <v>977</v>
      </c>
      <c r="P5" s="282" t="s">
        <v>978</v>
      </c>
      <c r="Q5" s="301" t="str">
        <f t="array" ref="Q5">IFERROR(INDEX('Bills &amp; Invoices'!$B$5:$B$32,MATCH("*"&amp;$A5&amp;"*",'Bills &amp; Invoices'!$V$5:$V$32,0)),"")</f>
        <v/>
      </c>
      <c r="R5" s="26"/>
      <c r="S5" s="26"/>
      <c r="T5" s="26"/>
      <c r="U5" s="26"/>
      <c r="V5" s="26"/>
      <c r="W5" s="26"/>
      <c r="X5" s="26"/>
      <c r="Y5" s="26"/>
      <c r="Z5" s="26"/>
      <c r="AA5" s="26"/>
    </row>
    <row r="6" ht="14.25" customHeight="1">
      <c r="A6" s="282" t="s">
        <v>982</v>
      </c>
      <c r="B6" s="282" t="s">
        <v>749</v>
      </c>
      <c r="C6" s="282" t="str">
        <f t="array" ref="C6">IFERROR(INDEX(Companies!$B$5:$B$74,MATCH($B6,Companies!$A$5:$A$74,0)),"Unknown ID")</f>
        <v>Firestone Liberia</v>
      </c>
      <c r="D6" s="282" t="s">
        <v>983</v>
      </c>
      <c r="E6" s="282" t="s">
        <v>212</v>
      </c>
      <c r="F6" s="282" t="s">
        <v>971</v>
      </c>
      <c r="G6" s="282"/>
      <c r="H6" s="300"/>
      <c r="I6" s="300"/>
      <c r="J6" s="282"/>
      <c r="K6" s="282" t="s">
        <v>984</v>
      </c>
      <c r="L6" s="300"/>
      <c r="M6" s="300"/>
      <c r="N6" s="282" t="str">
        <f t="shared" si="1"/>
        <v>Issued – expiry not recorded</v>
      </c>
      <c r="O6" s="282" t="s">
        <v>985</v>
      </c>
      <c r="P6" s="282" t="s">
        <v>986</v>
      </c>
      <c r="Q6" s="301" t="str">
        <f t="array" ref="Q6">IFERROR(INDEX('Bills &amp; Invoices'!$B$5:$B$32,MATCH("*"&amp;$A6&amp;"*",'Bills &amp; Invoices'!$V$5:$V$32,0)),"")</f>
        <v/>
      </c>
      <c r="R6" s="26"/>
      <c r="S6" s="26"/>
      <c r="T6" s="26"/>
      <c r="U6" s="26"/>
      <c r="V6" s="26"/>
      <c r="W6" s="26"/>
      <c r="X6" s="26"/>
      <c r="Y6" s="26"/>
      <c r="Z6" s="26"/>
      <c r="AA6" s="26"/>
    </row>
    <row r="7" ht="14.25" customHeight="1">
      <c r="A7" s="282" t="s">
        <v>987</v>
      </c>
      <c r="B7" s="282" t="s">
        <v>755</v>
      </c>
      <c r="C7" s="282" t="str">
        <f t="array" ref="C7">IFERROR(INDEX(Companies!$B$5:$B$74,MATCH($B7,Companies!$A$5:$A$74,0)),"Unknown ID")</f>
        <v>A-Z Corporation</v>
      </c>
      <c r="D7" s="282" t="s">
        <v>756</v>
      </c>
      <c r="E7" s="282" t="s">
        <v>212</v>
      </c>
      <c r="F7" s="282" t="s">
        <v>971</v>
      </c>
      <c r="G7" s="282" t="s">
        <v>990</v>
      </c>
      <c r="H7" s="300"/>
      <c r="I7" s="300"/>
      <c r="J7" s="282"/>
      <c r="K7" s="282" t="s">
        <v>991</v>
      </c>
      <c r="L7" s="300">
        <v>46023.0</v>
      </c>
      <c r="M7" s="300">
        <v>46387.0</v>
      </c>
      <c r="N7" s="282" t="str">
        <f t="shared" si="1"/>
        <v>Active</v>
      </c>
      <c r="O7" s="282"/>
      <c r="P7" s="282" t="s">
        <v>992</v>
      </c>
      <c r="Q7" s="301" t="str">
        <f t="array" ref="Q7">IFERROR(INDEX('Bills &amp; Invoices'!$B$5:$B$32,MATCH("*"&amp;$A7&amp;"*",'Bills &amp; Invoices'!$V$5:$V$32,0)),"")</f>
        <v/>
      </c>
      <c r="R7" s="26"/>
      <c r="S7" s="26"/>
      <c r="T7" s="26"/>
      <c r="U7" s="26"/>
      <c r="V7" s="26"/>
      <c r="W7" s="26"/>
      <c r="X7" s="26"/>
      <c r="Y7" s="26"/>
      <c r="Z7" s="26"/>
      <c r="AA7" s="26"/>
    </row>
    <row r="8" ht="14.25" customHeight="1">
      <c r="A8" s="282" t="s">
        <v>684</v>
      </c>
      <c r="B8" s="282" t="s">
        <v>760</v>
      </c>
      <c r="C8" s="282" t="str">
        <f t="array" ref="C8">IFERROR(INDEX(Companies!$B$5:$B$74,MATCH($B8,Companies!$A$5:$A$74,0)),"Unknown ID")</f>
        <v>Tanmay Hardware Center</v>
      </c>
      <c r="D8" s="282" t="s">
        <v>763</v>
      </c>
      <c r="E8" s="282" t="s">
        <v>212</v>
      </c>
      <c r="F8" s="282" t="s">
        <v>971</v>
      </c>
      <c r="G8" s="282" t="s">
        <v>990</v>
      </c>
      <c r="H8" s="300"/>
      <c r="I8" s="300"/>
      <c r="J8" s="282"/>
      <c r="K8" s="282" t="s">
        <v>998</v>
      </c>
      <c r="L8" s="300">
        <v>46023.0</v>
      </c>
      <c r="M8" s="300">
        <v>46387.0</v>
      </c>
      <c r="N8" s="282" t="str">
        <f t="shared" si="1"/>
        <v>Active</v>
      </c>
      <c r="O8" s="282"/>
      <c r="P8" s="282" t="s">
        <v>999</v>
      </c>
      <c r="Q8" s="301" t="str">
        <f t="array" ref="Q8">IFERROR(INDEX('Bills &amp; Invoices'!$B$5:$B$32,MATCH("*"&amp;$A8&amp;"*",'Bills &amp; Invoices'!$V$5:$V$32,0)),"")</f>
        <v/>
      </c>
      <c r="R8" s="26"/>
      <c r="S8" s="26"/>
      <c r="T8" s="26"/>
      <c r="U8" s="26"/>
      <c r="V8" s="26"/>
      <c r="W8" s="26"/>
      <c r="X8" s="26"/>
      <c r="Y8" s="26"/>
      <c r="Z8" s="26"/>
      <c r="AA8" s="26"/>
    </row>
    <row r="9" ht="14.25" customHeight="1">
      <c r="A9" s="282" t="s">
        <v>1000</v>
      </c>
      <c r="B9" s="282" t="s">
        <v>767</v>
      </c>
      <c r="C9" s="282" t="str">
        <f t="array" ref="C9">IFERROR(INDEX(Companies!$B$5:$B$74,MATCH($B9,Companies!$A$5:$A$74,0)),"Unknown ID")</f>
        <v>Delta Plastics Inc.</v>
      </c>
      <c r="D9" s="282" t="s">
        <v>1004</v>
      </c>
      <c r="E9" s="282" t="s">
        <v>212</v>
      </c>
      <c r="F9" s="282" t="s">
        <v>971</v>
      </c>
      <c r="G9" s="282" t="s">
        <v>770</v>
      </c>
      <c r="H9" s="300"/>
      <c r="I9" s="300"/>
      <c r="J9" s="282"/>
      <c r="K9" s="282" t="s">
        <v>1005</v>
      </c>
      <c r="L9" s="300">
        <v>46023.0</v>
      </c>
      <c r="M9" s="300">
        <v>46387.0</v>
      </c>
      <c r="N9" s="282" t="str">
        <f t="shared" si="1"/>
        <v>Active</v>
      </c>
      <c r="O9" s="282"/>
      <c r="P9" s="282" t="s">
        <v>1006</v>
      </c>
      <c r="Q9" s="301" t="str">
        <f t="array" ref="Q9">IFERROR(INDEX('Bills &amp; Invoices'!$B$5:$B$32,MATCH("*"&amp;$A9&amp;"*",'Bills &amp; Invoices'!$V$5:$V$32,0)),"")</f>
        <v/>
      </c>
      <c r="R9" s="26"/>
      <c r="S9" s="26"/>
      <c r="T9" s="26"/>
      <c r="U9" s="26"/>
      <c r="V9" s="26"/>
      <c r="W9" s="26"/>
      <c r="X9" s="26"/>
      <c r="Y9" s="26"/>
      <c r="Z9" s="26"/>
      <c r="AA9" s="26"/>
    </row>
    <row r="10" ht="14.25" customHeight="1">
      <c r="A10" s="282" t="s">
        <v>1007</v>
      </c>
      <c r="B10" s="282" t="s">
        <v>773</v>
      </c>
      <c r="C10" s="282" t="str">
        <f t="array" ref="C10">IFERROR(INDEX(Companies!$B$5:$B$74,MATCH($B10,Companies!$A$5:$A$74,0)),"Unknown ID")</f>
        <v>Golden Sifca Inc.</v>
      </c>
      <c r="D10" s="282" t="s">
        <v>774</v>
      </c>
      <c r="E10" s="282" t="s">
        <v>212</v>
      </c>
      <c r="F10" s="282" t="s">
        <v>971</v>
      </c>
      <c r="G10" s="282" t="s">
        <v>1008</v>
      </c>
      <c r="H10" s="300"/>
      <c r="I10" s="300"/>
      <c r="J10" s="282"/>
      <c r="K10" s="282"/>
      <c r="L10" s="300"/>
      <c r="M10" s="300"/>
      <c r="N10" s="282" t="str">
        <f t="shared" si="1"/>
        <v>Pending – no licence no.</v>
      </c>
      <c r="O10" s="282"/>
      <c r="P10" s="282" t="s">
        <v>1009</v>
      </c>
      <c r="Q10" s="301" t="str">
        <f t="array" ref="Q10">IFERROR(INDEX('Bills &amp; Invoices'!$B$5:$B$32,MATCH("*"&amp;$A10&amp;"*",'Bills &amp; Invoices'!$V$5:$V$32,0)),"")</f>
        <v/>
      </c>
      <c r="R10" s="26"/>
      <c r="S10" s="26"/>
      <c r="T10" s="26"/>
      <c r="U10" s="26"/>
      <c r="V10" s="26"/>
      <c r="W10" s="26"/>
      <c r="X10" s="26"/>
      <c r="Y10" s="26"/>
      <c r="Z10" s="26"/>
      <c r="AA10" s="26"/>
    </row>
    <row r="11" ht="14.25" customHeight="1">
      <c r="A11" s="282" t="s">
        <v>1014</v>
      </c>
      <c r="B11" s="282" t="s">
        <v>778</v>
      </c>
      <c r="C11" s="282" t="str">
        <f t="array" ref="C11">IFERROR(INDEX(Companies!$B$5:$B$74,MATCH($B11,Companies!$A$5:$A$74,0)),"Unknown ID")</f>
        <v>KAPEKS Liberia Inc.</v>
      </c>
      <c r="D11" s="282" t="s">
        <v>779</v>
      </c>
      <c r="E11" s="282" t="s">
        <v>212</v>
      </c>
      <c r="F11" s="282" t="s">
        <v>971</v>
      </c>
      <c r="G11" s="282" t="s">
        <v>1015</v>
      </c>
      <c r="H11" s="300"/>
      <c r="I11" s="300"/>
      <c r="J11" s="282"/>
      <c r="K11" s="282" t="s">
        <v>1016</v>
      </c>
      <c r="L11" s="300"/>
      <c r="M11" s="300"/>
      <c r="N11" s="282" t="str">
        <f t="shared" si="1"/>
        <v>Issued – expiry not recorded</v>
      </c>
      <c r="O11" s="282"/>
      <c r="P11" s="282" t="s">
        <v>1017</v>
      </c>
      <c r="Q11" s="301" t="str">
        <f t="array" ref="Q11">IFERROR(INDEX('Bills &amp; Invoices'!$B$5:$B$32,MATCH("*"&amp;$A11&amp;"*",'Bills &amp; Invoices'!$V$5:$V$32,0)),"")</f>
        <v/>
      </c>
      <c r="R11" s="26"/>
      <c r="S11" s="26"/>
      <c r="T11" s="26"/>
      <c r="U11" s="26"/>
      <c r="V11" s="26"/>
      <c r="W11" s="26"/>
      <c r="X11" s="26"/>
      <c r="Y11" s="26"/>
      <c r="Z11" s="26"/>
      <c r="AA11" s="26"/>
    </row>
    <row r="12" ht="14.25" customHeight="1">
      <c r="A12" s="282" t="s">
        <v>1018</v>
      </c>
      <c r="B12" s="282" t="s">
        <v>783</v>
      </c>
      <c r="C12" s="282" t="str">
        <f t="array" ref="C12">IFERROR(INDEX(Companies!$B$5:$B$74,MATCH($B12,Companies!$A$5:$A$74,0)),"Unknown ID")</f>
        <v>DuraPlast Liberia Inc.</v>
      </c>
      <c r="D12" s="282" t="s">
        <v>1023</v>
      </c>
      <c r="E12" s="282" t="s">
        <v>212</v>
      </c>
      <c r="F12" s="282" t="s">
        <v>971</v>
      </c>
      <c r="G12" s="282" t="s">
        <v>1024</v>
      </c>
      <c r="H12" s="300"/>
      <c r="I12" s="300"/>
      <c r="J12" s="282"/>
      <c r="K12" s="282"/>
      <c r="L12" s="300"/>
      <c r="M12" s="300"/>
      <c r="N12" s="282" t="str">
        <f t="shared" si="1"/>
        <v>Pending – no licence no.</v>
      </c>
      <c r="O12" s="282"/>
      <c r="P12" s="282" t="s">
        <v>1025</v>
      </c>
      <c r="Q12" s="301" t="str">
        <f t="array" ref="Q12">IFERROR(INDEX('Bills &amp; Invoices'!$B$5:$B$32,MATCH("*"&amp;$A12&amp;"*",'Bills &amp; Invoices'!$V$5:$V$32,0)),"")</f>
        <v/>
      </c>
      <c r="R12" s="26"/>
      <c r="S12" s="26"/>
      <c r="T12" s="26"/>
      <c r="U12" s="26"/>
      <c r="V12" s="26"/>
      <c r="W12" s="26"/>
      <c r="X12" s="26"/>
      <c r="Y12" s="26"/>
      <c r="Z12" s="26"/>
      <c r="AA12" s="26"/>
    </row>
    <row r="13" ht="14.25" customHeight="1">
      <c r="A13" s="282" t="s">
        <v>1026</v>
      </c>
      <c r="B13" s="282" t="s">
        <v>788</v>
      </c>
      <c r="C13" s="282" t="str">
        <f t="array" ref="C13">IFERROR(INDEX(Companies!$B$5:$B$74,MATCH($B13,Companies!$A$5:$A$74,0)),"Unknown ID")</f>
        <v>Duraplast Paint</v>
      </c>
      <c r="D13" s="282" t="s">
        <v>789</v>
      </c>
      <c r="E13" s="282" t="s">
        <v>212</v>
      </c>
      <c r="F13" s="282" t="s">
        <v>971</v>
      </c>
      <c r="G13" s="282"/>
      <c r="H13" s="300"/>
      <c r="I13" s="300"/>
      <c r="J13" s="282"/>
      <c r="K13" s="282" t="s">
        <v>1029</v>
      </c>
      <c r="L13" s="300"/>
      <c r="M13" s="300"/>
      <c r="N13" s="282" t="str">
        <f t="shared" si="1"/>
        <v>Issued – expiry not recorded</v>
      </c>
      <c r="O13" s="282"/>
      <c r="P13" s="282" t="s">
        <v>1032</v>
      </c>
      <c r="Q13" s="301" t="str">
        <f t="array" ref="Q13">IFERROR(INDEX('Bills &amp; Invoices'!$B$5:$B$32,MATCH("*"&amp;$A13&amp;"*",'Bills &amp; Invoices'!$V$5:$V$32,0)),"")</f>
        <v/>
      </c>
      <c r="R13" s="26"/>
      <c r="S13" s="26"/>
      <c r="T13" s="26"/>
      <c r="U13" s="26"/>
      <c r="V13" s="26"/>
      <c r="W13" s="26"/>
      <c r="X13" s="26"/>
      <c r="Y13" s="26"/>
      <c r="Z13" s="26"/>
      <c r="AA13" s="26"/>
    </row>
    <row r="14" ht="14.25" customHeight="1">
      <c r="A14" s="282" t="s">
        <v>1033</v>
      </c>
      <c r="B14" s="282" t="s">
        <v>791</v>
      </c>
      <c r="C14" s="282" t="str">
        <f t="array" ref="C14">IFERROR(INDEX(Companies!$B$5:$B$74,MATCH($B14,Companies!$A$5:$A$74,0)),"Unknown ID")</f>
        <v>Good Luck Hardware / Business Center</v>
      </c>
      <c r="D14" s="282" t="s">
        <v>1034</v>
      </c>
      <c r="E14" s="282" t="s">
        <v>212</v>
      </c>
      <c r="F14" s="282" t="s">
        <v>971</v>
      </c>
      <c r="G14" s="282"/>
      <c r="H14" s="300"/>
      <c r="I14" s="300"/>
      <c r="J14" s="282"/>
      <c r="K14" s="282"/>
      <c r="L14" s="300"/>
      <c r="M14" s="300"/>
      <c r="N14" s="282" t="str">
        <f t="shared" si="1"/>
        <v>Pending – no licence no.</v>
      </c>
      <c r="O14" s="282"/>
      <c r="P14" s="282" t="s">
        <v>1035</v>
      </c>
      <c r="Q14" s="301" t="str">
        <f t="array" ref="Q14">IFERROR(INDEX('Bills &amp; Invoices'!$B$5:$B$32,MATCH("*"&amp;$A14&amp;"*",'Bills &amp; Invoices'!$V$5:$V$32,0)),"")</f>
        <v/>
      </c>
      <c r="R14" s="26"/>
      <c r="S14" s="26"/>
      <c r="T14" s="26"/>
      <c r="U14" s="26"/>
      <c r="V14" s="26"/>
      <c r="W14" s="26"/>
      <c r="X14" s="26"/>
      <c r="Y14" s="26"/>
      <c r="Z14" s="26"/>
      <c r="AA14" s="26"/>
    </row>
    <row r="15" ht="14.25" customHeight="1">
      <c r="A15" s="282" t="s">
        <v>1040</v>
      </c>
      <c r="B15" s="282" t="s">
        <v>795</v>
      </c>
      <c r="C15" s="282" t="str">
        <f t="array" ref="C15">IFERROR(INDEX(Companies!$B$5:$B$74,MATCH($B15,Companies!$A$5:$A$74,0)),"Unknown ID")</f>
        <v>Fayad Enterprise Corporation</v>
      </c>
      <c r="D15" s="282" t="s">
        <v>798</v>
      </c>
      <c r="E15" s="282" t="s">
        <v>212</v>
      </c>
      <c r="F15" s="282" t="s">
        <v>971</v>
      </c>
      <c r="G15" s="282" t="s">
        <v>1024</v>
      </c>
      <c r="H15" s="300"/>
      <c r="I15" s="300">
        <v>46030.0</v>
      </c>
      <c r="J15" s="282" t="s">
        <v>1041</v>
      </c>
      <c r="K15" s="282" t="s">
        <v>1042</v>
      </c>
      <c r="L15" s="300"/>
      <c r="M15" s="300"/>
      <c r="N15" s="282" t="str">
        <f t="shared" si="1"/>
        <v>Issued – expiry not recorded</v>
      </c>
      <c r="O15" s="282"/>
      <c r="P15" s="282" t="s">
        <v>1043</v>
      </c>
      <c r="Q15" s="301" t="str">
        <f t="array" ref="Q15">IFERROR(INDEX('Bills &amp; Invoices'!$B$5:$B$32,MATCH("*"&amp;$A15&amp;"*",'Bills &amp; Invoices'!$V$5:$V$32,0)),"")</f>
        <v/>
      </c>
      <c r="R15" s="26"/>
      <c r="S15" s="26"/>
      <c r="T15" s="26"/>
      <c r="U15" s="26"/>
      <c r="V15" s="26"/>
      <c r="W15" s="26"/>
      <c r="X15" s="26"/>
      <c r="Y15" s="26"/>
      <c r="Z15" s="26"/>
      <c r="AA15" s="26"/>
    </row>
    <row r="16" ht="14.25" customHeight="1">
      <c r="A16" s="282" t="s">
        <v>1044</v>
      </c>
      <c r="B16" s="282" t="s">
        <v>799</v>
      </c>
      <c r="C16" s="282" t="str">
        <f t="array" ref="C16">IFERROR(INDEX(Companies!$B$5:$B$74,MATCH($B16,Companies!$A$5:$A$74,0)),"Unknown ID")</f>
        <v>NICOM Distilleries Inc.</v>
      </c>
      <c r="D16" s="282" t="s">
        <v>1049</v>
      </c>
      <c r="E16" s="282" t="s">
        <v>212</v>
      </c>
      <c r="F16" s="282" t="s">
        <v>971</v>
      </c>
      <c r="G16" s="282" t="s">
        <v>802</v>
      </c>
      <c r="H16" s="300"/>
      <c r="I16" s="300">
        <v>46052.0</v>
      </c>
      <c r="J16" s="282" t="s">
        <v>1050</v>
      </c>
      <c r="K16" s="282" t="s">
        <v>1051</v>
      </c>
      <c r="L16" s="300"/>
      <c r="M16" s="300"/>
      <c r="N16" s="282" t="str">
        <f t="shared" si="1"/>
        <v>Issued – expiry not recorded</v>
      </c>
      <c r="O16" s="282" t="s">
        <v>1052</v>
      </c>
      <c r="P16" s="282" t="s">
        <v>1053</v>
      </c>
      <c r="Q16" s="301" t="str">
        <f t="array" ref="Q16">IFERROR(INDEX('Bills &amp; Invoices'!$B$5:$B$32,MATCH("*"&amp;$A16&amp;"*",'Bills &amp; Invoices'!$V$5:$V$32,0)),"")</f>
        <v/>
      </c>
      <c r="R16" s="26"/>
      <c r="S16" s="26"/>
      <c r="T16" s="26"/>
      <c r="U16" s="26"/>
      <c r="V16" s="26"/>
      <c r="W16" s="26"/>
      <c r="X16" s="26"/>
      <c r="Y16" s="26"/>
      <c r="Z16" s="26"/>
      <c r="AA16" s="26"/>
    </row>
    <row r="17" ht="14.25" customHeight="1">
      <c r="A17" s="282" t="s">
        <v>1054</v>
      </c>
      <c r="B17" s="282" t="s">
        <v>805</v>
      </c>
      <c r="C17" s="282" t="str">
        <f t="array" ref="C17">IFERROR(INDEX(Companies!$B$5:$B$74,MATCH($B17,Companies!$A$5:$A$74,0)),"Unknown ID")</f>
        <v>Mano Manufacturing Company (MANCO)</v>
      </c>
      <c r="D17" s="282" t="s">
        <v>1057</v>
      </c>
      <c r="E17" s="282" t="s">
        <v>212</v>
      </c>
      <c r="F17" s="282" t="s">
        <v>971</v>
      </c>
      <c r="G17" s="282" t="s">
        <v>1059</v>
      </c>
      <c r="H17" s="300"/>
      <c r="I17" s="300">
        <v>46042.0</v>
      </c>
      <c r="J17" s="282" t="s">
        <v>984</v>
      </c>
      <c r="K17" s="282"/>
      <c r="L17" s="300"/>
      <c r="M17" s="300"/>
      <c r="N17" s="282" t="str">
        <f t="shared" si="1"/>
        <v>Pending – no licence no.</v>
      </c>
      <c r="O17" s="282" t="s">
        <v>1061</v>
      </c>
      <c r="P17" s="282" t="s">
        <v>1062</v>
      </c>
      <c r="Q17" s="301" t="str">
        <f t="array" ref="Q17">IFERROR(INDEX('Bills &amp; Invoices'!$B$5:$B$32,MATCH("*"&amp;$A17&amp;"*",'Bills &amp; Invoices'!$V$5:$V$32,0)),"")</f>
        <v/>
      </c>
      <c r="R17" s="26"/>
      <c r="S17" s="26"/>
      <c r="T17" s="26"/>
      <c r="U17" s="26"/>
      <c r="V17" s="26"/>
      <c r="W17" s="26"/>
      <c r="X17" s="26"/>
      <c r="Y17" s="26"/>
      <c r="Z17" s="26"/>
      <c r="AA17" s="26"/>
    </row>
    <row r="18" ht="14.25" customHeight="1">
      <c r="A18" s="282" t="s">
        <v>1063</v>
      </c>
      <c r="B18" s="282" t="s">
        <v>811</v>
      </c>
      <c r="C18" s="282" t="str">
        <f t="array" ref="C18">IFERROR(INDEX(Companies!$B$5:$B$74,MATCH($B18,Companies!$A$5:$A$74,0)),"Unknown ID")</f>
        <v>National Paint Industries</v>
      </c>
      <c r="D18" s="282" t="s">
        <v>812</v>
      </c>
      <c r="E18" s="282" t="s">
        <v>212</v>
      </c>
      <c r="F18" s="282" t="s">
        <v>971</v>
      </c>
      <c r="G18" s="282" t="s">
        <v>1064</v>
      </c>
      <c r="H18" s="300"/>
      <c r="I18" s="300">
        <v>46052.0</v>
      </c>
      <c r="J18" s="282" t="s">
        <v>1065</v>
      </c>
      <c r="K18" s="282" t="s">
        <v>1065</v>
      </c>
      <c r="L18" s="300">
        <v>46023.0</v>
      </c>
      <c r="M18" s="300">
        <v>46387.0</v>
      </c>
      <c r="N18" s="282" t="str">
        <f t="shared" si="1"/>
        <v>Active</v>
      </c>
      <c r="O18" s="282" t="s">
        <v>1066</v>
      </c>
      <c r="P18" s="282" t="s">
        <v>1067</v>
      </c>
      <c r="Q18" s="301" t="str">
        <f t="array" ref="Q18">IFERROR(INDEX('Bills &amp; Invoices'!$B$5:$B$32,MATCH("*"&amp;$A18&amp;"*",'Bills &amp; Invoices'!$V$5:$V$32,0)),"")</f>
        <v/>
      </c>
      <c r="R18" s="26"/>
      <c r="S18" s="26"/>
      <c r="T18" s="26"/>
      <c r="U18" s="26"/>
      <c r="V18" s="26"/>
      <c r="W18" s="26"/>
      <c r="X18" s="26"/>
      <c r="Y18" s="26"/>
      <c r="Z18" s="26"/>
      <c r="AA18" s="26"/>
    </row>
    <row r="19" ht="14.25" customHeight="1">
      <c r="A19" s="282" t="s">
        <v>1069</v>
      </c>
      <c r="B19" s="282" t="s">
        <v>815</v>
      </c>
      <c r="C19" s="282" t="str">
        <f t="array" ref="C19">IFERROR(INDEX(Companies!$B$5:$B$74,MATCH($B19,Companies!$A$5:$A$74,0)),"Unknown ID")</f>
        <v>Mukesh Shopping Center</v>
      </c>
      <c r="D19" s="282" t="s">
        <v>816</v>
      </c>
      <c r="E19" s="282" t="s">
        <v>212</v>
      </c>
      <c r="F19" s="282" t="s">
        <v>971</v>
      </c>
      <c r="G19" s="282"/>
      <c r="H19" s="300"/>
      <c r="I19" s="300"/>
      <c r="J19" s="282"/>
      <c r="K19" s="282" t="s">
        <v>1070</v>
      </c>
      <c r="L19" s="300"/>
      <c r="M19" s="300"/>
      <c r="N19" s="282" t="str">
        <f t="shared" si="1"/>
        <v>Issued – expiry not recorded</v>
      </c>
      <c r="O19" s="282"/>
      <c r="P19" s="282" t="s">
        <v>1071</v>
      </c>
      <c r="Q19" s="301" t="str">
        <f t="array" ref="Q19">IFERROR(INDEX('Bills &amp; Invoices'!$B$5:$B$32,MATCH("*"&amp;$A19&amp;"*",'Bills &amp; Invoices'!$V$5:$V$32,0)),"")</f>
        <v/>
      </c>
      <c r="R19" s="26"/>
      <c r="S19" s="26"/>
      <c r="T19" s="26"/>
      <c r="U19" s="26"/>
      <c r="V19" s="26"/>
      <c r="W19" s="26"/>
      <c r="X19" s="26"/>
      <c r="Y19" s="26"/>
      <c r="Z19" s="26"/>
      <c r="AA19" s="26"/>
    </row>
    <row r="20" ht="14.25" customHeight="1">
      <c r="A20" s="282" t="s">
        <v>627</v>
      </c>
      <c r="B20" s="282" t="s">
        <v>817</v>
      </c>
      <c r="C20" s="282" t="str">
        <f t="array" ref="C20">IFERROR(INDEX(Companies!$B$5:$B$74,MATCH($B20,Companies!$A$5:$A$74,0)),"Unknown ID")</f>
        <v>Fouani Brothers</v>
      </c>
      <c r="D20" s="282" t="s">
        <v>818</v>
      </c>
      <c r="E20" s="282" t="s">
        <v>212</v>
      </c>
      <c r="F20" s="282" t="s">
        <v>971</v>
      </c>
      <c r="G20" s="282"/>
      <c r="H20" s="300"/>
      <c r="I20" s="300"/>
      <c r="J20" s="282"/>
      <c r="K20" s="282"/>
      <c r="L20" s="300"/>
      <c r="M20" s="300"/>
      <c r="N20" s="282" t="str">
        <f t="shared" si="1"/>
        <v>Pending – no licence no.</v>
      </c>
      <c r="O20" s="282"/>
      <c r="P20" s="282" t="s">
        <v>1075</v>
      </c>
      <c r="Q20" s="301" t="str">
        <f t="array" ref="Q20">IFERROR(INDEX('Bills &amp; Invoices'!$B$5:$B$32,MATCH("*"&amp;$A20&amp;"*",'Bills &amp; Invoices'!$V$5:$V$32,0)),"")</f>
        <v/>
      </c>
      <c r="R20" s="26"/>
      <c r="S20" s="26"/>
      <c r="T20" s="26"/>
      <c r="U20" s="26"/>
      <c r="V20" s="26"/>
      <c r="W20" s="26"/>
      <c r="X20" s="26"/>
      <c r="Y20" s="26"/>
      <c r="Z20" s="26"/>
      <c r="AA20" s="26"/>
    </row>
    <row r="21" ht="14.25" customHeight="1">
      <c r="A21" s="282" t="s">
        <v>1076</v>
      </c>
      <c r="B21" s="282" t="s">
        <v>820</v>
      </c>
      <c r="C21" s="282" t="str">
        <f t="array" ref="C21">IFERROR(INDEX(Companies!$B$5:$B$74,MATCH($B21,Companies!$A$5:$A$74,0)),"Unknown ID")</f>
        <v>LIPFOCO Mattress Factory</v>
      </c>
      <c r="D21" s="282" t="s">
        <v>824</v>
      </c>
      <c r="E21" s="282" t="s">
        <v>212</v>
      </c>
      <c r="F21" s="282" t="s">
        <v>971</v>
      </c>
      <c r="G21" s="282" t="s">
        <v>1077</v>
      </c>
      <c r="H21" s="300"/>
      <c r="I21" s="300">
        <v>46052.0</v>
      </c>
      <c r="J21" s="282" t="s">
        <v>1078</v>
      </c>
      <c r="K21" s="282" t="s">
        <v>1078</v>
      </c>
      <c r="L21" s="300"/>
      <c r="M21" s="300"/>
      <c r="N21" s="282" t="str">
        <f t="shared" si="1"/>
        <v>Issued – expiry not recorded</v>
      </c>
      <c r="O21" s="282"/>
      <c r="P21" s="282" t="s">
        <v>1079</v>
      </c>
      <c r="Q21" s="301" t="str">
        <f t="array" ref="Q21">IFERROR(INDEX('Bills &amp; Invoices'!$B$5:$B$32,MATCH("*"&amp;$A21&amp;"*",'Bills &amp; Invoices'!$V$5:$V$32,0)),"")</f>
        <v/>
      </c>
      <c r="R21" s="26"/>
      <c r="S21" s="26"/>
      <c r="T21" s="26"/>
      <c r="U21" s="26"/>
      <c r="V21" s="26"/>
      <c r="W21" s="26"/>
      <c r="X21" s="26"/>
      <c r="Y21" s="26"/>
      <c r="Z21" s="26"/>
      <c r="AA21" s="26"/>
    </row>
    <row r="22" ht="14.25" customHeight="1">
      <c r="A22" s="282" t="s">
        <v>1080</v>
      </c>
      <c r="B22" s="282" t="s">
        <v>825</v>
      </c>
      <c r="C22" s="282" t="str">
        <f t="array" ref="C22">IFERROR(INDEX(Companies!$B$5:$B$74,MATCH($B22,Companies!$A$5:$A$74,0)),"Unknown ID")</f>
        <v>Mano Palm Oil Plantation (MPOP)</v>
      </c>
      <c r="D22" s="282" t="s">
        <v>826</v>
      </c>
      <c r="E22" s="282" t="s">
        <v>212</v>
      </c>
      <c r="F22" s="282" t="s">
        <v>971</v>
      </c>
      <c r="G22" s="282" t="s">
        <v>1081</v>
      </c>
      <c r="H22" s="300"/>
      <c r="I22" s="300">
        <v>46050.0</v>
      </c>
      <c r="J22" s="282"/>
      <c r="K22" s="282"/>
      <c r="L22" s="300"/>
      <c r="M22" s="300"/>
      <c r="N22" s="282" t="str">
        <f t="shared" si="1"/>
        <v>Pending – no licence no.</v>
      </c>
      <c r="O22" s="282"/>
      <c r="P22" s="282" t="s">
        <v>1082</v>
      </c>
      <c r="Q22" s="301" t="str">
        <f t="array" ref="Q22">IFERROR(INDEX('Bills &amp; Invoices'!$B$5:$B$32,MATCH("*"&amp;$A22&amp;"*",'Bills &amp; Invoices'!$V$5:$V$32,0)),"")</f>
        <v/>
      </c>
      <c r="R22" s="26"/>
      <c r="S22" s="26"/>
      <c r="T22" s="26"/>
      <c r="U22" s="26"/>
      <c r="V22" s="26"/>
      <c r="W22" s="26"/>
      <c r="X22" s="26"/>
      <c r="Y22" s="26"/>
      <c r="Z22" s="26"/>
      <c r="AA22" s="26"/>
    </row>
    <row r="23" ht="14.25" customHeight="1">
      <c r="A23" s="282" t="s">
        <v>1083</v>
      </c>
      <c r="B23" s="282" t="s">
        <v>830</v>
      </c>
      <c r="C23" s="282" t="str">
        <f t="array" ref="C23">IFERROR(INDEX(Companies!$B$5:$B$74,MATCH($B23,Companies!$A$5:$A$74,0)),"Unknown ID")</f>
        <v>Quality Industries Limited</v>
      </c>
      <c r="D23" s="282" t="s">
        <v>1084</v>
      </c>
      <c r="E23" s="282" t="s">
        <v>212</v>
      </c>
      <c r="F23" s="282" t="s">
        <v>971</v>
      </c>
      <c r="G23" s="282"/>
      <c r="H23" s="300"/>
      <c r="I23" s="300"/>
      <c r="J23" s="282"/>
      <c r="K23" s="282" t="s">
        <v>1085</v>
      </c>
      <c r="L23" s="300"/>
      <c r="M23" s="300"/>
      <c r="N23" s="282" t="str">
        <f t="shared" si="1"/>
        <v>Issued – expiry not recorded</v>
      </c>
      <c r="O23" s="282"/>
      <c r="P23" s="282" t="s">
        <v>1086</v>
      </c>
      <c r="Q23" s="301" t="str">
        <f t="array" ref="Q23">IFERROR(INDEX('Bills &amp; Invoices'!$B$5:$B$32,MATCH("*"&amp;$A23&amp;"*",'Bills &amp; Invoices'!$V$5:$V$32,0)),"")</f>
        <v/>
      </c>
      <c r="R23" s="26"/>
      <c r="S23" s="26"/>
      <c r="T23" s="26"/>
      <c r="U23" s="26"/>
      <c r="V23" s="26"/>
      <c r="W23" s="26"/>
      <c r="X23" s="26"/>
      <c r="Y23" s="26"/>
      <c r="Z23" s="26"/>
      <c r="AA23" s="26"/>
    </row>
    <row r="24" ht="14.25" customHeight="1">
      <c r="A24" s="282" t="s">
        <v>1087</v>
      </c>
      <c r="B24" s="282" t="s">
        <v>833</v>
      </c>
      <c r="C24" s="282" t="str">
        <f t="array" ref="C24">IFERROR(INDEX(Companies!$B$5:$B$74,MATCH($B24,Companies!$A$5:$A$74,0)),"Unknown ID")</f>
        <v>LR &amp; Sons Distillery Inc.</v>
      </c>
      <c r="D24" s="282" t="s">
        <v>1088</v>
      </c>
      <c r="E24" s="282" t="s">
        <v>212</v>
      </c>
      <c r="F24" s="282" t="s">
        <v>971</v>
      </c>
      <c r="G24" s="282"/>
      <c r="H24" s="300"/>
      <c r="I24" s="300"/>
      <c r="J24" s="282"/>
      <c r="K24" s="282" t="s">
        <v>1089</v>
      </c>
      <c r="L24" s="300"/>
      <c r="M24" s="300"/>
      <c r="N24" s="282" t="str">
        <f t="shared" si="1"/>
        <v>Issued – expiry not recorded</v>
      </c>
      <c r="O24" s="282"/>
      <c r="P24" s="282" t="s">
        <v>1090</v>
      </c>
      <c r="Q24" s="301" t="str">
        <f t="array" ref="Q24">IFERROR(INDEX('Bills &amp; Invoices'!$B$5:$B$32,MATCH("*"&amp;$A24&amp;"*",'Bills &amp; Invoices'!$V$5:$V$32,0)),"")</f>
        <v/>
      </c>
      <c r="R24" s="26"/>
      <c r="S24" s="26"/>
      <c r="T24" s="26"/>
      <c r="U24" s="26"/>
      <c r="V24" s="26"/>
      <c r="W24" s="26"/>
      <c r="X24" s="26"/>
      <c r="Y24" s="26"/>
      <c r="Z24" s="26"/>
      <c r="AA24" s="26"/>
    </row>
    <row r="25" ht="14.25" customHeight="1">
      <c r="A25" s="282" t="s">
        <v>1091</v>
      </c>
      <c r="B25" s="282" t="s">
        <v>838</v>
      </c>
      <c r="C25" s="282" t="str">
        <f t="array" ref="C25">IFERROR(INDEX(Companies!$B$5:$B$74,MATCH($B25,Companies!$A$5:$A$74,0)),"Unknown ID")</f>
        <v>Tiba Industrial Group</v>
      </c>
      <c r="D25" s="282" t="s">
        <v>839</v>
      </c>
      <c r="E25" s="282" t="s">
        <v>212</v>
      </c>
      <c r="F25" s="282" t="s">
        <v>971</v>
      </c>
      <c r="G25" s="282"/>
      <c r="H25" s="300"/>
      <c r="I25" s="300"/>
      <c r="J25" s="282"/>
      <c r="K25" s="282" t="s">
        <v>1092</v>
      </c>
      <c r="L25" s="300"/>
      <c r="M25" s="300"/>
      <c r="N25" s="282" t="str">
        <f t="shared" si="1"/>
        <v>Issued – expiry not recorded</v>
      </c>
      <c r="O25" s="282" t="s">
        <v>1093</v>
      </c>
      <c r="P25" s="282" t="s">
        <v>1094</v>
      </c>
      <c r="Q25" s="301" t="str">
        <f t="array" ref="Q25">IFERROR(INDEX('Bills &amp; Invoices'!$B$5:$B$32,MATCH("*"&amp;$A25&amp;"*",'Bills &amp; Invoices'!$V$5:$V$32,0)),"")</f>
        <v/>
      </c>
      <c r="R25" s="26"/>
      <c r="S25" s="26"/>
      <c r="T25" s="26"/>
      <c r="U25" s="26"/>
      <c r="V25" s="26"/>
      <c r="W25" s="26"/>
      <c r="X25" s="26"/>
      <c r="Y25" s="26"/>
      <c r="Z25" s="26"/>
      <c r="AA25" s="26"/>
    </row>
    <row r="26" ht="14.25" customHeight="1">
      <c r="A26" s="282" t="s">
        <v>1095</v>
      </c>
      <c r="B26" s="282" t="s">
        <v>840</v>
      </c>
      <c r="C26" s="282" t="str">
        <f t="array" ref="C26">IFERROR(INDEX(Companies!$B$5:$B$74,MATCH($B26,Companies!$A$5:$A$74,0)),"Unknown ID")</f>
        <v>National Beverages Inc.</v>
      </c>
      <c r="D26" s="282" t="s">
        <v>843</v>
      </c>
      <c r="E26" s="282" t="s">
        <v>212</v>
      </c>
      <c r="F26" s="282" t="s">
        <v>971</v>
      </c>
      <c r="G26" s="282"/>
      <c r="H26" s="300"/>
      <c r="I26" s="300"/>
      <c r="J26" s="282"/>
      <c r="K26" s="282" t="s">
        <v>1092</v>
      </c>
      <c r="L26" s="300"/>
      <c r="M26" s="300"/>
      <c r="N26" s="282" t="str">
        <f t="shared" si="1"/>
        <v>Issued – expiry not recorded</v>
      </c>
      <c r="O26" s="282" t="s">
        <v>1096</v>
      </c>
      <c r="P26" s="282" t="s">
        <v>1097</v>
      </c>
      <c r="Q26" s="301" t="str">
        <f t="array" ref="Q26">IFERROR(INDEX('Bills &amp; Invoices'!$B$5:$B$32,MATCH("*"&amp;$A26&amp;"*",'Bills &amp; Invoices'!$V$5:$V$32,0)),"")</f>
        <v/>
      </c>
      <c r="R26" s="26"/>
      <c r="S26" s="26"/>
      <c r="T26" s="26"/>
      <c r="U26" s="26"/>
      <c r="V26" s="26"/>
      <c r="W26" s="26"/>
      <c r="X26" s="26"/>
      <c r="Y26" s="26"/>
      <c r="Z26" s="26"/>
      <c r="AA26" s="26"/>
    </row>
    <row r="27" ht="14.25" customHeight="1">
      <c r="A27" s="282" t="s">
        <v>1098</v>
      </c>
      <c r="B27" s="282" t="s">
        <v>844</v>
      </c>
      <c r="C27" s="282" t="str">
        <f t="array" ref="C27">IFERROR(INDEX(Companies!$B$5:$B$74,MATCH($B27,Companies!$A$5:$A$74,0)),"Unknown ID")</f>
        <v>Optimum Solution Liberia</v>
      </c>
      <c r="D27" s="282" t="s">
        <v>847</v>
      </c>
      <c r="E27" s="282" t="s">
        <v>212</v>
      </c>
      <c r="F27" s="282" t="s">
        <v>971</v>
      </c>
      <c r="G27" s="282"/>
      <c r="H27" s="300"/>
      <c r="I27" s="300"/>
      <c r="J27" s="282"/>
      <c r="K27" s="282" t="s">
        <v>1099</v>
      </c>
      <c r="L27" s="300"/>
      <c r="M27" s="300"/>
      <c r="N27" s="282" t="str">
        <f t="shared" si="1"/>
        <v>Issued – expiry not recorded</v>
      </c>
      <c r="O27" s="282"/>
      <c r="P27" s="282" t="s">
        <v>1100</v>
      </c>
      <c r="Q27" s="301" t="str">
        <f t="array" ref="Q27">IFERROR(INDEX('Bills &amp; Invoices'!$B$5:$B$32,MATCH("*"&amp;$A27&amp;"*",'Bills &amp; Invoices'!$V$5:$V$32,0)),"")</f>
        <v/>
      </c>
      <c r="R27" s="26"/>
      <c r="S27" s="26"/>
      <c r="T27" s="26"/>
      <c r="U27" s="26"/>
      <c r="V27" s="26"/>
      <c r="W27" s="26"/>
      <c r="X27" s="26"/>
      <c r="Y27" s="26"/>
      <c r="Z27" s="26"/>
      <c r="AA27" s="26"/>
    </row>
    <row r="28" ht="14.25" customHeight="1">
      <c r="A28" s="282" t="s">
        <v>1101</v>
      </c>
      <c r="B28" s="282" t="s">
        <v>849</v>
      </c>
      <c r="C28" s="282" t="str">
        <f t="array" ref="C28">IFERROR(INDEX(Companies!$B$5:$B$74,MATCH($B28,Companies!$A$5:$A$74,0)),"Unknown ID")</f>
        <v>Platinum Liberia Limited</v>
      </c>
      <c r="D28" s="282" t="s">
        <v>850</v>
      </c>
      <c r="E28" s="282" t="s">
        <v>212</v>
      </c>
      <c r="F28" s="282" t="s">
        <v>971</v>
      </c>
      <c r="G28" s="282"/>
      <c r="H28" s="300"/>
      <c r="I28" s="300"/>
      <c r="J28" s="282"/>
      <c r="K28" s="282" t="s">
        <v>1102</v>
      </c>
      <c r="L28" s="300"/>
      <c r="M28" s="300"/>
      <c r="N28" s="282" t="str">
        <f t="shared" si="1"/>
        <v>Issued – expiry not recorded</v>
      </c>
      <c r="O28" s="282"/>
      <c r="P28" s="282" t="s">
        <v>1103</v>
      </c>
      <c r="Q28" s="301" t="str">
        <f t="array" ref="Q28">IFERROR(INDEX('Bills &amp; Invoices'!$B$5:$B$32,MATCH("*"&amp;$A28&amp;"*",'Bills &amp; Invoices'!$V$5:$V$32,0)),"")</f>
        <v/>
      </c>
      <c r="R28" s="26"/>
      <c r="S28" s="26"/>
      <c r="T28" s="26"/>
      <c r="U28" s="26"/>
      <c r="V28" s="26"/>
      <c r="W28" s="26"/>
      <c r="X28" s="26"/>
      <c r="Y28" s="26"/>
      <c r="Z28" s="26"/>
      <c r="AA28" s="26"/>
    </row>
    <row r="29" ht="14.25" customHeight="1">
      <c r="A29" s="282" t="s">
        <v>1104</v>
      </c>
      <c r="B29" s="282" t="s">
        <v>851</v>
      </c>
      <c r="C29" s="282" t="str">
        <f t="array" ref="C29">IFERROR(INDEX(Companies!$B$5:$B$74,MATCH($B29,Companies!$A$5:$A$74,0)),"Unknown ID")</f>
        <v>MAXAM Liberia JV Inc.</v>
      </c>
      <c r="D29" s="282" t="s">
        <v>1105</v>
      </c>
      <c r="E29" s="282" t="s">
        <v>212</v>
      </c>
      <c r="F29" s="282" t="s">
        <v>971</v>
      </c>
      <c r="G29" s="282"/>
      <c r="H29" s="300"/>
      <c r="I29" s="300"/>
      <c r="J29" s="282"/>
      <c r="K29" s="282" t="s">
        <v>1106</v>
      </c>
      <c r="L29" s="300"/>
      <c r="M29" s="300"/>
      <c r="N29" s="282" t="str">
        <f t="shared" si="1"/>
        <v>Issued – expiry not recorded</v>
      </c>
      <c r="O29" s="282"/>
      <c r="P29" s="282" t="s">
        <v>1107</v>
      </c>
      <c r="Q29" s="301" t="str">
        <f t="array" ref="Q29">IFERROR(INDEX('Bills &amp; Invoices'!$B$5:$B$32,MATCH("*"&amp;$A29&amp;"*",'Bills &amp; Invoices'!$V$5:$V$32,0)),"")</f>
        <v/>
      </c>
      <c r="R29" s="26"/>
      <c r="S29" s="26"/>
      <c r="T29" s="26"/>
      <c r="U29" s="26"/>
      <c r="V29" s="26"/>
      <c r="W29" s="26"/>
      <c r="X29" s="26"/>
      <c r="Y29" s="26"/>
      <c r="Z29" s="26"/>
      <c r="AA29" s="26"/>
    </row>
    <row r="30" ht="14.25" customHeight="1">
      <c r="A30" s="282" t="s">
        <v>588</v>
      </c>
      <c r="B30" s="282" t="s">
        <v>739</v>
      </c>
      <c r="C30" s="282" t="str">
        <f t="array" ref="C30">IFERROR(INDEX(Companies!$B$5:$B$74,MATCH($B30,Companies!$A$5:$A$74,0)),"Unknown ID")</f>
        <v>Bea Mountain Mining Corporation (BMMC)</v>
      </c>
      <c r="D30" s="282" t="s">
        <v>970</v>
      </c>
      <c r="E30" s="282" t="s">
        <v>240</v>
      </c>
      <c r="F30" s="282" t="s">
        <v>757</v>
      </c>
      <c r="G30" s="282" t="s">
        <v>990</v>
      </c>
      <c r="H30" s="300"/>
      <c r="I30" s="300"/>
      <c r="J30" s="282"/>
      <c r="K30" s="282" t="s">
        <v>1108</v>
      </c>
      <c r="L30" s="300">
        <v>46037.0</v>
      </c>
      <c r="M30" s="300">
        <v>46387.0</v>
      </c>
      <c r="N30" s="282" t="str">
        <f t="shared" si="1"/>
        <v>Active</v>
      </c>
      <c r="O30" s="282"/>
      <c r="P30" s="282" t="s">
        <v>1109</v>
      </c>
      <c r="Q30" s="301" t="str">
        <f t="array" ref="Q30">IFERROR(INDEX('Bills &amp; Invoices'!$B$5:$B$32,MATCH("*"&amp;$A30&amp;"*",'Bills &amp; Invoices'!$V$5:$V$32,0)),"")</f>
        <v/>
      </c>
      <c r="R30" s="26"/>
      <c r="S30" s="26"/>
      <c r="T30" s="26"/>
      <c r="U30" s="26"/>
      <c r="V30" s="26"/>
      <c r="W30" s="26"/>
      <c r="X30" s="26"/>
      <c r="Y30" s="26"/>
      <c r="Z30" s="26"/>
      <c r="AA30" s="26"/>
    </row>
    <row r="31" ht="14.25" customHeight="1">
      <c r="A31" s="282" t="s">
        <v>1110</v>
      </c>
      <c r="B31" s="282" t="s">
        <v>749</v>
      </c>
      <c r="C31" s="282" t="str">
        <f t="array" ref="C31">IFERROR(INDEX(Companies!$B$5:$B$74,MATCH($B31,Companies!$A$5:$A$74,0)),"Unknown ID")</f>
        <v>Firestone Liberia</v>
      </c>
      <c r="D31" s="282" t="s">
        <v>983</v>
      </c>
      <c r="E31" s="282" t="s">
        <v>240</v>
      </c>
      <c r="F31" s="282" t="s">
        <v>757</v>
      </c>
      <c r="G31" s="282"/>
      <c r="H31" s="300"/>
      <c r="I31" s="300"/>
      <c r="J31" s="282"/>
      <c r="K31" s="282" t="s">
        <v>1111</v>
      </c>
      <c r="L31" s="300"/>
      <c r="M31" s="300"/>
      <c r="N31" s="282" t="str">
        <f t="shared" si="1"/>
        <v>Issued – expiry not recorded</v>
      </c>
      <c r="O31" s="282"/>
      <c r="P31" s="282" t="s">
        <v>1112</v>
      </c>
      <c r="Q31" s="301" t="str">
        <f t="array" ref="Q31">IFERROR(INDEX('Bills &amp; Invoices'!$B$5:$B$32,MATCH("*"&amp;$A31&amp;"*",'Bills &amp; Invoices'!$V$5:$V$32,0)),"")</f>
        <v/>
      </c>
      <c r="R31" s="26"/>
      <c r="S31" s="26"/>
      <c r="T31" s="26"/>
      <c r="U31" s="26"/>
      <c r="V31" s="26"/>
      <c r="W31" s="26"/>
      <c r="X31" s="26"/>
      <c r="Y31" s="26"/>
      <c r="Z31" s="26"/>
      <c r="AA31" s="26"/>
    </row>
    <row r="32" ht="14.25" customHeight="1">
      <c r="A32" s="282" t="s">
        <v>1113</v>
      </c>
      <c r="B32" s="282" t="s">
        <v>767</v>
      </c>
      <c r="C32" s="282" t="str">
        <f t="array" ref="C32">IFERROR(INDEX(Companies!$B$5:$B$74,MATCH($B32,Companies!$A$5:$A$74,0)),"Unknown ID")</f>
        <v>Delta Plastics Inc.</v>
      </c>
      <c r="D32" s="282" t="s">
        <v>1004</v>
      </c>
      <c r="E32" s="282" t="s">
        <v>240</v>
      </c>
      <c r="F32" s="282" t="s">
        <v>757</v>
      </c>
      <c r="G32" s="282" t="s">
        <v>770</v>
      </c>
      <c r="H32" s="300"/>
      <c r="I32" s="300"/>
      <c r="J32" s="282"/>
      <c r="K32" s="282" t="s">
        <v>1114</v>
      </c>
      <c r="L32" s="300">
        <v>46023.0</v>
      </c>
      <c r="M32" s="300">
        <v>46387.0</v>
      </c>
      <c r="N32" s="282" t="str">
        <f t="shared" si="1"/>
        <v>Active</v>
      </c>
      <c r="O32" s="282"/>
      <c r="P32" s="282" t="s">
        <v>1115</v>
      </c>
      <c r="Q32" s="301" t="str">
        <f t="array" ref="Q32">IFERROR(INDEX('Bills &amp; Invoices'!$B$5:$B$32,MATCH("*"&amp;$A32&amp;"*",'Bills &amp; Invoices'!$V$5:$V$32,0)),"")</f>
        <v/>
      </c>
      <c r="R32" s="26"/>
      <c r="S32" s="26"/>
      <c r="T32" s="26"/>
      <c r="U32" s="26"/>
      <c r="V32" s="26"/>
      <c r="W32" s="26"/>
      <c r="X32" s="26"/>
      <c r="Y32" s="26"/>
      <c r="Z32" s="26"/>
      <c r="AA32" s="26"/>
    </row>
    <row r="33" ht="14.25" customHeight="1">
      <c r="A33" s="282" t="s">
        <v>1116</v>
      </c>
      <c r="B33" s="282" t="s">
        <v>788</v>
      </c>
      <c r="C33" s="282" t="str">
        <f t="array" ref="C33">IFERROR(INDEX(Companies!$B$5:$B$74,MATCH($B33,Companies!$A$5:$A$74,0)),"Unknown ID")</f>
        <v>Duraplast Paint</v>
      </c>
      <c r="D33" s="282" t="s">
        <v>789</v>
      </c>
      <c r="E33" s="282" t="s">
        <v>240</v>
      </c>
      <c r="F33" s="282" t="s">
        <v>757</v>
      </c>
      <c r="G33" s="282"/>
      <c r="H33" s="300"/>
      <c r="I33" s="300"/>
      <c r="J33" s="282"/>
      <c r="K33" s="282" t="s">
        <v>1117</v>
      </c>
      <c r="L33" s="300"/>
      <c r="M33" s="300"/>
      <c r="N33" s="282" t="str">
        <f t="shared" si="1"/>
        <v>Issued – expiry not recorded</v>
      </c>
      <c r="O33" s="282"/>
      <c r="P33" s="282" t="s">
        <v>1118</v>
      </c>
      <c r="Q33" s="301" t="str">
        <f t="array" ref="Q33">IFERROR(INDEX('Bills &amp; Invoices'!$B$5:$B$32,MATCH("*"&amp;$A33&amp;"*",'Bills &amp; Invoices'!$V$5:$V$32,0)),"")</f>
        <v/>
      </c>
      <c r="R33" s="26"/>
      <c r="S33" s="26"/>
      <c r="T33" s="26"/>
      <c r="U33" s="26"/>
      <c r="V33" s="26"/>
      <c r="W33" s="26"/>
      <c r="X33" s="26"/>
      <c r="Y33" s="26"/>
      <c r="Z33" s="26"/>
      <c r="AA33" s="26"/>
    </row>
    <row r="34" ht="14.25" customHeight="1">
      <c r="A34" s="282" t="s">
        <v>1119</v>
      </c>
      <c r="B34" s="282" t="s">
        <v>799</v>
      </c>
      <c r="C34" s="282" t="str">
        <f t="array" ref="C34">IFERROR(INDEX(Companies!$B$5:$B$74,MATCH($B34,Companies!$A$5:$A$74,0)),"Unknown ID")</f>
        <v>NICOM Distilleries Inc.</v>
      </c>
      <c r="D34" s="282" t="s">
        <v>1049</v>
      </c>
      <c r="E34" s="282" t="s">
        <v>240</v>
      </c>
      <c r="F34" s="282" t="s">
        <v>757</v>
      </c>
      <c r="G34" s="282"/>
      <c r="H34" s="300"/>
      <c r="I34" s="300"/>
      <c r="J34" s="282"/>
      <c r="K34" s="282" t="s">
        <v>1120</v>
      </c>
      <c r="L34" s="300"/>
      <c r="M34" s="300"/>
      <c r="N34" s="282" t="str">
        <f t="shared" si="1"/>
        <v>Issued – expiry not recorded</v>
      </c>
      <c r="O34" s="282" t="s">
        <v>1121</v>
      </c>
      <c r="P34" s="282" t="s">
        <v>1122</v>
      </c>
      <c r="Q34" s="301" t="str">
        <f t="array" ref="Q34">IFERROR(INDEX('Bills &amp; Invoices'!$B$5:$B$32,MATCH("*"&amp;$A34&amp;"*",'Bills &amp; Invoices'!$V$5:$V$32,0)),"")</f>
        <v/>
      </c>
      <c r="R34" s="26"/>
      <c r="S34" s="26"/>
      <c r="T34" s="26"/>
      <c r="U34" s="26"/>
      <c r="V34" s="26"/>
      <c r="W34" s="26"/>
      <c r="X34" s="26"/>
      <c r="Y34" s="26"/>
      <c r="Z34" s="26"/>
      <c r="AA34" s="26"/>
    </row>
    <row r="35" ht="14.25" customHeight="1">
      <c r="A35" s="282" t="s">
        <v>1123</v>
      </c>
      <c r="B35" s="282" t="s">
        <v>817</v>
      </c>
      <c r="C35" s="282" t="str">
        <f t="array" ref="C35">IFERROR(INDEX(Companies!$B$5:$B$74,MATCH($B35,Companies!$A$5:$A$74,0)),"Unknown ID")</f>
        <v>Fouani Brothers</v>
      </c>
      <c r="D35" s="282" t="s">
        <v>818</v>
      </c>
      <c r="E35" s="282" t="s">
        <v>240</v>
      </c>
      <c r="F35" s="282" t="s">
        <v>757</v>
      </c>
      <c r="G35" s="282"/>
      <c r="H35" s="300"/>
      <c r="I35" s="300"/>
      <c r="J35" s="282"/>
      <c r="K35" s="282"/>
      <c r="L35" s="300"/>
      <c r="M35" s="300"/>
      <c r="N35" s="282" t="str">
        <f t="shared" si="1"/>
        <v>Pending – no licence no.</v>
      </c>
      <c r="O35" s="282"/>
      <c r="P35" s="282" t="s">
        <v>1124</v>
      </c>
      <c r="Q35" s="301" t="str">
        <f t="array" ref="Q35">IFERROR(INDEX('Bills &amp; Invoices'!$B$5:$B$32,MATCH("*"&amp;$A35&amp;"*",'Bills &amp; Invoices'!$V$5:$V$32,0)),"")</f>
        <v/>
      </c>
      <c r="R35" s="26"/>
      <c r="S35" s="26"/>
      <c r="T35" s="26"/>
      <c r="U35" s="26"/>
      <c r="V35" s="26"/>
      <c r="W35" s="26"/>
      <c r="X35" s="26"/>
      <c r="Y35" s="26"/>
      <c r="Z35" s="26"/>
      <c r="AA35" s="26"/>
    </row>
    <row r="36" ht="14.25" customHeight="1">
      <c r="A36" s="282" t="s">
        <v>1125</v>
      </c>
      <c r="B36" s="282" t="s">
        <v>838</v>
      </c>
      <c r="C36" s="282" t="str">
        <f t="array" ref="C36">IFERROR(INDEX(Companies!$B$5:$B$74,MATCH($B36,Companies!$A$5:$A$74,0)),"Unknown ID")</f>
        <v>Tiba Industrial Group</v>
      </c>
      <c r="D36" s="282" t="s">
        <v>839</v>
      </c>
      <c r="E36" s="282" t="s">
        <v>240</v>
      </c>
      <c r="F36" s="282" t="s">
        <v>757</v>
      </c>
      <c r="G36" s="282"/>
      <c r="H36" s="300"/>
      <c r="I36" s="300"/>
      <c r="J36" s="282"/>
      <c r="K36" s="282" t="s">
        <v>1126</v>
      </c>
      <c r="L36" s="300"/>
      <c r="M36" s="300"/>
      <c r="N36" s="282" t="str">
        <f t="shared" si="1"/>
        <v>Issued – expiry not recorded</v>
      </c>
      <c r="O36" s="282"/>
      <c r="P36" s="282" t="s">
        <v>1127</v>
      </c>
      <c r="Q36" s="301" t="str">
        <f t="array" ref="Q36">IFERROR(INDEX('Bills &amp; Invoices'!$B$5:$B$32,MATCH("*"&amp;$A36&amp;"*",'Bills &amp; Invoices'!$V$5:$V$32,0)),"")</f>
        <v/>
      </c>
      <c r="R36" s="26"/>
      <c r="S36" s="26"/>
      <c r="T36" s="26"/>
      <c r="U36" s="26"/>
      <c r="V36" s="26"/>
      <c r="W36" s="26"/>
      <c r="X36" s="26"/>
      <c r="Y36" s="26"/>
      <c r="Z36" s="26"/>
      <c r="AA36" s="26"/>
    </row>
    <row r="37" ht="14.25" customHeight="1">
      <c r="A37" s="282" t="s">
        <v>1128</v>
      </c>
      <c r="B37" s="282" t="s">
        <v>844</v>
      </c>
      <c r="C37" s="282" t="str">
        <f t="array" ref="C37">IFERROR(INDEX(Companies!$B$5:$B$74,MATCH($B37,Companies!$A$5:$A$74,0)),"Unknown ID")</f>
        <v>Optimum Solution Liberia</v>
      </c>
      <c r="D37" s="282" t="s">
        <v>847</v>
      </c>
      <c r="E37" s="282" t="s">
        <v>240</v>
      </c>
      <c r="F37" s="282" t="s">
        <v>757</v>
      </c>
      <c r="G37" s="282"/>
      <c r="H37" s="300"/>
      <c r="I37" s="300"/>
      <c r="J37" s="282"/>
      <c r="K37" s="282" t="s">
        <v>1129</v>
      </c>
      <c r="L37" s="300"/>
      <c r="M37" s="300"/>
      <c r="N37" s="282" t="str">
        <f t="shared" si="1"/>
        <v>Issued – expiry not recorded</v>
      </c>
      <c r="O37" s="282"/>
      <c r="P37" s="282" t="s">
        <v>1130</v>
      </c>
      <c r="Q37" s="301" t="str">
        <f t="array" ref="Q37">IFERROR(INDEX('Bills &amp; Invoices'!$B$5:$B$32,MATCH("*"&amp;$A37&amp;"*",'Bills &amp; Invoices'!$V$5:$V$32,0)),"")</f>
        <v/>
      </c>
      <c r="R37" s="26"/>
      <c r="S37" s="26"/>
      <c r="T37" s="26"/>
      <c r="U37" s="26"/>
      <c r="V37" s="26"/>
      <c r="W37" s="26"/>
      <c r="X37" s="26"/>
      <c r="Y37" s="26"/>
      <c r="Z37" s="26"/>
      <c r="AA37" s="26"/>
    </row>
    <row r="38" ht="14.25" customHeight="1">
      <c r="A38" s="282" t="s">
        <v>1131</v>
      </c>
      <c r="B38" s="282" t="s">
        <v>745</v>
      </c>
      <c r="C38" s="282" t="str">
        <f t="array" ref="C38">IFERROR(INDEX(Companies!$B$5:$B$74,MATCH($B38,Companies!$A$5:$A$74,0)),"Unknown ID")</f>
        <v>MNG Gold Liberia Inc.</v>
      </c>
      <c r="D38" s="282" t="s">
        <v>1132</v>
      </c>
      <c r="E38" s="282" t="s">
        <v>293</v>
      </c>
      <c r="F38" s="282" t="s">
        <v>1133</v>
      </c>
      <c r="G38" s="282" t="s">
        <v>747</v>
      </c>
      <c r="H38" s="300"/>
      <c r="I38" s="300">
        <v>46036.0</v>
      </c>
      <c r="J38" s="282"/>
      <c r="K38" s="282" t="s">
        <v>1134</v>
      </c>
      <c r="L38" s="300">
        <v>46036.0</v>
      </c>
      <c r="M38" s="300"/>
      <c r="N38" s="282" t="str">
        <f t="shared" si="1"/>
        <v>Issued – expiry not recorded</v>
      </c>
      <c r="O38" s="282" t="s">
        <v>1135</v>
      </c>
      <c r="P38" s="282" t="s">
        <v>1136</v>
      </c>
      <c r="Q38" s="301" t="str">
        <f t="array" ref="Q38">IFERROR(INDEX('Bills &amp; Invoices'!$B$5:$B$32,MATCH("*"&amp;$A38&amp;"*",'Bills &amp; Invoices'!$V$5:$V$32,0)),"")</f>
        <v/>
      </c>
      <c r="R38" s="26"/>
      <c r="S38" s="26"/>
      <c r="T38" s="26"/>
      <c r="U38" s="26"/>
      <c r="V38" s="26"/>
      <c r="W38" s="26"/>
      <c r="X38" s="26"/>
      <c r="Y38" s="26"/>
      <c r="Z38" s="26"/>
      <c r="AA38" s="26"/>
    </row>
    <row r="39" ht="14.25" customHeight="1">
      <c r="A39" s="282" t="s">
        <v>1137</v>
      </c>
      <c r="B39" s="282" t="s">
        <v>788</v>
      </c>
      <c r="C39" s="282" t="str">
        <f t="array" ref="C39">IFERROR(INDEX(Companies!$B$5:$B$74,MATCH($B39,Companies!$A$5:$A$74,0)),"Unknown ID")</f>
        <v>Duraplast Paint</v>
      </c>
      <c r="D39" s="282" t="s">
        <v>789</v>
      </c>
      <c r="E39" s="282" t="s">
        <v>293</v>
      </c>
      <c r="F39" s="282" t="s">
        <v>1139</v>
      </c>
      <c r="G39" s="282"/>
      <c r="H39" s="300"/>
      <c r="I39" s="300"/>
      <c r="J39" s="282"/>
      <c r="K39" s="282" t="s">
        <v>1140</v>
      </c>
      <c r="L39" s="300"/>
      <c r="M39" s="300"/>
      <c r="N39" s="282" t="str">
        <f t="shared" si="1"/>
        <v>Issued – expiry not recorded</v>
      </c>
      <c r="O39" s="282"/>
      <c r="P39" s="282" t="s">
        <v>1142</v>
      </c>
      <c r="Q39" s="301" t="str">
        <f t="array" ref="Q39">IFERROR(INDEX('Bills &amp; Invoices'!$B$5:$B$32,MATCH("*"&amp;$A39&amp;"*",'Bills &amp; Invoices'!$V$5:$V$32,0)),"")</f>
        <v/>
      </c>
      <c r="R39" s="26"/>
      <c r="S39" s="26"/>
      <c r="T39" s="26"/>
      <c r="U39" s="26"/>
      <c r="V39" s="26"/>
      <c r="W39" s="26"/>
      <c r="X39" s="26"/>
      <c r="Y39" s="26"/>
      <c r="Z39" s="26"/>
      <c r="AA39" s="26"/>
    </row>
    <row r="40" ht="14.25" customHeight="1">
      <c r="A40" s="282" t="s">
        <v>1143</v>
      </c>
      <c r="B40" s="282" t="s">
        <v>799</v>
      </c>
      <c r="C40" s="282" t="str">
        <f t="array" ref="C40">IFERROR(INDEX(Companies!$B$5:$B$74,MATCH($B40,Companies!$A$5:$A$74,0)),"Unknown ID")</f>
        <v>NICOM Distilleries Inc.</v>
      </c>
      <c r="D40" s="282" t="s">
        <v>1049</v>
      </c>
      <c r="E40" s="282" t="s">
        <v>293</v>
      </c>
      <c r="F40" s="282" t="s">
        <v>1139</v>
      </c>
      <c r="G40" s="282" t="s">
        <v>802</v>
      </c>
      <c r="H40" s="300"/>
      <c r="I40" s="300">
        <v>46052.0</v>
      </c>
      <c r="J40" s="282" t="s">
        <v>1050</v>
      </c>
      <c r="K40" s="282" t="s">
        <v>1144</v>
      </c>
      <c r="L40" s="300"/>
      <c r="M40" s="300"/>
      <c r="N40" s="282" t="str">
        <f t="shared" si="1"/>
        <v>Issued – expiry not recorded</v>
      </c>
      <c r="O40" s="282" t="s">
        <v>1135</v>
      </c>
      <c r="P40" s="282" t="s">
        <v>1145</v>
      </c>
      <c r="Q40" s="301" t="str">
        <f t="array" ref="Q40">IFERROR(INDEX('Bills &amp; Invoices'!$B$5:$B$32,MATCH("*"&amp;$A40&amp;"*",'Bills &amp; Invoices'!$V$5:$V$32,0)),"")</f>
        <v/>
      </c>
      <c r="R40" s="26"/>
      <c r="S40" s="26"/>
      <c r="T40" s="26"/>
      <c r="U40" s="26"/>
      <c r="V40" s="26"/>
      <c r="W40" s="26"/>
      <c r="X40" s="26"/>
      <c r="Y40" s="26"/>
      <c r="Z40" s="26"/>
      <c r="AA40" s="26"/>
    </row>
    <row r="41" ht="14.25" customHeight="1">
      <c r="A41" s="282" t="s">
        <v>1146</v>
      </c>
      <c r="B41" s="282" t="s">
        <v>799</v>
      </c>
      <c r="C41" s="282" t="str">
        <f t="array" ref="C41">IFERROR(INDEX(Companies!$B$5:$B$74,MATCH($B41,Companies!$A$5:$A$74,0)),"Unknown ID")</f>
        <v>NICOM Distilleries Inc.</v>
      </c>
      <c r="D41" s="282" t="s">
        <v>1049</v>
      </c>
      <c r="E41" s="282" t="s">
        <v>293</v>
      </c>
      <c r="F41" s="282" t="s">
        <v>1139</v>
      </c>
      <c r="G41" s="282"/>
      <c r="H41" s="300"/>
      <c r="I41" s="300"/>
      <c r="J41" s="282"/>
      <c r="K41" s="282" t="s">
        <v>1147</v>
      </c>
      <c r="L41" s="300"/>
      <c r="M41" s="300"/>
      <c r="N41" s="282" t="str">
        <f t="shared" si="1"/>
        <v>Issued – expiry not recorded</v>
      </c>
      <c r="O41" s="282"/>
      <c r="P41" s="282" t="s">
        <v>1148</v>
      </c>
      <c r="Q41" s="301" t="str">
        <f t="array" ref="Q41">IFERROR(INDEX('Bills &amp; Invoices'!$B$5:$B$32,MATCH("*"&amp;$A41&amp;"*",'Bills &amp; Invoices'!$V$5:$V$32,0)),"")</f>
        <v/>
      </c>
      <c r="R41" s="26"/>
      <c r="S41" s="26"/>
      <c r="T41" s="26"/>
      <c r="U41" s="26"/>
      <c r="V41" s="26"/>
      <c r="W41" s="26"/>
      <c r="X41" s="26"/>
      <c r="Y41" s="26"/>
      <c r="Z41" s="26"/>
      <c r="AA41" s="26"/>
    </row>
    <row r="42" ht="14.25" customHeight="1">
      <c r="A42" s="282" t="s">
        <v>1149</v>
      </c>
      <c r="B42" s="282" t="s">
        <v>811</v>
      </c>
      <c r="C42" s="282" t="str">
        <f t="array" ref="C42">IFERROR(INDEX(Companies!$B$5:$B$74,MATCH($B42,Companies!$A$5:$A$74,0)),"Unknown ID")</f>
        <v>National Paint Industries</v>
      </c>
      <c r="D42" s="282" t="s">
        <v>812</v>
      </c>
      <c r="E42" s="282" t="s">
        <v>293</v>
      </c>
      <c r="F42" s="282" t="s">
        <v>1139</v>
      </c>
      <c r="G42" s="282" t="s">
        <v>1064</v>
      </c>
      <c r="H42" s="300"/>
      <c r="I42" s="300"/>
      <c r="J42" s="282"/>
      <c r="K42" s="282" t="s">
        <v>1150</v>
      </c>
      <c r="L42" s="300">
        <v>46023.0</v>
      </c>
      <c r="M42" s="300">
        <v>46387.0</v>
      </c>
      <c r="N42" s="282" t="str">
        <f t="shared" si="1"/>
        <v>Active</v>
      </c>
      <c r="O42" s="282"/>
      <c r="P42" s="282" t="s">
        <v>1151</v>
      </c>
      <c r="Q42" s="301" t="str">
        <f t="array" ref="Q42">IFERROR(INDEX('Bills &amp; Invoices'!$B$5:$B$32,MATCH("*"&amp;$A42&amp;"*",'Bills &amp; Invoices'!$V$5:$V$32,0)),"")</f>
        <v/>
      </c>
      <c r="R42" s="26"/>
      <c r="S42" s="26"/>
      <c r="T42" s="26"/>
      <c r="U42" s="26"/>
      <c r="V42" s="26"/>
      <c r="W42" s="26"/>
      <c r="X42" s="26"/>
      <c r="Y42" s="26"/>
      <c r="Z42" s="26"/>
      <c r="AA42" s="26"/>
    </row>
    <row r="43" ht="14.25" customHeight="1">
      <c r="A43" s="282" t="s">
        <v>1152</v>
      </c>
      <c r="B43" s="282" t="s">
        <v>820</v>
      </c>
      <c r="C43" s="282" t="str">
        <f t="array" ref="C43">IFERROR(INDEX(Companies!$B$5:$B$74,MATCH($B43,Companies!$A$5:$A$74,0)),"Unknown ID")</f>
        <v>LIPFOCO Mattress Factory</v>
      </c>
      <c r="D43" s="282" t="s">
        <v>824</v>
      </c>
      <c r="E43" s="282" t="s">
        <v>293</v>
      </c>
      <c r="F43" s="282" t="s">
        <v>1139</v>
      </c>
      <c r="G43" s="282" t="s">
        <v>1153</v>
      </c>
      <c r="H43" s="300"/>
      <c r="I43" s="300">
        <v>46052.0</v>
      </c>
      <c r="J43" s="282" t="s">
        <v>1154</v>
      </c>
      <c r="K43" s="282" t="s">
        <v>1154</v>
      </c>
      <c r="L43" s="300"/>
      <c r="M43" s="300"/>
      <c r="N43" s="282" t="str">
        <f t="shared" si="1"/>
        <v>Issued – expiry not recorded</v>
      </c>
      <c r="O43" s="282" t="s">
        <v>1155</v>
      </c>
      <c r="P43" s="282" t="s">
        <v>1156</v>
      </c>
      <c r="Q43" s="301" t="str">
        <f t="array" ref="Q43">IFERROR(INDEX('Bills &amp; Invoices'!$B$5:$B$32,MATCH("*"&amp;$A43&amp;"*",'Bills &amp; Invoices'!$V$5:$V$32,0)),"")</f>
        <v/>
      </c>
      <c r="R43" s="26"/>
      <c r="S43" s="26"/>
      <c r="T43" s="26"/>
      <c r="U43" s="26"/>
      <c r="V43" s="26"/>
      <c r="W43" s="26"/>
      <c r="X43" s="26"/>
      <c r="Y43" s="26"/>
      <c r="Z43" s="26"/>
      <c r="AA43" s="26"/>
    </row>
    <row r="44" ht="14.25" customHeight="1">
      <c r="A44" s="282" t="s">
        <v>1157</v>
      </c>
      <c r="B44" s="282" t="s">
        <v>830</v>
      </c>
      <c r="C44" s="282" t="str">
        <f t="array" ref="C44">IFERROR(INDEX(Companies!$B$5:$B$74,MATCH($B44,Companies!$A$5:$A$74,0)),"Unknown ID")</f>
        <v>Quality Industries Limited</v>
      </c>
      <c r="D44" s="282" t="s">
        <v>1084</v>
      </c>
      <c r="E44" s="282" t="s">
        <v>293</v>
      </c>
      <c r="F44" s="282" t="s">
        <v>1139</v>
      </c>
      <c r="G44" s="282"/>
      <c r="H44" s="300"/>
      <c r="I44" s="300"/>
      <c r="J44" s="282"/>
      <c r="K44" s="282" t="s">
        <v>1158</v>
      </c>
      <c r="L44" s="300"/>
      <c r="M44" s="300"/>
      <c r="N44" s="282" t="str">
        <f t="shared" si="1"/>
        <v>Issued – expiry not recorded</v>
      </c>
      <c r="O44" s="282"/>
      <c r="P44" s="282" t="s">
        <v>1159</v>
      </c>
      <c r="Q44" s="301" t="str">
        <f t="array" ref="Q44">IFERROR(INDEX('Bills &amp; Invoices'!$B$5:$B$32,MATCH("*"&amp;$A44&amp;"*",'Bills &amp; Invoices'!$V$5:$V$32,0)),"")</f>
        <v/>
      </c>
      <c r="R44" s="26"/>
      <c r="S44" s="26"/>
      <c r="T44" s="26"/>
      <c r="U44" s="26"/>
      <c r="V44" s="26"/>
      <c r="W44" s="26"/>
      <c r="X44" s="26"/>
      <c r="Y44" s="26"/>
      <c r="Z44" s="26"/>
      <c r="AA44" s="26"/>
    </row>
    <row r="45" ht="14.25" customHeight="1">
      <c r="A45" s="282" t="s">
        <v>1160</v>
      </c>
      <c r="B45" s="282" t="s">
        <v>833</v>
      </c>
      <c r="C45" s="282" t="str">
        <f t="array" ref="C45">IFERROR(INDEX(Companies!$B$5:$B$74,MATCH($B45,Companies!$A$5:$A$74,0)),"Unknown ID")</f>
        <v>LR &amp; Sons Distillery Inc.</v>
      </c>
      <c r="D45" s="282" t="s">
        <v>1088</v>
      </c>
      <c r="E45" s="282" t="s">
        <v>293</v>
      </c>
      <c r="F45" s="282" t="s">
        <v>1139</v>
      </c>
      <c r="G45" s="282" t="s">
        <v>1161</v>
      </c>
      <c r="H45" s="300"/>
      <c r="I45" s="300">
        <v>46049.0</v>
      </c>
      <c r="J45" s="282" t="s">
        <v>1162</v>
      </c>
      <c r="K45" s="282" t="s">
        <v>1163</v>
      </c>
      <c r="L45" s="300"/>
      <c r="M45" s="300"/>
      <c r="N45" s="282" t="str">
        <f t="shared" si="1"/>
        <v>Issued – expiry not recorded</v>
      </c>
      <c r="O45" s="282" t="s">
        <v>1135</v>
      </c>
      <c r="P45" s="282" t="s">
        <v>1164</v>
      </c>
      <c r="Q45" s="301" t="str">
        <f t="array" ref="Q45">IFERROR(INDEX('Bills &amp; Invoices'!$B$5:$B$32,MATCH("*"&amp;$A45&amp;"*",'Bills &amp; Invoices'!$V$5:$V$32,0)),"")</f>
        <v/>
      </c>
      <c r="R45" s="26"/>
      <c r="S45" s="26"/>
      <c r="T45" s="26"/>
      <c r="U45" s="26"/>
      <c r="V45" s="26"/>
      <c r="W45" s="26"/>
      <c r="X45" s="26"/>
      <c r="Y45" s="26"/>
      <c r="Z45" s="26"/>
      <c r="AA45" s="26"/>
    </row>
    <row r="46" ht="14.25" customHeight="1">
      <c r="A46" s="282" t="s">
        <v>1165</v>
      </c>
      <c r="B46" s="282" t="s">
        <v>840</v>
      </c>
      <c r="C46" s="282" t="str">
        <f t="array" ref="C46">IFERROR(INDEX(Companies!$B$5:$B$74,MATCH($B46,Companies!$A$5:$A$74,0)),"Unknown ID")</f>
        <v>National Beverages Inc.</v>
      </c>
      <c r="D46" s="282" t="s">
        <v>843</v>
      </c>
      <c r="E46" s="282" t="s">
        <v>293</v>
      </c>
      <c r="F46" s="282" t="s">
        <v>1139</v>
      </c>
      <c r="G46" s="282"/>
      <c r="H46" s="300"/>
      <c r="I46" s="300"/>
      <c r="J46" s="282"/>
      <c r="K46" s="282" t="s">
        <v>1166</v>
      </c>
      <c r="L46" s="300"/>
      <c r="M46" s="300"/>
      <c r="N46" s="282" t="str">
        <f t="shared" si="1"/>
        <v>Issued – expiry not recorded</v>
      </c>
      <c r="O46" s="282"/>
      <c r="P46" s="282" t="s">
        <v>1167</v>
      </c>
      <c r="Q46" s="301" t="str">
        <f t="array" ref="Q46">IFERROR(INDEX('Bills &amp; Invoices'!$B$5:$B$32,MATCH("*"&amp;$A46&amp;"*",'Bills &amp; Invoices'!$V$5:$V$32,0)),"")</f>
        <v/>
      </c>
      <c r="R46" s="26"/>
      <c r="S46" s="26"/>
      <c r="T46" s="26"/>
      <c r="U46" s="26"/>
      <c r="V46" s="26"/>
      <c r="W46" s="26"/>
      <c r="X46" s="26"/>
      <c r="Y46" s="26"/>
      <c r="Z46" s="26"/>
      <c r="AA46" s="26"/>
    </row>
    <row r="47" ht="14.25" customHeight="1">
      <c r="A47" s="282" t="s">
        <v>1168</v>
      </c>
      <c r="B47" s="282" t="s">
        <v>857</v>
      </c>
      <c r="C47" s="282" t="str">
        <f t="array" ref="C47">IFERROR(INDEX(Companies!$B$5:$B$74,MATCH($B47,Companies!$A$5:$A$74,0)),"Unknown ID")</f>
        <v>Supreme Liberia Inc.</v>
      </c>
      <c r="D47" s="282" t="s">
        <v>858</v>
      </c>
      <c r="E47" s="282" t="s">
        <v>293</v>
      </c>
      <c r="F47" s="282" t="s">
        <v>1139</v>
      </c>
      <c r="G47" s="282" t="s">
        <v>1169</v>
      </c>
      <c r="H47" s="300"/>
      <c r="I47" s="300"/>
      <c r="J47" s="282"/>
      <c r="K47" s="282" t="s">
        <v>1170</v>
      </c>
      <c r="L47" s="300"/>
      <c r="M47" s="300"/>
      <c r="N47" s="282" t="str">
        <f t="shared" si="1"/>
        <v>Issued – expiry not recorded</v>
      </c>
      <c r="O47" s="282"/>
      <c r="P47" s="282" t="s">
        <v>1171</v>
      </c>
      <c r="Q47" s="301" t="str">
        <f t="array" ref="Q47">IFERROR(INDEX('Bills &amp; Invoices'!$B$5:$B$32,MATCH("*"&amp;$A47&amp;"*",'Bills &amp; Invoices'!$V$5:$V$32,0)),"")</f>
        <v/>
      </c>
      <c r="R47" s="26"/>
      <c r="S47" s="26"/>
      <c r="T47" s="26"/>
      <c r="U47" s="26"/>
      <c r="V47" s="26"/>
      <c r="W47" s="26"/>
      <c r="X47" s="26"/>
      <c r="Y47" s="26"/>
      <c r="Z47" s="26"/>
      <c r="AA47" s="26"/>
    </row>
    <row r="48" ht="14.25" customHeight="1">
      <c r="A48" s="282" t="s">
        <v>1172</v>
      </c>
      <c r="B48" s="282" t="s">
        <v>859</v>
      </c>
      <c r="C48" s="282" t="str">
        <f t="array" ref="C48">IFERROR(INDEX(Companies!$B$5:$B$74,MATCH($B48,Companies!$A$5:$A$74,0)),"Unknown ID")</f>
        <v>Control People Pest's Enterprise</v>
      </c>
      <c r="D48" s="282" t="s">
        <v>1173</v>
      </c>
      <c r="E48" s="282" t="s">
        <v>293</v>
      </c>
      <c r="F48" s="282" t="s">
        <v>1139</v>
      </c>
      <c r="G48" s="282" t="s">
        <v>861</v>
      </c>
      <c r="H48" s="300"/>
      <c r="I48" s="300">
        <v>46036.0</v>
      </c>
      <c r="J48" s="282" t="s">
        <v>1174</v>
      </c>
      <c r="K48" s="282"/>
      <c r="L48" s="300"/>
      <c r="M48" s="300"/>
      <c r="N48" s="282" t="str">
        <f t="shared" si="1"/>
        <v>Pending – no licence no.</v>
      </c>
      <c r="O48" s="282"/>
      <c r="P48" s="282" t="s">
        <v>1175</v>
      </c>
      <c r="Q48" s="301" t="str">
        <f t="array" ref="Q48">IFERROR(INDEX('Bills &amp; Invoices'!$B$5:$B$32,MATCH("*"&amp;$A48&amp;"*",'Bills &amp; Invoices'!$V$5:$V$32,0)),"")</f>
        <v/>
      </c>
      <c r="R48" s="26"/>
      <c r="S48" s="26"/>
      <c r="T48" s="26"/>
      <c r="U48" s="26"/>
      <c r="V48" s="26"/>
      <c r="W48" s="26"/>
      <c r="X48" s="26"/>
      <c r="Y48" s="26"/>
      <c r="Z48" s="26"/>
      <c r="AA48" s="26"/>
    </row>
    <row r="49" ht="14.25" customHeight="1">
      <c r="A49" s="282" t="s">
        <v>1176</v>
      </c>
      <c r="B49" s="282" t="s">
        <v>863</v>
      </c>
      <c r="C49" s="282" t="str">
        <f t="array" ref="C49">IFERROR(INDEX(Companies!$B$5:$B$74,MATCH($B49,Companies!$A$5:$A$74,0)),"Unknown ID")</f>
        <v>Conquest Inc.</v>
      </c>
      <c r="D49" s="282" t="s">
        <v>1177</v>
      </c>
      <c r="E49" s="282" t="s">
        <v>293</v>
      </c>
      <c r="F49" s="282" t="s">
        <v>1139</v>
      </c>
      <c r="G49" s="282" t="s">
        <v>1169</v>
      </c>
      <c r="H49" s="300"/>
      <c r="I49" s="300"/>
      <c r="J49" s="282"/>
      <c r="K49" s="282"/>
      <c r="L49" s="300"/>
      <c r="M49" s="300"/>
      <c r="N49" s="282" t="str">
        <f t="shared" si="1"/>
        <v>Pending – no licence no.</v>
      </c>
      <c r="O49" s="282"/>
      <c r="P49" s="282" t="s">
        <v>1178</v>
      </c>
      <c r="Q49" s="301" t="str">
        <f t="array" ref="Q49">IFERROR(INDEX('Bills &amp; Invoices'!$B$5:$B$32,MATCH("*"&amp;$A49&amp;"*",'Bills &amp; Invoices'!$V$5:$V$32,0)),"")</f>
        <v/>
      </c>
      <c r="R49" s="26"/>
      <c r="S49" s="26"/>
      <c r="T49" s="26"/>
      <c r="U49" s="26"/>
      <c r="V49" s="26"/>
      <c r="W49" s="26"/>
      <c r="X49" s="26"/>
      <c r="Y49" s="26"/>
      <c r="Z49" s="26"/>
      <c r="AA49" s="26"/>
    </row>
    <row r="50" ht="14.25" customHeight="1">
      <c r="A50" s="282" t="s">
        <v>1179</v>
      </c>
      <c r="B50" s="282" t="s">
        <v>739</v>
      </c>
      <c r="C50" s="282" t="str">
        <f t="array" ref="C50">IFERROR(INDEX(Companies!$B$5:$B$74,MATCH($B50,Companies!$A$5:$A$74,0)),"Unknown ID")</f>
        <v>Bea Mountain Mining Corporation (BMMC)</v>
      </c>
      <c r="D50" s="282" t="s">
        <v>970</v>
      </c>
      <c r="E50" s="282" t="s">
        <v>309</v>
      </c>
      <c r="F50" s="282" t="s">
        <v>1180</v>
      </c>
      <c r="G50" s="282" t="s">
        <v>990</v>
      </c>
      <c r="H50" s="300"/>
      <c r="I50" s="300"/>
      <c r="J50" s="282"/>
      <c r="K50" s="282" t="s">
        <v>1181</v>
      </c>
      <c r="L50" s="300">
        <v>46037.0</v>
      </c>
      <c r="M50" s="300">
        <v>46387.0</v>
      </c>
      <c r="N50" s="282" t="str">
        <f t="shared" si="1"/>
        <v>Active</v>
      </c>
      <c r="O50" s="282"/>
      <c r="P50" s="282" t="s">
        <v>1182</v>
      </c>
      <c r="Q50" s="301" t="str">
        <f t="array" ref="Q50">IFERROR(INDEX('Bills &amp; Invoices'!$B$5:$B$32,MATCH("*"&amp;$A50&amp;"*",'Bills &amp; Invoices'!$V$5:$V$32,0)),"")</f>
        <v/>
      </c>
      <c r="R50" s="26"/>
      <c r="S50" s="26"/>
      <c r="T50" s="26"/>
      <c r="U50" s="26"/>
      <c r="V50" s="26"/>
      <c r="W50" s="26"/>
      <c r="X50" s="26"/>
      <c r="Y50" s="26"/>
      <c r="Z50" s="26"/>
      <c r="AA50" s="26"/>
    </row>
    <row r="51" ht="14.25" customHeight="1">
      <c r="A51" s="282" t="s">
        <v>1183</v>
      </c>
      <c r="B51" s="282" t="s">
        <v>745</v>
      </c>
      <c r="C51" s="282" t="str">
        <f t="array" ref="C51">IFERROR(INDEX(Companies!$B$5:$B$74,MATCH($B51,Companies!$A$5:$A$74,0)),"Unknown ID")</f>
        <v>MNG Gold Liberia Inc.</v>
      </c>
      <c r="D51" s="282" t="s">
        <v>1132</v>
      </c>
      <c r="E51" s="282" t="s">
        <v>309</v>
      </c>
      <c r="F51" s="282" t="s">
        <v>1180</v>
      </c>
      <c r="G51" s="282" t="s">
        <v>990</v>
      </c>
      <c r="H51" s="300"/>
      <c r="I51" s="300"/>
      <c r="J51" s="282"/>
      <c r="K51" s="282" t="s">
        <v>1184</v>
      </c>
      <c r="L51" s="300">
        <v>46023.0</v>
      </c>
      <c r="M51" s="300">
        <v>46387.0</v>
      </c>
      <c r="N51" s="282" t="str">
        <f t="shared" si="1"/>
        <v>Active</v>
      </c>
      <c r="O51" s="282"/>
      <c r="P51" s="282" t="s">
        <v>1185</v>
      </c>
      <c r="Q51" s="301" t="str">
        <f t="array" ref="Q51">IFERROR(INDEX('Bills &amp; Invoices'!$B$5:$B$32,MATCH("*"&amp;$A51&amp;"*",'Bills &amp; Invoices'!$V$5:$V$32,0)),"")</f>
        <v/>
      </c>
      <c r="R51" s="26"/>
      <c r="S51" s="26"/>
      <c r="T51" s="26"/>
      <c r="U51" s="26"/>
      <c r="V51" s="26"/>
      <c r="W51" s="26"/>
      <c r="X51" s="26"/>
      <c r="Y51" s="26"/>
      <c r="Z51" s="26"/>
      <c r="AA51" s="26"/>
    </row>
    <row r="52" ht="14.25" customHeight="1">
      <c r="A52" s="282" t="s">
        <v>1186</v>
      </c>
      <c r="B52" s="282" t="s">
        <v>863</v>
      </c>
      <c r="C52" s="282" t="str">
        <f t="array" ref="C52">IFERROR(INDEX(Companies!$B$5:$B$74,MATCH($B52,Companies!$A$5:$A$74,0)),"Unknown ID")</f>
        <v>Conquest Inc.</v>
      </c>
      <c r="D52" s="282" t="s">
        <v>864</v>
      </c>
      <c r="E52" s="282" t="s">
        <v>348</v>
      </c>
      <c r="F52" s="282" t="s">
        <v>1187</v>
      </c>
      <c r="G52" s="282" t="s">
        <v>786</v>
      </c>
      <c r="H52" s="300"/>
      <c r="I52" s="300"/>
      <c r="J52" s="282"/>
      <c r="K52" s="282" t="s">
        <v>1188</v>
      </c>
      <c r="L52" s="300">
        <v>46048.0</v>
      </c>
      <c r="M52" s="300">
        <v>46413.0</v>
      </c>
      <c r="N52" s="282" t="str">
        <f t="shared" si="1"/>
        <v>Active</v>
      </c>
      <c r="O52" s="282"/>
      <c r="P52" s="282" t="s">
        <v>1189</v>
      </c>
      <c r="Q52" s="301" t="str">
        <f t="array" ref="Q52">IFERROR(INDEX('Bills &amp; Invoices'!$B$5:$B$32,MATCH("*"&amp;$A52&amp;"*",'Bills &amp; Invoices'!$V$5:$V$32,0)),"")</f>
        <v/>
      </c>
      <c r="R52" s="26"/>
      <c r="S52" s="26"/>
      <c r="T52" s="26"/>
      <c r="U52" s="26"/>
      <c r="V52" s="26"/>
      <c r="W52" s="26"/>
      <c r="X52" s="26"/>
      <c r="Y52" s="26"/>
      <c r="Z52" s="26"/>
      <c r="AA52" s="26"/>
    </row>
    <row r="53" ht="14.25" customHeight="1">
      <c r="A53" s="282" t="s">
        <v>1190</v>
      </c>
      <c r="B53" s="282" t="s">
        <v>867</v>
      </c>
      <c r="C53" s="282" t="str">
        <f t="array" ref="C53">IFERROR(INDEX(Companies!$B$5:$B$74,MATCH($B53,Companies!$A$5:$A$74,0)),"Unknown ID")</f>
        <v>Everette Transport Corporation</v>
      </c>
      <c r="D53" s="282" t="s">
        <v>1191</v>
      </c>
      <c r="E53" s="282" t="s">
        <v>367</v>
      </c>
      <c r="F53" s="282" t="s">
        <v>1192</v>
      </c>
      <c r="G53" s="282" t="s">
        <v>870</v>
      </c>
      <c r="H53" s="300"/>
      <c r="I53" s="300"/>
      <c r="J53" s="282"/>
      <c r="K53" s="282" t="s">
        <v>1193</v>
      </c>
      <c r="L53" s="300">
        <v>46023.0</v>
      </c>
      <c r="M53" s="300">
        <v>46387.0</v>
      </c>
      <c r="N53" s="282" t="str">
        <f t="shared" si="1"/>
        <v>Active</v>
      </c>
      <c r="O53" s="282" t="s">
        <v>1194</v>
      </c>
      <c r="P53" s="282" t="s">
        <v>1195</v>
      </c>
      <c r="Q53" s="301" t="str">
        <f t="array" ref="Q53">IFERROR(INDEX('Bills &amp; Invoices'!$B$5:$B$32,MATCH("*"&amp;$A53&amp;"*",'Bills &amp; Invoices'!$V$5:$V$32,0)),"")</f>
        <v/>
      </c>
      <c r="R53" s="26"/>
      <c r="S53" s="26"/>
      <c r="T53" s="26"/>
      <c r="U53" s="26"/>
      <c r="V53" s="26"/>
      <c r="W53" s="26"/>
      <c r="X53" s="26"/>
      <c r="Y53" s="26"/>
      <c r="Z53" s="26"/>
      <c r="AA53" s="26"/>
    </row>
    <row r="54" ht="14.25" customHeight="1">
      <c r="A54" s="282" t="s">
        <v>1196</v>
      </c>
      <c r="B54" s="282" t="s">
        <v>872</v>
      </c>
      <c r="C54" s="282" t="str">
        <f t="array" ref="C54">IFERROR(INDEX(Companies!$B$5:$B$74,MATCH($B54,Companies!$A$5:$A$74,0)),"Unknown ID")</f>
        <v>Sayminee Express Services Inc.</v>
      </c>
      <c r="D54" s="282" t="s">
        <v>1197</v>
      </c>
      <c r="E54" s="282" t="s">
        <v>367</v>
      </c>
      <c r="F54" s="282" t="s">
        <v>1192</v>
      </c>
      <c r="G54" s="282" t="s">
        <v>1198</v>
      </c>
      <c r="H54" s="300"/>
      <c r="I54" s="300"/>
      <c r="J54" s="282"/>
      <c r="K54" s="282" t="s">
        <v>1199</v>
      </c>
      <c r="L54" s="300">
        <v>46023.0</v>
      </c>
      <c r="M54" s="300">
        <v>46387.0</v>
      </c>
      <c r="N54" s="282" t="str">
        <f t="shared" si="1"/>
        <v>Active</v>
      </c>
      <c r="O54" s="282"/>
      <c r="P54" s="282" t="s">
        <v>1200</v>
      </c>
      <c r="Q54" s="301" t="str">
        <f t="array" ref="Q54">IFERROR(INDEX('Bills &amp; Invoices'!$B$5:$B$32,MATCH("*"&amp;$A54&amp;"*",'Bills &amp; Invoices'!$V$5:$V$32,0)),"")</f>
        <v/>
      </c>
      <c r="R54" s="26"/>
      <c r="S54" s="26"/>
      <c r="T54" s="26"/>
      <c r="U54" s="26"/>
      <c r="V54" s="26"/>
      <c r="W54" s="26"/>
      <c r="X54" s="26"/>
      <c r="Y54" s="26"/>
      <c r="Z54" s="26"/>
      <c r="AA54" s="26"/>
    </row>
    <row r="55" ht="14.25" customHeight="1">
      <c r="A55" s="282" t="s">
        <v>1201</v>
      </c>
      <c r="B55" s="282" t="s">
        <v>876</v>
      </c>
      <c r="C55" s="282" t="str">
        <f t="array" ref="C55">IFERROR(INDEX(Companies!$B$5:$B$74,MATCH($B55,Companies!$A$5:$A$74,0)),"Unknown ID")</f>
        <v>Dauda Transport Services</v>
      </c>
      <c r="D55" s="282" t="s">
        <v>877</v>
      </c>
      <c r="E55" s="282" t="s">
        <v>367</v>
      </c>
      <c r="F55" s="282" t="s">
        <v>1192</v>
      </c>
      <c r="G55" s="282" t="s">
        <v>878</v>
      </c>
      <c r="H55" s="300"/>
      <c r="I55" s="300"/>
      <c r="J55" s="282"/>
      <c r="K55" s="282" t="s">
        <v>1202</v>
      </c>
      <c r="L55" s="300">
        <v>46023.0</v>
      </c>
      <c r="M55" s="300">
        <v>46387.0</v>
      </c>
      <c r="N55" s="282" t="str">
        <f t="shared" si="1"/>
        <v>Active</v>
      </c>
      <c r="O55" s="282"/>
      <c r="P55" s="282" t="s">
        <v>1203</v>
      </c>
      <c r="Q55" s="301" t="str">
        <f t="array" ref="Q55">IFERROR(INDEX('Bills &amp; Invoices'!$B$5:$B$32,MATCH("*"&amp;$A55&amp;"*",'Bills &amp; Invoices'!$V$5:$V$32,0)),"")</f>
        <v/>
      </c>
      <c r="R55" s="26"/>
      <c r="S55" s="26"/>
      <c r="T55" s="26"/>
      <c r="U55" s="26"/>
      <c r="V55" s="26"/>
      <c r="W55" s="26"/>
      <c r="X55" s="26"/>
      <c r="Y55" s="26"/>
      <c r="Z55" s="26"/>
      <c r="AA55" s="26"/>
    </row>
    <row r="56" ht="14.25" customHeight="1">
      <c r="A56" s="282" t="s">
        <v>1204</v>
      </c>
      <c r="B56" s="282" t="s">
        <v>938</v>
      </c>
      <c r="C56" s="282" t="str">
        <f t="array" ref="C56">IFERROR(INDEX(Companies!$B$5:$B$74,MATCH($B56,Companies!$A$5:$A$74,0)),"Unknown ID")</f>
        <v>Ma Bendu Farms</v>
      </c>
      <c r="D56" s="282" t="s">
        <v>939</v>
      </c>
      <c r="E56" s="282" t="s">
        <v>240</v>
      </c>
      <c r="F56" s="282" t="s">
        <v>757</v>
      </c>
      <c r="G56" s="282" t="s">
        <v>1206</v>
      </c>
      <c r="H56" s="300"/>
      <c r="I56" s="300"/>
      <c r="J56" s="282"/>
      <c r="K56" s="282" t="s">
        <v>1207</v>
      </c>
      <c r="L56" s="300">
        <v>46023.0</v>
      </c>
      <c r="M56" s="300">
        <v>46387.0</v>
      </c>
      <c r="N56" s="282" t="str">
        <f t="shared" si="1"/>
        <v>Active</v>
      </c>
      <c r="O56" s="282" t="s">
        <v>1208</v>
      </c>
      <c r="P56" s="282" t="s">
        <v>1209</v>
      </c>
      <c r="Q56" s="301" t="str">
        <f t="array" ref="Q56">IFERROR(INDEX('Bills &amp; Invoices'!$B$5:$B$32,MATCH("*"&amp;$A56&amp;"*",'Bills &amp; Invoices'!$V$5:$V$32,0)),"")</f>
        <v/>
      </c>
      <c r="R56" s="26"/>
      <c r="S56" s="26"/>
      <c r="T56" s="26"/>
      <c r="U56" s="26"/>
      <c r="V56" s="26"/>
      <c r="W56" s="26"/>
      <c r="X56" s="26"/>
      <c r="Y56" s="26"/>
      <c r="Z56" s="26"/>
      <c r="AA56" s="26"/>
    </row>
    <row r="57" ht="14.25" customHeight="1">
      <c r="A57" s="282" t="s">
        <v>1212</v>
      </c>
      <c r="B57" s="282" t="s">
        <v>1010</v>
      </c>
      <c r="C57" s="282" t="str">
        <f t="array" ref="C57">IFERROR(INDEX(Companies!$B$5:$B$74,MATCH($B57,Companies!$A$5:$A$74,0)),"Unknown ID")</f>
        <v>Cheema &amp; Chahal Incorporated</v>
      </c>
      <c r="D57" s="282" t="s">
        <v>1013</v>
      </c>
      <c r="E57" s="282" t="s">
        <v>240</v>
      </c>
      <c r="F57" s="282" t="s">
        <v>757</v>
      </c>
      <c r="G57" s="282" t="s">
        <v>1012</v>
      </c>
      <c r="H57" s="300"/>
      <c r="I57" s="300"/>
      <c r="J57" s="282"/>
      <c r="K57" s="282" t="s">
        <v>1215</v>
      </c>
      <c r="L57" s="300">
        <v>46023.0</v>
      </c>
      <c r="M57" s="300">
        <v>46387.0</v>
      </c>
      <c r="N57" s="282" t="str">
        <f t="shared" si="1"/>
        <v>Active</v>
      </c>
      <c r="O57" s="282" t="s">
        <v>1216</v>
      </c>
      <c r="P57" s="282" t="s">
        <v>1217</v>
      </c>
      <c r="Q57" s="301" t="str">
        <f t="array" ref="Q57">IFERROR(INDEX('Bills &amp; Invoices'!$B$5:$B$32,MATCH("*"&amp;$A57&amp;"*",'Bills &amp; Invoices'!$V$5:$V$32,0)),"")</f>
        <v/>
      </c>
      <c r="R57" s="26"/>
      <c r="S57" s="26"/>
      <c r="T57" s="26"/>
      <c r="U57" s="26"/>
      <c r="V57" s="26"/>
      <c r="W57" s="26"/>
      <c r="X57" s="26"/>
      <c r="Y57" s="26"/>
      <c r="Z57" s="26"/>
    </row>
    <row r="58" ht="14.25" customHeight="1">
      <c r="A58" s="282" t="s">
        <v>1218</v>
      </c>
      <c r="B58" s="282" t="s">
        <v>925</v>
      </c>
      <c r="C58" s="282" t="str">
        <f t="array" ref="C58">IFERROR(INDEX(Companies!$B$5:$B$74,MATCH($B58,Companies!$A$5:$A$74,0)),"Unknown ID")</f>
        <v>LIBINC Oil Palm Inc.</v>
      </c>
      <c r="D58" s="282" t="s">
        <v>927</v>
      </c>
      <c r="E58" s="282" t="s">
        <v>240</v>
      </c>
      <c r="F58" s="282" t="s">
        <v>757</v>
      </c>
      <c r="G58" s="282" t="s">
        <v>1219</v>
      </c>
      <c r="H58" s="300"/>
      <c r="I58" s="300"/>
      <c r="J58" s="282"/>
      <c r="K58" s="282" t="s">
        <v>1220</v>
      </c>
      <c r="L58" s="300">
        <v>46023.0</v>
      </c>
      <c r="M58" s="300">
        <v>46387.0</v>
      </c>
      <c r="N58" s="282" t="str">
        <f t="shared" si="1"/>
        <v>Active</v>
      </c>
      <c r="O58" s="282"/>
      <c r="P58" s="282" t="s">
        <v>1221</v>
      </c>
      <c r="Q58" s="301" t="str">
        <f t="array" ref="Q58">IFERROR(INDEX('Bills &amp; Invoices'!$B$5:$B$32,MATCH("*"&amp;$A58&amp;"*",'Bills &amp; Invoices'!$V$5:$V$32,0)),"")</f>
        <v/>
      </c>
      <c r="R58" s="26"/>
      <c r="S58" s="26"/>
      <c r="T58" s="26"/>
      <c r="U58" s="26"/>
      <c r="V58" s="26"/>
      <c r="W58" s="26"/>
      <c r="X58" s="26"/>
      <c r="Y58" s="26"/>
      <c r="Z58" s="26"/>
    </row>
    <row r="59" ht="14.25" customHeight="1">
      <c r="A59" s="282" t="s">
        <v>1223</v>
      </c>
      <c r="B59" s="282" t="s">
        <v>966</v>
      </c>
      <c r="C59" s="282" t="str">
        <f t="array" ref="C59">IFERROR(INDEX(Companies!$B$5:$B$74,MATCH($B59,Companies!$A$5:$A$74,0)),"Unknown ID")</f>
        <v>Golden Veroleum Liberia (GVL)</v>
      </c>
      <c r="D59" s="282" t="s">
        <v>967</v>
      </c>
      <c r="E59" s="282" t="s">
        <v>240</v>
      </c>
      <c r="F59" s="282" t="s">
        <v>757</v>
      </c>
      <c r="G59" s="282" t="s">
        <v>1226</v>
      </c>
      <c r="H59" s="300"/>
      <c r="I59" s="300"/>
      <c r="J59" s="282"/>
      <c r="K59" s="282" t="s">
        <v>1227</v>
      </c>
      <c r="L59" s="300">
        <v>46023.0</v>
      </c>
      <c r="M59" s="300">
        <v>46387.0</v>
      </c>
      <c r="N59" s="282" t="str">
        <f t="shared" si="1"/>
        <v>Active</v>
      </c>
      <c r="O59" s="282" t="s">
        <v>1228</v>
      </c>
      <c r="P59" s="282" t="s">
        <v>1229</v>
      </c>
      <c r="Q59" s="301" t="str">
        <f t="array" ref="Q59">IFERROR(INDEX('Bills &amp; Invoices'!$B$5:$B$32,MATCH("*"&amp;$A59&amp;"*",'Bills &amp; Invoices'!$V$5:$V$32,0)),"")</f>
        <v/>
      </c>
      <c r="R59" s="26"/>
      <c r="S59" s="26"/>
      <c r="T59" s="26"/>
      <c r="U59" s="26"/>
      <c r="V59" s="26"/>
      <c r="W59" s="26"/>
      <c r="X59" s="26"/>
      <c r="Y59" s="26"/>
      <c r="Z59" s="26"/>
    </row>
    <row r="60" ht="14.25" customHeight="1">
      <c r="A60" s="282" t="s">
        <v>1230</v>
      </c>
      <c r="B60" s="282" t="s">
        <v>906</v>
      </c>
      <c r="C60" s="282" t="str">
        <f t="array" ref="C60">IFERROR(INDEX(Companies!$B$5:$B$74,MATCH($B60,Companies!$A$5:$A$74,0)),"Unknown ID")</f>
        <v>Greenfield Liberia Inc.</v>
      </c>
      <c r="D60" s="282" t="s">
        <v>1231</v>
      </c>
      <c r="E60" s="282" t="s">
        <v>240</v>
      </c>
      <c r="F60" s="282" t="s">
        <v>757</v>
      </c>
      <c r="G60" s="282" t="s">
        <v>1234</v>
      </c>
      <c r="H60" s="300"/>
      <c r="I60" s="300"/>
      <c r="J60" s="282"/>
      <c r="K60" s="282" t="s">
        <v>1235</v>
      </c>
      <c r="L60" s="300">
        <v>46023.0</v>
      </c>
      <c r="M60" s="300">
        <v>46387.0</v>
      </c>
      <c r="N60" s="282" t="str">
        <f t="shared" si="1"/>
        <v>Active</v>
      </c>
      <c r="O60" s="282"/>
      <c r="P60" s="282" t="s">
        <v>1236</v>
      </c>
      <c r="Q60" s="301" t="str">
        <f t="array" ref="Q60">IFERROR(INDEX('Bills &amp; Invoices'!$B$5:$B$32,MATCH("*"&amp;$A60&amp;"*",'Bills &amp; Invoices'!$V$5:$V$32,0)),"")</f>
        <v/>
      </c>
      <c r="R60" s="26"/>
      <c r="S60" s="26"/>
      <c r="T60" s="26"/>
      <c r="U60" s="26"/>
      <c r="V60" s="26"/>
      <c r="W60" s="26"/>
      <c r="X60" s="26"/>
      <c r="Y60" s="26"/>
      <c r="Z60" s="26"/>
    </row>
    <row r="61" ht="14.25" customHeight="1">
      <c r="A61" s="282" t="s">
        <v>1237</v>
      </c>
      <c r="B61" s="282" t="s">
        <v>1019</v>
      </c>
      <c r="C61" s="282" t="str">
        <f t="array" ref="C61">IFERROR(INDEX(Companies!$B$5:$B$74,MATCH($B61,Companies!$A$5:$A$74,0)),"Unknown ID")</f>
        <v>Biomedical Link</v>
      </c>
      <c r="D61" s="282" t="s">
        <v>1022</v>
      </c>
      <c r="E61" s="282" t="s">
        <v>240</v>
      </c>
      <c r="F61" s="282" t="s">
        <v>757</v>
      </c>
      <c r="G61" s="282" t="s">
        <v>1021</v>
      </c>
      <c r="H61" s="300"/>
      <c r="I61" s="300"/>
      <c r="J61" s="282"/>
      <c r="K61" s="282" t="s">
        <v>1238</v>
      </c>
      <c r="L61" s="300">
        <v>46023.0</v>
      </c>
      <c r="M61" s="300">
        <v>46387.0</v>
      </c>
      <c r="N61" s="282" t="str">
        <f t="shared" si="1"/>
        <v>Active</v>
      </c>
      <c r="O61" s="282" t="s">
        <v>1239</v>
      </c>
      <c r="P61" s="282" t="s">
        <v>1240</v>
      </c>
      <c r="Q61" s="301" t="str">
        <f t="array" ref="Q61">IFERROR(INDEX('Bills &amp; Invoices'!$B$5:$B$32,MATCH("*"&amp;$A61&amp;"*",'Bills &amp; Invoices'!$V$5:$V$32,0)),"")</f>
        <v/>
      </c>
      <c r="R61" s="26"/>
      <c r="S61" s="26"/>
      <c r="T61" s="26"/>
      <c r="U61" s="26"/>
      <c r="V61" s="26"/>
      <c r="W61" s="26"/>
      <c r="X61" s="26"/>
      <c r="Y61" s="26"/>
      <c r="Z61" s="26"/>
    </row>
    <row r="62" ht="14.25" customHeight="1">
      <c r="A62" s="282" t="s">
        <v>1243</v>
      </c>
      <c r="B62" s="282" t="s">
        <v>953</v>
      </c>
      <c r="C62" s="282" t="str">
        <f t="array" ref="C62">IFERROR(INDEX(Companies!$B$5:$B$74,MATCH($B62,Companies!$A$5:$A$74,0)),"Unknown ID")</f>
        <v>Rainbow Paint Factory</v>
      </c>
      <c r="D62" s="282" t="s">
        <v>1244</v>
      </c>
      <c r="E62" s="282" t="s">
        <v>240</v>
      </c>
      <c r="F62" s="282" t="s">
        <v>757</v>
      </c>
      <c r="G62" s="282" t="s">
        <v>1245</v>
      </c>
      <c r="H62" s="300"/>
      <c r="I62" s="300"/>
      <c r="J62" s="282"/>
      <c r="K62" s="282" t="s">
        <v>1246</v>
      </c>
      <c r="L62" s="300">
        <v>46023.0</v>
      </c>
      <c r="M62" s="300">
        <v>46387.0</v>
      </c>
      <c r="N62" s="282" t="str">
        <f t="shared" si="1"/>
        <v>Active</v>
      </c>
      <c r="O62" s="282" t="s">
        <v>1247</v>
      </c>
      <c r="P62" s="282" t="s">
        <v>1248</v>
      </c>
      <c r="Q62" s="301" t="str">
        <f t="array" ref="Q62">IFERROR(INDEX('Bills &amp; Invoices'!$B$5:$B$32,MATCH("*"&amp;$A62&amp;"*",'Bills &amp; Invoices'!$V$5:$V$32,0)),"")</f>
        <v/>
      </c>
      <c r="R62" s="26"/>
      <c r="S62" s="26"/>
      <c r="T62" s="26"/>
      <c r="U62" s="26"/>
      <c r="V62" s="26"/>
      <c r="W62" s="26"/>
      <c r="X62" s="26"/>
      <c r="Y62" s="26"/>
      <c r="Z62" s="26"/>
    </row>
    <row r="63" ht="14.25" customHeight="1">
      <c r="A63" s="282" t="s">
        <v>1250</v>
      </c>
      <c r="B63" s="282" t="s">
        <v>1027</v>
      </c>
      <c r="C63" s="282" t="str">
        <f t="array" ref="C63">IFERROR(INDEX(Companies!$B$5:$B$74,MATCH($B63,Companies!$A$5:$A$74,0)),"Unknown ID")</f>
        <v>Raja International Trading Company (RITCO)</v>
      </c>
      <c r="D63" s="282" t="s">
        <v>1031</v>
      </c>
      <c r="E63" s="282" t="s">
        <v>240</v>
      </c>
      <c r="F63" s="282" t="s">
        <v>757</v>
      </c>
      <c r="G63" s="282" t="s">
        <v>1030</v>
      </c>
      <c r="H63" s="300"/>
      <c r="I63" s="300"/>
      <c r="J63" s="282"/>
      <c r="K63" s="282" t="s">
        <v>1252</v>
      </c>
      <c r="L63" s="300">
        <v>46023.0</v>
      </c>
      <c r="M63" s="300">
        <v>46387.0</v>
      </c>
      <c r="N63" s="282" t="str">
        <f t="shared" si="1"/>
        <v>Active</v>
      </c>
      <c r="O63" s="282"/>
      <c r="P63" s="282" t="s">
        <v>1253</v>
      </c>
      <c r="Q63" s="301" t="str">
        <f t="array" ref="Q63">IFERROR(INDEX('Bills &amp; Invoices'!$B$5:$B$32,MATCH("*"&amp;$A63&amp;"*",'Bills &amp; Invoices'!$V$5:$V$32,0)),"")</f>
        <v/>
      </c>
      <c r="R63" s="26"/>
      <c r="S63" s="26"/>
      <c r="T63" s="26"/>
      <c r="U63" s="26"/>
      <c r="V63" s="26"/>
      <c r="W63" s="26"/>
      <c r="X63" s="26"/>
      <c r="Y63" s="26"/>
      <c r="Z63" s="26"/>
    </row>
    <row r="64" ht="14.25" customHeight="1">
      <c r="A64" s="282" t="s">
        <v>1254</v>
      </c>
      <c r="B64" s="282" t="s">
        <v>749</v>
      </c>
      <c r="C64" s="282" t="str">
        <f t="array" ref="C64">IFERROR(INDEX(Companies!$B$5:$B$74,MATCH($B64,Companies!$A$5:$A$74,0)),"Unknown ID")</f>
        <v>Firestone Liberia</v>
      </c>
      <c r="D64" s="282" t="s">
        <v>1257</v>
      </c>
      <c r="E64" s="282" t="s">
        <v>240</v>
      </c>
      <c r="F64" s="282" t="s">
        <v>757</v>
      </c>
      <c r="G64" s="282" t="s">
        <v>1258</v>
      </c>
      <c r="H64" s="300"/>
      <c r="I64" s="300"/>
      <c r="J64" s="282"/>
      <c r="K64" s="282" t="s">
        <v>1259</v>
      </c>
      <c r="L64" s="300">
        <v>46023.0</v>
      </c>
      <c r="M64" s="300">
        <v>46387.0</v>
      </c>
      <c r="N64" s="282" t="str">
        <f t="shared" si="1"/>
        <v>Active</v>
      </c>
      <c r="O64" s="282" t="s">
        <v>1228</v>
      </c>
      <c r="P64" s="282" t="s">
        <v>1260</v>
      </c>
      <c r="Q64" s="301" t="str">
        <f t="array" ref="Q64">IFERROR(INDEX('Bills &amp; Invoices'!$B$5:$B$32,MATCH("*"&amp;$A64&amp;"*",'Bills &amp; Invoices'!$V$5:$V$32,0)),"")</f>
        <v/>
      </c>
      <c r="R64" s="26"/>
      <c r="S64" s="26"/>
      <c r="T64" s="26"/>
      <c r="U64" s="26"/>
      <c r="V64" s="26"/>
      <c r="W64" s="26"/>
      <c r="X64" s="26"/>
      <c r="Y64" s="26"/>
      <c r="Z64" s="26"/>
    </row>
    <row r="65" ht="14.25" customHeight="1">
      <c r="A65" s="282" t="s">
        <v>1261</v>
      </c>
      <c r="B65" s="282" t="s">
        <v>749</v>
      </c>
      <c r="C65" s="282" t="str">
        <f t="array" ref="C65">IFERROR(INDEX(Companies!$B$5:$B$74,MATCH($B65,Companies!$A$5:$A$74,0)),"Unknown ID")</f>
        <v>Firestone Liberia</v>
      </c>
      <c r="D65" s="282" t="s">
        <v>1262</v>
      </c>
      <c r="E65" s="282" t="s">
        <v>240</v>
      </c>
      <c r="F65" s="282" t="s">
        <v>757</v>
      </c>
      <c r="G65" s="282" t="s">
        <v>1258</v>
      </c>
      <c r="H65" s="300"/>
      <c r="I65" s="300"/>
      <c r="J65" s="282"/>
      <c r="K65" s="282" t="s">
        <v>1265</v>
      </c>
      <c r="L65" s="300">
        <v>46023.0</v>
      </c>
      <c r="M65" s="300">
        <v>46387.0</v>
      </c>
      <c r="N65" s="282" t="str">
        <f t="shared" si="1"/>
        <v>Active</v>
      </c>
      <c r="O65" s="282"/>
      <c r="P65" s="282" t="s">
        <v>1266</v>
      </c>
      <c r="Q65" s="301" t="str">
        <f t="array" ref="Q65">IFERROR(INDEX('Bills &amp; Invoices'!$B$5:$B$32,MATCH("*"&amp;$A65&amp;"*",'Bills &amp; Invoices'!$V$5:$V$32,0)),"")</f>
        <v/>
      </c>
      <c r="R65" s="26"/>
      <c r="S65" s="26"/>
      <c r="T65" s="26"/>
      <c r="U65" s="26"/>
      <c r="V65" s="26"/>
      <c r="W65" s="26"/>
      <c r="X65" s="26"/>
      <c r="Y65" s="26"/>
      <c r="Z65" s="26"/>
    </row>
    <row r="66" ht="14.25" customHeight="1">
      <c r="A66" s="282" t="s">
        <v>1267</v>
      </c>
      <c r="B66" s="282" t="s">
        <v>857</v>
      </c>
      <c r="C66" s="282" t="str">
        <f t="array" ref="C66">IFERROR(INDEX(Companies!$B$5:$B$74,MATCH($B66,Companies!$A$5:$A$74,0)),"Unknown ID")</f>
        <v>Supreme Liberia Inc.</v>
      </c>
      <c r="D66" s="282" t="s">
        <v>1268</v>
      </c>
      <c r="E66" s="282" t="s">
        <v>240</v>
      </c>
      <c r="F66" s="282" t="s">
        <v>757</v>
      </c>
      <c r="G66" s="282" t="s">
        <v>1269</v>
      </c>
      <c r="H66" s="300"/>
      <c r="I66" s="300"/>
      <c r="J66" s="282"/>
      <c r="K66" s="282" t="s">
        <v>1270</v>
      </c>
      <c r="L66" s="300">
        <v>46023.0</v>
      </c>
      <c r="M66" s="300">
        <v>46357.0</v>
      </c>
      <c r="N66" s="282" t="str">
        <f t="shared" si="1"/>
        <v>Active</v>
      </c>
      <c r="O66" s="282" t="s">
        <v>1272</v>
      </c>
      <c r="P66" s="282" t="s">
        <v>1274</v>
      </c>
      <c r="Q66" s="301" t="str">
        <f t="array" ref="Q66">IFERROR(INDEX('Bills &amp; Invoices'!$B$5:$B$32,MATCH("*"&amp;$A66&amp;"*",'Bills &amp; Invoices'!$V$5:$V$32,0)),"")</f>
        <v/>
      </c>
      <c r="R66" s="26"/>
      <c r="S66" s="26"/>
      <c r="T66" s="26"/>
      <c r="U66" s="26"/>
      <c r="V66" s="26"/>
      <c r="W66" s="26"/>
      <c r="X66" s="26"/>
      <c r="Y66" s="26"/>
      <c r="Z66" s="26"/>
    </row>
    <row r="67" ht="14.25" customHeight="1">
      <c r="A67" s="282" t="s">
        <v>1275</v>
      </c>
      <c r="B67" s="282" t="s">
        <v>917</v>
      </c>
      <c r="C67" s="282" t="str">
        <f t="array" ref="C67">IFERROR(INDEX(Companies!$B$5:$B$74,MATCH($B67,Companies!$A$5:$A$74,0)),"Unknown ID")</f>
        <v>Huiren Mining Inc.</v>
      </c>
      <c r="D67" s="282" t="s">
        <v>1276</v>
      </c>
      <c r="E67" s="282" t="s">
        <v>240</v>
      </c>
      <c r="F67" s="282" t="s">
        <v>757</v>
      </c>
      <c r="G67" s="282" t="s">
        <v>1277</v>
      </c>
      <c r="H67" s="300"/>
      <c r="I67" s="300"/>
      <c r="J67" s="282"/>
      <c r="K67" s="282" t="s">
        <v>1278</v>
      </c>
      <c r="L67" s="300">
        <v>46023.0</v>
      </c>
      <c r="M67" s="300">
        <v>46387.0</v>
      </c>
      <c r="N67" s="282" t="str">
        <f t="shared" si="1"/>
        <v>Active</v>
      </c>
      <c r="O67" s="282"/>
      <c r="P67" s="282" t="s">
        <v>1279</v>
      </c>
      <c r="Q67" s="301" t="str">
        <f t="array" ref="Q67">IFERROR(INDEX('Bills &amp; Invoices'!$B$5:$B$32,MATCH("*"&amp;$A67&amp;"*",'Bills &amp; Invoices'!$V$5:$V$32,0)),"")</f>
        <v/>
      </c>
      <c r="R67" s="26"/>
      <c r="S67" s="26"/>
      <c r="T67" s="26"/>
      <c r="U67" s="26"/>
      <c r="V67" s="26"/>
      <c r="W67" s="26"/>
      <c r="X67" s="26"/>
      <c r="Y67" s="26"/>
      <c r="Z67" s="26"/>
    </row>
    <row r="68" ht="14.25" customHeight="1">
      <c r="A68" s="282" t="s">
        <v>1283</v>
      </c>
      <c r="B68" s="282" t="s">
        <v>820</v>
      </c>
      <c r="C68" s="282" t="str">
        <f t="array" ref="C68">IFERROR(INDEX(Companies!$B$5:$B$74,MATCH($B68,Companies!$A$5:$A$74,0)),"Unknown ID")</f>
        <v>LIPFOCO Mattress Factory</v>
      </c>
      <c r="D68" s="282" t="s">
        <v>824</v>
      </c>
      <c r="E68" s="282" t="s">
        <v>240</v>
      </c>
      <c r="F68" s="282" t="s">
        <v>757</v>
      </c>
      <c r="G68" s="282" t="s">
        <v>1284</v>
      </c>
      <c r="H68" s="300"/>
      <c r="I68" s="300"/>
      <c r="J68" s="282"/>
      <c r="K68" s="282" t="s">
        <v>1285</v>
      </c>
      <c r="L68" s="300">
        <v>46023.0</v>
      </c>
      <c r="M68" s="300">
        <v>46357.0</v>
      </c>
      <c r="N68" s="282" t="str">
        <f t="shared" si="1"/>
        <v>Active</v>
      </c>
      <c r="O68" s="282" t="s">
        <v>1286</v>
      </c>
      <c r="P68" s="282" t="s">
        <v>1287</v>
      </c>
      <c r="Q68" s="301" t="str">
        <f t="array" ref="Q68">IFERROR(INDEX('Bills &amp; Invoices'!$B$5:$B$32,MATCH("*"&amp;$A68&amp;"*",'Bills &amp; Invoices'!$V$5:$V$32,0)),"")</f>
        <v/>
      </c>
      <c r="R68" s="26"/>
      <c r="S68" s="26"/>
      <c r="T68" s="26"/>
      <c r="U68" s="26"/>
      <c r="V68" s="26"/>
      <c r="W68" s="26"/>
      <c r="X68" s="26"/>
      <c r="Y68" s="26"/>
      <c r="Z68" s="26"/>
    </row>
    <row r="69" ht="14.25" customHeight="1">
      <c r="A69" s="282" t="s">
        <v>1288</v>
      </c>
      <c r="B69" s="282" t="s">
        <v>1036</v>
      </c>
      <c r="C69" s="282" t="str">
        <f t="array" ref="C69">IFERROR(INDEX(Companies!$B$5:$B$74,MATCH($B69,Companies!$A$5:$A$74,0)),"Unknown ID")</f>
        <v>Mira Gas &amp; Gas</v>
      </c>
      <c r="D69" s="282" t="s">
        <v>1039</v>
      </c>
      <c r="E69" s="282" t="s">
        <v>240</v>
      </c>
      <c r="F69" s="282" t="s">
        <v>757</v>
      </c>
      <c r="G69" s="282" t="s">
        <v>1038</v>
      </c>
      <c r="H69" s="300"/>
      <c r="I69" s="300"/>
      <c r="J69" s="282"/>
      <c r="K69" s="282" t="s">
        <v>1291</v>
      </c>
      <c r="L69" s="300">
        <v>46023.0</v>
      </c>
      <c r="M69" s="300">
        <v>46387.0</v>
      </c>
      <c r="N69" s="282" t="str">
        <f t="shared" si="1"/>
        <v>Active</v>
      </c>
      <c r="O69" s="282"/>
      <c r="P69" s="282" t="s">
        <v>1292</v>
      </c>
      <c r="Q69" s="301" t="str">
        <f t="array" ref="Q69">IFERROR(INDEX('Bills &amp; Invoices'!$B$5:$B$32,MATCH("*"&amp;$A69&amp;"*",'Bills &amp; Invoices'!$V$5:$V$32,0)),"")</f>
        <v/>
      </c>
      <c r="R69" s="26"/>
      <c r="S69" s="26"/>
      <c r="T69" s="26"/>
      <c r="U69" s="26"/>
      <c r="V69" s="26"/>
      <c r="W69" s="26"/>
      <c r="X69" s="26"/>
      <c r="Y69" s="26"/>
      <c r="Z69" s="26"/>
    </row>
    <row r="70" ht="14.25" customHeight="1">
      <c r="A70" s="282" t="s">
        <v>1293</v>
      </c>
      <c r="B70" s="282" t="s">
        <v>1045</v>
      </c>
      <c r="C70" s="282" t="str">
        <f t="array" ref="C70">IFERROR(INDEX(Companies!$B$5:$B$74,MATCH($B70,Companies!$A$5:$A$74,0)),"Unknown ID")</f>
        <v>Packaging and Laboratory Equipment Supply (PALES)</v>
      </c>
      <c r="D70" s="282" t="s">
        <v>1048</v>
      </c>
      <c r="E70" s="282" t="s">
        <v>240</v>
      </c>
      <c r="F70" s="282" t="s">
        <v>757</v>
      </c>
      <c r="G70" s="282" t="s">
        <v>1296</v>
      </c>
      <c r="H70" s="300"/>
      <c r="I70" s="300"/>
      <c r="J70" s="282"/>
      <c r="K70" s="282" t="s">
        <v>1297</v>
      </c>
      <c r="L70" s="300">
        <v>46023.0</v>
      </c>
      <c r="M70" s="300">
        <v>46387.0</v>
      </c>
      <c r="N70" s="282" t="str">
        <f t="shared" si="1"/>
        <v>Active</v>
      </c>
      <c r="O70" s="282" t="s">
        <v>1228</v>
      </c>
      <c r="P70" s="282" t="s">
        <v>1298</v>
      </c>
      <c r="Q70" s="301" t="str">
        <f t="array" ref="Q70">IFERROR(INDEX('Bills &amp; Invoices'!$B$5:$B$32,MATCH("*"&amp;$A70&amp;"*",'Bills &amp; Invoices'!$V$5:$V$32,0)),"")</f>
        <v/>
      </c>
      <c r="R70" s="26"/>
      <c r="S70" s="26"/>
      <c r="T70" s="26"/>
      <c r="U70" s="26"/>
      <c r="V70" s="26"/>
      <c r="W70" s="26"/>
      <c r="X70" s="26"/>
      <c r="Y70" s="26"/>
      <c r="Z70" s="26"/>
    </row>
    <row r="71" ht="14.25" customHeight="1">
      <c r="A71" s="282" t="s">
        <v>1299</v>
      </c>
      <c r="B71" s="282" t="s">
        <v>867</v>
      </c>
      <c r="C71" s="282" t="str">
        <f t="array" ref="C71">IFERROR(INDEX(Companies!$B$5:$B$74,MATCH($B71,Companies!$A$5:$A$74,0)),"Unknown ID")</f>
        <v>Everette Transport Corporation</v>
      </c>
      <c r="D71" s="282" t="s">
        <v>1191</v>
      </c>
      <c r="E71" s="282" t="s">
        <v>367</v>
      </c>
      <c r="F71" s="282" t="s">
        <v>1192</v>
      </c>
      <c r="G71" s="282" t="s">
        <v>1302</v>
      </c>
      <c r="H71" s="300"/>
      <c r="I71" s="300"/>
      <c r="J71" s="282"/>
      <c r="K71" s="282" t="s">
        <v>1303</v>
      </c>
      <c r="L71" s="300">
        <v>46023.0</v>
      </c>
      <c r="M71" s="300">
        <v>46387.0</v>
      </c>
      <c r="N71" s="282" t="str">
        <f t="shared" si="1"/>
        <v>Active</v>
      </c>
      <c r="O71" s="282" t="s">
        <v>1304</v>
      </c>
      <c r="P71" s="282" t="s">
        <v>1305</v>
      </c>
      <c r="Q71" s="301" t="str">
        <f t="array" ref="Q71">IFERROR(INDEX('Bills &amp; Invoices'!$B$5:$B$32,MATCH("*"&amp;$A71&amp;"*",'Bills &amp; Invoices'!$V$5:$V$32,0)),"")</f>
        <v/>
      </c>
      <c r="R71" s="26"/>
      <c r="S71" s="26"/>
      <c r="T71" s="26"/>
      <c r="U71" s="26"/>
      <c r="V71" s="26"/>
      <c r="W71" s="26"/>
      <c r="X71" s="26"/>
      <c r="Y71" s="26"/>
      <c r="Z71" s="26"/>
    </row>
    <row r="72" ht="14.25" customHeight="1">
      <c r="A72" s="282" t="s">
        <v>1306</v>
      </c>
      <c r="B72" s="282" t="s">
        <v>891</v>
      </c>
      <c r="C72" s="282" t="str">
        <f t="array" ref="C72">IFERROR(INDEX(Companies!$B$5:$B$74,MATCH($B72,Companies!$A$5:$A$74,0)),"Unknown ID")</f>
        <v>AMASCO</v>
      </c>
      <c r="D72" s="282" t="s">
        <v>894</v>
      </c>
      <c r="E72" s="282" t="s">
        <v>367</v>
      </c>
      <c r="F72" s="282" t="s">
        <v>1192</v>
      </c>
      <c r="G72" s="282" t="s">
        <v>1309</v>
      </c>
      <c r="H72" s="300"/>
      <c r="I72" s="300"/>
      <c r="J72" s="282"/>
      <c r="K72" s="282" t="s">
        <v>1310</v>
      </c>
      <c r="L72" s="300">
        <v>46023.0</v>
      </c>
      <c r="M72" s="300">
        <v>46387.0</v>
      </c>
      <c r="N72" s="282" t="str">
        <f t="shared" si="1"/>
        <v>Active</v>
      </c>
      <c r="O72" s="282" t="s">
        <v>1311</v>
      </c>
      <c r="P72" s="282" t="s">
        <v>1312</v>
      </c>
      <c r="Q72" s="301" t="str">
        <f t="array" ref="Q72">IFERROR(INDEX('Bills &amp; Invoices'!$B$5:$B$32,MATCH("*"&amp;$A72&amp;"*",'Bills &amp; Invoices'!$V$5:$V$32,0)),"")</f>
        <v/>
      </c>
      <c r="R72" s="26"/>
      <c r="S72" s="26"/>
      <c r="T72" s="26"/>
      <c r="U72" s="26"/>
      <c r="V72" s="26"/>
      <c r="W72" s="26"/>
      <c r="X72" s="26"/>
      <c r="Y72" s="26"/>
      <c r="Z72" s="26"/>
    </row>
    <row r="73" ht="14.25" customHeight="1">
      <c r="A73" s="282" t="s">
        <v>248</v>
      </c>
      <c r="B73" s="282" t="s">
        <v>1055</v>
      </c>
      <c r="C73" s="282" t="str">
        <f t="array" ref="C73">IFERROR(INDEX(Companies!$B$5:$B$74,MATCH($B73,Companies!$A$5:$A$74,0)),"Unknown ID")</f>
        <v>Freeway Logistics Trucking Company Inc.</v>
      </c>
      <c r="D73" s="282" t="s">
        <v>1060</v>
      </c>
      <c r="E73" s="282" t="s">
        <v>367</v>
      </c>
      <c r="F73" s="282" t="s">
        <v>1192</v>
      </c>
      <c r="G73" s="282" t="s">
        <v>1314</v>
      </c>
      <c r="H73" s="300"/>
      <c r="I73" s="300"/>
      <c r="J73" s="282"/>
      <c r="K73" s="282" t="s">
        <v>1316</v>
      </c>
      <c r="L73" s="300">
        <v>46023.0</v>
      </c>
      <c r="M73" s="300">
        <v>46387.0</v>
      </c>
      <c r="N73" s="282" t="str">
        <f t="shared" si="1"/>
        <v>Active</v>
      </c>
      <c r="O73" s="282" t="s">
        <v>1317</v>
      </c>
      <c r="P73" s="282" t="s">
        <v>1318</v>
      </c>
      <c r="Q73" s="301" t="str">
        <f t="array" ref="Q73">IFERROR(INDEX('Bills &amp; Invoices'!$B$5:$B$32,MATCH("*"&amp;$A73&amp;"*",'Bills &amp; Invoices'!$V$5:$V$32,0)),"")</f>
        <v/>
      </c>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B5:B73">
      <formula1>Companies!$A$5:$A$74</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7.57"/>
    <col customWidth="1" min="2" max="2" width="27.71"/>
    <col customWidth="1" min="3" max="3" width="38.86"/>
    <col customWidth="1" min="4" max="4" width="42.57"/>
    <col customWidth="1" min="5" max="5" width="27.71"/>
    <col customWidth="1" min="6" max="6" width="22.29"/>
    <col customWidth="1" min="7" max="7" width="16.71"/>
    <col customWidth="1" min="8" max="8" width="9.29"/>
    <col customWidth="1" min="9" max="9" width="31.43"/>
    <col customWidth="1" min="10" max="26" width="8.71"/>
  </cols>
  <sheetData>
    <row r="1" ht="25.5" customHeight="1">
      <c r="A1" s="307" t="s">
        <v>1205</v>
      </c>
      <c r="B1" s="307"/>
      <c r="C1" s="307"/>
      <c r="D1" s="307"/>
      <c r="E1" s="307"/>
      <c r="F1" s="307"/>
      <c r="G1" s="307"/>
      <c r="H1" s="307"/>
      <c r="I1" s="307"/>
    </row>
    <row r="2" ht="14.25" customHeight="1">
      <c r="A2" s="30" t="s">
        <v>1210</v>
      </c>
      <c r="B2" s="26"/>
      <c r="C2" s="26"/>
      <c r="D2" s="26"/>
      <c r="E2" s="26"/>
      <c r="F2" s="26"/>
      <c r="G2" s="26"/>
      <c r="H2" s="26"/>
      <c r="I2" s="26"/>
    </row>
    <row r="3" ht="14.25" customHeight="1">
      <c r="A3" s="26"/>
      <c r="B3" s="26"/>
      <c r="C3" s="26"/>
      <c r="D3" s="26"/>
      <c r="E3" s="26"/>
      <c r="F3" s="26"/>
      <c r="G3" s="26"/>
      <c r="H3" s="26"/>
      <c r="I3" s="26"/>
    </row>
    <row r="4" ht="30.0" customHeight="1">
      <c r="A4" s="280" t="s">
        <v>1211</v>
      </c>
      <c r="B4" s="280" t="s">
        <v>560</v>
      </c>
      <c r="C4" s="280" t="s">
        <v>218</v>
      </c>
      <c r="D4" s="280" t="s">
        <v>353</v>
      </c>
      <c r="E4" s="280" t="s">
        <v>354</v>
      </c>
      <c r="F4" s="280" t="s">
        <v>355</v>
      </c>
      <c r="G4" s="280" t="s">
        <v>1213</v>
      </c>
      <c r="H4" s="280" t="s">
        <v>397</v>
      </c>
      <c r="I4" s="280" t="s">
        <v>1214</v>
      </c>
    </row>
    <row r="5" ht="14.25" customHeight="1">
      <c r="A5" s="282" t="s">
        <v>1204</v>
      </c>
      <c r="B5" s="282" t="str">
        <f t="array" ref="B5">IF($A5="","",IFERROR(INDEX('Licences &amp; Certificates'!$K$5:$K$73,MATCH($A5,'Licences &amp; Certificates'!$A$5:$A$73,0))&amp;"","Unknown ID"))</f>
        <v>EPA/CIL-0027/0326</v>
      </c>
      <c r="C5" s="282" t="str">
        <f t="array" ref="C5">IF($A5="","",IFERROR(INDEX('Licences &amp; Certificates'!$C$5:$C$73,MATCH($A5,'Licences &amp; Certificates'!$A$5:$A$73,0)),"Unknown ID"))</f>
        <v>Ma Bendu Farms</v>
      </c>
      <c r="D5" s="282" t="s">
        <v>1222</v>
      </c>
      <c r="E5" s="282" t="s">
        <v>1224</v>
      </c>
      <c r="F5" s="282"/>
      <c r="G5" s="308"/>
      <c r="H5" s="282" t="s">
        <v>1225</v>
      </c>
      <c r="I5" s="282"/>
    </row>
    <row r="6" ht="14.25" customHeight="1">
      <c r="A6" s="282" t="s">
        <v>1204</v>
      </c>
      <c r="B6" s="282" t="str">
        <f t="array" ref="B6">IF($A6="","",IFERROR(INDEX('Licences &amp; Certificates'!$K$5:$K$73,MATCH($A6,'Licences &amp; Certificates'!$A$5:$A$73,0))&amp;"","Unknown ID"))</f>
        <v>EPA/CIL-0027/0326</v>
      </c>
      <c r="C6" s="282" t="str">
        <f t="array" ref="C6">IF($A6="","",IFERROR(INDEX('Licences &amp; Certificates'!$C$5:$C$73,MATCH($A6,'Licences &amp; Certificates'!$A$5:$A$73,0)),"Unknown ID"))</f>
        <v>Ma Bendu Farms</v>
      </c>
      <c r="D6" s="282" t="s">
        <v>1232</v>
      </c>
      <c r="E6" s="282" t="s">
        <v>1233</v>
      </c>
      <c r="F6" s="282"/>
      <c r="G6" s="308"/>
      <c r="H6" s="282" t="s">
        <v>1225</v>
      </c>
      <c r="I6" s="282"/>
    </row>
    <row r="7" ht="14.25" customHeight="1">
      <c r="A7" s="282" t="s">
        <v>1204</v>
      </c>
      <c r="B7" s="282" t="str">
        <f t="array" ref="B7">IF($A7="","",IFERROR(INDEX('Licences &amp; Certificates'!$K$5:$K$73,MATCH($A7,'Licences &amp; Certificates'!$A$5:$A$73,0))&amp;"","Unknown ID"))</f>
        <v>EPA/CIL-0027/0326</v>
      </c>
      <c r="C7" s="282" t="str">
        <f t="array" ref="C7">IF($A7="","",IFERROR(INDEX('Licences &amp; Certificates'!$C$5:$C$73,MATCH($A7,'Licences &amp; Certificates'!$A$5:$A$73,0)),"Unknown ID"))</f>
        <v>Ma Bendu Farms</v>
      </c>
      <c r="D7" s="282" t="s">
        <v>1241</v>
      </c>
      <c r="E7" s="282" t="s">
        <v>1242</v>
      </c>
      <c r="F7" s="282"/>
      <c r="G7" s="308"/>
      <c r="H7" s="282" t="s">
        <v>1225</v>
      </c>
      <c r="I7" s="282"/>
    </row>
    <row r="8" ht="14.25" customHeight="1">
      <c r="A8" s="282" t="s">
        <v>1204</v>
      </c>
      <c r="B8" s="282" t="str">
        <f t="array" ref="B8">IF($A8="","",IFERROR(INDEX('Licences &amp; Certificates'!$K$5:$K$73,MATCH($A8,'Licences &amp; Certificates'!$A$5:$A$73,0))&amp;"","Unknown ID"))</f>
        <v>EPA/CIL-0027/0326</v>
      </c>
      <c r="C8" s="282" t="str">
        <f t="array" ref="C8">IF($A8="","",IFERROR(INDEX('Licences &amp; Certificates'!$C$5:$C$73,MATCH($A8,'Licences &amp; Certificates'!$A$5:$A$73,0)),"Unknown ID"))</f>
        <v>Ma Bendu Farms</v>
      </c>
      <c r="D8" s="282" t="s">
        <v>1249</v>
      </c>
      <c r="E8" s="282" t="s">
        <v>1251</v>
      </c>
      <c r="F8" s="282"/>
      <c r="G8" s="308"/>
      <c r="H8" s="282" t="s">
        <v>1225</v>
      </c>
      <c r="I8" s="282"/>
    </row>
    <row r="9" ht="14.25" customHeight="1">
      <c r="A9" s="282" t="s">
        <v>1204</v>
      </c>
      <c r="B9" s="282" t="str">
        <f t="array" ref="B9">IF($A9="","",IFERROR(INDEX('Licences &amp; Certificates'!$K$5:$K$73,MATCH($A9,'Licences &amp; Certificates'!$A$5:$A$73,0))&amp;"","Unknown ID"))</f>
        <v>EPA/CIL-0027/0326</v>
      </c>
      <c r="C9" s="282" t="str">
        <f t="array" ref="C9">IF($A9="","",IFERROR(INDEX('Licences &amp; Certificates'!$C$5:$C$73,MATCH($A9,'Licences &amp; Certificates'!$A$5:$A$73,0)),"Unknown ID"))</f>
        <v>Ma Bendu Farms</v>
      </c>
      <c r="D9" s="282" t="s">
        <v>1255</v>
      </c>
      <c r="E9" s="282" t="s">
        <v>1256</v>
      </c>
      <c r="F9" s="282"/>
      <c r="G9" s="308">
        <v>1000.0</v>
      </c>
      <c r="H9" s="282" t="s">
        <v>1225</v>
      </c>
      <c r="I9" s="282"/>
    </row>
    <row r="10" ht="14.25" customHeight="1">
      <c r="A10" s="282" t="s">
        <v>1204</v>
      </c>
      <c r="B10" s="282" t="str">
        <f t="array" ref="B10">IF($A10="","",IFERROR(INDEX('Licences &amp; Certificates'!$K$5:$K$73,MATCH($A10,'Licences &amp; Certificates'!$A$5:$A$73,0))&amp;"","Unknown ID"))</f>
        <v>EPA/CIL-0027/0326</v>
      </c>
      <c r="C10" s="282" t="str">
        <f t="array" ref="C10">IF($A10="","",IFERROR(INDEX('Licences &amp; Certificates'!$C$5:$C$73,MATCH($A10,'Licences &amp; Certificates'!$A$5:$A$73,0)),"Unknown ID"))</f>
        <v>Ma Bendu Farms</v>
      </c>
      <c r="D10" s="282" t="s">
        <v>1263</v>
      </c>
      <c r="E10" s="282" t="s">
        <v>1264</v>
      </c>
      <c r="F10" s="282"/>
      <c r="G10" s="308"/>
      <c r="H10" s="282" t="s">
        <v>1225</v>
      </c>
      <c r="I10" s="282"/>
    </row>
    <row r="11" ht="14.25" customHeight="1">
      <c r="A11" s="282" t="s">
        <v>1204</v>
      </c>
      <c r="B11" s="282" t="str">
        <f t="array" ref="B11">IF($A11="","",IFERROR(INDEX('Licences &amp; Certificates'!$K$5:$K$73,MATCH($A11,'Licences &amp; Certificates'!$A$5:$A$73,0))&amp;"","Unknown ID"))</f>
        <v>EPA/CIL-0027/0326</v>
      </c>
      <c r="C11" s="282" t="str">
        <f t="array" ref="C11">IF($A11="","",IFERROR(INDEX('Licences &amp; Certificates'!$C$5:$C$73,MATCH($A11,'Licences &amp; Certificates'!$A$5:$A$73,0)),"Unknown ID"))</f>
        <v>Ma Bendu Farms</v>
      </c>
      <c r="D11" s="282" t="s">
        <v>1271</v>
      </c>
      <c r="E11" s="282" t="s">
        <v>1273</v>
      </c>
      <c r="F11" s="282"/>
      <c r="G11" s="308"/>
      <c r="H11" s="282" t="s">
        <v>1225</v>
      </c>
      <c r="I11" s="282"/>
    </row>
    <row r="12" ht="14.25" customHeight="1">
      <c r="A12" s="282" t="s">
        <v>1212</v>
      </c>
      <c r="B12" s="282" t="str">
        <f t="array" ref="B12">IF($A12="","",IFERROR(INDEX('Licences &amp; Certificates'!$K$5:$K$73,MATCH($A12,'Licences &amp; Certificates'!$A$5:$A$73,0))&amp;"","Unknown ID"))</f>
        <v>EPA/CIL-04/0226</v>
      </c>
      <c r="C12" s="282" t="str">
        <f t="array" ref="C12">IF($A12="","",IFERROR(INDEX('Licences &amp; Certificates'!$C$5:$C$73,MATCH($A12,'Licences &amp; Certificates'!$A$5:$A$73,0)),"Unknown ID"))</f>
        <v>Cheema &amp; Chahal Incorporated</v>
      </c>
      <c r="D12" s="282" t="s">
        <v>1280</v>
      </c>
      <c r="E12" s="282" t="s">
        <v>1281</v>
      </c>
      <c r="F12" s="282"/>
      <c r="G12" s="308">
        <v>5000.0</v>
      </c>
      <c r="H12" s="282" t="s">
        <v>1225</v>
      </c>
      <c r="I12" s="282" t="s">
        <v>1282</v>
      </c>
    </row>
    <row r="13" ht="14.25" customHeight="1">
      <c r="A13" s="282" t="s">
        <v>1212</v>
      </c>
      <c r="B13" s="282" t="str">
        <f t="array" ref="B13">IF($A13="","",IFERROR(INDEX('Licences &amp; Certificates'!$K$5:$K$73,MATCH($A13,'Licences &amp; Certificates'!$A$5:$A$73,0))&amp;"","Unknown ID"))</f>
        <v>EPA/CIL-04/0226</v>
      </c>
      <c r="C13" s="282" t="str">
        <f t="array" ref="C13">IF($A13="","",IFERROR(INDEX('Licences &amp; Certificates'!$C$5:$C$73,MATCH($A13,'Licences &amp; Certificates'!$A$5:$A$73,0)),"Unknown ID"))</f>
        <v>Cheema &amp; Chahal Incorporated</v>
      </c>
      <c r="D13" s="282" t="s">
        <v>1289</v>
      </c>
      <c r="E13" s="282" t="s">
        <v>1290</v>
      </c>
      <c r="F13" s="282"/>
      <c r="G13" s="308">
        <v>5000.0</v>
      </c>
      <c r="H13" s="282" t="s">
        <v>1225</v>
      </c>
      <c r="I13" s="282" t="s">
        <v>1282</v>
      </c>
    </row>
    <row r="14" ht="14.25" customHeight="1">
      <c r="A14" s="282" t="s">
        <v>1212</v>
      </c>
      <c r="B14" s="282" t="str">
        <f t="array" ref="B14">IF($A14="","",IFERROR(INDEX('Licences &amp; Certificates'!$K$5:$K$73,MATCH($A14,'Licences &amp; Certificates'!$A$5:$A$73,0))&amp;"","Unknown ID"))</f>
        <v>EPA/CIL-04/0226</v>
      </c>
      <c r="C14" s="282" t="str">
        <f t="array" ref="C14">IF($A14="","",IFERROR(INDEX('Licences &amp; Certificates'!$C$5:$C$73,MATCH($A14,'Licences &amp; Certificates'!$A$5:$A$73,0)),"Unknown ID"))</f>
        <v>Cheema &amp; Chahal Incorporated</v>
      </c>
      <c r="D14" s="282" t="s">
        <v>1294</v>
      </c>
      <c r="E14" s="282" t="s">
        <v>1295</v>
      </c>
      <c r="F14" s="282"/>
      <c r="G14" s="308">
        <v>5000.0</v>
      </c>
      <c r="H14" s="282" t="s">
        <v>1225</v>
      </c>
      <c r="I14" s="282" t="s">
        <v>1282</v>
      </c>
    </row>
    <row r="15" ht="14.25" customHeight="1">
      <c r="A15" s="282" t="s">
        <v>1212</v>
      </c>
      <c r="B15" s="282" t="str">
        <f t="array" ref="B15">IF($A15="","",IFERROR(INDEX('Licences &amp; Certificates'!$K$5:$K$73,MATCH($A15,'Licences &amp; Certificates'!$A$5:$A$73,0))&amp;"","Unknown ID"))</f>
        <v>EPA/CIL-04/0226</v>
      </c>
      <c r="C15" s="282" t="str">
        <f t="array" ref="C15">IF($A15="","",IFERROR(INDEX('Licences &amp; Certificates'!$C$5:$C$73,MATCH($A15,'Licences &amp; Certificates'!$A$5:$A$73,0)),"Unknown ID"))</f>
        <v>Cheema &amp; Chahal Incorporated</v>
      </c>
      <c r="D15" s="282" t="s">
        <v>1300</v>
      </c>
      <c r="E15" s="282" t="s">
        <v>1301</v>
      </c>
      <c r="F15" s="282"/>
      <c r="G15" s="308">
        <v>5000.0</v>
      </c>
      <c r="H15" s="282" t="s">
        <v>1225</v>
      </c>
      <c r="I15" s="282" t="s">
        <v>1282</v>
      </c>
    </row>
    <row r="16" ht="14.25" customHeight="1">
      <c r="A16" s="282" t="s">
        <v>1212</v>
      </c>
      <c r="B16" s="282" t="str">
        <f t="array" ref="B16">IF($A16="","",IFERROR(INDEX('Licences &amp; Certificates'!$K$5:$K$73,MATCH($A16,'Licences &amp; Certificates'!$A$5:$A$73,0))&amp;"","Unknown ID"))</f>
        <v>EPA/CIL-04/0226</v>
      </c>
      <c r="C16" s="282" t="str">
        <f t="array" ref="C16">IF($A16="","",IFERROR(INDEX('Licences &amp; Certificates'!$C$5:$C$73,MATCH($A16,'Licences &amp; Certificates'!$A$5:$A$73,0)),"Unknown ID"))</f>
        <v>Cheema &amp; Chahal Incorporated</v>
      </c>
      <c r="D16" s="282" t="s">
        <v>1307</v>
      </c>
      <c r="E16" s="282" t="s">
        <v>1308</v>
      </c>
      <c r="F16" s="282"/>
      <c r="G16" s="308">
        <v>5000.0</v>
      </c>
      <c r="H16" s="282" t="s">
        <v>1225</v>
      </c>
      <c r="I16" s="282" t="s">
        <v>1282</v>
      </c>
    </row>
    <row r="17" ht="14.25" customHeight="1">
      <c r="A17" s="282" t="s">
        <v>1212</v>
      </c>
      <c r="B17" s="282" t="str">
        <f t="array" ref="B17">IF($A17="","",IFERROR(INDEX('Licences &amp; Certificates'!$K$5:$K$73,MATCH($A17,'Licences &amp; Certificates'!$A$5:$A$73,0))&amp;"","Unknown ID"))</f>
        <v>EPA/CIL-04/0226</v>
      </c>
      <c r="C17" s="282" t="str">
        <f t="array" ref="C17">IF($A17="","",IFERROR(INDEX('Licences &amp; Certificates'!$C$5:$C$73,MATCH($A17,'Licences &amp; Certificates'!$A$5:$A$73,0)),"Unknown ID"))</f>
        <v>Cheema &amp; Chahal Incorporated</v>
      </c>
      <c r="D17" s="282" t="s">
        <v>1313</v>
      </c>
      <c r="E17" s="282" t="s">
        <v>1315</v>
      </c>
      <c r="F17" s="282"/>
      <c r="G17" s="308">
        <v>5000.0</v>
      </c>
      <c r="H17" s="282" t="s">
        <v>1225</v>
      </c>
      <c r="I17" s="282" t="s">
        <v>1282</v>
      </c>
    </row>
    <row r="18" ht="14.25" customHeight="1">
      <c r="A18" s="282" t="s">
        <v>1212</v>
      </c>
      <c r="B18" s="282" t="str">
        <f t="array" ref="B18">IF($A18="","",IFERROR(INDEX('Licences &amp; Certificates'!$K$5:$K$73,MATCH($A18,'Licences &amp; Certificates'!$A$5:$A$73,0))&amp;"","Unknown ID"))</f>
        <v>EPA/CIL-04/0226</v>
      </c>
      <c r="C18" s="282" t="str">
        <f t="array" ref="C18">IF($A18="","",IFERROR(INDEX('Licences &amp; Certificates'!$C$5:$C$73,MATCH($A18,'Licences &amp; Certificates'!$A$5:$A$73,0)),"Unknown ID"))</f>
        <v>Cheema &amp; Chahal Incorporated</v>
      </c>
      <c r="D18" s="282" t="s">
        <v>1319</v>
      </c>
      <c r="E18" s="282" t="s">
        <v>1320</v>
      </c>
      <c r="F18" s="282"/>
      <c r="G18" s="308">
        <v>5000.0</v>
      </c>
      <c r="H18" s="282" t="s">
        <v>1225</v>
      </c>
      <c r="I18" s="282" t="s">
        <v>1282</v>
      </c>
    </row>
    <row r="19" ht="14.25" customHeight="1">
      <c r="A19" s="282" t="s">
        <v>1218</v>
      </c>
      <c r="B19" s="282" t="str">
        <f t="array" ref="B19">IF($A19="","",IFERROR(INDEX('Licences &amp; Certificates'!$K$5:$K$73,MATCH($A19,'Licences &amp; Certificates'!$A$5:$A$73,0))&amp;"","Unknown ID"))</f>
        <v>EPA/CIL-AC-005/R0626</v>
      </c>
      <c r="C19" s="282" t="str">
        <f t="array" ref="C19">IF($A19="","",IFERROR(INDEX('Licences &amp; Certificates'!$C$5:$C$73,MATCH($A19,'Licences &amp; Certificates'!$A$5:$A$73,0)),"Unknown ID"))</f>
        <v>LIBINC Oil Palm Inc.</v>
      </c>
      <c r="D19" s="282" t="s">
        <v>1321</v>
      </c>
      <c r="E19" s="282" t="s">
        <v>1322</v>
      </c>
      <c r="F19" s="282"/>
      <c r="G19" s="308">
        <v>1000.0</v>
      </c>
      <c r="H19" s="282" t="s">
        <v>1225</v>
      </c>
      <c r="I19" s="282" t="s">
        <v>1323</v>
      </c>
    </row>
    <row r="20" ht="14.25" customHeight="1">
      <c r="A20" s="282" t="s">
        <v>1218</v>
      </c>
      <c r="B20" s="282" t="str">
        <f t="array" ref="B20">IF($A20="","",IFERROR(INDEX('Licences &amp; Certificates'!$K$5:$K$73,MATCH($A20,'Licences &amp; Certificates'!$A$5:$A$73,0))&amp;"","Unknown ID"))</f>
        <v>EPA/CIL-AC-005/R0626</v>
      </c>
      <c r="C20" s="282" t="str">
        <f t="array" ref="C20">IF($A20="","",IFERROR(INDEX('Licences &amp; Certificates'!$C$5:$C$73,MATCH($A20,'Licences &amp; Certificates'!$A$5:$A$73,0)),"Unknown ID"))</f>
        <v>LIBINC Oil Palm Inc.</v>
      </c>
      <c r="D20" s="282" t="s">
        <v>1324</v>
      </c>
      <c r="E20" s="282" t="s">
        <v>1325</v>
      </c>
      <c r="F20" s="282"/>
      <c r="G20" s="308">
        <v>22025.0</v>
      </c>
      <c r="H20" s="282" t="s">
        <v>1225</v>
      </c>
      <c r="I20" s="282" t="s">
        <v>1323</v>
      </c>
    </row>
    <row r="21" ht="14.25" customHeight="1">
      <c r="A21" s="282" t="s">
        <v>1218</v>
      </c>
      <c r="B21" s="282" t="str">
        <f t="array" ref="B21">IF($A21="","",IFERROR(INDEX('Licences &amp; Certificates'!$K$5:$K$73,MATCH($A21,'Licences &amp; Certificates'!$A$5:$A$73,0))&amp;"","Unknown ID"))</f>
        <v>EPA/CIL-AC-005/R0626</v>
      </c>
      <c r="C21" s="282" t="str">
        <f t="array" ref="C21">IF($A21="","",IFERROR(INDEX('Licences &amp; Certificates'!$C$5:$C$73,MATCH($A21,'Licences &amp; Certificates'!$A$5:$A$73,0)),"Unknown ID"))</f>
        <v>LIBINC Oil Palm Inc.</v>
      </c>
      <c r="D21" s="282" t="s">
        <v>1326</v>
      </c>
      <c r="E21" s="282" t="s">
        <v>1327</v>
      </c>
      <c r="F21" s="282"/>
      <c r="G21" s="308">
        <v>3000.0</v>
      </c>
      <c r="H21" s="282" t="s">
        <v>1225</v>
      </c>
      <c r="I21" s="282" t="s">
        <v>1323</v>
      </c>
    </row>
    <row r="22" ht="14.25" customHeight="1">
      <c r="A22" s="282" t="s">
        <v>1218</v>
      </c>
      <c r="B22" s="282" t="str">
        <f t="array" ref="B22">IF($A22="","",IFERROR(INDEX('Licences &amp; Certificates'!$K$5:$K$73,MATCH($A22,'Licences &amp; Certificates'!$A$5:$A$73,0))&amp;"","Unknown ID"))</f>
        <v>EPA/CIL-AC-005/R0626</v>
      </c>
      <c r="C22" s="282" t="str">
        <f t="array" ref="C22">IF($A22="","",IFERROR(INDEX('Licences &amp; Certificates'!$C$5:$C$73,MATCH($A22,'Licences &amp; Certificates'!$A$5:$A$73,0)),"Unknown ID"))</f>
        <v>LIBINC Oil Palm Inc.</v>
      </c>
      <c r="D22" s="282" t="s">
        <v>1328</v>
      </c>
      <c r="E22" s="282" t="s">
        <v>1329</v>
      </c>
      <c r="F22" s="282"/>
      <c r="G22" s="308"/>
      <c r="H22" s="282" t="s">
        <v>1225</v>
      </c>
      <c r="I22" s="282" t="s">
        <v>1323</v>
      </c>
    </row>
    <row r="23" ht="14.25" customHeight="1">
      <c r="A23" s="282" t="s">
        <v>1218</v>
      </c>
      <c r="B23" s="282" t="str">
        <f t="array" ref="B23">IF($A23="","",IFERROR(INDEX('Licences &amp; Certificates'!$K$5:$K$73,MATCH($A23,'Licences &amp; Certificates'!$A$5:$A$73,0))&amp;"","Unknown ID"))</f>
        <v>EPA/CIL-AC-005/R0626</v>
      </c>
      <c r="C23" s="282" t="str">
        <f t="array" ref="C23">IF($A23="","",IFERROR(INDEX('Licences &amp; Certificates'!$C$5:$C$73,MATCH($A23,'Licences &amp; Certificates'!$A$5:$A$73,0)),"Unknown ID"))</f>
        <v>LIBINC Oil Palm Inc.</v>
      </c>
      <c r="D23" s="282" t="s">
        <v>1330</v>
      </c>
      <c r="E23" s="282" t="s">
        <v>1331</v>
      </c>
      <c r="F23" s="282"/>
      <c r="G23" s="308">
        <v>7750.0</v>
      </c>
      <c r="H23" s="282" t="s">
        <v>1225</v>
      </c>
      <c r="I23" s="282" t="s">
        <v>1323</v>
      </c>
    </row>
    <row r="24" ht="14.25" customHeight="1">
      <c r="A24" s="282" t="s">
        <v>1218</v>
      </c>
      <c r="B24" s="282" t="str">
        <f t="array" ref="B24">IF($A24="","",IFERROR(INDEX('Licences &amp; Certificates'!$K$5:$K$73,MATCH($A24,'Licences &amp; Certificates'!$A$5:$A$73,0))&amp;"","Unknown ID"))</f>
        <v>EPA/CIL-AC-005/R0626</v>
      </c>
      <c r="C24" s="282" t="str">
        <f t="array" ref="C24">IF($A24="","",IFERROR(INDEX('Licences &amp; Certificates'!$C$5:$C$73,MATCH($A24,'Licences &amp; Certificates'!$A$5:$A$73,0)),"Unknown ID"))</f>
        <v>LIBINC Oil Palm Inc.</v>
      </c>
      <c r="D24" s="282" t="s">
        <v>1332</v>
      </c>
      <c r="E24" s="282" t="s">
        <v>1333</v>
      </c>
      <c r="F24" s="282"/>
      <c r="G24" s="308"/>
      <c r="H24" s="282" t="s">
        <v>1225</v>
      </c>
      <c r="I24" s="282" t="s">
        <v>1323</v>
      </c>
    </row>
    <row r="25" ht="14.25" customHeight="1">
      <c r="A25" s="282" t="s">
        <v>1218</v>
      </c>
      <c r="B25" s="282" t="str">
        <f t="array" ref="B25">IF($A25="","",IFERROR(INDEX('Licences &amp; Certificates'!$K$5:$K$73,MATCH($A25,'Licences &amp; Certificates'!$A$5:$A$73,0))&amp;"","Unknown ID"))</f>
        <v>EPA/CIL-AC-005/R0626</v>
      </c>
      <c r="C25" s="282" t="str">
        <f t="array" ref="C25">IF($A25="","",IFERROR(INDEX('Licences &amp; Certificates'!$C$5:$C$73,MATCH($A25,'Licences &amp; Certificates'!$A$5:$A$73,0)),"Unknown ID"))</f>
        <v>LIBINC Oil Palm Inc.</v>
      </c>
      <c r="D25" s="282" t="s">
        <v>1334</v>
      </c>
      <c r="E25" s="282" t="s">
        <v>1335</v>
      </c>
      <c r="F25" s="282"/>
      <c r="G25" s="308"/>
      <c r="H25" s="282" t="s">
        <v>1225</v>
      </c>
      <c r="I25" s="282" t="s">
        <v>1323</v>
      </c>
    </row>
    <row r="26" ht="14.25" customHeight="1">
      <c r="A26" s="282" t="s">
        <v>1218</v>
      </c>
      <c r="B26" s="282" t="str">
        <f t="array" ref="B26">IF($A26="","",IFERROR(INDEX('Licences &amp; Certificates'!$K$5:$K$73,MATCH($A26,'Licences &amp; Certificates'!$A$5:$A$73,0))&amp;"","Unknown ID"))</f>
        <v>EPA/CIL-AC-005/R0626</v>
      </c>
      <c r="C26" s="282" t="str">
        <f t="array" ref="C26">IF($A26="","",IFERROR(INDEX('Licences &amp; Certificates'!$C$5:$C$73,MATCH($A26,'Licences &amp; Certificates'!$A$5:$A$73,0)),"Unknown ID"))</f>
        <v>LIBINC Oil Palm Inc.</v>
      </c>
      <c r="D26" s="282" t="s">
        <v>1336</v>
      </c>
      <c r="E26" s="282" t="s">
        <v>1337</v>
      </c>
      <c r="F26" s="282"/>
      <c r="G26" s="308"/>
      <c r="H26" s="282" t="s">
        <v>1225</v>
      </c>
      <c r="I26" s="282" t="s">
        <v>1323</v>
      </c>
    </row>
    <row r="27" ht="14.25" customHeight="1">
      <c r="A27" s="282" t="s">
        <v>1218</v>
      </c>
      <c r="B27" s="282" t="str">
        <f t="array" ref="B27">IF($A27="","",IFERROR(INDEX('Licences &amp; Certificates'!$K$5:$K$73,MATCH($A27,'Licences &amp; Certificates'!$A$5:$A$73,0))&amp;"","Unknown ID"))</f>
        <v>EPA/CIL-AC-005/R0626</v>
      </c>
      <c r="C27" s="282" t="str">
        <f t="array" ref="C27">IF($A27="","",IFERROR(INDEX('Licences &amp; Certificates'!$C$5:$C$73,MATCH($A27,'Licences &amp; Certificates'!$A$5:$A$73,0)),"Unknown ID"))</f>
        <v>LIBINC Oil Palm Inc.</v>
      </c>
      <c r="D27" s="282" t="s">
        <v>1338</v>
      </c>
      <c r="E27" s="282" t="s">
        <v>1339</v>
      </c>
      <c r="F27" s="282"/>
      <c r="G27" s="308"/>
      <c r="H27" s="282" t="s">
        <v>1225</v>
      </c>
      <c r="I27" s="282" t="s">
        <v>1323</v>
      </c>
    </row>
    <row r="28" ht="14.25" customHeight="1">
      <c r="A28" s="282" t="s">
        <v>1218</v>
      </c>
      <c r="B28" s="282" t="str">
        <f t="array" ref="B28">IF($A28="","",IFERROR(INDEX('Licences &amp; Certificates'!$K$5:$K$73,MATCH($A28,'Licences &amp; Certificates'!$A$5:$A$73,0))&amp;"","Unknown ID"))</f>
        <v>EPA/CIL-AC-005/R0626</v>
      </c>
      <c r="C28" s="282" t="str">
        <f t="array" ref="C28">IF($A28="","",IFERROR(INDEX('Licences &amp; Certificates'!$C$5:$C$73,MATCH($A28,'Licences &amp; Certificates'!$A$5:$A$73,0)),"Unknown ID"))</f>
        <v>LIBINC Oil Palm Inc.</v>
      </c>
      <c r="D28" s="282" t="s">
        <v>1340</v>
      </c>
      <c r="E28" s="282" t="s">
        <v>1341</v>
      </c>
      <c r="F28" s="282"/>
      <c r="G28" s="308"/>
      <c r="H28" s="282" t="s">
        <v>1225</v>
      </c>
      <c r="I28" s="282" t="s">
        <v>1323</v>
      </c>
    </row>
    <row r="29" ht="14.25" customHeight="1">
      <c r="A29" s="282" t="s">
        <v>1218</v>
      </c>
      <c r="B29" s="282" t="str">
        <f t="array" ref="B29">IF($A29="","",IFERROR(INDEX('Licences &amp; Certificates'!$K$5:$K$73,MATCH($A29,'Licences &amp; Certificates'!$A$5:$A$73,0))&amp;"","Unknown ID"))</f>
        <v>EPA/CIL-AC-005/R0626</v>
      </c>
      <c r="C29" s="282" t="str">
        <f t="array" ref="C29">IF($A29="","",IFERROR(INDEX('Licences &amp; Certificates'!$C$5:$C$73,MATCH($A29,'Licences &amp; Certificates'!$A$5:$A$73,0)),"Unknown ID"))</f>
        <v>LIBINC Oil Palm Inc.</v>
      </c>
      <c r="D29" s="282" t="s">
        <v>1342</v>
      </c>
      <c r="E29" s="282" t="s">
        <v>1343</v>
      </c>
      <c r="F29" s="282"/>
      <c r="G29" s="308">
        <v>2.5</v>
      </c>
      <c r="H29" s="282" t="s">
        <v>1225</v>
      </c>
      <c r="I29" s="282" t="s">
        <v>1323</v>
      </c>
    </row>
    <row r="30" ht="14.25" customHeight="1">
      <c r="A30" s="282" t="s">
        <v>1218</v>
      </c>
      <c r="B30" s="282" t="str">
        <f t="array" ref="B30">IF($A30="","",IFERROR(INDEX('Licences &amp; Certificates'!$K$5:$K$73,MATCH($A30,'Licences &amp; Certificates'!$A$5:$A$73,0))&amp;"","Unknown ID"))</f>
        <v>EPA/CIL-AC-005/R0626</v>
      </c>
      <c r="C30" s="282" t="str">
        <f t="array" ref="C30">IF($A30="","",IFERROR(INDEX('Licences &amp; Certificates'!$C$5:$C$73,MATCH($A30,'Licences &amp; Certificates'!$A$5:$A$73,0)),"Unknown ID"))</f>
        <v>LIBINC Oil Palm Inc.</v>
      </c>
      <c r="D30" s="282" t="s">
        <v>1344</v>
      </c>
      <c r="E30" s="282" t="s">
        <v>1345</v>
      </c>
      <c r="F30" s="282"/>
      <c r="G30" s="308">
        <v>3.0</v>
      </c>
      <c r="H30" s="282" t="s">
        <v>1225</v>
      </c>
      <c r="I30" s="282" t="s">
        <v>1323</v>
      </c>
    </row>
    <row r="31" ht="14.25" customHeight="1">
      <c r="A31" s="282" t="s">
        <v>1218</v>
      </c>
      <c r="B31" s="282" t="str">
        <f t="array" ref="B31">IF($A31="","",IFERROR(INDEX('Licences &amp; Certificates'!$K$5:$K$73,MATCH($A31,'Licences &amp; Certificates'!$A$5:$A$73,0))&amp;"","Unknown ID"))</f>
        <v>EPA/CIL-AC-005/R0626</v>
      </c>
      <c r="C31" s="282" t="str">
        <f t="array" ref="C31">IF($A31="","",IFERROR(INDEX('Licences &amp; Certificates'!$C$5:$C$73,MATCH($A31,'Licences &amp; Certificates'!$A$5:$A$73,0)),"Unknown ID"))</f>
        <v>LIBINC Oil Palm Inc.</v>
      </c>
      <c r="D31" s="282" t="s">
        <v>1346</v>
      </c>
      <c r="E31" s="282" t="s">
        <v>1347</v>
      </c>
      <c r="F31" s="282"/>
      <c r="G31" s="308">
        <v>120.0</v>
      </c>
      <c r="H31" s="282" t="s">
        <v>1225</v>
      </c>
      <c r="I31" s="282" t="s">
        <v>1323</v>
      </c>
    </row>
    <row r="32" ht="14.25" customHeight="1">
      <c r="A32" s="282" t="s">
        <v>1218</v>
      </c>
      <c r="B32" s="282" t="str">
        <f t="array" ref="B32">IF($A32="","",IFERROR(INDEX('Licences &amp; Certificates'!$K$5:$K$73,MATCH($A32,'Licences &amp; Certificates'!$A$5:$A$73,0))&amp;"","Unknown ID"))</f>
        <v>EPA/CIL-AC-005/R0626</v>
      </c>
      <c r="C32" s="282" t="str">
        <f t="array" ref="C32">IF($A32="","",IFERROR(INDEX('Licences &amp; Certificates'!$C$5:$C$73,MATCH($A32,'Licences &amp; Certificates'!$A$5:$A$73,0)),"Unknown ID"))</f>
        <v>LIBINC Oil Palm Inc.</v>
      </c>
      <c r="D32" s="282" t="s">
        <v>1348</v>
      </c>
      <c r="E32" s="282" t="s">
        <v>1349</v>
      </c>
      <c r="F32" s="282"/>
      <c r="G32" s="308"/>
      <c r="H32" s="282" t="s">
        <v>1225</v>
      </c>
      <c r="I32" s="282" t="s">
        <v>1323</v>
      </c>
    </row>
    <row r="33" ht="14.25" customHeight="1">
      <c r="A33" s="282" t="s">
        <v>1218</v>
      </c>
      <c r="B33" s="282" t="str">
        <f t="array" ref="B33">IF($A33="","",IFERROR(INDEX('Licences &amp; Certificates'!$K$5:$K$73,MATCH($A33,'Licences &amp; Certificates'!$A$5:$A$73,0))&amp;"","Unknown ID"))</f>
        <v>EPA/CIL-AC-005/R0626</v>
      </c>
      <c r="C33" s="282" t="str">
        <f t="array" ref="C33">IF($A33="","",IFERROR(INDEX('Licences &amp; Certificates'!$C$5:$C$73,MATCH($A33,'Licences &amp; Certificates'!$A$5:$A$73,0)),"Unknown ID"))</f>
        <v>LIBINC Oil Palm Inc.</v>
      </c>
      <c r="D33" s="282" t="s">
        <v>1350</v>
      </c>
      <c r="E33" s="282" t="s">
        <v>1351</v>
      </c>
      <c r="F33" s="282"/>
      <c r="G33" s="308">
        <v>4000.0</v>
      </c>
      <c r="H33" s="282" t="s">
        <v>1225</v>
      </c>
      <c r="I33" s="282" t="s">
        <v>1323</v>
      </c>
    </row>
    <row r="34" ht="14.25" customHeight="1">
      <c r="A34" s="282" t="s">
        <v>1218</v>
      </c>
      <c r="B34" s="282" t="str">
        <f t="array" ref="B34">IF($A34="","",IFERROR(INDEX('Licences &amp; Certificates'!$K$5:$K$73,MATCH($A34,'Licences &amp; Certificates'!$A$5:$A$73,0))&amp;"","Unknown ID"))</f>
        <v>EPA/CIL-AC-005/R0626</v>
      </c>
      <c r="C34" s="282" t="str">
        <f t="array" ref="C34">IF($A34="","",IFERROR(INDEX('Licences &amp; Certificates'!$C$5:$C$73,MATCH($A34,'Licences &amp; Certificates'!$A$5:$A$73,0)),"Unknown ID"))</f>
        <v>LIBINC Oil Palm Inc.</v>
      </c>
      <c r="D34" s="282" t="s">
        <v>1352</v>
      </c>
      <c r="E34" s="282" t="s">
        <v>1353</v>
      </c>
      <c r="F34" s="282"/>
      <c r="G34" s="308"/>
      <c r="H34" s="282" t="s">
        <v>1225</v>
      </c>
      <c r="I34" s="282" t="s">
        <v>1323</v>
      </c>
    </row>
    <row r="35" ht="14.25" customHeight="1">
      <c r="A35" s="282" t="s">
        <v>1218</v>
      </c>
      <c r="B35" s="282" t="str">
        <f t="array" ref="B35">IF($A35="","",IFERROR(INDEX('Licences &amp; Certificates'!$K$5:$K$73,MATCH($A35,'Licences &amp; Certificates'!$A$5:$A$73,0))&amp;"","Unknown ID"))</f>
        <v>EPA/CIL-AC-005/R0626</v>
      </c>
      <c r="C35" s="282" t="str">
        <f t="array" ref="C35">IF($A35="","",IFERROR(INDEX('Licences &amp; Certificates'!$C$5:$C$73,MATCH($A35,'Licences &amp; Certificates'!$A$5:$A$73,0)),"Unknown ID"))</f>
        <v>LIBINC Oil Palm Inc.</v>
      </c>
      <c r="D35" s="282" t="s">
        <v>1354</v>
      </c>
      <c r="E35" s="282" t="s">
        <v>1355</v>
      </c>
      <c r="F35" s="282"/>
      <c r="G35" s="308">
        <v>36708.0</v>
      </c>
      <c r="H35" s="282" t="s">
        <v>1225</v>
      </c>
      <c r="I35" s="282" t="s">
        <v>1323</v>
      </c>
    </row>
    <row r="36" ht="14.25" customHeight="1">
      <c r="A36" s="282" t="s">
        <v>1218</v>
      </c>
      <c r="B36" s="282" t="str">
        <f t="array" ref="B36">IF($A36="","",IFERROR(INDEX('Licences &amp; Certificates'!$K$5:$K$73,MATCH($A36,'Licences &amp; Certificates'!$A$5:$A$73,0))&amp;"","Unknown ID"))</f>
        <v>EPA/CIL-AC-005/R0626</v>
      </c>
      <c r="C36" s="282" t="str">
        <f t="array" ref="C36">IF($A36="","",IFERROR(INDEX('Licences &amp; Certificates'!$C$5:$C$73,MATCH($A36,'Licences &amp; Certificates'!$A$5:$A$73,0)),"Unknown ID"))</f>
        <v>LIBINC Oil Palm Inc.</v>
      </c>
      <c r="D36" s="282" t="s">
        <v>1313</v>
      </c>
      <c r="E36" s="282" t="s">
        <v>1356</v>
      </c>
      <c r="F36" s="282"/>
      <c r="G36" s="308">
        <v>3453500.0</v>
      </c>
      <c r="H36" s="282" t="s">
        <v>1225</v>
      </c>
      <c r="I36" s="282" t="s">
        <v>1323</v>
      </c>
    </row>
    <row r="37" ht="14.25" customHeight="1">
      <c r="A37" s="282" t="s">
        <v>1218</v>
      </c>
      <c r="B37" s="282" t="str">
        <f t="array" ref="B37">IF($A37="","",IFERROR(INDEX('Licences &amp; Certificates'!$K$5:$K$73,MATCH($A37,'Licences &amp; Certificates'!$A$5:$A$73,0))&amp;"","Unknown ID"))</f>
        <v>EPA/CIL-AC-005/R0626</v>
      </c>
      <c r="C37" s="282" t="str">
        <f t="array" ref="C37">IF($A37="","",IFERROR(INDEX('Licences &amp; Certificates'!$C$5:$C$73,MATCH($A37,'Licences &amp; Certificates'!$A$5:$A$73,0)),"Unknown ID"))</f>
        <v>LIBINC Oil Palm Inc.</v>
      </c>
      <c r="D37" s="282" t="s">
        <v>1313</v>
      </c>
      <c r="E37" s="282" t="s">
        <v>1357</v>
      </c>
      <c r="F37" s="282"/>
      <c r="G37" s="308"/>
      <c r="H37" s="282" t="s">
        <v>1225</v>
      </c>
      <c r="I37" s="282" t="s">
        <v>1323</v>
      </c>
    </row>
    <row r="38" ht="14.25" customHeight="1">
      <c r="A38" s="282" t="s">
        <v>1218</v>
      </c>
      <c r="B38" s="282" t="str">
        <f t="array" ref="B38">IF($A38="","",IFERROR(INDEX('Licences &amp; Certificates'!$K$5:$K$73,MATCH($A38,'Licences &amp; Certificates'!$A$5:$A$73,0))&amp;"","Unknown ID"))</f>
        <v>EPA/CIL-AC-005/R0626</v>
      </c>
      <c r="C38" s="282" t="str">
        <f t="array" ref="C38">IF($A38="","",IFERROR(INDEX('Licences &amp; Certificates'!$C$5:$C$73,MATCH($A38,'Licences &amp; Certificates'!$A$5:$A$73,0)),"Unknown ID"))</f>
        <v>LIBINC Oil Palm Inc.</v>
      </c>
      <c r="D38" s="282" t="s">
        <v>1313</v>
      </c>
      <c r="E38" s="282" t="s">
        <v>1358</v>
      </c>
      <c r="F38" s="282"/>
      <c r="G38" s="308"/>
      <c r="H38" s="282" t="s">
        <v>1225</v>
      </c>
      <c r="I38" s="282" t="s">
        <v>1323</v>
      </c>
    </row>
    <row r="39" ht="14.25" customHeight="1">
      <c r="A39" s="282" t="s">
        <v>1218</v>
      </c>
      <c r="B39" s="282" t="str">
        <f t="array" ref="B39">IF($A39="","",IFERROR(INDEX('Licences &amp; Certificates'!$K$5:$K$73,MATCH($A39,'Licences &amp; Certificates'!$A$5:$A$73,0))&amp;"","Unknown ID"))</f>
        <v>EPA/CIL-AC-005/R0626</v>
      </c>
      <c r="C39" s="282" t="str">
        <f t="array" ref="C39">IF($A39="","",IFERROR(INDEX('Licences &amp; Certificates'!$C$5:$C$73,MATCH($A39,'Licences &amp; Certificates'!$A$5:$A$73,0)),"Unknown ID"))</f>
        <v>LIBINC Oil Palm Inc.</v>
      </c>
      <c r="D39" s="282" t="s">
        <v>1359</v>
      </c>
      <c r="E39" s="282" t="s">
        <v>1360</v>
      </c>
      <c r="F39" s="282"/>
      <c r="G39" s="308">
        <v>50000.0</v>
      </c>
      <c r="H39" s="282" t="s">
        <v>1225</v>
      </c>
      <c r="I39" s="282" t="s">
        <v>1323</v>
      </c>
    </row>
    <row r="40" ht="14.25" customHeight="1">
      <c r="A40" s="282" t="s">
        <v>1218</v>
      </c>
      <c r="B40" s="282" t="str">
        <f t="array" ref="B40">IF($A40="","",IFERROR(INDEX('Licences &amp; Certificates'!$K$5:$K$73,MATCH($A40,'Licences &amp; Certificates'!$A$5:$A$73,0))&amp;"","Unknown ID"))</f>
        <v>EPA/CIL-AC-005/R0626</v>
      </c>
      <c r="C40" s="282" t="str">
        <f t="array" ref="C40">IF($A40="","",IFERROR(INDEX('Licences &amp; Certificates'!$C$5:$C$73,MATCH($A40,'Licences &amp; Certificates'!$A$5:$A$73,0)),"Unknown ID"))</f>
        <v>LIBINC Oil Palm Inc.</v>
      </c>
      <c r="D40" s="282" t="s">
        <v>1361</v>
      </c>
      <c r="E40" s="282" t="s">
        <v>1362</v>
      </c>
      <c r="F40" s="282"/>
      <c r="G40" s="308">
        <v>2753.0</v>
      </c>
      <c r="H40" s="282" t="s">
        <v>1225</v>
      </c>
      <c r="I40" s="282" t="s">
        <v>1323</v>
      </c>
    </row>
    <row r="41" ht="14.25" customHeight="1">
      <c r="A41" s="282" t="s">
        <v>1218</v>
      </c>
      <c r="B41" s="282" t="str">
        <f t="array" ref="B41">IF($A41="","",IFERROR(INDEX('Licences &amp; Certificates'!$K$5:$K$73,MATCH($A41,'Licences &amp; Certificates'!$A$5:$A$73,0))&amp;"","Unknown ID"))</f>
        <v>EPA/CIL-AC-005/R0626</v>
      </c>
      <c r="C41" s="282" t="str">
        <f t="array" ref="C41">IF($A41="","",IFERROR(INDEX('Licences &amp; Certificates'!$C$5:$C$73,MATCH($A41,'Licences &amp; Certificates'!$A$5:$A$73,0)),"Unknown ID"))</f>
        <v>LIBINC Oil Palm Inc.</v>
      </c>
      <c r="D41" s="282" t="s">
        <v>1313</v>
      </c>
      <c r="E41" s="282" t="s">
        <v>1363</v>
      </c>
      <c r="F41" s="282"/>
      <c r="G41" s="308">
        <v>1000.0</v>
      </c>
      <c r="H41" s="282" t="s">
        <v>1225</v>
      </c>
      <c r="I41" s="282" t="s">
        <v>1323</v>
      </c>
    </row>
    <row r="42" ht="14.25" customHeight="1">
      <c r="A42" s="282" t="s">
        <v>1116</v>
      </c>
      <c r="B42" s="282" t="str">
        <f t="array" ref="B42">IF($A42="","",IFERROR(INDEX('Licences &amp; Certificates'!$K$5:$K$73,MATCH($A42,'Licences &amp; Certificates'!$A$5:$A$73,0))&amp;"","Unknown ID"))</f>
        <v>EPA/CIL-07/26</v>
      </c>
      <c r="C42" s="282" t="str">
        <f t="array" ref="C42">IF($A42="","",IFERROR(INDEX('Licences &amp; Certificates'!$C$5:$C$73,MATCH($A42,'Licences &amp; Certificates'!$A$5:$A$73,0)),"Unknown ID"))</f>
        <v>Duraplast Paint</v>
      </c>
      <c r="D42" s="282" t="s">
        <v>1364</v>
      </c>
      <c r="E42" s="282" t="s">
        <v>1365</v>
      </c>
      <c r="F42" s="282"/>
      <c r="G42" s="308">
        <v>18000.0</v>
      </c>
      <c r="H42" s="282" t="s">
        <v>1225</v>
      </c>
      <c r="I42" s="282" t="s">
        <v>1366</v>
      </c>
    </row>
    <row r="43" ht="14.25" customHeight="1">
      <c r="A43" s="282" t="s">
        <v>1116</v>
      </c>
      <c r="B43" s="282" t="str">
        <f t="array" ref="B43">IF($A43="","",IFERROR(INDEX('Licences &amp; Certificates'!$K$5:$K$73,MATCH($A43,'Licences &amp; Certificates'!$A$5:$A$73,0))&amp;"","Unknown ID"))</f>
        <v>EPA/CIL-07/26</v>
      </c>
      <c r="C43" s="282" t="str">
        <f t="array" ref="C43">IF($A43="","",IFERROR(INDEX('Licences &amp; Certificates'!$C$5:$C$73,MATCH($A43,'Licences &amp; Certificates'!$A$5:$A$73,0)),"Unknown ID"))</f>
        <v>Duraplast Paint</v>
      </c>
      <c r="D43" s="282" t="s">
        <v>1369</v>
      </c>
      <c r="E43" s="282" t="s">
        <v>1370</v>
      </c>
      <c r="F43" s="282"/>
      <c r="G43" s="308">
        <v>48200.0</v>
      </c>
      <c r="H43" s="282" t="s">
        <v>1225</v>
      </c>
      <c r="I43" s="282" t="s">
        <v>1366</v>
      </c>
    </row>
    <row r="44" ht="14.25" customHeight="1">
      <c r="A44" s="282" t="s">
        <v>1116</v>
      </c>
      <c r="B44" s="282" t="str">
        <f t="array" ref="B44">IF($A44="","",IFERROR(INDEX('Licences &amp; Certificates'!$K$5:$K$73,MATCH($A44,'Licences &amp; Certificates'!$A$5:$A$73,0))&amp;"","Unknown ID"))</f>
        <v>EPA/CIL-07/26</v>
      </c>
      <c r="C44" s="282" t="str">
        <f t="array" ref="C44">IF($A44="","",IFERROR(INDEX('Licences &amp; Certificates'!$C$5:$C$73,MATCH($A44,'Licences &amp; Certificates'!$A$5:$A$73,0)),"Unknown ID"))</f>
        <v>Duraplast Paint</v>
      </c>
      <c r="D44" s="282" t="s">
        <v>1373</v>
      </c>
      <c r="E44" s="282" t="s">
        <v>1374</v>
      </c>
      <c r="F44" s="282"/>
      <c r="G44" s="308">
        <v>473572.0</v>
      </c>
      <c r="H44" s="282" t="s">
        <v>1225</v>
      </c>
      <c r="I44" s="282" t="s">
        <v>1366</v>
      </c>
    </row>
    <row r="45" ht="14.25" customHeight="1">
      <c r="A45" s="282" t="s">
        <v>1116</v>
      </c>
      <c r="B45" s="282" t="str">
        <f t="array" ref="B45">IF($A45="","",IFERROR(INDEX('Licences &amp; Certificates'!$K$5:$K$73,MATCH($A45,'Licences &amp; Certificates'!$A$5:$A$73,0))&amp;"","Unknown ID"))</f>
        <v>EPA/CIL-07/26</v>
      </c>
      <c r="C45" s="282" t="str">
        <f t="array" ref="C45">IF($A45="","",IFERROR(INDEX('Licences &amp; Certificates'!$C$5:$C$73,MATCH($A45,'Licences &amp; Certificates'!$A$5:$A$73,0)),"Unknown ID"))</f>
        <v>Duraplast Paint</v>
      </c>
      <c r="D45" s="282" t="s">
        <v>1378</v>
      </c>
      <c r="E45" s="282" t="s">
        <v>1379</v>
      </c>
      <c r="F45" s="282"/>
      <c r="G45" s="308">
        <v>20000.0</v>
      </c>
      <c r="H45" s="282" t="s">
        <v>1225</v>
      </c>
      <c r="I45" s="282" t="s">
        <v>1366</v>
      </c>
    </row>
    <row r="46" ht="14.25" customHeight="1">
      <c r="A46" s="282" t="s">
        <v>1116</v>
      </c>
      <c r="B46" s="282" t="str">
        <f t="array" ref="B46">IF($A46="","",IFERROR(INDEX('Licences &amp; Certificates'!$K$5:$K$73,MATCH($A46,'Licences &amp; Certificates'!$A$5:$A$73,0))&amp;"","Unknown ID"))</f>
        <v>EPA/CIL-07/26</v>
      </c>
      <c r="C46" s="282" t="str">
        <f t="array" ref="C46">IF($A46="","",IFERROR(INDEX('Licences &amp; Certificates'!$C$5:$C$73,MATCH($A46,'Licences &amp; Certificates'!$A$5:$A$73,0)),"Unknown ID"))</f>
        <v>Duraplast Paint</v>
      </c>
      <c r="D46" s="282" t="s">
        <v>1381</v>
      </c>
      <c r="E46" s="282" t="s">
        <v>1382</v>
      </c>
      <c r="F46" s="282"/>
      <c r="G46" s="308">
        <v>20000.0</v>
      </c>
      <c r="H46" s="282" t="s">
        <v>1225</v>
      </c>
      <c r="I46" s="282" t="s">
        <v>1366</v>
      </c>
    </row>
    <row r="47" ht="14.25" customHeight="1">
      <c r="A47" s="282" t="s">
        <v>1116</v>
      </c>
      <c r="B47" s="282" t="str">
        <f t="array" ref="B47">IF($A47="","",IFERROR(INDEX('Licences &amp; Certificates'!$K$5:$K$73,MATCH($A47,'Licences &amp; Certificates'!$A$5:$A$73,0))&amp;"","Unknown ID"))</f>
        <v>EPA/CIL-07/26</v>
      </c>
      <c r="C47" s="282" t="str">
        <f t="array" ref="C47">IF($A47="","",IFERROR(INDEX('Licences &amp; Certificates'!$C$5:$C$73,MATCH($A47,'Licences &amp; Certificates'!$A$5:$A$73,0)),"Unknown ID"))</f>
        <v>Duraplast Paint</v>
      </c>
      <c r="D47" s="282" t="s">
        <v>1385</v>
      </c>
      <c r="E47" s="282" t="s">
        <v>1386</v>
      </c>
      <c r="F47" s="282"/>
      <c r="G47" s="308">
        <v>20000.0</v>
      </c>
      <c r="H47" s="282" t="s">
        <v>1225</v>
      </c>
      <c r="I47" s="282" t="s">
        <v>1366</v>
      </c>
    </row>
    <row r="48" ht="14.25" customHeight="1">
      <c r="A48" s="282" t="s">
        <v>1116</v>
      </c>
      <c r="B48" s="282" t="str">
        <f t="array" ref="B48">IF($A48="","",IFERROR(INDEX('Licences &amp; Certificates'!$K$5:$K$73,MATCH($A48,'Licences &amp; Certificates'!$A$5:$A$73,0))&amp;"","Unknown ID"))</f>
        <v>EPA/CIL-07/26</v>
      </c>
      <c r="C48" s="282" t="str">
        <f t="array" ref="C48">IF($A48="","",IFERROR(INDEX('Licences &amp; Certificates'!$C$5:$C$73,MATCH($A48,'Licences &amp; Certificates'!$A$5:$A$73,0)),"Unknown ID"))</f>
        <v>Duraplast Paint</v>
      </c>
      <c r="D48" s="282" t="s">
        <v>1391</v>
      </c>
      <c r="E48" s="282" t="s">
        <v>1392</v>
      </c>
      <c r="F48" s="282"/>
      <c r="G48" s="308">
        <v>20000.0</v>
      </c>
      <c r="H48" s="282" t="s">
        <v>1225</v>
      </c>
      <c r="I48" s="282" t="s">
        <v>1366</v>
      </c>
    </row>
    <row r="49" ht="14.25" customHeight="1">
      <c r="A49" s="282" t="s">
        <v>1116</v>
      </c>
      <c r="B49" s="282" t="str">
        <f t="array" ref="B49">IF($A49="","",IFERROR(INDEX('Licences &amp; Certificates'!$K$5:$K$73,MATCH($A49,'Licences &amp; Certificates'!$A$5:$A$73,0))&amp;"","Unknown ID"))</f>
        <v>EPA/CIL-07/26</v>
      </c>
      <c r="C49" s="282" t="str">
        <f t="array" ref="C49">IF($A49="","",IFERROR(INDEX('Licences &amp; Certificates'!$C$5:$C$73,MATCH($A49,'Licences &amp; Certificates'!$A$5:$A$73,0)),"Unknown ID"))</f>
        <v>Duraplast Paint</v>
      </c>
      <c r="D49" s="282" t="s">
        <v>1395</v>
      </c>
      <c r="E49" s="282" t="s">
        <v>1396</v>
      </c>
      <c r="F49" s="282"/>
      <c r="G49" s="308">
        <v>490000.0</v>
      </c>
      <c r="H49" s="282" t="s">
        <v>1225</v>
      </c>
      <c r="I49" s="282" t="s">
        <v>1366</v>
      </c>
    </row>
    <row r="50" ht="14.25" customHeight="1">
      <c r="A50" s="282" t="s">
        <v>1116</v>
      </c>
      <c r="B50" s="282" t="str">
        <f t="array" ref="B50">IF($A50="","",IFERROR(INDEX('Licences &amp; Certificates'!$K$5:$K$73,MATCH($A50,'Licences &amp; Certificates'!$A$5:$A$73,0))&amp;"","Unknown ID"))</f>
        <v>EPA/CIL-07/26</v>
      </c>
      <c r="C50" s="282" t="str">
        <f t="array" ref="C50">IF($A50="","",IFERROR(INDEX('Licences &amp; Certificates'!$C$5:$C$73,MATCH($A50,'Licences &amp; Certificates'!$A$5:$A$73,0)),"Unknown ID"))</f>
        <v>Duraplast Paint</v>
      </c>
      <c r="D50" s="282" t="s">
        <v>1399</v>
      </c>
      <c r="E50" s="282" t="s">
        <v>1400</v>
      </c>
      <c r="F50" s="282"/>
      <c r="G50" s="308">
        <v>11000.0</v>
      </c>
      <c r="H50" s="282" t="s">
        <v>1225</v>
      </c>
      <c r="I50" s="282" t="s">
        <v>1366</v>
      </c>
    </row>
    <row r="51" ht="14.25" customHeight="1">
      <c r="A51" s="282" t="s">
        <v>1116</v>
      </c>
      <c r="B51" s="282" t="str">
        <f t="array" ref="B51">IF($A51="","",IFERROR(INDEX('Licences &amp; Certificates'!$K$5:$K$73,MATCH($A51,'Licences &amp; Certificates'!$A$5:$A$73,0))&amp;"","Unknown ID"))</f>
        <v>EPA/CIL-07/26</v>
      </c>
      <c r="C51" s="282" t="str">
        <f t="array" ref="C51">IF($A51="","",IFERROR(INDEX('Licences &amp; Certificates'!$C$5:$C$73,MATCH($A51,'Licences &amp; Certificates'!$A$5:$A$73,0)),"Unknown ID"))</f>
        <v>Duraplast Paint</v>
      </c>
      <c r="D51" s="282" t="s">
        <v>565</v>
      </c>
      <c r="E51" s="282" t="s">
        <v>1403</v>
      </c>
      <c r="F51" s="282"/>
      <c r="G51" s="308">
        <v>118000.0</v>
      </c>
      <c r="H51" s="282" t="s">
        <v>1225</v>
      </c>
      <c r="I51" s="282" t="s">
        <v>1366</v>
      </c>
    </row>
    <row r="52" ht="14.25" customHeight="1">
      <c r="A52" s="282" t="s">
        <v>1116</v>
      </c>
      <c r="B52" s="282" t="str">
        <f t="array" ref="B52">IF($A52="","",IFERROR(INDEX('Licences &amp; Certificates'!$K$5:$K$73,MATCH($A52,'Licences &amp; Certificates'!$A$5:$A$73,0))&amp;"","Unknown ID"))</f>
        <v>EPA/CIL-07/26</v>
      </c>
      <c r="C52" s="282" t="str">
        <f t="array" ref="C52">IF($A52="","",IFERROR(INDEX('Licences &amp; Certificates'!$C$5:$C$73,MATCH($A52,'Licences &amp; Certificates'!$A$5:$A$73,0)),"Unknown ID"))</f>
        <v>Duraplast Paint</v>
      </c>
      <c r="D52" s="282" t="s">
        <v>1408</v>
      </c>
      <c r="E52" s="282" t="s">
        <v>1409</v>
      </c>
      <c r="F52" s="282"/>
      <c r="G52" s="308">
        <v>18000.0</v>
      </c>
      <c r="H52" s="282" t="s">
        <v>1225</v>
      </c>
      <c r="I52" s="282" t="s">
        <v>1366</v>
      </c>
    </row>
    <row r="53" ht="14.25" customHeight="1">
      <c r="A53" s="282" t="s">
        <v>1116</v>
      </c>
      <c r="B53" s="282" t="str">
        <f t="array" ref="B53">IF($A53="","",IFERROR(INDEX('Licences &amp; Certificates'!$K$5:$K$73,MATCH($A53,'Licences &amp; Certificates'!$A$5:$A$73,0))&amp;"","Unknown ID"))</f>
        <v>EPA/CIL-07/26</v>
      </c>
      <c r="C53" s="282" t="str">
        <f t="array" ref="C53">IF($A53="","",IFERROR(INDEX('Licences &amp; Certificates'!$C$5:$C$73,MATCH($A53,'Licences &amp; Certificates'!$A$5:$A$73,0)),"Unknown ID"))</f>
        <v>Duraplast Paint</v>
      </c>
      <c r="D53" s="282" t="s">
        <v>1412</v>
      </c>
      <c r="E53" s="282" t="s">
        <v>1413</v>
      </c>
      <c r="F53" s="282"/>
      <c r="G53" s="308">
        <v>39000.0</v>
      </c>
      <c r="H53" s="282" t="s">
        <v>1225</v>
      </c>
      <c r="I53" s="282" t="s">
        <v>1366</v>
      </c>
    </row>
    <row r="54" ht="14.25" customHeight="1">
      <c r="A54" s="282" t="s">
        <v>1116</v>
      </c>
      <c r="B54" s="282" t="str">
        <f t="array" ref="B54">IF($A54="","",IFERROR(INDEX('Licences &amp; Certificates'!$K$5:$K$73,MATCH($A54,'Licences &amp; Certificates'!$A$5:$A$73,0))&amp;"","Unknown ID"))</f>
        <v>EPA/CIL-07/26</v>
      </c>
      <c r="C54" s="282" t="str">
        <f t="array" ref="C54">IF($A54="","",IFERROR(INDEX('Licences &amp; Certificates'!$C$5:$C$73,MATCH($A54,'Licences &amp; Certificates'!$A$5:$A$73,0)),"Unknown ID"))</f>
        <v>Duraplast Paint</v>
      </c>
      <c r="D54" s="282" t="s">
        <v>1416</v>
      </c>
      <c r="E54" s="282" t="s">
        <v>1417</v>
      </c>
      <c r="F54" s="282"/>
      <c r="G54" s="308">
        <v>30000.0</v>
      </c>
      <c r="H54" s="282" t="s">
        <v>1225</v>
      </c>
      <c r="I54" s="282" t="s">
        <v>1366</v>
      </c>
    </row>
    <row r="55" ht="14.25" customHeight="1">
      <c r="A55" s="282" t="s">
        <v>1116</v>
      </c>
      <c r="B55" s="282" t="str">
        <f t="array" ref="B55">IF($A55="","",IFERROR(INDEX('Licences &amp; Certificates'!$K$5:$K$73,MATCH($A55,'Licences &amp; Certificates'!$A$5:$A$73,0))&amp;"","Unknown ID"))</f>
        <v>EPA/CIL-07/26</v>
      </c>
      <c r="C55" s="282" t="str">
        <f t="array" ref="C55">IF($A55="","",IFERROR(INDEX('Licences &amp; Certificates'!$C$5:$C$73,MATCH($A55,'Licences &amp; Certificates'!$A$5:$A$73,0)),"Unknown ID"))</f>
        <v>Duraplast Paint</v>
      </c>
      <c r="D55" s="282" t="s">
        <v>1422</v>
      </c>
      <c r="E55" s="282" t="s">
        <v>1423</v>
      </c>
      <c r="F55" s="282"/>
      <c r="G55" s="308">
        <v>1200.0</v>
      </c>
      <c r="H55" s="282" t="s">
        <v>1225</v>
      </c>
      <c r="I55" s="282" t="s">
        <v>1366</v>
      </c>
    </row>
    <row r="56" ht="14.25" customHeight="1">
      <c r="A56" s="282" t="s">
        <v>1116</v>
      </c>
      <c r="B56" s="282" t="str">
        <f t="array" ref="B56">IF($A56="","",IFERROR(INDEX('Licences &amp; Certificates'!$K$5:$K$73,MATCH($A56,'Licences &amp; Certificates'!$A$5:$A$73,0))&amp;"","Unknown ID"))</f>
        <v>EPA/CIL-07/26</v>
      </c>
      <c r="C56" s="282" t="str">
        <f t="array" ref="C56">IF($A56="","",IFERROR(INDEX('Licences &amp; Certificates'!$C$5:$C$73,MATCH($A56,'Licences &amp; Certificates'!$A$5:$A$73,0)),"Unknown ID"))</f>
        <v>Duraplast Paint</v>
      </c>
      <c r="D56" s="282" t="s">
        <v>1424</v>
      </c>
      <c r="E56" s="282" t="s">
        <v>1425</v>
      </c>
      <c r="F56" s="282"/>
      <c r="G56" s="308">
        <v>11000.0</v>
      </c>
      <c r="H56" s="282" t="s">
        <v>1225</v>
      </c>
      <c r="I56" s="282" t="s">
        <v>1366</v>
      </c>
    </row>
    <row r="57" ht="14.25" customHeight="1">
      <c r="A57" s="282" t="s">
        <v>1116</v>
      </c>
      <c r="B57" s="282" t="str">
        <f t="array" ref="B57">IF($A57="","",IFERROR(INDEX('Licences &amp; Certificates'!$K$5:$K$73,MATCH($A57,'Licences &amp; Certificates'!$A$5:$A$73,0))&amp;"","Unknown ID"))</f>
        <v>EPA/CIL-07/26</v>
      </c>
      <c r="C57" s="282" t="str">
        <f t="array" ref="C57">IF($A57="","",IFERROR(INDEX('Licences &amp; Certificates'!$C$5:$C$73,MATCH($A57,'Licences &amp; Certificates'!$A$5:$A$73,0)),"Unknown ID"))</f>
        <v>Duraplast Paint</v>
      </c>
      <c r="D57" s="282" t="s">
        <v>1426</v>
      </c>
      <c r="E57" s="282" t="s">
        <v>1427</v>
      </c>
      <c r="F57" s="282"/>
      <c r="G57" s="308">
        <v>10000.0</v>
      </c>
      <c r="H57" s="282" t="s">
        <v>1225</v>
      </c>
      <c r="I57" s="282" t="s">
        <v>1366</v>
      </c>
    </row>
    <row r="58" ht="14.25" customHeight="1">
      <c r="A58" s="282" t="s">
        <v>1116</v>
      </c>
      <c r="B58" s="282" t="str">
        <f t="array" ref="B58">IF($A58="","",IFERROR(INDEX('Licences &amp; Certificates'!$K$5:$K$73,MATCH($A58,'Licences &amp; Certificates'!$A$5:$A$73,0))&amp;"","Unknown ID"))</f>
        <v>EPA/CIL-07/26</v>
      </c>
      <c r="C58" s="282" t="str">
        <f t="array" ref="C58">IF($A58="","",IFERROR(INDEX('Licences &amp; Certificates'!$C$5:$C$73,MATCH($A58,'Licences &amp; Certificates'!$A$5:$A$73,0)),"Unknown ID"))</f>
        <v>Duraplast Paint</v>
      </c>
      <c r="D58" s="282" t="s">
        <v>1428</v>
      </c>
      <c r="E58" s="282" t="s">
        <v>1429</v>
      </c>
      <c r="F58" s="282"/>
      <c r="G58" s="308"/>
      <c r="H58" s="282" t="s">
        <v>1225</v>
      </c>
      <c r="I58" s="282" t="s">
        <v>1366</v>
      </c>
    </row>
    <row r="59" ht="14.25" customHeight="1">
      <c r="A59" s="282" t="s">
        <v>1116</v>
      </c>
      <c r="B59" s="282" t="str">
        <f t="array" ref="B59">IF($A59="","",IFERROR(INDEX('Licences &amp; Certificates'!$K$5:$K$73,MATCH($A59,'Licences &amp; Certificates'!$A$5:$A$73,0))&amp;"","Unknown ID"))</f>
        <v>EPA/CIL-07/26</v>
      </c>
      <c r="C59" s="282" t="str">
        <f t="array" ref="C59">IF($A59="","",IFERROR(INDEX('Licences &amp; Certificates'!$C$5:$C$73,MATCH($A59,'Licences &amp; Certificates'!$A$5:$A$73,0)),"Unknown ID"))</f>
        <v>Duraplast Paint</v>
      </c>
      <c r="D59" s="282" t="s">
        <v>1430</v>
      </c>
      <c r="E59" s="282" t="s">
        <v>1431</v>
      </c>
      <c r="F59" s="282"/>
      <c r="G59" s="308">
        <v>10000.0</v>
      </c>
      <c r="H59" s="282" t="s">
        <v>1225</v>
      </c>
      <c r="I59" s="282" t="s">
        <v>1366</v>
      </c>
    </row>
    <row r="60" ht="14.25" customHeight="1">
      <c r="A60" s="282" t="s">
        <v>1116</v>
      </c>
      <c r="B60" s="282" t="str">
        <f t="array" ref="B60">IF($A60="","",IFERROR(INDEX('Licences &amp; Certificates'!$K$5:$K$73,MATCH($A60,'Licences &amp; Certificates'!$A$5:$A$73,0))&amp;"","Unknown ID"))</f>
        <v>EPA/CIL-07/26</v>
      </c>
      <c r="C60" s="282" t="str">
        <f t="array" ref="C60">IF($A60="","",IFERROR(INDEX('Licences &amp; Certificates'!$C$5:$C$73,MATCH($A60,'Licences &amp; Certificates'!$A$5:$A$73,0)),"Unknown ID"))</f>
        <v>Duraplast Paint</v>
      </c>
      <c r="D60" s="282" t="s">
        <v>1432</v>
      </c>
      <c r="E60" s="282" t="s">
        <v>1433</v>
      </c>
      <c r="F60" s="282"/>
      <c r="G60" s="308">
        <v>12000.0</v>
      </c>
      <c r="H60" s="282" t="s">
        <v>1225</v>
      </c>
      <c r="I60" s="282" t="s">
        <v>1366</v>
      </c>
    </row>
    <row r="61" ht="14.25" customHeight="1">
      <c r="A61" s="282" t="s">
        <v>1113</v>
      </c>
      <c r="B61" s="282" t="str">
        <f t="array" ref="B61">IF($A61="","",IFERROR(INDEX('Licences &amp; Certificates'!$K$5:$K$73,MATCH($A61,'Licences &amp; Certificates'!$A$5:$A$73,0))&amp;"","Unknown ID"))</f>
        <v>EPA/CIL-020</v>
      </c>
      <c r="C61" s="282" t="str">
        <f t="array" ref="C61">IF($A61="","",IFERROR(INDEX('Licences &amp; Certificates'!$C$5:$C$73,MATCH($A61,'Licences &amp; Certificates'!$A$5:$A$73,0)),"Unknown ID"))</f>
        <v>Delta Plastics Inc.</v>
      </c>
      <c r="D61" s="282" t="s">
        <v>1434</v>
      </c>
      <c r="E61" s="282" t="s">
        <v>1435</v>
      </c>
      <c r="F61" s="282"/>
      <c r="G61" s="308">
        <v>500000.0</v>
      </c>
      <c r="H61" s="282" t="s">
        <v>1225</v>
      </c>
      <c r="I61" s="282" t="s">
        <v>1366</v>
      </c>
    </row>
    <row r="62" ht="14.25" customHeight="1">
      <c r="A62" s="282" t="s">
        <v>1113</v>
      </c>
      <c r="B62" s="282" t="str">
        <f t="array" ref="B62">IF($A62="","",IFERROR(INDEX('Licences &amp; Certificates'!$K$5:$K$73,MATCH($A62,'Licences &amp; Certificates'!$A$5:$A$73,0))&amp;"","Unknown ID"))</f>
        <v>EPA/CIL-020</v>
      </c>
      <c r="C62" s="282" t="str">
        <f t="array" ref="C62">IF($A62="","",IFERROR(INDEX('Licences &amp; Certificates'!$C$5:$C$73,MATCH($A62,'Licences &amp; Certificates'!$A$5:$A$73,0)),"Unknown ID"))</f>
        <v>Delta Plastics Inc.</v>
      </c>
      <c r="D62" s="282" t="s">
        <v>1436</v>
      </c>
      <c r="E62" s="282" t="s">
        <v>1437</v>
      </c>
      <c r="F62" s="282"/>
      <c r="G62" s="308">
        <v>48000.0</v>
      </c>
      <c r="H62" s="282" t="s">
        <v>1225</v>
      </c>
      <c r="I62" s="282" t="s">
        <v>1366</v>
      </c>
    </row>
    <row r="63" ht="14.25" customHeight="1">
      <c r="A63" s="282" t="s">
        <v>1113</v>
      </c>
      <c r="B63" s="282" t="str">
        <f t="array" ref="B63">IF($A63="","",IFERROR(INDEX('Licences &amp; Certificates'!$K$5:$K$73,MATCH($A63,'Licences &amp; Certificates'!$A$5:$A$73,0))&amp;"","Unknown ID"))</f>
        <v>EPA/CIL-020</v>
      </c>
      <c r="C63" s="282" t="str">
        <f t="array" ref="C63">IF($A63="","",IFERROR(INDEX('Licences &amp; Certificates'!$C$5:$C$73,MATCH($A63,'Licences &amp; Certificates'!$A$5:$A$73,0)),"Unknown ID"))</f>
        <v>Delta Plastics Inc.</v>
      </c>
      <c r="D63" s="282" t="s">
        <v>1438</v>
      </c>
      <c r="E63" s="282" t="s">
        <v>1439</v>
      </c>
      <c r="F63" s="282"/>
      <c r="G63" s="308">
        <v>15000.0</v>
      </c>
      <c r="H63" s="282" t="s">
        <v>1225</v>
      </c>
      <c r="I63" s="282" t="s">
        <v>1366</v>
      </c>
    </row>
    <row r="64" ht="14.25" customHeight="1">
      <c r="A64" s="282" t="s">
        <v>1113</v>
      </c>
      <c r="B64" s="282" t="str">
        <f t="array" ref="B64">IF($A64="","",IFERROR(INDEX('Licences &amp; Certificates'!$K$5:$K$73,MATCH($A64,'Licences &amp; Certificates'!$A$5:$A$73,0))&amp;"","Unknown ID"))</f>
        <v>EPA/CIL-020</v>
      </c>
      <c r="C64" s="282" t="str">
        <f t="array" ref="C64">IF($A64="","",IFERROR(INDEX('Licences &amp; Certificates'!$C$5:$C$73,MATCH($A64,'Licences &amp; Certificates'!$A$5:$A$73,0)),"Unknown ID"))</f>
        <v>Delta Plastics Inc.</v>
      </c>
      <c r="D64" s="282" t="s">
        <v>1441</v>
      </c>
      <c r="E64" s="282" t="s">
        <v>1442</v>
      </c>
      <c r="F64" s="282"/>
      <c r="G64" s="308">
        <v>36000.0</v>
      </c>
      <c r="H64" s="282" t="s">
        <v>1225</v>
      </c>
      <c r="I64" s="282" t="s">
        <v>1366</v>
      </c>
    </row>
    <row r="65" ht="14.25" customHeight="1">
      <c r="A65" s="282" t="s">
        <v>1113</v>
      </c>
      <c r="B65" s="282" t="str">
        <f t="array" ref="B65">IF($A65="","",IFERROR(INDEX('Licences &amp; Certificates'!$K$5:$K$73,MATCH($A65,'Licences &amp; Certificates'!$A$5:$A$73,0))&amp;"","Unknown ID"))</f>
        <v>EPA/CIL-020</v>
      </c>
      <c r="C65" s="282" t="str">
        <f t="array" ref="C65">IF($A65="","",IFERROR(INDEX('Licences &amp; Certificates'!$C$5:$C$73,MATCH($A65,'Licences &amp; Certificates'!$A$5:$A$73,0)),"Unknown ID"))</f>
        <v>Delta Plastics Inc.</v>
      </c>
      <c r="D65" s="282" t="s">
        <v>1443</v>
      </c>
      <c r="E65" s="282" t="s">
        <v>1444</v>
      </c>
      <c r="F65" s="282"/>
      <c r="G65" s="308">
        <v>2100.0</v>
      </c>
      <c r="H65" s="282" t="s">
        <v>1225</v>
      </c>
      <c r="I65" s="282" t="s">
        <v>1366</v>
      </c>
    </row>
    <row r="66" ht="14.25" customHeight="1">
      <c r="A66" s="282" t="s">
        <v>1113</v>
      </c>
      <c r="B66" s="282" t="str">
        <f t="array" ref="B66">IF($A66="","",IFERROR(INDEX('Licences &amp; Certificates'!$K$5:$K$73,MATCH($A66,'Licences &amp; Certificates'!$A$5:$A$73,0))&amp;"","Unknown ID"))</f>
        <v>EPA/CIL-020</v>
      </c>
      <c r="C66" s="282" t="str">
        <f t="array" ref="C66">IF($A66="","",IFERROR(INDEX('Licences &amp; Certificates'!$C$5:$C$73,MATCH($A66,'Licences &amp; Certificates'!$A$5:$A$73,0)),"Unknown ID"))</f>
        <v>Delta Plastics Inc.</v>
      </c>
      <c r="D66" s="282" t="s">
        <v>1395</v>
      </c>
      <c r="E66" s="282" t="s">
        <v>1446</v>
      </c>
      <c r="F66" s="282"/>
      <c r="G66" s="308">
        <v>15000.0</v>
      </c>
      <c r="H66" s="282" t="s">
        <v>1225</v>
      </c>
      <c r="I66" s="282" t="s">
        <v>1366</v>
      </c>
    </row>
    <row r="67" ht="14.25" customHeight="1">
      <c r="A67" s="282" t="s">
        <v>1223</v>
      </c>
      <c r="B67" s="282" t="str">
        <f t="array" ref="B67">IF($A67="","",IFERROR(INDEX('Licences &amp; Certificates'!$K$5:$K$73,MATCH($A67,'Licences &amp; Certificates'!$A$5:$A$73,0))&amp;"","Unknown ID"))</f>
        <v>EPA/CIL-003/0326</v>
      </c>
      <c r="C67" s="282" t="str">
        <f t="array" ref="C67">IF($A67="","",IFERROR(INDEX('Licences &amp; Certificates'!$C$5:$C$73,MATCH($A67,'Licences &amp; Certificates'!$A$5:$A$73,0)),"Unknown ID"))</f>
        <v>Golden Veroleum Liberia (GVL)</v>
      </c>
      <c r="D67" s="282" t="s">
        <v>1449</v>
      </c>
      <c r="E67" s="282" t="s">
        <v>1450</v>
      </c>
      <c r="F67" s="282"/>
      <c r="G67" s="308">
        <v>16464.0</v>
      </c>
      <c r="H67" s="282" t="s">
        <v>1225</v>
      </c>
      <c r="I67" s="282"/>
    </row>
    <row r="68" ht="14.25" customHeight="1">
      <c r="A68" s="282" t="s">
        <v>1223</v>
      </c>
      <c r="B68" s="282" t="str">
        <f t="array" ref="B68">IF($A68="","",IFERROR(INDEX('Licences &amp; Certificates'!$K$5:$K$73,MATCH($A68,'Licences &amp; Certificates'!$A$5:$A$73,0))&amp;"","Unknown ID"))</f>
        <v>EPA/CIL-003/0326</v>
      </c>
      <c r="C68" s="282" t="str">
        <f t="array" ref="C68">IF($A68="","",IFERROR(INDEX('Licences &amp; Certificates'!$C$5:$C$73,MATCH($A68,'Licences &amp; Certificates'!$A$5:$A$73,0)),"Unknown ID"))</f>
        <v>Golden Veroleum Liberia (GVL)</v>
      </c>
      <c r="D68" s="282" t="s">
        <v>1451</v>
      </c>
      <c r="E68" s="282" t="s">
        <v>1452</v>
      </c>
      <c r="F68" s="282"/>
      <c r="G68" s="308">
        <v>40.0</v>
      </c>
      <c r="H68" s="282" t="s">
        <v>1225</v>
      </c>
      <c r="I68" s="282"/>
    </row>
    <row r="69" ht="14.25" customHeight="1">
      <c r="A69" s="282" t="s">
        <v>1230</v>
      </c>
      <c r="B69" s="282" t="str">
        <f t="array" ref="B69">IF($A69="","",IFERROR(INDEX('Licences &amp; Certificates'!$K$5:$K$73,MATCH($A69,'Licences &amp; Certificates'!$A$5:$A$73,0))&amp;"","Unknown ID"))</f>
        <v>EPA/CIL-CI-006/0326</v>
      </c>
      <c r="C69" s="282" t="str">
        <f t="array" ref="C69">IF($A69="","",IFERROR(INDEX('Licences &amp; Certificates'!$C$5:$C$73,MATCH($A69,'Licences &amp; Certificates'!$A$5:$A$73,0)),"Unknown ID"))</f>
        <v>Greenfield Liberia Inc.</v>
      </c>
      <c r="D69" s="282" t="s">
        <v>1255</v>
      </c>
      <c r="E69" s="282" t="s">
        <v>1455</v>
      </c>
      <c r="F69" s="282"/>
      <c r="G69" s="308">
        <v>500000.0</v>
      </c>
      <c r="H69" s="282" t="s">
        <v>1225</v>
      </c>
      <c r="I69" s="282" t="s">
        <v>1366</v>
      </c>
    </row>
    <row r="70" ht="14.25" customHeight="1">
      <c r="A70" s="282" t="s">
        <v>1230</v>
      </c>
      <c r="B70" s="282" t="str">
        <f t="array" ref="B70">IF($A70="","",IFERROR(INDEX('Licences &amp; Certificates'!$K$5:$K$73,MATCH($A70,'Licences &amp; Certificates'!$A$5:$A$73,0))&amp;"","Unknown ID"))</f>
        <v>EPA/CIL-CI-006/0326</v>
      </c>
      <c r="C70" s="282" t="str">
        <f t="array" ref="C70">IF($A70="","",IFERROR(INDEX('Licences &amp; Certificates'!$C$5:$C$73,MATCH($A70,'Licences &amp; Certificates'!$A$5:$A$73,0)),"Unknown ID"))</f>
        <v>Greenfield Liberia Inc.</v>
      </c>
      <c r="D70" s="282" t="s">
        <v>1263</v>
      </c>
      <c r="E70" s="282" t="s">
        <v>1458</v>
      </c>
      <c r="F70" s="282"/>
      <c r="G70" s="308"/>
      <c r="H70" s="282" t="s">
        <v>1225</v>
      </c>
      <c r="I70" s="282" t="s">
        <v>1366</v>
      </c>
    </row>
    <row r="71" ht="14.25" customHeight="1">
      <c r="A71" s="282" t="s">
        <v>1230</v>
      </c>
      <c r="B71" s="282" t="str">
        <f t="array" ref="B71">IF($A71="","",IFERROR(INDEX('Licences &amp; Certificates'!$K$5:$K$73,MATCH($A71,'Licences &amp; Certificates'!$A$5:$A$73,0))&amp;"","Unknown ID"))</f>
        <v>EPA/CIL-CI-006/0326</v>
      </c>
      <c r="C71" s="282" t="str">
        <f t="array" ref="C71">IF($A71="","",IFERROR(INDEX('Licences &amp; Certificates'!$C$5:$C$73,MATCH($A71,'Licences &amp; Certificates'!$A$5:$A$73,0)),"Unknown ID"))</f>
        <v>Greenfield Liberia Inc.</v>
      </c>
      <c r="D71" s="282" t="s">
        <v>1271</v>
      </c>
      <c r="E71" s="282" t="s">
        <v>1460</v>
      </c>
      <c r="F71" s="282"/>
      <c r="G71" s="308">
        <v>50000.0</v>
      </c>
      <c r="H71" s="282" t="s">
        <v>1225</v>
      </c>
      <c r="I71" s="282" t="s">
        <v>1366</v>
      </c>
    </row>
    <row r="72" ht="14.25" customHeight="1">
      <c r="A72" s="282" t="s">
        <v>1230</v>
      </c>
      <c r="B72" s="282" t="str">
        <f t="array" ref="B72">IF($A72="","",IFERROR(INDEX('Licences &amp; Certificates'!$K$5:$K$73,MATCH($A72,'Licences &amp; Certificates'!$A$5:$A$73,0))&amp;"","Unknown ID"))</f>
        <v>EPA/CIL-CI-006/0326</v>
      </c>
      <c r="C72" s="282" t="str">
        <f t="array" ref="C72">IF($A72="","",IFERROR(INDEX('Licences &amp; Certificates'!$C$5:$C$73,MATCH($A72,'Licences &amp; Certificates'!$A$5:$A$73,0)),"Unknown ID"))</f>
        <v>Greenfield Liberia Inc.</v>
      </c>
      <c r="D72" s="282" t="s">
        <v>1313</v>
      </c>
      <c r="E72" s="282" t="s">
        <v>1463</v>
      </c>
      <c r="F72" s="282"/>
      <c r="G72" s="308">
        <v>25000.0</v>
      </c>
      <c r="H72" s="282" t="s">
        <v>1464</v>
      </c>
      <c r="I72" s="282" t="s">
        <v>1366</v>
      </c>
    </row>
    <row r="73" ht="14.25" customHeight="1">
      <c r="A73" s="282" t="s">
        <v>1230</v>
      </c>
      <c r="B73" s="282" t="str">
        <f t="array" ref="B73">IF($A73="","",IFERROR(INDEX('Licences &amp; Certificates'!$K$5:$K$73,MATCH($A73,'Licences &amp; Certificates'!$A$5:$A$73,0))&amp;"","Unknown ID"))</f>
        <v>EPA/CIL-CI-006/0326</v>
      </c>
      <c r="C73" s="282" t="str">
        <f t="array" ref="C73">IF($A73="","",IFERROR(INDEX('Licences &amp; Certificates'!$C$5:$C$73,MATCH($A73,'Licences &amp; Certificates'!$A$5:$A$73,0)),"Unknown ID"))</f>
        <v>Greenfield Liberia Inc.</v>
      </c>
      <c r="D73" s="282" t="s">
        <v>1466</v>
      </c>
      <c r="E73" s="282" t="s">
        <v>1467</v>
      </c>
      <c r="F73" s="282"/>
      <c r="G73" s="308">
        <v>25000.0</v>
      </c>
      <c r="H73" s="282" t="s">
        <v>1464</v>
      </c>
      <c r="I73" s="282" t="s">
        <v>1366</v>
      </c>
    </row>
    <row r="74" ht="14.25" customHeight="1">
      <c r="A74" s="282" t="s">
        <v>1243</v>
      </c>
      <c r="B74" s="282" t="str">
        <f t="array" ref="B74">IF($A74="","",IFERROR(INDEX('Licences &amp; Certificates'!$K$5:$K$73,MATCH($A74,'Licences &amp; Certificates'!$A$5:$A$73,0))&amp;"","Unknown ID"))</f>
        <v>EPA/CIL-001/R0426</v>
      </c>
      <c r="C74" s="282" t="str">
        <f t="array" ref="C74">IF($A74="","",IFERROR(INDEX('Licences &amp; Certificates'!$C$5:$C$73,MATCH($A74,'Licences &amp; Certificates'!$A$5:$A$73,0)),"Unknown ID"))</f>
        <v>Rainbow Paint Factory</v>
      </c>
      <c r="D74" s="282" t="s">
        <v>1364</v>
      </c>
      <c r="E74" s="282" t="s">
        <v>1470</v>
      </c>
      <c r="F74" s="282"/>
      <c r="G74" s="308"/>
      <c r="H74" s="282" t="s">
        <v>1225</v>
      </c>
      <c r="I74" s="282"/>
    </row>
    <row r="75" ht="14.25" customHeight="1">
      <c r="A75" s="282" t="s">
        <v>1243</v>
      </c>
      <c r="B75" s="282" t="str">
        <f t="array" ref="B75">IF($A75="","",IFERROR(INDEX('Licences &amp; Certificates'!$K$5:$K$73,MATCH($A75,'Licences &amp; Certificates'!$A$5:$A$73,0))&amp;"","Unknown ID"))</f>
        <v>EPA/CIL-001/R0426</v>
      </c>
      <c r="C75" s="282" t="str">
        <f t="array" ref="C75">IF($A75="","",IFERROR(INDEX('Licences &amp; Certificates'!$C$5:$C$73,MATCH($A75,'Licences &amp; Certificates'!$A$5:$A$73,0)),"Unknown ID"))</f>
        <v>Rainbow Paint Factory</v>
      </c>
      <c r="D75" s="282" t="s">
        <v>1369</v>
      </c>
      <c r="E75" s="282" t="s">
        <v>1472</v>
      </c>
      <c r="F75" s="282"/>
      <c r="G75" s="308"/>
      <c r="H75" s="282" t="s">
        <v>1225</v>
      </c>
      <c r="I75" s="282"/>
    </row>
    <row r="76" ht="14.25" customHeight="1">
      <c r="A76" s="282" t="s">
        <v>1243</v>
      </c>
      <c r="B76" s="282" t="str">
        <f t="array" ref="B76">IF($A76="","",IFERROR(INDEX('Licences &amp; Certificates'!$K$5:$K$73,MATCH($A76,'Licences &amp; Certificates'!$A$5:$A$73,0))&amp;"","Unknown ID"))</f>
        <v>EPA/CIL-001/R0426</v>
      </c>
      <c r="C76" s="282" t="str">
        <f t="array" ref="C76">IF($A76="","",IFERROR(INDEX('Licences &amp; Certificates'!$C$5:$C$73,MATCH($A76,'Licences &amp; Certificates'!$A$5:$A$73,0)),"Unknown ID"))</f>
        <v>Rainbow Paint Factory</v>
      </c>
      <c r="D76" s="282" t="s">
        <v>1474</v>
      </c>
      <c r="E76" s="282" t="s">
        <v>1475</v>
      </c>
      <c r="F76" s="282"/>
      <c r="G76" s="308"/>
      <c r="H76" s="282" t="s">
        <v>1225</v>
      </c>
      <c r="I76" s="282"/>
    </row>
    <row r="77" ht="14.25" customHeight="1">
      <c r="A77" s="282" t="s">
        <v>1243</v>
      </c>
      <c r="B77" s="282" t="str">
        <f t="array" ref="B77">IF($A77="","",IFERROR(INDEX('Licences &amp; Certificates'!$K$5:$K$73,MATCH($A77,'Licences &amp; Certificates'!$A$5:$A$73,0))&amp;"","Unknown ID"))</f>
        <v>EPA/CIL-001/R0426</v>
      </c>
      <c r="C77" s="282" t="str">
        <f t="array" ref="C77">IF($A77="","",IFERROR(INDEX('Licences &amp; Certificates'!$C$5:$C$73,MATCH($A77,'Licences &amp; Certificates'!$A$5:$A$73,0)),"Unknown ID"))</f>
        <v>Rainbow Paint Factory</v>
      </c>
      <c r="D77" s="282" t="s">
        <v>1378</v>
      </c>
      <c r="E77" s="282" t="s">
        <v>1477</v>
      </c>
      <c r="F77" s="282"/>
      <c r="G77" s="308"/>
      <c r="H77" s="282" t="s">
        <v>1225</v>
      </c>
      <c r="I77" s="282"/>
    </row>
    <row r="78" ht="14.25" customHeight="1">
      <c r="A78" s="282" t="s">
        <v>1243</v>
      </c>
      <c r="B78" s="282" t="str">
        <f t="array" ref="B78">IF($A78="","",IFERROR(INDEX('Licences &amp; Certificates'!$K$5:$K$73,MATCH($A78,'Licences &amp; Certificates'!$A$5:$A$73,0))&amp;"","Unknown ID"))</f>
        <v>EPA/CIL-001/R0426</v>
      </c>
      <c r="C78" s="282" t="str">
        <f t="array" ref="C78">IF($A78="","",IFERROR(INDEX('Licences &amp; Certificates'!$C$5:$C$73,MATCH($A78,'Licences &amp; Certificates'!$A$5:$A$73,0)),"Unknown ID"))</f>
        <v>Rainbow Paint Factory</v>
      </c>
      <c r="D78" s="282" t="s">
        <v>1313</v>
      </c>
      <c r="E78" s="282" t="s">
        <v>1479</v>
      </c>
      <c r="F78" s="282"/>
      <c r="G78" s="308"/>
      <c r="H78" s="282" t="s">
        <v>1225</v>
      </c>
      <c r="I78" s="282"/>
    </row>
    <row r="79" ht="14.25" customHeight="1">
      <c r="A79" s="282" t="s">
        <v>1243</v>
      </c>
      <c r="B79" s="282" t="str">
        <f t="array" ref="B79">IF($A79="","",IFERROR(INDEX('Licences &amp; Certificates'!$K$5:$K$73,MATCH($A79,'Licences &amp; Certificates'!$A$5:$A$73,0))&amp;"","Unknown ID"))</f>
        <v>EPA/CIL-001/R0426</v>
      </c>
      <c r="C79" s="282" t="str">
        <f t="array" ref="C79">IF($A79="","",IFERROR(INDEX('Licences &amp; Certificates'!$C$5:$C$73,MATCH($A79,'Licences &amp; Certificates'!$A$5:$A$73,0)),"Unknown ID"))</f>
        <v>Rainbow Paint Factory</v>
      </c>
      <c r="D79" s="282" t="s">
        <v>1313</v>
      </c>
      <c r="E79" s="282" t="s">
        <v>1482</v>
      </c>
      <c r="F79" s="282"/>
      <c r="G79" s="308"/>
      <c r="H79" s="282" t="s">
        <v>1225</v>
      </c>
      <c r="I79" s="282"/>
    </row>
    <row r="80" ht="14.25" customHeight="1">
      <c r="A80" s="282" t="s">
        <v>1243</v>
      </c>
      <c r="B80" s="282" t="str">
        <f t="array" ref="B80">IF($A80="","",IFERROR(INDEX('Licences &amp; Certificates'!$K$5:$K$73,MATCH($A80,'Licences &amp; Certificates'!$A$5:$A$73,0))&amp;"","Unknown ID"))</f>
        <v>EPA/CIL-001/R0426</v>
      </c>
      <c r="C80" s="282" t="str">
        <f t="array" ref="C80">IF($A80="","",IFERROR(INDEX('Licences &amp; Certificates'!$C$5:$C$73,MATCH($A80,'Licences &amp; Certificates'!$A$5:$A$73,0)),"Unknown ID"))</f>
        <v>Rainbow Paint Factory</v>
      </c>
      <c r="D80" s="282" t="s">
        <v>1391</v>
      </c>
      <c r="E80" s="282" t="s">
        <v>1484</v>
      </c>
      <c r="F80" s="282"/>
      <c r="G80" s="308"/>
      <c r="H80" s="282" t="s">
        <v>1225</v>
      </c>
      <c r="I80" s="282"/>
    </row>
    <row r="81" ht="14.25" customHeight="1">
      <c r="A81" s="282" t="s">
        <v>1243</v>
      </c>
      <c r="B81" s="282" t="str">
        <f t="array" ref="B81">IF($A81="","",IFERROR(INDEX('Licences &amp; Certificates'!$K$5:$K$73,MATCH($A81,'Licences &amp; Certificates'!$A$5:$A$73,0))&amp;"","Unknown ID"))</f>
        <v>EPA/CIL-001/R0426</v>
      </c>
      <c r="C81" s="282" t="str">
        <f t="array" ref="C81">IF($A81="","",IFERROR(INDEX('Licences &amp; Certificates'!$C$5:$C$73,MATCH($A81,'Licences &amp; Certificates'!$A$5:$A$73,0)),"Unknown ID"))</f>
        <v>Rainbow Paint Factory</v>
      </c>
      <c r="D81" s="282" t="s">
        <v>1313</v>
      </c>
      <c r="E81" s="282" t="s">
        <v>1487</v>
      </c>
      <c r="F81" s="282"/>
      <c r="G81" s="308"/>
      <c r="H81" s="282" t="s">
        <v>1225</v>
      </c>
      <c r="I81" s="282"/>
    </row>
    <row r="82" ht="14.25" customHeight="1">
      <c r="A82" s="282" t="s">
        <v>1243</v>
      </c>
      <c r="B82" s="282" t="str">
        <f t="array" ref="B82">IF($A82="","",IFERROR(INDEX('Licences &amp; Certificates'!$K$5:$K$73,MATCH($A82,'Licences &amp; Certificates'!$A$5:$A$73,0))&amp;"","Unknown ID"))</f>
        <v>EPA/CIL-001/R0426</v>
      </c>
      <c r="C82" s="282" t="str">
        <f t="array" ref="C82">IF($A82="","",IFERROR(INDEX('Licences &amp; Certificates'!$C$5:$C$73,MATCH($A82,'Licences &amp; Certificates'!$A$5:$A$73,0)),"Unknown ID"))</f>
        <v>Rainbow Paint Factory</v>
      </c>
      <c r="D82" s="282" t="s">
        <v>1399</v>
      </c>
      <c r="E82" s="282" t="s">
        <v>1489</v>
      </c>
      <c r="F82" s="282"/>
      <c r="G82" s="308"/>
      <c r="H82" s="282" t="s">
        <v>1225</v>
      </c>
      <c r="I82" s="282"/>
    </row>
    <row r="83" ht="14.25" customHeight="1">
      <c r="A83" s="282" t="s">
        <v>1243</v>
      </c>
      <c r="B83" s="282" t="str">
        <f t="array" ref="B83">IF($A83="","",IFERROR(INDEX('Licences &amp; Certificates'!$K$5:$K$73,MATCH($A83,'Licences &amp; Certificates'!$A$5:$A$73,0))&amp;"","Unknown ID"))</f>
        <v>EPA/CIL-001/R0426</v>
      </c>
      <c r="C83" s="282" t="str">
        <f t="array" ref="C83">IF($A83="","",IFERROR(INDEX('Licences &amp; Certificates'!$C$5:$C$73,MATCH($A83,'Licences &amp; Certificates'!$A$5:$A$73,0)),"Unknown ID"))</f>
        <v>Rainbow Paint Factory</v>
      </c>
      <c r="D83" s="282" t="s">
        <v>565</v>
      </c>
      <c r="E83" s="282" t="s">
        <v>1492</v>
      </c>
      <c r="F83" s="282"/>
      <c r="G83" s="308"/>
      <c r="H83" s="282" t="s">
        <v>1225</v>
      </c>
      <c r="I83" s="282"/>
    </row>
    <row r="84" ht="14.25" customHeight="1">
      <c r="A84" s="282" t="s">
        <v>1243</v>
      </c>
      <c r="B84" s="282" t="str">
        <f t="array" ref="B84">IF($A84="","",IFERROR(INDEX('Licences &amp; Certificates'!$K$5:$K$73,MATCH($A84,'Licences &amp; Certificates'!$A$5:$A$73,0))&amp;"","Unknown ID"))</f>
        <v>EPA/CIL-001/R0426</v>
      </c>
      <c r="C84" s="282" t="str">
        <f t="array" ref="C84">IF($A84="","",IFERROR(INDEX('Licences &amp; Certificates'!$C$5:$C$73,MATCH($A84,'Licences &amp; Certificates'!$A$5:$A$73,0)),"Unknown ID"))</f>
        <v>Rainbow Paint Factory</v>
      </c>
      <c r="D84" s="282" t="s">
        <v>1408</v>
      </c>
      <c r="E84" s="282" t="s">
        <v>1494</v>
      </c>
      <c r="F84" s="282"/>
      <c r="G84" s="308"/>
      <c r="H84" s="282" t="s">
        <v>1225</v>
      </c>
      <c r="I84" s="282"/>
    </row>
    <row r="85" ht="14.25" customHeight="1">
      <c r="A85" s="282" t="s">
        <v>1243</v>
      </c>
      <c r="B85" s="282" t="str">
        <f t="array" ref="B85">IF($A85="","",IFERROR(INDEX('Licences &amp; Certificates'!$K$5:$K$73,MATCH($A85,'Licences &amp; Certificates'!$A$5:$A$73,0))&amp;"","Unknown ID"))</f>
        <v>EPA/CIL-001/R0426</v>
      </c>
      <c r="C85" s="282" t="str">
        <f t="array" ref="C85">IF($A85="","",IFERROR(INDEX('Licences &amp; Certificates'!$C$5:$C$73,MATCH($A85,'Licences &amp; Certificates'!$A$5:$A$73,0)),"Unknown ID"))</f>
        <v>Rainbow Paint Factory</v>
      </c>
      <c r="D85" s="282" t="s">
        <v>1496</v>
      </c>
      <c r="E85" s="282" t="s">
        <v>1497</v>
      </c>
      <c r="F85" s="282"/>
      <c r="G85" s="308"/>
      <c r="H85" s="282" t="s">
        <v>1225</v>
      </c>
      <c r="I85" s="282"/>
    </row>
    <row r="86" ht="14.25" customHeight="1">
      <c r="A86" s="282" t="s">
        <v>1243</v>
      </c>
      <c r="B86" s="282" t="str">
        <f t="array" ref="B86">IF($A86="","",IFERROR(INDEX('Licences &amp; Certificates'!$K$5:$K$73,MATCH($A86,'Licences &amp; Certificates'!$A$5:$A$73,0))&amp;"","Unknown ID"))</f>
        <v>EPA/CIL-001/R0426</v>
      </c>
      <c r="C86" s="282" t="str">
        <f t="array" ref="C86">IF($A86="","",IFERROR(INDEX('Licences &amp; Certificates'!$C$5:$C$73,MATCH($A86,'Licences &amp; Certificates'!$A$5:$A$73,0)),"Unknown ID"))</f>
        <v>Rainbow Paint Factory</v>
      </c>
      <c r="D86" s="282" t="s">
        <v>1416</v>
      </c>
      <c r="E86" s="282" t="s">
        <v>1500</v>
      </c>
      <c r="F86" s="282"/>
      <c r="G86" s="308"/>
      <c r="H86" s="282" t="s">
        <v>1225</v>
      </c>
      <c r="I86" s="282"/>
    </row>
    <row r="87" ht="14.25" customHeight="1">
      <c r="A87" s="282" t="s">
        <v>1250</v>
      </c>
      <c r="B87" s="282" t="str">
        <f t="array" ref="B87">IF($A87="","",IFERROR(INDEX('Licences &amp; Certificates'!$K$5:$K$73,MATCH($A87,'Licences &amp; Certificates'!$A$5:$A$73,0))&amp;"","Unknown ID"))</f>
        <v>EPA/CIL-003ALC/0126</v>
      </c>
      <c r="C87" s="282" t="str">
        <f t="array" ref="C87">IF($A87="","",IFERROR(INDEX('Licences &amp; Certificates'!$C$5:$C$73,MATCH($A87,'Licences &amp; Certificates'!$A$5:$A$73,0)),"Unknown ID"))</f>
        <v>Raja International Trading Company (RITCO)</v>
      </c>
      <c r="D87" s="282" t="s">
        <v>1280</v>
      </c>
      <c r="E87" s="282" t="s">
        <v>1502</v>
      </c>
      <c r="F87" s="282"/>
      <c r="G87" s="308">
        <v>900000.0</v>
      </c>
      <c r="H87" s="282" t="s">
        <v>1225</v>
      </c>
      <c r="I87" s="282" t="s">
        <v>1366</v>
      </c>
    </row>
    <row r="88" ht="14.25" customHeight="1">
      <c r="A88" s="282" t="s">
        <v>1254</v>
      </c>
      <c r="B88" s="282" t="str">
        <f t="array" ref="B88">IF($A88="","",IFERROR(INDEX('Licences &amp; Certificates'!$K$5:$K$73,MATCH($A88,'Licences &amp; Certificates'!$A$5:$A$73,0))&amp;"","Unknown ID"))</f>
        <v>EPA/CIL-0028/R0426</v>
      </c>
      <c r="C88" s="282" t="str">
        <f t="array" ref="C88">IF($A88="","",IFERROR(INDEX('Licences &amp; Certificates'!$C$5:$C$73,MATCH($A88,'Licences &amp; Certificates'!$A$5:$A$73,0)),"Unknown ID"))</f>
        <v>Firestone Liberia</v>
      </c>
      <c r="D88" s="282" t="s">
        <v>1504</v>
      </c>
      <c r="E88" s="282" t="s">
        <v>1470</v>
      </c>
      <c r="F88" s="282"/>
      <c r="G88" s="308">
        <v>1300.0</v>
      </c>
      <c r="H88" s="282" t="s">
        <v>1225</v>
      </c>
      <c r="I88" s="282"/>
    </row>
    <row r="89" ht="14.25" customHeight="1">
      <c r="A89" s="282" t="s">
        <v>1110</v>
      </c>
      <c r="B89" s="282" t="str">
        <f t="array" ref="B89">IF($A89="","",IFERROR(INDEX('Licences &amp; Certificates'!$K$5:$K$73,MATCH($A89,'Licences &amp; Certificates'!$A$5:$A$73,0))&amp;"","Unknown ID"))</f>
        <v>EPA/CIL-002A/R0426</v>
      </c>
      <c r="C89" s="282" t="str">
        <f t="array" ref="C89">IF($A89="","",IFERROR(INDEX('Licences &amp; Certificates'!$C$5:$C$73,MATCH($A89,'Licences &amp; Certificates'!$A$5:$A$73,0)),"Unknown ID"))</f>
        <v>Firestone Liberia</v>
      </c>
      <c r="D89" s="282" t="s">
        <v>1506</v>
      </c>
      <c r="E89" s="282" t="s">
        <v>1470</v>
      </c>
      <c r="F89" s="282"/>
      <c r="G89" s="308"/>
      <c r="H89" s="282" t="s">
        <v>1225</v>
      </c>
      <c r="I89" s="282"/>
    </row>
    <row r="90" ht="14.25" customHeight="1">
      <c r="A90" s="282" t="s">
        <v>1110</v>
      </c>
      <c r="B90" s="282" t="str">
        <f t="array" ref="B90">IF($A90="","",IFERROR(INDEX('Licences &amp; Certificates'!$K$5:$K$73,MATCH($A90,'Licences &amp; Certificates'!$A$5:$A$73,0))&amp;"","Unknown ID"))</f>
        <v>EPA/CIL-002A/R0426</v>
      </c>
      <c r="C90" s="282" t="str">
        <f t="array" ref="C90">IF($A90="","",IFERROR(INDEX('Licences &amp; Certificates'!$C$5:$C$73,MATCH($A90,'Licences &amp; Certificates'!$A$5:$A$73,0)),"Unknown ID"))</f>
        <v>Firestone Liberia</v>
      </c>
      <c r="D90" s="282" t="s">
        <v>1509</v>
      </c>
      <c r="E90" s="282" t="s">
        <v>1472</v>
      </c>
      <c r="F90" s="282"/>
      <c r="G90" s="308"/>
      <c r="H90" s="282" t="s">
        <v>1225</v>
      </c>
      <c r="I90" s="282"/>
    </row>
    <row r="91" ht="14.25" customHeight="1">
      <c r="A91" s="282" t="s">
        <v>1110</v>
      </c>
      <c r="B91" s="282" t="str">
        <f t="array" ref="B91">IF($A91="","",IFERROR(INDEX('Licences &amp; Certificates'!$K$5:$K$73,MATCH($A91,'Licences &amp; Certificates'!$A$5:$A$73,0))&amp;"","Unknown ID"))</f>
        <v>EPA/CIL-002A/R0426</v>
      </c>
      <c r="C91" s="282" t="str">
        <f t="array" ref="C91">IF($A91="","",IFERROR(INDEX('Licences &amp; Certificates'!$C$5:$C$73,MATCH($A91,'Licences &amp; Certificates'!$A$5:$A$73,0)),"Unknown ID"))</f>
        <v>Firestone Liberia</v>
      </c>
      <c r="D91" s="282" t="s">
        <v>1510</v>
      </c>
      <c r="E91" s="282" t="s">
        <v>1475</v>
      </c>
      <c r="F91" s="282"/>
      <c r="G91" s="308"/>
      <c r="H91" s="282" t="s">
        <v>1225</v>
      </c>
      <c r="I91" s="282"/>
    </row>
    <row r="92" ht="14.25" customHeight="1">
      <c r="A92" s="282" t="s">
        <v>1261</v>
      </c>
      <c r="B92" s="282" t="str">
        <f t="array" ref="B92">IF($A92="","",IFERROR(INDEX('Licences &amp; Certificates'!$K$5:$K$73,MATCH($A92,'Licences &amp; Certificates'!$A$5:$A$73,0))&amp;"","Unknown ID"))</f>
        <v>EPA/CIL-CI-003/0726</v>
      </c>
      <c r="C92" s="282" t="str">
        <f t="array" ref="C92">IF($A92="","",IFERROR(INDEX('Licences &amp; Certificates'!$C$5:$C$73,MATCH($A92,'Licences &amp; Certificates'!$A$5:$A$73,0)),"Unknown ID"))</f>
        <v>Firestone Liberia</v>
      </c>
      <c r="D92" s="282" t="s">
        <v>1511</v>
      </c>
      <c r="E92" s="282" t="s">
        <v>1455</v>
      </c>
      <c r="F92" s="282"/>
      <c r="G92" s="308">
        <v>5000.0</v>
      </c>
      <c r="H92" s="282" t="s">
        <v>1225</v>
      </c>
      <c r="I92" s="282" t="s">
        <v>1366</v>
      </c>
    </row>
    <row r="93" ht="14.25" customHeight="1">
      <c r="A93" s="282" t="s">
        <v>1261</v>
      </c>
      <c r="B93" s="282" t="str">
        <f t="array" ref="B93">IF($A93="","",IFERROR(INDEX('Licences &amp; Certificates'!$K$5:$K$73,MATCH($A93,'Licences &amp; Certificates'!$A$5:$A$73,0))&amp;"","Unknown ID"))</f>
        <v>EPA/CIL-CI-003/0726</v>
      </c>
      <c r="C93" s="282" t="str">
        <f t="array" ref="C93">IF($A93="","",IFERROR(INDEX('Licences &amp; Certificates'!$C$5:$C$73,MATCH($A93,'Licences &amp; Certificates'!$A$5:$A$73,0)),"Unknown ID"))</f>
        <v>Firestone Liberia</v>
      </c>
      <c r="D93" s="282" t="s">
        <v>1512</v>
      </c>
      <c r="E93" s="282" t="s">
        <v>1458</v>
      </c>
      <c r="F93" s="282"/>
      <c r="G93" s="308">
        <v>300.0</v>
      </c>
      <c r="H93" s="282" t="s">
        <v>1225</v>
      </c>
      <c r="I93" s="282" t="s">
        <v>1366</v>
      </c>
    </row>
    <row r="94" ht="14.25" customHeight="1">
      <c r="A94" s="282" t="s">
        <v>1261</v>
      </c>
      <c r="B94" s="282" t="str">
        <f t="array" ref="B94">IF($A94="","",IFERROR(INDEX('Licences &amp; Certificates'!$K$5:$K$73,MATCH($A94,'Licences &amp; Certificates'!$A$5:$A$73,0))&amp;"","Unknown ID"))</f>
        <v>EPA/CIL-CI-003/0726</v>
      </c>
      <c r="C94" s="282" t="str">
        <f t="array" ref="C94">IF($A94="","",IFERROR(INDEX('Licences &amp; Certificates'!$C$5:$C$73,MATCH($A94,'Licences &amp; Certificates'!$A$5:$A$73,0)),"Unknown ID"))</f>
        <v>Firestone Liberia</v>
      </c>
      <c r="D94" s="282" t="s">
        <v>1513</v>
      </c>
      <c r="E94" s="282" t="s">
        <v>1460</v>
      </c>
      <c r="F94" s="282"/>
      <c r="G94" s="308"/>
      <c r="H94" s="282" t="s">
        <v>1225</v>
      </c>
      <c r="I94" s="282" t="s">
        <v>1366</v>
      </c>
    </row>
    <row r="95" ht="14.25" customHeight="1">
      <c r="A95" s="282" t="s">
        <v>1267</v>
      </c>
      <c r="B95" s="282" t="str">
        <f t="array" ref="B95">IF($A95="","",IFERROR(INDEX('Licences &amp; Certificates'!$K$5:$K$73,MATCH($A95,'Licences &amp; Certificates'!$A$5:$A$73,0))&amp;"","Unknown ID"))</f>
        <v>EPA/CIL-001MF/0126</v>
      </c>
      <c r="C95" s="282" t="str">
        <f t="array" ref="C95">IF($A95="","",IFERROR(INDEX('Licences &amp; Certificates'!$C$5:$C$73,MATCH($A95,'Licences &amp; Certificates'!$A$5:$A$73,0)),"Unknown ID"))</f>
        <v>Supreme Liberia Inc.</v>
      </c>
      <c r="D95" s="282" t="s">
        <v>1514</v>
      </c>
      <c r="E95" s="282" t="s">
        <v>1515</v>
      </c>
      <c r="F95" s="282"/>
      <c r="G95" s="308"/>
      <c r="H95" s="282" t="s">
        <v>1516</v>
      </c>
      <c r="I95" s="282" t="s">
        <v>1366</v>
      </c>
    </row>
    <row r="96" ht="14.25" customHeight="1">
      <c r="A96" s="282" t="s">
        <v>1267</v>
      </c>
      <c r="B96" s="282" t="str">
        <f t="array" ref="B96">IF($A96="","",IFERROR(INDEX('Licences &amp; Certificates'!$K$5:$K$73,MATCH($A96,'Licences &amp; Certificates'!$A$5:$A$73,0))&amp;"","Unknown ID"))</f>
        <v>EPA/CIL-001MF/0126</v>
      </c>
      <c r="C96" s="282" t="str">
        <f t="array" ref="C96">IF($A96="","",IFERROR(INDEX('Licences &amp; Certificates'!$C$5:$C$73,MATCH($A96,'Licences &amp; Certificates'!$A$5:$A$73,0)),"Unknown ID"))</f>
        <v>Supreme Liberia Inc.</v>
      </c>
      <c r="D96" s="282" t="s">
        <v>1517</v>
      </c>
      <c r="E96" s="282" t="s">
        <v>1518</v>
      </c>
      <c r="F96" s="282"/>
      <c r="G96" s="308">
        <v>75000.0</v>
      </c>
      <c r="H96" s="282" t="s">
        <v>1516</v>
      </c>
      <c r="I96" s="282" t="s">
        <v>1366</v>
      </c>
    </row>
    <row r="97" ht="14.25" customHeight="1">
      <c r="A97" s="282" t="s">
        <v>1267</v>
      </c>
      <c r="B97" s="282" t="str">
        <f t="array" ref="B97">IF($A97="","",IFERROR(INDEX('Licences &amp; Certificates'!$K$5:$K$73,MATCH($A97,'Licences &amp; Certificates'!$A$5:$A$73,0))&amp;"","Unknown ID"))</f>
        <v>EPA/CIL-001MF/0126</v>
      </c>
      <c r="C97" s="282" t="str">
        <f t="array" ref="C97">IF($A97="","",IFERROR(INDEX('Licences &amp; Certificates'!$C$5:$C$73,MATCH($A97,'Licences &amp; Certificates'!$A$5:$A$73,0)),"Unknown ID"))</f>
        <v>Supreme Liberia Inc.</v>
      </c>
      <c r="D97" s="282" t="s">
        <v>1519</v>
      </c>
      <c r="E97" s="282" t="s">
        <v>1520</v>
      </c>
      <c r="F97" s="282"/>
      <c r="G97" s="308">
        <v>810.0</v>
      </c>
      <c r="H97" s="282" t="s">
        <v>1516</v>
      </c>
      <c r="I97" s="282" t="s">
        <v>1366</v>
      </c>
    </row>
    <row r="98" ht="14.25" customHeight="1">
      <c r="A98" s="282" t="s">
        <v>1267</v>
      </c>
      <c r="B98" s="282" t="str">
        <f t="array" ref="B98">IF($A98="","",IFERROR(INDEX('Licences &amp; Certificates'!$K$5:$K$73,MATCH($A98,'Licences &amp; Certificates'!$A$5:$A$73,0))&amp;"","Unknown ID"))</f>
        <v>EPA/CIL-001MF/0126</v>
      </c>
      <c r="C98" s="282" t="str">
        <f t="array" ref="C98">IF($A98="","",IFERROR(INDEX('Licences &amp; Certificates'!$C$5:$C$73,MATCH($A98,'Licences &amp; Certificates'!$A$5:$A$73,0)),"Unknown ID"))</f>
        <v>Supreme Liberia Inc.</v>
      </c>
      <c r="D98" s="282" t="s">
        <v>1521</v>
      </c>
      <c r="E98" s="282" t="s">
        <v>1522</v>
      </c>
      <c r="F98" s="282"/>
      <c r="G98" s="308">
        <v>21200.0</v>
      </c>
      <c r="H98" s="282" t="s">
        <v>1516</v>
      </c>
      <c r="I98" s="282" t="s">
        <v>1366</v>
      </c>
    </row>
    <row r="99" ht="14.25" customHeight="1">
      <c r="A99" s="282" t="s">
        <v>1267</v>
      </c>
      <c r="B99" s="282" t="str">
        <f t="array" ref="B99">IF($A99="","",IFERROR(INDEX('Licences &amp; Certificates'!$K$5:$K$73,MATCH($A99,'Licences &amp; Certificates'!$A$5:$A$73,0))&amp;"","Unknown ID"))</f>
        <v>EPA/CIL-001MF/0126</v>
      </c>
      <c r="C99" s="282" t="str">
        <f t="array" ref="C99">IF($A99="","",IFERROR(INDEX('Licences &amp; Certificates'!$C$5:$C$73,MATCH($A99,'Licences &amp; Certificates'!$A$5:$A$73,0)),"Unknown ID"))</f>
        <v>Supreme Liberia Inc.</v>
      </c>
      <c r="D99" s="282" t="s">
        <v>1523</v>
      </c>
      <c r="E99" s="282" t="s">
        <v>1524</v>
      </c>
      <c r="F99" s="282"/>
      <c r="G99" s="308">
        <v>8650.0</v>
      </c>
      <c r="H99" s="282" t="s">
        <v>1516</v>
      </c>
      <c r="I99" s="282" t="s">
        <v>1366</v>
      </c>
    </row>
    <row r="100" ht="14.25" customHeight="1">
      <c r="A100" s="282" t="s">
        <v>1267</v>
      </c>
      <c r="B100" s="282" t="str">
        <f t="array" ref="B100">IF($A100="","",IFERROR(INDEX('Licences &amp; Certificates'!$K$5:$K$73,MATCH($A100,'Licences &amp; Certificates'!$A$5:$A$73,0))&amp;"","Unknown ID"))</f>
        <v>EPA/CIL-001MF/0126</v>
      </c>
      <c r="C100" s="282" t="str">
        <f t="array" ref="C100">IF($A100="","",IFERROR(INDEX('Licences &amp; Certificates'!$C$5:$C$73,MATCH($A100,'Licences &amp; Certificates'!$A$5:$A$73,0)),"Unknown ID"))</f>
        <v>Supreme Liberia Inc.</v>
      </c>
      <c r="D100" s="282" t="s">
        <v>1313</v>
      </c>
      <c r="E100" s="282" t="s">
        <v>1525</v>
      </c>
      <c r="F100" s="282"/>
      <c r="G100" s="308">
        <v>10513.0</v>
      </c>
      <c r="H100" s="282" t="s">
        <v>1516</v>
      </c>
      <c r="I100" s="282" t="s">
        <v>1366</v>
      </c>
    </row>
    <row r="101" ht="14.25" customHeight="1">
      <c r="A101" s="282" t="s">
        <v>1267</v>
      </c>
      <c r="B101" s="282" t="str">
        <f t="array" ref="B101">IF($A101="","",IFERROR(INDEX('Licences &amp; Certificates'!$K$5:$K$73,MATCH($A101,'Licences &amp; Certificates'!$A$5:$A$73,0))&amp;"","Unknown ID"))</f>
        <v>EPA/CIL-001MF/0126</v>
      </c>
      <c r="C101" s="282" t="str">
        <f t="array" ref="C101">IF($A101="","",IFERROR(INDEX('Licences &amp; Certificates'!$C$5:$C$73,MATCH($A101,'Licences &amp; Certificates'!$A$5:$A$73,0)),"Unknown ID"))</f>
        <v>Supreme Liberia Inc.</v>
      </c>
      <c r="D101" s="282" t="s">
        <v>1313</v>
      </c>
      <c r="E101" s="282" t="s">
        <v>1526</v>
      </c>
      <c r="F101" s="282"/>
      <c r="G101" s="308"/>
      <c r="H101" s="282" t="s">
        <v>1516</v>
      </c>
      <c r="I101" s="282" t="s">
        <v>1366</v>
      </c>
    </row>
    <row r="102" ht="14.25" customHeight="1">
      <c r="A102" s="282" t="s">
        <v>1267</v>
      </c>
      <c r="B102" s="282" t="str">
        <f t="array" ref="B102">IF($A102="","",IFERROR(INDEX('Licences &amp; Certificates'!$K$5:$K$73,MATCH($A102,'Licences &amp; Certificates'!$A$5:$A$73,0))&amp;"","Unknown ID"))</f>
        <v>EPA/CIL-001MF/0126</v>
      </c>
      <c r="C102" s="282" t="str">
        <f t="array" ref="C102">IF($A102="","",IFERROR(INDEX('Licences &amp; Certificates'!$C$5:$C$73,MATCH($A102,'Licences &amp; Certificates'!$A$5:$A$73,0)),"Unknown ID"))</f>
        <v>Supreme Liberia Inc.</v>
      </c>
      <c r="D102" s="282" t="s">
        <v>1313</v>
      </c>
      <c r="E102" s="282" t="s">
        <v>1527</v>
      </c>
      <c r="F102" s="282"/>
      <c r="G102" s="308"/>
      <c r="H102" s="282" t="s">
        <v>1516</v>
      </c>
      <c r="I102" s="282" t="s">
        <v>1366</v>
      </c>
    </row>
    <row r="103" ht="14.25" customHeight="1">
      <c r="A103" s="282" t="s">
        <v>1267</v>
      </c>
      <c r="B103" s="282" t="str">
        <f t="array" ref="B103">IF($A103="","",IFERROR(INDEX('Licences &amp; Certificates'!$K$5:$K$73,MATCH($A103,'Licences &amp; Certificates'!$A$5:$A$73,0))&amp;"","Unknown ID"))</f>
        <v>EPA/CIL-001MF/0126</v>
      </c>
      <c r="C103" s="282" t="str">
        <f t="array" ref="C103">IF($A103="","",IFERROR(INDEX('Licences &amp; Certificates'!$C$5:$C$73,MATCH($A103,'Licences &amp; Certificates'!$A$5:$A$73,0)),"Unknown ID"))</f>
        <v>Supreme Liberia Inc.</v>
      </c>
      <c r="D103" s="282" t="s">
        <v>1313</v>
      </c>
      <c r="E103" s="282" t="s">
        <v>1528</v>
      </c>
      <c r="F103" s="282"/>
      <c r="G103" s="308">
        <v>500.0</v>
      </c>
      <c r="H103" s="282" t="s">
        <v>1516</v>
      </c>
      <c r="I103" s="282" t="s">
        <v>1366</v>
      </c>
    </row>
    <row r="104" ht="14.25" customHeight="1">
      <c r="A104" s="282" t="s">
        <v>1267</v>
      </c>
      <c r="B104" s="282" t="str">
        <f t="array" ref="B104">IF($A104="","",IFERROR(INDEX('Licences &amp; Certificates'!$K$5:$K$73,MATCH($A104,'Licences &amp; Certificates'!$A$5:$A$73,0))&amp;"","Unknown ID"))</f>
        <v>EPA/CIL-001MF/0126</v>
      </c>
      <c r="C104" s="282" t="str">
        <f t="array" ref="C104">IF($A104="","",IFERROR(INDEX('Licences &amp; Certificates'!$C$5:$C$73,MATCH($A104,'Licences &amp; Certificates'!$A$5:$A$73,0)),"Unknown ID"))</f>
        <v>Supreme Liberia Inc.</v>
      </c>
      <c r="D104" s="282" t="s">
        <v>1529</v>
      </c>
      <c r="E104" s="282" t="s">
        <v>1530</v>
      </c>
      <c r="F104" s="282"/>
      <c r="G104" s="308">
        <v>500.0</v>
      </c>
      <c r="H104" s="282" t="s">
        <v>1516</v>
      </c>
      <c r="I104" s="282" t="s">
        <v>1366</v>
      </c>
    </row>
    <row r="105" ht="14.25" customHeight="1">
      <c r="A105" s="282" t="s">
        <v>1267</v>
      </c>
      <c r="B105" s="282" t="str">
        <f t="array" ref="B105">IF($A105="","",IFERROR(INDEX('Licences &amp; Certificates'!$K$5:$K$73,MATCH($A105,'Licences &amp; Certificates'!$A$5:$A$73,0))&amp;"","Unknown ID"))</f>
        <v>EPA/CIL-001MF/0126</v>
      </c>
      <c r="C105" s="282" t="str">
        <f t="array" ref="C105">IF($A105="","",IFERROR(INDEX('Licences &amp; Certificates'!$C$5:$C$73,MATCH($A105,'Licences &amp; Certificates'!$A$5:$A$73,0)),"Unknown ID"))</f>
        <v>Supreme Liberia Inc.</v>
      </c>
      <c r="D105" s="282" t="s">
        <v>1313</v>
      </c>
      <c r="E105" s="282" t="s">
        <v>1531</v>
      </c>
      <c r="F105" s="282"/>
      <c r="G105" s="308">
        <v>500.0</v>
      </c>
      <c r="H105" s="282" t="s">
        <v>1516</v>
      </c>
      <c r="I105" s="282" t="s">
        <v>1366</v>
      </c>
    </row>
    <row r="106" ht="14.25" customHeight="1">
      <c r="A106" s="282" t="s">
        <v>1275</v>
      </c>
      <c r="B106" s="282" t="str">
        <f t="array" ref="B106">IF($A106="","",IFERROR(INDEX('Licences &amp; Certificates'!$K$5:$K$73,MATCH($A106,'Licences &amp; Certificates'!$A$5:$A$73,0))&amp;"","Unknown ID"))</f>
        <v>EPA/CIL-CRC-001/R0626</v>
      </c>
      <c r="C106" s="282" t="str">
        <f t="array" ref="C106">IF($A106="","",IFERROR(INDEX('Licences &amp; Certificates'!$C$5:$C$73,MATCH($A106,'Licences &amp; Certificates'!$A$5:$A$73,0)),"Unknown ID"))</f>
        <v>Huiren Mining Inc.</v>
      </c>
      <c r="D106" s="282" t="s">
        <v>1532</v>
      </c>
      <c r="E106" s="282" t="s">
        <v>1533</v>
      </c>
      <c r="F106" s="282"/>
      <c r="G106" s="308"/>
      <c r="H106" s="282" t="s">
        <v>1225</v>
      </c>
      <c r="I106" s="282"/>
    </row>
    <row r="107" ht="14.25" customHeight="1">
      <c r="A107" s="282" t="s">
        <v>1275</v>
      </c>
      <c r="B107" s="282" t="str">
        <f t="array" ref="B107">IF($A107="","",IFERROR(INDEX('Licences &amp; Certificates'!$K$5:$K$73,MATCH($A107,'Licences &amp; Certificates'!$A$5:$A$73,0))&amp;"","Unknown ID"))</f>
        <v>EPA/CIL-CRC-001/R0626</v>
      </c>
      <c r="C107" s="282" t="str">
        <f t="array" ref="C107">IF($A107="","",IFERROR(INDEX('Licences &amp; Certificates'!$C$5:$C$73,MATCH($A107,'Licences &amp; Certificates'!$A$5:$A$73,0)),"Unknown ID"))</f>
        <v>Huiren Mining Inc.</v>
      </c>
      <c r="D107" s="282" t="s">
        <v>1534</v>
      </c>
      <c r="E107" s="282" t="s">
        <v>1322</v>
      </c>
      <c r="F107" s="282"/>
      <c r="G107" s="308">
        <v>3000.0</v>
      </c>
      <c r="H107" s="282" t="s">
        <v>1225</v>
      </c>
      <c r="I107" s="282"/>
    </row>
    <row r="108" ht="14.25" customHeight="1">
      <c r="A108" s="282" t="s">
        <v>1275</v>
      </c>
      <c r="B108" s="282" t="str">
        <f t="array" ref="B108">IF($A108="","",IFERROR(INDEX('Licences &amp; Certificates'!$K$5:$K$73,MATCH($A108,'Licences &amp; Certificates'!$A$5:$A$73,0))&amp;"","Unknown ID"))</f>
        <v>EPA/CIL-CRC-001/R0626</v>
      </c>
      <c r="C108" s="282" t="str">
        <f t="array" ref="C108">IF($A108="","",IFERROR(INDEX('Licences &amp; Certificates'!$C$5:$C$73,MATCH($A108,'Licences &amp; Certificates'!$A$5:$A$73,0)),"Unknown ID"))</f>
        <v>Huiren Mining Inc.</v>
      </c>
      <c r="D108" s="282" t="s">
        <v>1537</v>
      </c>
      <c r="E108" s="282" t="s">
        <v>1546</v>
      </c>
      <c r="F108" s="282"/>
      <c r="G108" s="308"/>
      <c r="H108" s="282" t="s">
        <v>1225</v>
      </c>
      <c r="I108" s="282"/>
    </row>
    <row r="109" ht="14.25" customHeight="1">
      <c r="A109" s="282" t="s">
        <v>1275</v>
      </c>
      <c r="B109" s="282" t="str">
        <f t="array" ref="B109">IF($A109="","",IFERROR(INDEX('Licences &amp; Certificates'!$K$5:$K$73,MATCH($A109,'Licences &amp; Certificates'!$A$5:$A$73,0))&amp;"","Unknown ID"))</f>
        <v>EPA/CIL-CRC-001/R0626</v>
      </c>
      <c r="C109" s="282" t="str">
        <f t="array" ref="C109">IF($A109="","",IFERROR(INDEX('Licences &amp; Certificates'!$C$5:$C$73,MATCH($A109,'Licences &amp; Certificates'!$A$5:$A$73,0)),"Unknown ID"))</f>
        <v>Huiren Mining Inc.</v>
      </c>
      <c r="D109" s="282" t="s">
        <v>1548</v>
      </c>
      <c r="E109" s="282" t="s">
        <v>1325</v>
      </c>
      <c r="F109" s="282"/>
      <c r="G109" s="308"/>
      <c r="H109" s="282" t="s">
        <v>1225</v>
      </c>
      <c r="I109" s="282"/>
    </row>
    <row r="110" ht="14.25" customHeight="1">
      <c r="A110" s="282" t="s">
        <v>1275</v>
      </c>
      <c r="B110" s="282" t="str">
        <f t="array" ref="B110">IF($A110="","",IFERROR(INDEX('Licences &amp; Certificates'!$K$5:$K$73,MATCH($A110,'Licences &amp; Certificates'!$A$5:$A$73,0))&amp;"","Unknown ID"))</f>
        <v>EPA/CIL-CRC-001/R0626</v>
      </c>
      <c r="C110" s="282" t="str">
        <f t="array" ref="C110">IF($A110="","",IFERROR(INDEX('Licences &amp; Certificates'!$C$5:$C$73,MATCH($A110,'Licences &amp; Certificates'!$A$5:$A$73,0)),"Unknown ID"))</f>
        <v>Huiren Mining Inc.</v>
      </c>
      <c r="D110" s="282" t="s">
        <v>1549</v>
      </c>
      <c r="E110" s="282" t="s">
        <v>1550</v>
      </c>
      <c r="F110" s="282"/>
      <c r="G110" s="308"/>
      <c r="H110" s="282" t="s">
        <v>1225</v>
      </c>
      <c r="I110" s="282"/>
    </row>
    <row r="111" ht="14.25" customHeight="1">
      <c r="A111" s="282" t="s">
        <v>1283</v>
      </c>
      <c r="B111" s="282" t="str">
        <f t="array" ref="B111">IF($A111="","",IFERROR(INDEX('Licences &amp; Certificates'!$K$5:$K$73,MATCH($A111,'Licences &amp; Certificates'!$A$5:$A$73,0))&amp;"","Unknown ID"))</f>
        <v>EPA/CIL-002MF/0126</v>
      </c>
      <c r="C111" s="282" t="str">
        <f t="array" ref="C111">IF($A111="","",IFERROR(INDEX('Licences &amp; Certificates'!$C$5:$C$73,MATCH($A111,'Licences &amp; Certificates'!$A$5:$A$73,0)),"Unknown ID"))</f>
        <v>LIPFOCO Mattress Factory</v>
      </c>
      <c r="D111" s="282" t="s">
        <v>1514</v>
      </c>
      <c r="E111" s="282" t="s">
        <v>1515</v>
      </c>
      <c r="F111" s="282"/>
      <c r="G111" s="308">
        <v>141855.0</v>
      </c>
      <c r="H111" s="282" t="s">
        <v>1225</v>
      </c>
      <c r="I111" s="282" t="s">
        <v>1366</v>
      </c>
    </row>
    <row r="112" ht="14.25" customHeight="1">
      <c r="A112" s="282" t="s">
        <v>1283</v>
      </c>
      <c r="B112" s="282" t="str">
        <f t="array" ref="B112">IF($A112="","",IFERROR(INDEX('Licences &amp; Certificates'!$K$5:$K$73,MATCH($A112,'Licences &amp; Certificates'!$A$5:$A$73,0))&amp;"","Unknown ID"))</f>
        <v>EPA/CIL-002MF/0126</v>
      </c>
      <c r="C112" s="282" t="str">
        <f t="array" ref="C112">IF($A112="","",IFERROR(INDEX('Licences &amp; Certificates'!$C$5:$C$73,MATCH($A112,'Licences &amp; Certificates'!$A$5:$A$73,0)),"Unknown ID"))</f>
        <v>LIPFOCO Mattress Factory</v>
      </c>
      <c r="D112" s="282" t="s">
        <v>1517</v>
      </c>
      <c r="E112" s="282" t="s">
        <v>1518</v>
      </c>
      <c r="F112" s="282"/>
      <c r="G112" s="308">
        <v>105750.0</v>
      </c>
      <c r="H112" s="282" t="s">
        <v>1225</v>
      </c>
      <c r="I112" s="282" t="s">
        <v>1366</v>
      </c>
    </row>
    <row r="113" ht="14.25" customHeight="1">
      <c r="A113" s="282" t="s">
        <v>1283</v>
      </c>
      <c r="B113" s="282" t="str">
        <f t="array" ref="B113">IF($A113="","",IFERROR(INDEX('Licences &amp; Certificates'!$K$5:$K$73,MATCH($A113,'Licences &amp; Certificates'!$A$5:$A$73,0))&amp;"","Unknown ID"))</f>
        <v>EPA/CIL-002MF/0126</v>
      </c>
      <c r="C113" s="282" t="str">
        <f t="array" ref="C113">IF($A113="","",IFERROR(INDEX('Licences &amp; Certificates'!$C$5:$C$73,MATCH($A113,'Licences &amp; Certificates'!$A$5:$A$73,0)),"Unknown ID"))</f>
        <v>LIPFOCO Mattress Factory</v>
      </c>
      <c r="D113" s="282" t="s">
        <v>1519</v>
      </c>
      <c r="E113" s="282" t="s">
        <v>1520</v>
      </c>
      <c r="F113" s="282"/>
      <c r="G113" s="308">
        <v>810.0</v>
      </c>
      <c r="H113" s="282" t="s">
        <v>1225</v>
      </c>
      <c r="I113" s="282" t="s">
        <v>1366</v>
      </c>
    </row>
    <row r="114" ht="14.25" customHeight="1">
      <c r="A114" s="282" t="s">
        <v>1283</v>
      </c>
      <c r="B114" s="282" t="str">
        <f t="array" ref="B114">IF($A114="","",IFERROR(INDEX('Licences &amp; Certificates'!$K$5:$K$73,MATCH($A114,'Licences &amp; Certificates'!$A$5:$A$73,0))&amp;"","Unknown ID"))</f>
        <v>EPA/CIL-002MF/0126</v>
      </c>
      <c r="C114" s="282" t="str">
        <f t="array" ref="C114">IF($A114="","",IFERROR(INDEX('Licences &amp; Certificates'!$C$5:$C$73,MATCH($A114,'Licences &amp; Certificates'!$A$5:$A$73,0)),"Unknown ID"))</f>
        <v>LIPFOCO Mattress Factory</v>
      </c>
      <c r="D114" s="282" t="s">
        <v>1521</v>
      </c>
      <c r="E114" s="282" t="s">
        <v>1522</v>
      </c>
      <c r="F114" s="282"/>
      <c r="G114" s="308">
        <v>26730.0</v>
      </c>
      <c r="H114" s="282" t="s">
        <v>1225</v>
      </c>
      <c r="I114" s="282" t="s">
        <v>1366</v>
      </c>
    </row>
    <row r="115" ht="14.25" customHeight="1">
      <c r="A115" s="282" t="s">
        <v>1283</v>
      </c>
      <c r="B115" s="282" t="str">
        <f t="array" ref="B115">IF($A115="","",IFERROR(INDEX('Licences &amp; Certificates'!$K$5:$K$73,MATCH($A115,'Licences &amp; Certificates'!$A$5:$A$73,0))&amp;"","Unknown ID"))</f>
        <v>EPA/CIL-002MF/0126</v>
      </c>
      <c r="C115" s="282" t="str">
        <f t="array" ref="C115">IF($A115="","",IFERROR(INDEX('Licences &amp; Certificates'!$C$5:$C$73,MATCH($A115,'Licences &amp; Certificates'!$A$5:$A$73,0)),"Unknown ID"))</f>
        <v>LIPFOCO Mattress Factory</v>
      </c>
      <c r="D115" s="282" t="s">
        <v>1313</v>
      </c>
      <c r="E115" s="282" t="s">
        <v>1524</v>
      </c>
      <c r="F115" s="282"/>
      <c r="G115" s="308">
        <v>8650.0</v>
      </c>
      <c r="H115" s="282" t="s">
        <v>1225</v>
      </c>
      <c r="I115" s="282" t="s">
        <v>1366</v>
      </c>
    </row>
    <row r="116" ht="14.25" customHeight="1">
      <c r="A116" s="282" t="s">
        <v>1283</v>
      </c>
      <c r="B116" s="282" t="str">
        <f t="array" ref="B116">IF($A116="","",IFERROR(INDEX('Licences &amp; Certificates'!$K$5:$K$73,MATCH($A116,'Licences &amp; Certificates'!$A$5:$A$73,0))&amp;"","Unknown ID"))</f>
        <v>EPA/CIL-002MF/0126</v>
      </c>
      <c r="C116" s="282" t="str">
        <f t="array" ref="C116">IF($A116="","",IFERROR(INDEX('Licences &amp; Certificates'!$C$5:$C$73,MATCH($A116,'Licences &amp; Certificates'!$A$5:$A$73,0)),"Unknown ID"))</f>
        <v>LIPFOCO Mattress Factory</v>
      </c>
      <c r="D116" s="282" t="s">
        <v>1313</v>
      </c>
      <c r="E116" s="282" t="s">
        <v>1525</v>
      </c>
      <c r="F116" s="282"/>
      <c r="G116" s="308">
        <v>10513.0</v>
      </c>
      <c r="H116" s="282" t="s">
        <v>1225</v>
      </c>
      <c r="I116" s="282" t="s">
        <v>1366</v>
      </c>
    </row>
    <row r="117" ht="14.25" customHeight="1">
      <c r="A117" s="282" t="s">
        <v>1283</v>
      </c>
      <c r="B117" s="282" t="str">
        <f t="array" ref="B117">IF($A117="","",IFERROR(INDEX('Licences &amp; Certificates'!$K$5:$K$73,MATCH($A117,'Licences &amp; Certificates'!$A$5:$A$73,0))&amp;"","Unknown ID"))</f>
        <v>EPA/CIL-002MF/0126</v>
      </c>
      <c r="C117" s="282" t="str">
        <f t="array" ref="C117">IF($A117="","",IFERROR(INDEX('Licences &amp; Certificates'!$C$5:$C$73,MATCH($A117,'Licences &amp; Certificates'!$A$5:$A$73,0)),"Unknown ID"))</f>
        <v>LIPFOCO Mattress Factory</v>
      </c>
      <c r="D117" s="282" t="s">
        <v>1313</v>
      </c>
      <c r="E117" s="282" t="s">
        <v>1526</v>
      </c>
      <c r="F117" s="282"/>
      <c r="G117" s="308">
        <v>850.0</v>
      </c>
      <c r="H117" s="282" t="s">
        <v>1225</v>
      </c>
      <c r="I117" s="282" t="s">
        <v>1366</v>
      </c>
    </row>
    <row r="118" ht="14.25" customHeight="1">
      <c r="A118" s="282" t="s">
        <v>1283</v>
      </c>
      <c r="B118" s="282" t="str">
        <f t="array" ref="B118">IF($A118="","",IFERROR(INDEX('Licences &amp; Certificates'!$K$5:$K$73,MATCH($A118,'Licences &amp; Certificates'!$A$5:$A$73,0))&amp;"","Unknown ID"))</f>
        <v>EPA/CIL-002MF/0126</v>
      </c>
      <c r="C118" s="282" t="str">
        <f t="array" ref="C118">IF($A118="","",IFERROR(INDEX('Licences &amp; Certificates'!$C$5:$C$73,MATCH($A118,'Licences &amp; Certificates'!$A$5:$A$73,0)),"Unknown ID"))</f>
        <v>LIPFOCO Mattress Factory</v>
      </c>
      <c r="D118" s="282" t="s">
        <v>1313</v>
      </c>
      <c r="E118" s="282" t="s">
        <v>1527</v>
      </c>
      <c r="F118" s="282"/>
      <c r="G118" s="308"/>
      <c r="H118" s="282" t="s">
        <v>1225</v>
      </c>
      <c r="I118" s="282" t="s">
        <v>1366</v>
      </c>
    </row>
    <row r="119" ht="14.25" customHeight="1">
      <c r="A119" s="282" t="s">
        <v>1283</v>
      </c>
      <c r="B119" s="282" t="str">
        <f t="array" ref="B119">IF($A119="","",IFERROR(INDEX('Licences &amp; Certificates'!$K$5:$K$73,MATCH($A119,'Licences &amp; Certificates'!$A$5:$A$73,0))&amp;"","Unknown ID"))</f>
        <v>EPA/CIL-002MF/0126</v>
      </c>
      <c r="C119" s="282" t="str">
        <f t="array" ref="C119">IF($A119="","",IFERROR(INDEX('Licences &amp; Certificates'!$C$5:$C$73,MATCH($A119,'Licences &amp; Certificates'!$A$5:$A$73,0)),"Unknown ID"))</f>
        <v>LIPFOCO Mattress Factory</v>
      </c>
      <c r="D119" s="282" t="s">
        <v>1313</v>
      </c>
      <c r="E119" s="282" t="s">
        <v>1528</v>
      </c>
      <c r="F119" s="282"/>
      <c r="G119" s="308"/>
      <c r="H119" s="282" t="s">
        <v>1225</v>
      </c>
      <c r="I119" s="282" t="s">
        <v>1366</v>
      </c>
    </row>
    <row r="120" ht="14.25" customHeight="1">
      <c r="A120" s="282" t="s">
        <v>1283</v>
      </c>
      <c r="B120" s="282" t="str">
        <f t="array" ref="B120">IF($A120="","",IFERROR(INDEX('Licences &amp; Certificates'!$K$5:$K$73,MATCH($A120,'Licences &amp; Certificates'!$A$5:$A$73,0))&amp;"","Unknown ID"))</f>
        <v>EPA/CIL-002MF/0126</v>
      </c>
      <c r="C120" s="282" t="str">
        <f t="array" ref="C120">IF($A120="","",IFERROR(INDEX('Licences &amp; Certificates'!$C$5:$C$73,MATCH($A120,'Licences &amp; Certificates'!$A$5:$A$73,0)),"Unknown ID"))</f>
        <v>LIPFOCO Mattress Factory</v>
      </c>
      <c r="D120" s="282" t="s">
        <v>1529</v>
      </c>
      <c r="E120" s="282" t="s">
        <v>1530</v>
      </c>
      <c r="F120" s="282"/>
      <c r="G120" s="308">
        <v>25.02</v>
      </c>
      <c r="H120" s="282" t="s">
        <v>1225</v>
      </c>
      <c r="I120" s="282" t="s">
        <v>1366</v>
      </c>
    </row>
    <row r="121" ht="14.25" customHeight="1">
      <c r="A121" s="282" t="s">
        <v>1283</v>
      </c>
      <c r="B121" s="282" t="str">
        <f t="array" ref="B121">IF($A121="","",IFERROR(INDEX('Licences &amp; Certificates'!$K$5:$K$73,MATCH($A121,'Licences &amp; Certificates'!$A$5:$A$73,0))&amp;"","Unknown ID"))</f>
        <v>EPA/CIL-002MF/0126</v>
      </c>
      <c r="C121" s="282" t="str">
        <f t="array" ref="C121">IF($A121="","",IFERROR(INDEX('Licences &amp; Certificates'!$C$5:$C$73,MATCH($A121,'Licences &amp; Certificates'!$A$5:$A$73,0)),"Unknown ID"))</f>
        <v>LIPFOCO Mattress Factory</v>
      </c>
      <c r="D121" s="282" t="s">
        <v>1558</v>
      </c>
      <c r="E121" s="282" t="s">
        <v>1531</v>
      </c>
      <c r="F121" s="282"/>
      <c r="G121" s="308">
        <v>418.0</v>
      </c>
      <c r="H121" s="282" t="s">
        <v>1225</v>
      </c>
      <c r="I121" s="282" t="s">
        <v>1366</v>
      </c>
    </row>
    <row r="122" ht="14.25" customHeight="1">
      <c r="A122" s="282" t="s">
        <v>1128</v>
      </c>
      <c r="B122" s="282" t="str">
        <f t="array" ref="B122">IF($A122="","",IFERROR(INDEX('Licences &amp; Certificates'!$K$5:$K$73,MATCH($A122,'Licences &amp; Certificates'!$A$5:$A$73,0))&amp;"","Unknown ID"))</f>
        <v>EPA/CIL-AC-0028/0126</v>
      </c>
      <c r="C122" s="282" t="str">
        <f t="array" ref="C122">IF($A122="","",IFERROR(INDEX('Licences &amp; Certificates'!$C$5:$C$73,MATCH($A122,'Licences &amp; Certificates'!$A$5:$A$73,0)),"Unknown ID"))</f>
        <v>Optimum Solution Liberia</v>
      </c>
      <c r="D122" s="282" t="s">
        <v>1559</v>
      </c>
      <c r="E122" s="282" t="s">
        <v>1560</v>
      </c>
      <c r="F122" s="282"/>
      <c r="G122" s="308">
        <v>60.0</v>
      </c>
      <c r="H122" s="282" t="s">
        <v>1561</v>
      </c>
      <c r="I122" s="282" t="s">
        <v>1366</v>
      </c>
    </row>
    <row r="123" ht="14.25" customHeight="1">
      <c r="A123" s="282" t="s">
        <v>1128</v>
      </c>
      <c r="B123" s="282" t="str">
        <f t="array" ref="B123">IF($A123="","",IFERROR(INDEX('Licences &amp; Certificates'!$K$5:$K$73,MATCH($A123,'Licences &amp; Certificates'!$A$5:$A$73,0))&amp;"","Unknown ID"))</f>
        <v>EPA/CIL-AC-0028/0126</v>
      </c>
      <c r="C123" s="282" t="str">
        <f t="array" ref="C123">IF($A123="","",IFERROR(INDEX('Licences &amp; Certificates'!$C$5:$C$73,MATCH($A123,'Licences &amp; Certificates'!$A$5:$A$73,0)),"Unknown ID"))</f>
        <v>Optimum Solution Liberia</v>
      </c>
      <c r="D123" s="282" t="s">
        <v>1563</v>
      </c>
      <c r="E123" s="282" t="s">
        <v>1564</v>
      </c>
      <c r="F123" s="282"/>
      <c r="G123" s="308">
        <v>60.0</v>
      </c>
      <c r="H123" s="282" t="s">
        <v>1561</v>
      </c>
      <c r="I123" s="282" t="s">
        <v>1366</v>
      </c>
    </row>
    <row r="124" ht="14.25" customHeight="1">
      <c r="A124" s="282" t="s">
        <v>1128</v>
      </c>
      <c r="B124" s="282" t="str">
        <f t="array" ref="B124">IF($A124="","",IFERROR(INDEX('Licences &amp; Certificates'!$K$5:$K$73,MATCH($A124,'Licences &amp; Certificates'!$A$5:$A$73,0))&amp;"","Unknown ID"))</f>
        <v>EPA/CIL-AC-0028/0126</v>
      </c>
      <c r="C124" s="282" t="str">
        <f t="array" ref="C124">IF($A124="","",IFERROR(INDEX('Licences &amp; Certificates'!$C$5:$C$73,MATCH($A124,'Licences &amp; Certificates'!$A$5:$A$73,0)),"Unknown ID"))</f>
        <v>Optimum Solution Liberia</v>
      </c>
      <c r="D124" s="282" t="s">
        <v>1569</v>
      </c>
      <c r="E124" s="282" t="s">
        <v>1570</v>
      </c>
      <c r="F124" s="282"/>
      <c r="G124" s="308">
        <v>60.0</v>
      </c>
      <c r="H124" s="282" t="s">
        <v>1561</v>
      </c>
      <c r="I124" s="282" t="s">
        <v>1366</v>
      </c>
    </row>
    <row r="125" ht="14.25" customHeight="1">
      <c r="A125" s="282" t="s">
        <v>1128</v>
      </c>
      <c r="B125" s="282" t="str">
        <f t="array" ref="B125">IF($A125="","",IFERROR(INDEX('Licences &amp; Certificates'!$K$5:$K$73,MATCH($A125,'Licences &amp; Certificates'!$A$5:$A$73,0))&amp;"","Unknown ID"))</f>
        <v>EPA/CIL-AC-0028/0126</v>
      </c>
      <c r="C125" s="282" t="str">
        <f t="array" ref="C125">IF($A125="","",IFERROR(INDEX('Licences &amp; Certificates'!$C$5:$C$73,MATCH($A125,'Licences &amp; Certificates'!$A$5:$A$73,0)),"Unknown ID"))</f>
        <v>Optimum Solution Liberia</v>
      </c>
      <c r="D125" s="282" t="s">
        <v>1577</v>
      </c>
      <c r="E125" s="282" t="s">
        <v>1578</v>
      </c>
      <c r="F125" s="282"/>
      <c r="G125" s="308">
        <v>40.0</v>
      </c>
      <c r="H125" s="282" t="s">
        <v>1561</v>
      </c>
      <c r="I125" s="282" t="s">
        <v>1366</v>
      </c>
    </row>
    <row r="126" ht="14.25" customHeight="1">
      <c r="A126" s="282" t="s">
        <v>1128</v>
      </c>
      <c r="B126" s="282" t="str">
        <f t="array" ref="B126">IF($A126="","",IFERROR(INDEX('Licences &amp; Certificates'!$K$5:$K$73,MATCH($A126,'Licences &amp; Certificates'!$A$5:$A$73,0))&amp;"","Unknown ID"))</f>
        <v>EPA/CIL-AC-0028/0126</v>
      </c>
      <c r="C126" s="282" t="str">
        <f t="array" ref="C126">IF($A126="","",IFERROR(INDEX('Licences &amp; Certificates'!$C$5:$C$73,MATCH($A126,'Licences &amp; Certificates'!$A$5:$A$73,0)),"Unknown ID"))</f>
        <v>Optimum Solution Liberia</v>
      </c>
      <c r="D126" s="282" t="s">
        <v>1313</v>
      </c>
      <c r="E126" s="282" t="s">
        <v>1592</v>
      </c>
      <c r="F126" s="282"/>
      <c r="G126" s="308">
        <v>60.0</v>
      </c>
      <c r="H126" s="282" t="s">
        <v>1561</v>
      </c>
      <c r="I126" s="282" t="s">
        <v>1366</v>
      </c>
    </row>
    <row r="127" ht="14.25" customHeight="1">
      <c r="A127" s="282" t="s">
        <v>1128</v>
      </c>
      <c r="B127" s="282" t="str">
        <f t="array" ref="B127">IF($A127="","",IFERROR(INDEX('Licences &amp; Certificates'!$K$5:$K$73,MATCH($A127,'Licences &amp; Certificates'!$A$5:$A$73,0))&amp;"","Unknown ID"))</f>
        <v>EPA/CIL-AC-0028/0126</v>
      </c>
      <c r="C127" s="282" t="str">
        <f t="array" ref="C127">IF($A127="","",IFERROR(INDEX('Licences &amp; Certificates'!$C$5:$C$73,MATCH($A127,'Licences &amp; Certificates'!$A$5:$A$73,0)),"Unknown ID"))</f>
        <v>Optimum Solution Liberia</v>
      </c>
      <c r="D127" s="282" t="s">
        <v>1599</v>
      </c>
      <c r="E127" s="282" t="s">
        <v>1600</v>
      </c>
      <c r="F127" s="282"/>
      <c r="G127" s="308">
        <v>60.0</v>
      </c>
      <c r="H127" s="282" t="s">
        <v>1561</v>
      </c>
      <c r="I127" s="282" t="s">
        <v>1366</v>
      </c>
    </row>
    <row r="128" ht="14.25" customHeight="1">
      <c r="A128" s="282" t="s">
        <v>1128</v>
      </c>
      <c r="B128" s="282" t="str">
        <f t="array" ref="B128">IF($A128="","",IFERROR(INDEX('Licences &amp; Certificates'!$K$5:$K$73,MATCH($A128,'Licences &amp; Certificates'!$A$5:$A$73,0))&amp;"","Unknown ID"))</f>
        <v>EPA/CIL-AC-0028/0126</v>
      </c>
      <c r="C128" s="282" t="str">
        <f t="array" ref="C128">IF($A128="","",IFERROR(INDEX('Licences &amp; Certificates'!$C$5:$C$73,MATCH($A128,'Licences &amp; Certificates'!$A$5:$A$73,0)),"Unknown ID"))</f>
        <v>Optimum Solution Liberia</v>
      </c>
      <c r="D128" s="282" t="s">
        <v>1313</v>
      </c>
      <c r="E128" s="282" t="s">
        <v>1608</v>
      </c>
      <c r="F128" s="282"/>
      <c r="G128" s="308">
        <v>30.0</v>
      </c>
      <c r="H128" s="282" t="s">
        <v>1561</v>
      </c>
      <c r="I128" s="282" t="s">
        <v>1366</v>
      </c>
    </row>
    <row r="129" ht="14.25" customHeight="1">
      <c r="A129" s="282" t="s">
        <v>1128</v>
      </c>
      <c r="B129" s="282" t="str">
        <f t="array" ref="B129">IF($A129="","",IFERROR(INDEX('Licences &amp; Certificates'!$K$5:$K$73,MATCH($A129,'Licences &amp; Certificates'!$A$5:$A$73,0))&amp;"","Unknown ID"))</f>
        <v>EPA/CIL-AC-0028/0126</v>
      </c>
      <c r="C129" s="282" t="str">
        <f t="array" ref="C129">IF($A129="","",IFERROR(INDEX('Licences &amp; Certificates'!$C$5:$C$73,MATCH($A129,'Licences &amp; Certificates'!$A$5:$A$73,0)),"Unknown ID"))</f>
        <v>Optimum Solution Liberia</v>
      </c>
      <c r="D129" s="282" t="s">
        <v>1613</v>
      </c>
      <c r="E129" s="282" t="s">
        <v>1614</v>
      </c>
      <c r="F129" s="282"/>
      <c r="G129" s="308">
        <v>30.0</v>
      </c>
      <c r="H129" s="282" t="s">
        <v>1561</v>
      </c>
      <c r="I129" s="282" t="s">
        <v>1366</v>
      </c>
    </row>
    <row r="130" ht="14.25" customHeight="1">
      <c r="A130" s="282" t="s">
        <v>1128</v>
      </c>
      <c r="B130" s="282" t="str">
        <f t="array" ref="B130">IF($A130="","",IFERROR(INDEX('Licences &amp; Certificates'!$K$5:$K$73,MATCH($A130,'Licences &amp; Certificates'!$A$5:$A$73,0))&amp;"","Unknown ID"))</f>
        <v>EPA/CIL-AC-0028/0126</v>
      </c>
      <c r="C130" s="282" t="str">
        <f t="array" ref="C130">IF($A130="","",IFERROR(INDEX('Licences &amp; Certificates'!$C$5:$C$73,MATCH($A130,'Licences &amp; Certificates'!$A$5:$A$73,0)),"Unknown ID"))</f>
        <v>Optimum Solution Liberia</v>
      </c>
      <c r="D130" s="282" t="s">
        <v>1313</v>
      </c>
      <c r="E130" s="282" t="s">
        <v>1624</v>
      </c>
      <c r="F130" s="282"/>
      <c r="G130" s="308">
        <v>60.0</v>
      </c>
      <c r="H130" s="282" t="s">
        <v>1561</v>
      </c>
      <c r="I130" s="282" t="s">
        <v>1366</v>
      </c>
    </row>
    <row r="131" ht="14.25" customHeight="1">
      <c r="A131" s="282" t="s">
        <v>1128</v>
      </c>
      <c r="B131" s="282" t="str">
        <f t="array" ref="B131">IF($A131="","",IFERROR(INDEX('Licences &amp; Certificates'!$K$5:$K$73,MATCH($A131,'Licences &amp; Certificates'!$A$5:$A$73,0))&amp;"","Unknown ID"))</f>
        <v>EPA/CIL-AC-0028/0126</v>
      </c>
      <c r="C131" s="282" t="str">
        <f t="array" ref="C131">IF($A131="","",IFERROR(INDEX('Licences &amp; Certificates'!$C$5:$C$73,MATCH($A131,'Licences &amp; Certificates'!$A$5:$A$73,0)),"Unknown ID"))</f>
        <v>Optimum Solution Liberia</v>
      </c>
      <c r="D131" s="282" t="s">
        <v>1313</v>
      </c>
      <c r="E131" s="282" t="s">
        <v>1632</v>
      </c>
      <c r="F131" s="282"/>
      <c r="G131" s="308">
        <v>60.0</v>
      </c>
      <c r="H131" s="282" t="s">
        <v>1561</v>
      </c>
      <c r="I131" s="282" t="s">
        <v>1366</v>
      </c>
    </row>
    <row r="132" ht="14.25" customHeight="1">
      <c r="A132" s="282" t="s">
        <v>1128</v>
      </c>
      <c r="B132" s="282" t="str">
        <f t="array" ref="B132">IF($A132="","",IFERROR(INDEX('Licences &amp; Certificates'!$K$5:$K$73,MATCH($A132,'Licences &amp; Certificates'!$A$5:$A$73,0))&amp;"","Unknown ID"))</f>
        <v>EPA/CIL-AC-0028/0126</v>
      </c>
      <c r="C132" s="282" t="str">
        <f t="array" ref="C132">IF($A132="","",IFERROR(INDEX('Licences &amp; Certificates'!$C$5:$C$73,MATCH($A132,'Licences &amp; Certificates'!$A$5:$A$73,0)),"Unknown ID"))</f>
        <v>Optimum Solution Liberia</v>
      </c>
      <c r="D132" s="282" t="s">
        <v>1313</v>
      </c>
      <c r="E132" s="282" t="s">
        <v>1642</v>
      </c>
      <c r="F132" s="282"/>
      <c r="G132" s="308">
        <v>60.0</v>
      </c>
      <c r="H132" s="282" t="s">
        <v>1561</v>
      </c>
      <c r="I132" s="282" t="s">
        <v>1366</v>
      </c>
    </row>
    <row r="133" ht="14.25" customHeight="1">
      <c r="A133" s="282" t="s">
        <v>1128</v>
      </c>
      <c r="B133" s="282" t="str">
        <f t="array" ref="B133">IF($A133="","",IFERROR(INDEX('Licences &amp; Certificates'!$K$5:$K$73,MATCH($A133,'Licences &amp; Certificates'!$A$5:$A$73,0))&amp;"","Unknown ID"))</f>
        <v>EPA/CIL-AC-0028/0126</v>
      </c>
      <c r="C133" s="282" t="str">
        <f t="array" ref="C133">IF($A133="","",IFERROR(INDEX('Licences &amp; Certificates'!$C$5:$C$73,MATCH($A133,'Licences &amp; Certificates'!$A$5:$A$73,0)),"Unknown ID"))</f>
        <v>Optimum Solution Liberia</v>
      </c>
      <c r="D133" s="282" t="s">
        <v>1650</v>
      </c>
      <c r="E133" s="282" t="s">
        <v>1651</v>
      </c>
      <c r="F133" s="282"/>
      <c r="G133" s="308">
        <v>60.0</v>
      </c>
      <c r="H133" s="282" t="s">
        <v>1561</v>
      </c>
      <c r="I133" s="282" t="s">
        <v>1366</v>
      </c>
    </row>
    <row r="134" ht="14.25" customHeight="1">
      <c r="A134" s="282" t="s">
        <v>1128</v>
      </c>
      <c r="B134" s="282" t="str">
        <f t="array" ref="B134">IF($A134="","",IFERROR(INDEX('Licences &amp; Certificates'!$K$5:$K$73,MATCH($A134,'Licences &amp; Certificates'!$A$5:$A$73,0))&amp;"","Unknown ID"))</f>
        <v>EPA/CIL-AC-0028/0126</v>
      </c>
      <c r="C134" s="282" t="str">
        <f t="array" ref="C134">IF($A134="","",IFERROR(INDEX('Licences &amp; Certificates'!$C$5:$C$73,MATCH($A134,'Licences &amp; Certificates'!$A$5:$A$73,0)),"Unknown ID"))</f>
        <v>Optimum Solution Liberia</v>
      </c>
      <c r="D134" s="282" t="s">
        <v>1313</v>
      </c>
      <c r="E134" s="282" t="s">
        <v>1657</v>
      </c>
      <c r="F134" s="282"/>
      <c r="G134" s="308">
        <v>60.0</v>
      </c>
      <c r="H134" s="282" t="s">
        <v>1561</v>
      </c>
      <c r="I134" s="282" t="s">
        <v>1366</v>
      </c>
    </row>
    <row r="135" ht="14.25" customHeight="1">
      <c r="A135" s="282" t="s">
        <v>1128</v>
      </c>
      <c r="B135" s="282" t="str">
        <f t="array" ref="B135">IF($A135="","",IFERROR(INDEX('Licences &amp; Certificates'!$K$5:$K$73,MATCH($A135,'Licences &amp; Certificates'!$A$5:$A$73,0))&amp;"","Unknown ID"))</f>
        <v>EPA/CIL-AC-0028/0126</v>
      </c>
      <c r="C135" s="282" t="str">
        <f t="array" ref="C135">IF($A135="","",IFERROR(INDEX('Licences &amp; Certificates'!$C$5:$C$73,MATCH($A135,'Licences &amp; Certificates'!$A$5:$A$73,0)),"Unknown ID"))</f>
        <v>Optimum Solution Liberia</v>
      </c>
      <c r="D135" s="282" t="s">
        <v>1313</v>
      </c>
      <c r="E135" s="282" t="s">
        <v>1665</v>
      </c>
      <c r="F135" s="282"/>
      <c r="G135" s="308">
        <v>50.0</v>
      </c>
      <c r="H135" s="282" t="s">
        <v>1561</v>
      </c>
      <c r="I135" s="282" t="s">
        <v>1366</v>
      </c>
    </row>
    <row r="136" ht="14.25" customHeight="1">
      <c r="A136" s="282" t="s">
        <v>1128</v>
      </c>
      <c r="B136" s="282" t="str">
        <f t="array" ref="B136">IF($A136="","",IFERROR(INDEX('Licences &amp; Certificates'!$K$5:$K$73,MATCH($A136,'Licences &amp; Certificates'!$A$5:$A$73,0))&amp;"","Unknown ID"))</f>
        <v>EPA/CIL-AC-0028/0126</v>
      </c>
      <c r="C136" s="282" t="str">
        <f t="array" ref="C136">IF($A136="","",IFERROR(INDEX('Licences &amp; Certificates'!$C$5:$C$73,MATCH($A136,'Licences &amp; Certificates'!$A$5:$A$73,0)),"Unknown ID"))</f>
        <v>Optimum Solution Liberia</v>
      </c>
      <c r="D136" s="282" t="s">
        <v>1670</v>
      </c>
      <c r="E136" s="282" t="s">
        <v>1671</v>
      </c>
      <c r="F136" s="282"/>
      <c r="G136" s="308">
        <v>30.0</v>
      </c>
      <c r="H136" s="282" t="s">
        <v>1561</v>
      </c>
      <c r="I136" s="282" t="s">
        <v>1366</v>
      </c>
    </row>
    <row r="137" ht="14.25" customHeight="1">
      <c r="A137" s="282" t="s">
        <v>1288</v>
      </c>
      <c r="B137" s="282" t="str">
        <f t="array" ref="B137">IF($A137="","",IFERROR(INDEX('Licences &amp; Certificates'!$K$5:$K$73,MATCH($A137,'Licences &amp; Certificates'!$A$5:$A$73,0))&amp;"","Unknown ID"))</f>
        <v>EPA/CIL-AC-0029/R0626</v>
      </c>
      <c r="C137" s="282" t="str">
        <f t="array" ref="C137">IF($A137="","",IFERROR(INDEX('Licences &amp; Certificates'!$C$5:$C$73,MATCH($A137,'Licences &amp; Certificates'!$A$5:$A$73,0)),"Unknown ID"))</f>
        <v>Mira Gas &amp; Gas</v>
      </c>
      <c r="D137" s="282" t="s">
        <v>1677</v>
      </c>
      <c r="E137" s="282" t="s">
        <v>1533</v>
      </c>
      <c r="F137" s="282"/>
      <c r="G137" s="308">
        <v>350.0</v>
      </c>
      <c r="H137" s="282" t="s">
        <v>1679</v>
      </c>
      <c r="I137" s="282"/>
    </row>
    <row r="138" ht="14.25" customHeight="1">
      <c r="A138" s="282" t="s">
        <v>1293</v>
      </c>
      <c r="B138" s="282" t="str">
        <f t="array" ref="B138">IF($A138="","",IFERROR(INDEX('Licences &amp; Certificates'!$K$5:$K$73,MATCH($A138,'Licences &amp; Certificates'!$A$5:$A$73,0))&amp;"","Unknown ID"))</f>
        <v>EPA/CIL-0030/0426</v>
      </c>
      <c r="C138" s="282" t="str">
        <f t="array" ref="C138">IF($A138="","",IFERROR(INDEX('Licences &amp; Certificates'!$C$5:$C$73,MATCH($A138,'Licences &amp; Certificates'!$A$5:$A$73,0)),"Unknown ID"))</f>
        <v>Packaging and Laboratory Equipment Supply (PALES)</v>
      </c>
      <c r="D138" s="282" t="s">
        <v>1685</v>
      </c>
      <c r="E138" s="282" t="s">
        <v>1686</v>
      </c>
      <c r="F138" s="282"/>
      <c r="G138" s="308"/>
      <c r="H138" s="282"/>
      <c r="I138" s="282"/>
    </row>
    <row r="139" ht="14.25" customHeight="1">
      <c r="A139" s="282" t="s">
        <v>1293</v>
      </c>
      <c r="B139" s="282" t="str">
        <f t="array" ref="B139">IF($A139="","",IFERROR(INDEX('Licences &amp; Certificates'!$K$5:$K$73,MATCH($A139,'Licences &amp; Certificates'!$A$5:$A$73,0))&amp;"","Unknown ID"))</f>
        <v>EPA/CIL-0030/0426</v>
      </c>
      <c r="C139" s="282" t="str">
        <f t="array" ref="C139">IF($A139="","",IFERROR(INDEX('Licences &amp; Certificates'!$C$5:$C$73,MATCH($A139,'Licences &amp; Certificates'!$A$5:$A$73,0)),"Unknown ID"))</f>
        <v>Packaging and Laboratory Equipment Supply (PALES)</v>
      </c>
      <c r="D139" s="282" t="s">
        <v>1693</v>
      </c>
      <c r="E139" s="282" t="s">
        <v>1694</v>
      </c>
      <c r="F139" s="282"/>
      <c r="G139" s="308"/>
      <c r="H139" s="282"/>
      <c r="I139" s="282"/>
    </row>
    <row r="140" ht="14.25" customHeight="1">
      <c r="A140" s="282" t="s">
        <v>1293</v>
      </c>
      <c r="B140" s="282" t="str">
        <f t="array" ref="B140">IF($A140="","",IFERROR(INDEX('Licences &amp; Certificates'!$K$5:$K$73,MATCH($A140,'Licences &amp; Certificates'!$A$5:$A$73,0))&amp;"","Unknown ID"))</f>
        <v>EPA/CIL-0030/0426</v>
      </c>
      <c r="C140" s="282" t="str">
        <f t="array" ref="C140">IF($A140="","",IFERROR(INDEX('Licences &amp; Certificates'!$C$5:$C$73,MATCH($A140,'Licences &amp; Certificates'!$A$5:$A$73,0)),"Unknown ID"))</f>
        <v>Packaging and Laboratory Equipment Supply (PALES)</v>
      </c>
      <c r="D140" s="282" t="s">
        <v>1699</v>
      </c>
      <c r="E140" s="282" t="s">
        <v>1700</v>
      </c>
      <c r="F140" s="282"/>
      <c r="G140" s="308"/>
      <c r="H140" s="282"/>
      <c r="I140" s="282"/>
    </row>
    <row r="141" ht="14.25" customHeight="1">
      <c r="A141" s="282" t="s">
        <v>1293</v>
      </c>
      <c r="B141" s="282" t="str">
        <f t="array" ref="B141">IF($A141="","",IFERROR(INDEX('Licences &amp; Certificates'!$K$5:$K$73,MATCH($A141,'Licences &amp; Certificates'!$A$5:$A$73,0))&amp;"","Unknown ID"))</f>
        <v>EPA/CIL-0030/0426</v>
      </c>
      <c r="C141" s="282" t="str">
        <f t="array" ref="C141">IF($A141="","",IFERROR(INDEX('Licences &amp; Certificates'!$C$5:$C$73,MATCH($A141,'Licences &amp; Certificates'!$A$5:$A$73,0)),"Unknown ID"))</f>
        <v>Packaging and Laboratory Equipment Supply (PALES)</v>
      </c>
      <c r="D141" s="282" t="s">
        <v>1707</v>
      </c>
      <c r="E141" s="282" t="s">
        <v>1708</v>
      </c>
      <c r="F141" s="282"/>
      <c r="G141" s="308"/>
      <c r="H141" s="282"/>
      <c r="I141" s="282"/>
    </row>
    <row r="142" ht="14.25" customHeight="1">
      <c r="A142" s="282" t="s">
        <v>1293</v>
      </c>
      <c r="B142" s="282" t="str">
        <f t="array" ref="B142">IF($A142="","",IFERROR(INDEX('Licences &amp; Certificates'!$K$5:$K$73,MATCH($A142,'Licences &amp; Certificates'!$A$5:$A$73,0))&amp;"","Unknown ID"))</f>
        <v>EPA/CIL-0030/0426</v>
      </c>
      <c r="C142" s="282" t="str">
        <f t="array" ref="C142">IF($A142="","",IFERROR(INDEX('Licences &amp; Certificates'!$C$5:$C$73,MATCH($A142,'Licences &amp; Certificates'!$A$5:$A$73,0)),"Unknown ID"))</f>
        <v>Packaging and Laboratory Equipment Supply (PALES)</v>
      </c>
      <c r="D142" s="282" t="s">
        <v>1713</v>
      </c>
      <c r="E142" s="282" t="s">
        <v>1715</v>
      </c>
      <c r="F142" s="282"/>
      <c r="G142" s="308">
        <v>32.0</v>
      </c>
      <c r="H142" s="282"/>
      <c r="I142" s="282"/>
    </row>
    <row r="143" ht="14.25" customHeight="1">
      <c r="A143" s="282" t="s">
        <v>1293</v>
      </c>
      <c r="B143" s="282" t="str">
        <f t="array" ref="B143">IF($A143="","",IFERROR(INDEX('Licences &amp; Certificates'!$K$5:$K$73,MATCH($A143,'Licences &amp; Certificates'!$A$5:$A$73,0))&amp;"","Unknown ID"))</f>
        <v>EPA/CIL-0030/0426</v>
      </c>
      <c r="C143" s="282" t="str">
        <f t="array" ref="C143">IF($A143="","",IFERROR(INDEX('Licences &amp; Certificates'!$C$5:$C$73,MATCH($A143,'Licences &amp; Certificates'!$A$5:$A$73,0)),"Unknown ID"))</f>
        <v>Packaging and Laboratory Equipment Supply (PALES)</v>
      </c>
      <c r="D143" s="282" t="s">
        <v>1721</v>
      </c>
      <c r="E143" s="282" t="s">
        <v>1723</v>
      </c>
      <c r="F143" s="282"/>
      <c r="G143" s="308"/>
      <c r="H143" s="282"/>
      <c r="I143" s="282"/>
    </row>
    <row r="144" ht="14.25" customHeight="1">
      <c r="A144" s="282" t="s">
        <v>1293</v>
      </c>
      <c r="B144" s="282" t="str">
        <f t="array" ref="B144">IF($A144="","",IFERROR(INDEX('Licences &amp; Certificates'!$K$5:$K$73,MATCH($A144,'Licences &amp; Certificates'!$A$5:$A$73,0))&amp;"","Unknown ID"))</f>
        <v>EPA/CIL-0030/0426</v>
      </c>
      <c r="C144" s="282" t="str">
        <f t="array" ref="C144">IF($A144="","",IFERROR(INDEX('Licences &amp; Certificates'!$C$5:$C$73,MATCH($A144,'Licences &amp; Certificates'!$A$5:$A$73,0)),"Unknown ID"))</f>
        <v>Packaging and Laboratory Equipment Supply (PALES)</v>
      </c>
      <c r="D144" s="282" t="s">
        <v>1727</v>
      </c>
      <c r="E144" s="282" t="s">
        <v>1728</v>
      </c>
      <c r="F144" s="282"/>
      <c r="G144" s="308"/>
      <c r="H144" s="282"/>
      <c r="I144" s="282"/>
    </row>
    <row r="145" ht="14.25" customHeight="1">
      <c r="A145" s="282" t="s">
        <v>1293</v>
      </c>
      <c r="B145" s="282" t="str">
        <f t="array" ref="B145">IF($A145="","",IFERROR(INDEX('Licences &amp; Certificates'!$K$5:$K$73,MATCH($A145,'Licences &amp; Certificates'!$A$5:$A$73,0))&amp;"","Unknown ID"))</f>
        <v>EPA/CIL-0030/0426</v>
      </c>
      <c r="C145" s="282" t="str">
        <f t="array" ref="C145">IF($A145="","",IFERROR(INDEX('Licences &amp; Certificates'!$C$5:$C$73,MATCH($A145,'Licences &amp; Certificates'!$A$5:$A$73,0)),"Unknown ID"))</f>
        <v>Packaging and Laboratory Equipment Supply (PALES)</v>
      </c>
      <c r="D145" s="282" t="s">
        <v>1733</v>
      </c>
      <c r="E145" s="282" t="s">
        <v>1734</v>
      </c>
      <c r="F145" s="282"/>
      <c r="G145" s="308"/>
      <c r="H145" s="282"/>
      <c r="I145" s="282"/>
    </row>
    <row r="146" ht="14.25" customHeight="1">
      <c r="A146" s="282" t="s">
        <v>1293</v>
      </c>
      <c r="B146" s="282" t="str">
        <f t="array" ref="B146">IF($A146="","",IFERROR(INDEX('Licences &amp; Certificates'!$K$5:$K$73,MATCH($A146,'Licences &amp; Certificates'!$A$5:$A$73,0))&amp;"","Unknown ID"))</f>
        <v>EPA/CIL-0030/0426</v>
      </c>
      <c r="C146" s="282" t="str">
        <f t="array" ref="C146">IF($A146="","",IFERROR(INDEX('Licences &amp; Certificates'!$C$5:$C$73,MATCH($A146,'Licences &amp; Certificates'!$A$5:$A$73,0)),"Unknown ID"))</f>
        <v>Packaging and Laboratory Equipment Supply (PALES)</v>
      </c>
      <c r="D146" s="282" t="s">
        <v>1738</v>
      </c>
      <c r="E146" s="282" t="s">
        <v>1739</v>
      </c>
      <c r="F146" s="282"/>
      <c r="G146" s="308"/>
      <c r="H146" s="282"/>
      <c r="I146" s="282"/>
    </row>
    <row r="147" ht="14.25" customHeight="1">
      <c r="A147" s="282" t="s">
        <v>1293</v>
      </c>
      <c r="B147" s="282" t="str">
        <f t="array" ref="B147">IF($A147="","",IFERROR(INDEX('Licences &amp; Certificates'!$K$5:$K$73,MATCH($A147,'Licences &amp; Certificates'!$A$5:$A$73,0))&amp;"","Unknown ID"))</f>
        <v>EPA/CIL-0030/0426</v>
      </c>
      <c r="C147" s="282" t="str">
        <f t="array" ref="C147">IF($A147="","",IFERROR(INDEX('Licences &amp; Certificates'!$C$5:$C$73,MATCH($A147,'Licences &amp; Certificates'!$A$5:$A$73,0)),"Unknown ID"))</f>
        <v>Packaging and Laboratory Equipment Supply (PALES)</v>
      </c>
      <c r="D147" s="282" t="s">
        <v>1745</v>
      </c>
      <c r="E147" s="282" t="s">
        <v>1746</v>
      </c>
      <c r="F147" s="282"/>
      <c r="G147" s="308"/>
      <c r="H147" s="282"/>
      <c r="I147" s="282"/>
    </row>
    <row r="148" ht="14.25" customHeight="1">
      <c r="A148" s="282" t="s">
        <v>1293</v>
      </c>
      <c r="B148" s="282" t="str">
        <f t="array" ref="B148">IF($A148="","",IFERROR(INDEX('Licences &amp; Certificates'!$K$5:$K$73,MATCH($A148,'Licences &amp; Certificates'!$A$5:$A$73,0))&amp;"","Unknown ID"))</f>
        <v>EPA/CIL-0030/0426</v>
      </c>
      <c r="C148" s="282" t="str">
        <f t="array" ref="C148">IF($A148="","",IFERROR(INDEX('Licences &amp; Certificates'!$C$5:$C$73,MATCH($A148,'Licences &amp; Certificates'!$A$5:$A$73,0)),"Unknown ID"))</f>
        <v>Packaging and Laboratory Equipment Supply (PALES)</v>
      </c>
      <c r="D148" s="282" t="s">
        <v>1751</v>
      </c>
      <c r="E148" s="282" t="s">
        <v>1752</v>
      </c>
      <c r="F148" s="282"/>
      <c r="G148" s="308"/>
      <c r="H148" s="282"/>
      <c r="I148" s="282"/>
    </row>
    <row r="149" ht="14.25" customHeight="1">
      <c r="A149" s="282" t="s">
        <v>1293</v>
      </c>
      <c r="B149" s="282" t="str">
        <f t="array" ref="B149">IF($A149="","",IFERROR(INDEX('Licences &amp; Certificates'!$K$5:$K$73,MATCH($A149,'Licences &amp; Certificates'!$A$5:$A$73,0))&amp;"","Unknown ID"))</f>
        <v>EPA/CIL-0030/0426</v>
      </c>
      <c r="C149" s="282" t="str">
        <f t="array" ref="C149">IF($A149="","",IFERROR(INDEX('Licences &amp; Certificates'!$C$5:$C$73,MATCH($A149,'Licences &amp; Certificates'!$A$5:$A$73,0)),"Unknown ID"))</f>
        <v>Packaging and Laboratory Equipment Supply (PALES)</v>
      </c>
      <c r="D149" s="282" t="s">
        <v>1762</v>
      </c>
      <c r="E149" s="282" t="s">
        <v>1763</v>
      </c>
      <c r="F149" s="282"/>
      <c r="G149" s="308"/>
      <c r="H149" s="282"/>
      <c r="I149" s="282"/>
    </row>
    <row r="150" ht="14.25" customHeight="1">
      <c r="A150" s="282" t="s">
        <v>1293</v>
      </c>
      <c r="B150" s="282" t="str">
        <f t="array" ref="B150">IF($A150="","",IFERROR(INDEX('Licences &amp; Certificates'!$K$5:$K$73,MATCH($A150,'Licences &amp; Certificates'!$A$5:$A$73,0))&amp;"","Unknown ID"))</f>
        <v>EPA/CIL-0030/0426</v>
      </c>
      <c r="C150" s="282" t="str">
        <f t="array" ref="C150">IF($A150="","",IFERROR(INDEX('Licences &amp; Certificates'!$C$5:$C$73,MATCH($A150,'Licences &amp; Certificates'!$A$5:$A$73,0)),"Unknown ID"))</f>
        <v>Packaging and Laboratory Equipment Supply (PALES)</v>
      </c>
      <c r="D150" s="282" t="s">
        <v>1770</v>
      </c>
      <c r="E150" s="282" t="s">
        <v>1771</v>
      </c>
      <c r="F150" s="282"/>
      <c r="G150" s="308"/>
      <c r="H150" s="282"/>
      <c r="I150" s="282"/>
    </row>
    <row r="151" ht="14.25" customHeight="1">
      <c r="A151" s="282" t="s">
        <v>1293</v>
      </c>
      <c r="B151" s="282" t="str">
        <f t="array" ref="B151">IF($A151="","",IFERROR(INDEX('Licences &amp; Certificates'!$K$5:$K$73,MATCH($A151,'Licences &amp; Certificates'!$A$5:$A$73,0))&amp;"","Unknown ID"))</f>
        <v>EPA/CIL-0030/0426</v>
      </c>
      <c r="C151" s="282" t="str">
        <f t="array" ref="C151">IF($A151="","",IFERROR(INDEX('Licences &amp; Certificates'!$C$5:$C$73,MATCH($A151,'Licences &amp; Certificates'!$A$5:$A$73,0)),"Unknown ID"))</f>
        <v>Packaging and Laboratory Equipment Supply (PALES)</v>
      </c>
      <c r="D151" s="282" t="s">
        <v>1776</v>
      </c>
      <c r="E151" s="282" t="s">
        <v>1777</v>
      </c>
      <c r="F151" s="282"/>
      <c r="G151" s="308"/>
      <c r="H151" s="282"/>
      <c r="I151" s="282"/>
    </row>
    <row r="152" ht="14.25" customHeight="1">
      <c r="A152" s="282" t="s">
        <v>1293</v>
      </c>
      <c r="B152" s="282" t="str">
        <f t="array" ref="B152">IF($A152="","",IFERROR(INDEX('Licences &amp; Certificates'!$K$5:$K$73,MATCH($A152,'Licences &amp; Certificates'!$A$5:$A$73,0))&amp;"","Unknown ID"))</f>
        <v>EPA/CIL-0030/0426</v>
      </c>
      <c r="C152" s="282" t="str">
        <f t="array" ref="C152">IF($A152="","",IFERROR(INDEX('Licences &amp; Certificates'!$C$5:$C$73,MATCH($A152,'Licences &amp; Certificates'!$A$5:$A$73,0)),"Unknown ID"))</f>
        <v>Packaging and Laboratory Equipment Supply (PALES)</v>
      </c>
      <c r="D152" s="282" t="s">
        <v>1781</v>
      </c>
      <c r="E152" s="282" t="s">
        <v>1782</v>
      </c>
      <c r="F152" s="282"/>
      <c r="G152" s="308"/>
      <c r="H152" s="282"/>
      <c r="I152" s="282"/>
    </row>
    <row r="153" ht="14.25" customHeight="1">
      <c r="A153" s="282" t="s">
        <v>1293</v>
      </c>
      <c r="B153" s="282" t="str">
        <f t="array" ref="B153">IF($A153="","",IFERROR(INDEX('Licences &amp; Certificates'!$K$5:$K$73,MATCH($A153,'Licences &amp; Certificates'!$A$5:$A$73,0))&amp;"","Unknown ID"))</f>
        <v>EPA/CIL-0030/0426</v>
      </c>
      <c r="C153" s="282" t="str">
        <f t="array" ref="C153">IF($A153="","",IFERROR(INDEX('Licences &amp; Certificates'!$C$5:$C$73,MATCH($A153,'Licences &amp; Certificates'!$A$5:$A$73,0)),"Unknown ID"))</f>
        <v>Packaging and Laboratory Equipment Supply (PALES)</v>
      </c>
      <c r="D153" s="282" t="s">
        <v>1788</v>
      </c>
      <c r="E153" s="282" t="s">
        <v>1789</v>
      </c>
      <c r="F153" s="282"/>
      <c r="G153" s="308"/>
      <c r="H153" s="282"/>
      <c r="I153" s="282"/>
    </row>
    <row r="154" ht="14.25" customHeight="1">
      <c r="A154" s="282" t="s">
        <v>1293</v>
      </c>
      <c r="B154" s="282" t="str">
        <f t="array" ref="B154">IF($A154="","",IFERROR(INDEX('Licences &amp; Certificates'!$K$5:$K$73,MATCH($A154,'Licences &amp; Certificates'!$A$5:$A$73,0))&amp;"","Unknown ID"))</f>
        <v>EPA/CIL-0030/0426</v>
      </c>
      <c r="C154" s="282" t="str">
        <f t="array" ref="C154">IF($A154="","",IFERROR(INDEX('Licences &amp; Certificates'!$C$5:$C$73,MATCH($A154,'Licences &amp; Certificates'!$A$5:$A$73,0)),"Unknown ID"))</f>
        <v>Packaging and Laboratory Equipment Supply (PALES)</v>
      </c>
      <c r="D154" s="282" t="s">
        <v>1797</v>
      </c>
      <c r="E154" s="282" t="s">
        <v>1798</v>
      </c>
      <c r="F154" s="282"/>
      <c r="G154" s="308"/>
      <c r="H154" s="282"/>
      <c r="I154" s="282"/>
    </row>
    <row r="155" ht="14.25" customHeight="1">
      <c r="A155" s="282" t="s">
        <v>1293</v>
      </c>
      <c r="B155" s="282" t="str">
        <f t="array" ref="B155">IF($A155="","",IFERROR(INDEX('Licences &amp; Certificates'!$K$5:$K$73,MATCH($A155,'Licences &amp; Certificates'!$A$5:$A$73,0))&amp;"","Unknown ID"))</f>
        <v>EPA/CIL-0030/0426</v>
      </c>
      <c r="C155" s="282" t="str">
        <f t="array" ref="C155">IF($A155="","",IFERROR(INDEX('Licences &amp; Certificates'!$C$5:$C$73,MATCH($A155,'Licences &amp; Certificates'!$A$5:$A$73,0)),"Unknown ID"))</f>
        <v>Packaging and Laboratory Equipment Supply (PALES)</v>
      </c>
      <c r="D155" s="282" t="s">
        <v>1804</v>
      </c>
      <c r="E155" s="282" t="s">
        <v>1805</v>
      </c>
      <c r="F155" s="282"/>
      <c r="G155" s="308"/>
      <c r="H155" s="282"/>
      <c r="I155" s="282"/>
    </row>
    <row r="156" ht="14.25" customHeight="1">
      <c r="A156" s="282" t="s">
        <v>1293</v>
      </c>
      <c r="B156" s="282" t="str">
        <f t="array" ref="B156">IF($A156="","",IFERROR(INDEX('Licences &amp; Certificates'!$K$5:$K$73,MATCH($A156,'Licences &amp; Certificates'!$A$5:$A$73,0))&amp;"","Unknown ID"))</f>
        <v>EPA/CIL-0030/0426</v>
      </c>
      <c r="C156" s="282" t="str">
        <f t="array" ref="C156">IF($A156="","",IFERROR(INDEX('Licences &amp; Certificates'!$C$5:$C$73,MATCH($A156,'Licences &amp; Certificates'!$A$5:$A$73,0)),"Unknown ID"))</f>
        <v>Packaging and Laboratory Equipment Supply (PALES)</v>
      </c>
      <c r="D156" s="282" t="s">
        <v>1812</v>
      </c>
      <c r="E156" s="282" t="s">
        <v>1813</v>
      </c>
      <c r="F156" s="282"/>
      <c r="G156" s="308"/>
      <c r="H156" s="282"/>
      <c r="I156" s="282"/>
    </row>
    <row r="157" ht="14.25" customHeight="1">
      <c r="A157" s="282" t="s">
        <v>1293</v>
      </c>
      <c r="B157" s="282" t="str">
        <f t="array" ref="B157">IF($A157="","",IFERROR(INDEX('Licences &amp; Certificates'!$K$5:$K$73,MATCH($A157,'Licences &amp; Certificates'!$A$5:$A$73,0))&amp;"","Unknown ID"))</f>
        <v>EPA/CIL-0030/0426</v>
      </c>
      <c r="C157" s="282" t="str">
        <f t="array" ref="C157">IF($A157="","",IFERROR(INDEX('Licences &amp; Certificates'!$C$5:$C$73,MATCH($A157,'Licences &amp; Certificates'!$A$5:$A$73,0)),"Unknown ID"))</f>
        <v>Packaging and Laboratory Equipment Supply (PALES)</v>
      </c>
      <c r="D157" s="282" t="s">
        <v>1818</v>
      </c>
      <c r="E157" s="282" t="s">
        <v>1819</v>
      </c>
      <c r="F157" s="282"/>
      <c r="G157" s="308"/>
      <c r="H157" s="282"/>
      <c r="I157" s="282"/>
    </row>
    <row r="158" ht="14.25" customHeight="1">
      <c r="A158" s="282" t="s">
        <v>1293</v>
      </c>
      <c r="B158" s="282" t="str">
        <f t="array" ref="B158">IF($A158="","",IFERROR(INDEX('Licences &amp; Certificates'!$K$5:$K$73,MATCH($A158,'Licences &amp; Certificates'!$A$5:$A$73,0))&amp;"","Unknown ID"))</f>
        <v>EPA/CIL-0030/0426</v>
      </c>
      <c r="C158" s="282" t="str">
        <f t="array" ref="C158">IF($A158="","",IFERROR(INDEX('Licences &amp; Certificates'!$C$5:$C$73,MATCH($A158,'Licences &amp; Certificates'!$A$5:$A$73,0)),"Unknown ID"))</f>
        <v>Packaging and Laboratory Equipment Supply (PALES)</v>
      </c>
      <c r="D158" s="282" t="s">
        <v>1824</v>
      </c>
      <c r="E158" s="282" t="s">
        <v>1825</v>
      </c>
      <c r="F158" s="282"/>
      <c r="G158" s="308"/>
      <c r="H158" s="282"/>
      <c r="I158" s="282"/>
    </row>
    <row r="159" ht="14.25" customHeight="1">
      <c r="A159" s="282" t="s">
        <v>1293</v>
      </c>
      <c r="B159" s="282" t="str">
        <f t="array" ref="B159">IF($A159="","",IFERROR(INDEX('Licences &amp; Certificates'!$K$5:$K$73,MATCH($A159,'Licences &amp; Certificates'!$A$5:$A$73,0))&amp;"","Unknown ID"))</f>
        <v>EPA/CIL-0030/0426</v>
      </c>
      <c r="C159" s="282" t="str">
        <f t="array" ref="C159">IF($A159="","",IFERROR(INDEX('Licences &amp; Certificates'!$C$5:$C$73,MATCH($A159,'Licences &amp; Certificates'!$A$5:$A$73,0)),"Unknown ID"))</f>
        <v>Packaging and Laboratory Equipment Supply (PALES)</v>
      </c>
      <c r="D159" s="282" t="s">
        <v>1831</v>
      </c>
      <c r="E159" s="282" t="s">
        <v>1832</v>
      </c>
      <c r="F159" s="282"/>
      <c r="G159" s="308">
        <v>48.0</v>
      </c>
      <c r="H159" s="282"/>
      <c r="I159" s="282"/>
    </row>
    <row r="160" ht="14.25" customHeight="1">
      <c r="A160" s="282" t="s">
        <v>1293</v>
      </c>
      <c r="B160" s="282" t="str">
        <f t="array" ref="B160">IF($A160="","",IFERROR(INDEX('Licences &amp; Certificates'!$K$5:$K$73,MATCH($A160,'Licences &amp; Certificates'!$A$5:$A$73,0))&amp;"","Unknown ID"))</f>
        <v>EPA/CIL-0030/0426</v>
      </c>
      <c r="C160" s="282" t="str">
        <f t="array" ref="C160">IF($A160="","",IFERROR(INDEX('Licences &amp; Certificates'!$C$5:$C$73,MATCH($A160,'Licences &amp; Certificates'!$A$5:$A$73,0)),"Unknown ID"))</f>
        <v>Packaging and Laboratory Equipment Supply (PALES)</v>
      </c>
      <c r="D160" s="282" t="s">
        <v>1840</v>
      </c>
      <c r="E160" s="282" t="s">
        <v>1841</v>
      </c>
      <c r="F160" s="282"/>
      <c r="G160" s="308"/>
      <c r="H160" s="282"/>
      <c r="I160" s="282"/>
    </row>
    <row r="161" ht="14.25" customHeight="1">
      <c r="A161" s="282" t="s">
        <v>1293</v>
      </c>
      <c r="B161" s="282" t="str">
        <f t="array" ref="B161">IF($A161="","",IFERROR(INDEX('Licences &amp; Certificates'!$K$5:$K$73,MATCH($A161,'Licences &amp; Certificates'!$A$5:$A$73,0))&amp;"","Unknown ID"))</f>
        <v>EPA/CIL-0030/0426</v>
      </c>
      <c r="C161" s="282" t="str">
        <f t="array" ref="C161">IF($A161="","",IFERROR(INDEX('Licences &amp; Certificates'!$C$5:$C$73,MATCH($A161,'Licences &amp; Certificates'!$A$5:$A$73,0)),"Unknown ID"))</f>
        <v>Packaging and Laboratory Equipment Supply (PALES)</v>
      </c>
      <c r="D161" s="282" t="s">
        <v>1313</v>
      </c>
      <c r="E161" s="282" t="s">
        <v>1849</v>
      </c>
      <c r="F161" s="282"/>
      <c r="G161" s="308">
        <v>32.0</v>
      </c>
      <c r="H161" s="282"/>
      <c r="I161" s="282"/>
    </row>
    <row r="162" ht="14.25" customHeight="1">
      <c r="A162" s="282" t="s">
        <v>1293</v>
      </c>
      <c r="B162" s="282" t="str">
        <f t="array" ref="B162">IF($A162="","",IFERROR(INDEX('Licences &amp; Certificates'!$K$5:$K$73,MATCH($A162,'Licences &amp; Certificates'!$A$5:$A$73,0))&amp;"","Unknown ID"))</f>
        <v>EPA/CIL-0030/0426</v>
      </c>
      <c r="C162" s="282" t="str">
        <f t="array" ref="C162">IF($A162="","",IFERROR(INDEX('Licences &amp; Certificates'!$C$5:$C$73,MATCH($A162,'Licences &amp; Certificates'!$A$5:$A$73,0)),"Unknown ID"))</f>
        <v>Packaging and Laboratory Equipment Supply (PALES)</v>
      </c>
      <c r="D162" s="282" t="s">
        <v>1313</v>
      </c>
      <c r="E162" s="282" t="s">
        <v>1853</v>
      </c>
      <c r="F162" s="282"/>
      <c r="G162" s="308">
        <v>30.0</v>
      </c>
      <c r="H162" s="282"/>
      <c r="I162" s="282"/>
    </row>
    <row r="163" ht="14.25" customHeight="1">
      <c r="A163" s="282" t="s">
        <v>1293</v>
      </c>
      <c r="B163" s="282" t="str">
        <f t="array" ref="B163">IF($A163="","",IFERROR(INDEX('Licences &amp; Certificates'!$K$5:$K$73,MATCH($A163,'Licences &amp; Certificates'!$A$5:$A$73,0))&amp;"","Unknown ID"))</f>
        <v>EPA/CIL-0030/0426</v>
      </c>
      <c r="C163" s="282" t="str">
        <f t="array" ref="C163">IF($A163="","",IFERROR(INDEX('Licences &amp; Certificates'!$C$5:$C$73,MATCH($A163,'Licences &amp; Certificates'!$A$5:$A$73,0)),"Unknown ID"))</f>
        <v>Packaging and Laboratory Equipment Supply (PALES)</v>
      </c>
      <c r="D163" s="282" t="s">
        <v>1313</v>
      </c>
      <c r="E163" s="282" t="s">
        <v>1859</v>
      </c>
      <c r="F163" s="282"/>
      <c r="G163" s="308">
        <v>20.0</v>
      </c>
      <c r="H163" s="282"/>
      <c r="I163" s="282"/>
    </row>
    <row r="164" ht="14.25" customHeight="1">
      <c r="A164" s="282" t="s">
        <v>1293</v>
      </c>
      <c r="B164" s="282" t="str">
        <f t="array" ref="B164">IF($A164="","",IFERROR(INDEX('Licences &amp; Certificates'!$K$5:$K$73,MATCH($A164,'Licences &amp; Certificates'!$A$5:$A$73,0))&amp;"","Unknown ID"))</f>
        <v>EPA/CIL-0030/0426</v>
      </c>
      <c r="C164" s="282" t="str">
        <f t="array" ref="C164">IF($A164="","",IFERROR(INDEX('Licences &amp; Certificates'!$C$5:$C$73,MATCH($A164,'Licences &amp; Certificates'!$A$5:$A$73,0)),"Unknown ID"))</f>
        <v>Packaging and Laboratory Equipment Supply (PALES)</v>
      </c>
      <c r="D164" s="282" t="s">
        <v>1869</v>
      </c>
      <c r="E164" s="282" t="s">
        <v>1870</v>
      </c>
      <c r="F164" s="282"/>
      <c r="G164" s="308"/>
      <c r="H164" s="282"/>
      <c r="I164" s="282"/>
    </row>
    <row r="165" ht="14.25" customHeight="1">
      <c r="A165" s="282" t="s">
        <v>1293</v>
      </c>
      <c r="B165" s="282" t="str">
        <f t="array" ref="B165">IF($A165="","",IFERROR(INDEX('Licences &amp; Certificates'!$K$5:$K$73,MATCH($A165,'Licences &amp; Certificates'!$A$5:$A$73,0))&amp;"","Unknown ID"))</f>
        <v>EPA/CIL-0030/0426</v>
      </c>
      <c r="C165" s="282" t="str">
        <f t="array" ref="C165">IF($A165="","",IFERROR(INDEX('Licences &amp; Certificates'!$C$5:$C$73,MATCH($A165,'Licences &amp; Certificates'!$A$5:$A$73,0)),"Unknown ID"))</f>
        <v>Packaging and Laboratory Equipment Supply (PALES)</v>
      </c>
      <c r="D165" s="282" t="s">
        <v>1313</v>
      </c>
      <c r="E165" s="282" t="s">
        <v>1872</v>
      </c>
      <c r="F165" s="282"/>
      <c r="G165" s="308">
        <v>24.0</v>
      </c>
      <c r="H165" s="282"/>
      <c r="I165" s="282"/>
    </row>
    <row r="166" ht="14.25" customHeight="1">
      <c r="A166" s="282" t="s">
        <v>1293</v>
      </c>
      <c r="B166" s="282" t="str">
        <f t="array" ref="B166">IF($A166="","",IFERROR(INDEX('Licences &amp; Certificates'!$K$5:$K$73,MATCH($A166,'Licences &amp; Certificates'!$A$5:$A$73,0))&amp;"","Unknown ID"))</f>
        <v>EPA/CIL-0030/0426</v>
      </c>
      <c r="C166" s="282" t="str">
        <f t="array" ref="C166">IF($A166="","",IFERROR(INDEX('Licences &amp; Certificates'!$C$5:$C$73,MATCH($A166,'Licences &amp; Certificates'!$A$5:$A$73,0)),"Unknown ID"))</f>
        <v>Packaging and Laboratory Equipment Supply (PALES)</v>
      </c>
      <c r="D166" s="282" t="s">
        <v>1313</v>
      </c>
      <c r="E166" s="282" t="s">
        <v>1875</v>
      </c>
      <c r="F166" s="282"/>
      <c r="G166" s="308">
        <v>200.0</v>
      </c>
      <c r="H166" s="282"/>
      <c r="I166" s="282"/>
    </row>
    <row r="167" ht="14.25" customHeight="1">
      <c r="A167" s="282" t="s">
        <v>1119</v>
      </c>
      <c r="B167" s="282" t="str">
        <f t="array" ref="B167">IF($A167="","",IFERROR(INDEX('Licences &amp; Certificates'!$K$5:$K$73,MATCH($A167,'Licences &amp; Certificates'!$A$5:$A$73,0))&amp;"","Unknown ID"))</f>
        <v>EPA/CIL-AC-0021/0126</v>
      </c>
      <c r="C167" s="282" t="str">
        <f t="array" ref="C167">IF($A167="","",IFERROR(INDEX('Licences &amp; Certificates'!$C$5:$C$73,MATCH($A167,'Licences &amp; Certificates'!$A$5:$A$73,0)),"Unknown ID"))</f>
        <v>NICOM Distilleries Inc.</v>
      </c>
      <c r="D167" s="282" t="s">
        <v>1280</v>
      </c>
      <c r="E167" s="282" t="s">
        <v>1502</v>
      </c>
      <c r="F167" s="282"/>
      <c r="G167" s="308">
        <v>900000.0</v>
      </c>
      <c r="H167" s="282" t="s">
        <v>1225</v>
      </c>
      <c r="I167" s="282" t="s">
        <v>1366</v>
      </c>
    </row>
    <row r="168" ht="14.25" customHeight="1">
      <c r="A168" s="26"/>
      <c r="B168" s="26"/>
      <c r="C168" s="26"/>
      <c r="D168" s="26"/>
      <c r="E168" s="26"/>
      <c r="F168" s="26"/>
      <c r="G168" s="26"/>
      <c r="H168" s="26"/>
      <c r="I168" s="26"/>
    </row>
    <row r="169" ht="14.25" customHeight="1">
      <c r="A169" s="26"/>
      <c r="B169" s="26"/>
      <c r="C169" s="26"/>
      <c r="D169" s="26"/>
      <c r="E169" s="26"/>
      <c r="F169" s="26"/>
      <c r="G169" s="26"/>
      <c r="H169" s="26"/>
      <c r="I169" s="26"/>
    </row>
    <row r="170" ht="14.25" customHeight="1">
      <c r="A170" s="26"/>
      <c r="B170" s="26"/>
      <c r="C170" s="26"/>
      <c r="D170" s="26"/>
      <c r="E170" s="26"/>
      <c r="F170" s="26"/>
      <c r="G170" s="26"/>
      <c r="H170" s="26"/>
      <c r="I170" s="26"/>
    </row>
    <row r="171" ht="14.25" customHeight="1">
      <c r="A171" s="26"/>
      <c r="B171" s="26"/>
      <c r="C171" s="26"/>
      <c r="D171" s="26"/>
      <c r="E171" s="26"/>
      <c r="F171" s="26"/>
      <c r="G171" s="26"/>
      <c r="H171" s="26"/>
      <c r="I171" s="26"/>
    </row>
    <row r="172" ht="14.25" customHeight="1">
      <c r="A172" s="26"/>
      <c r="B172" s="26"/>
      <c r="C172" s="26"/>
      <c r="D172" s="26"/>
      <c r="E172" s="26"/>
      <c r="F172" s="26"/>
      <c r="G172" s="26"/>
      <c r="H172" s="26"/>
      <c r="I172" s="26"/>
    </row>
    <row r="173" ht="14.25" customHeight="1">
      <c r="A173" s="26"/>
      <c r="B173" s="26"/>
      <c r="C173" s="26"/>
      <c r="D173" s="26"/>
      <c r="E173" s="26"/>
      <c r="F173" s="26"/>
      <c r="G173" s="26"/>
      <c r="H173" s="26"/>
      <c r="I173" s="26"/>
    </row>
    <row r="174" ht="14.25" customHeight="1">
      <c r="A174" s="26"/>
      <c r="B174" s="26"/>
      <c r="C174" s="26"/>
      <c r="D174" s="26"/>
      <c r="E174" s="26"/>
      <c r="F174" s="26"/>
      <c r="G174" s="26"/>
      <c r="H174" s="26"/>
      <c r="I174" s="26"/>
    </row>
    <row r="175" ht="14.25" customHeight="1">
      <c r="A175" s="26"/>
      <c r="B175" s="26"/>
      <c r="C175" s="26"/>
      <c r="D175" s="26"/>
      <c r="E175" s="26"/>
      <c r="F175" s="26"/>
      <c r="G175" s="26"/>
      <c r="H175" s="26"/>
      <c r="I175" s="26"/>
    </row>
    <row r="176" ht="14.25" customHeight="1">
      <c r="A176" s="26"/>
      <c r="B176" s="26"/>
      <c r="C176" s="26"/>
      <c r="D176" s="26"/>
      <c r="E176" s="26"/>
      <c r="F176" s="26"/>
      <c r="G176" s="26"/>
      <c r="H176" s="26"/>
      <c r="I176" s="26"/>
    </row>
    <row r="177" ht="14.25" customHeight="1">
      <c r="A177" s="26"/>
      <c r="B177" s="26"/>
      <c r="C177" s="26"/>
      <c r="D177" s="26"/>
      <c r="E177" s="26"/>
      <c r="F177" s="26"/>
      <c r="G177" s="26"/>
      <c r="H177" s="26"/>
      <c r="I177" s="26"/>
    </row>
    <row r="178" ht="14.25" customHeight="1">
      <c r="A178" s="26"/>
      <c r="B178" s="26"/>
      <c r="C178" s="26"/>
      <c r="D178" s="26"/>
      <c r="E178" s="26"/>
      <c r="F178" s="26"/>
      <c r="G178" s="26"/>
      <c r="H178" s="26"/>
      <c r="I178" s="26"/>
    </row>
    <row r="179" ht="14.25" customHeight="1">
      <c r="A179" s="26"/>
      <c r="B179" s="26"/>
      <c r="C179" s="26"/>
      <c r="D179" s="26"/>
      <c r="E179" s="26"/>
      <c r="F179" s="26"/>
      <c r="G179" s="26"/>
      <c r="H179" s="26"/>
      <c r="I179" s="26"/>
    </row>
    <row r="180" ht="14.25" customHeight="1">
      <c r="A180" s="26"/>
      <c r="B180" s="26"/>
      <c r="C180" s="26"/>
      <c r="D180" s="26"/>
      <c r="E180" s="26"/>
      <c r="F180" s="26"/>
      <c r="G180" s="26"/>
      <c r="H180" s="26"/>
      <c r="I180" s="26"/>
    </row>
    <row r="181" ht="14.25" customHeight="1">
      <c r="A181" s="26"/>
      <c r="B181" s="26"/>
      <c r="C181" s="26"/>
      <c r="D181" s="26"/>
      <c r="E181" s="26"/>
      <c r="F181" s="26"/>
      <c r="G181" s="26"/>
      <c r="H181" s="26"/>
      <c r="I181" s="26"/>
    </row>
    <row r="182" ht="14.25" customHeight="1">
      <c r="A182" s="26"/>
      <c r="B182" s="26"/>
      <c r="C182" s="26"/>
      <c r="D182" s="26"/>
      <c r="E182" s="26"/>
      <c r="F182" s="26"/>
      <c r="G182" s="26"/>
      <c r="H182" s="26"/>
      <c r="I182" s="26"/>
    </row>
    <row r="183" ht="14.25" customHeight="1">
      <c r="A183" s="26"/>
      <c r="B183" s="26"/>
      <c r="C183" s="26"/>
      <c r="D183" s="26"/>
      <c r="E183" s="26"/>
      <c r="F183" s="26"/>
      <c r="G183" s="26"/>
      <c r="H183" s="26"/>
      <c r="I183" s="26"/>
    </row>
    <row r="184" ht="14.25" customHeight="1">
      <c r="A184" s="26"/>
      <c r="B184" s="26"/>
      <c r="C184" s="26"/>
      <c r="D184" s="26"/>
      <c r="E184" s="26"/>
      <c r="F184" s="26"/>
      <c r="G184" s="26"/>
      <c r="H184" s="26"/>
      <c r="I184" s="26"/>
    </row>
    <row r="185" ht="14.25" customHeight="1">
      <c r="A185" s="26"/>
      <c r="B185" s="26"/>
      <c r="C185" s="26"/>
      <c r="D185" s="26"/>
      <c r="E185" s="26"/>
      <c r="F185" s="26"/>
      <c r="G185" s="26"/>
      <c r="H185" s="26"/>
      <c r="I185" s="26"/>
    </row>
    <row r="186" ht="14.25" customHeight="1">
      <c r="A186" s="26"/>
      <c r="B186" s="26"/>
      <c r="C186" s="26"/>
      <c r="D186" s="26"/>
      <c r="E186" s="26"/>
      <c r="F186" s="26"/>
      <c r="G186" s="26"/>
      <c r="H186" s="26"/>
      <c r="I186" s="26"/>
    </row>
    <row r="187" ht="14.25" customHeight="1">
      <c r="A187" s="26"/>
      <c r="B187" s="26"/>
      <c r="C187" s="26"/>
      <c r="D187" s="26"/>
      <c r="E187" s="26"/>
      <c r="F187" s="26"/>
      <c r="G187" s="26"/>
      <c r="H187" s="26"/>
      <c r="I187" s="26"/>
    </row>
    <row r="188" ht="14.25" customHeight="1">
      <c r="A188" s="26"/>
      <c r="B188" s="26"/>
      <c r="C188" s="26"/>
      <c r="D188" s="26"/>
      <c r="E188" s="26"/>
      <c r="F188" s="26"/>
      <c r="G188" s="26"/>
      <c r="H188" s="26"/>
      <c r="I188" s="26"/>
    </row>
    <row r="189" ht="14.25" customHeight="1">
      <c r="A189" s="26"/>
      <c r="B189" s="26"/>
      <c r="C189" s="26"/>
      <c r="D189" s="26"/>
      <c r="E189" s="26"/>
      <c r="F189" s="26"/>
      <c r="G189" s="26"/>
      <c r="H189" s="26"/>
      <c r="I189" s="26"/>
    </row>
    <row r="190" ht="14.25" customHeight="1">
      <c r="A190" s="26"/>
      <c r="B190" s="26"/>
      <c r="C190" s="26"/>
      <c r="D190" s="26"/>
      <c r="E190" s="26"/>
      <c r="F190" s="26"/>
      <c r="G190" s="26"/>
      <c r="H190" s="26"/>
      <c r="I190" s="26"/>
    </row>
    <row r="191" ht="14.25" customHeight="1">
      <c r="A191" s="26"/>
      <c r="B191" s="26"/>
      <c r="C191" s="26"/>
      <c r="D191" s="26"/>
      <c r="E191" s="26"/>
      <c r="F191" s="26"/>
      <c r="G191" s="26"/>
      <c r="H191" s="26"/>
      <c r="I191" s="26"/>
    </row>
    <row r="192" ht="14.25" customHeight="1">
      <c r="A192" s="26"/>
      <c r="B192" s="26"/>
      <c r="C192" s="26"/>
      <c r="D192" s="26"/>
      <c r="E192" s="26"/>
      <c r="F192" s="26"/>
      <c r="G192" s="26"/>
      <c r="H192" s="26"/>
      <c r="I192" s="26"/>
    </row>
    <row r="193" ht="14.25" customHeight="1">
      <c r="A193" s="26"/>
      <c r="B193" s="26"/>
      <c r="C193" s="26"/>
      <c r="D193" s="26"/>
      <c r="E193" s="26"/>
      <c r="F193" s="26"/>
      <c r="G193" s="26"/>
      <c r="H193" s="26"/>
      <c r="I193" s="26"/>
    </row>
    <row r="194" ht="14.25" customHeight="1">
      <c r="A194" s="26"/>
      <c r="B194" s="26"/>
      <c r="C194" s="26"/>
      <c r="D194" s="26"/>
      <c r="E194" s="26"/>
      <c r="F194" s="26"/>
      <c r="G194" s="26"/>
      <c r="H194" s="26"/>
      <c r="I194" s="26"/>
    </row>
    <row r="195" ht="14.25" customHeight="1">
      <c r="A195" s="26"/>
      <c r="B195" s="26"/>
      <c r="C195" s="26"/>
      <c r="D195" s="26"/>
      <c r="E195" s="26"/>
      <c r="F195" s="26"/>
      <c r="G195" s="26"/>
      <c r="H195" s="26"/>
      <c r="I195" s="26"/>
    </row>
    <row r="196" ht="14.25" customHeight="1">
      <c r="A196" s="26"/>
      <c r="B196" s="26"/>
      <c r="C196" s="26"/>
      <c r="D196" s="26"/>
      <c r="E196" s="26"/>
      <c r="F196" s="26"/>
      <c r="G196" s="26"/>
      <c r="H196" s="26"/>
      <c r="I196" s="26"/>
    </row>
    <row r="197" ht="14.25" customHeight="1">
      <c r="A197" s="26"/>
      <c r="B197" s="26"/>
      <c r="C197" s="26"/>
      <c r="D197" s="26"/>
      <c r="E197" s="26"/>
      <c r="F197" s="26"/>
      <c r="G197" s="26"/>
      <c r="H197" s="26"/>
      <c r="I197" s="26"/>
    </row>
    <row r="198" ht="14.25" customHeight="1">
      <c r="A198" s="26"/>
      <c r="B198" s="26"/>
      <c r="C198" s="26"/>
      <c r="D198" s="26"/>
      <c r="E198" s="26"/>
      <c r="F198" s="26"/>
      <c r="G198" s="26"/>
      <c r="H198" s="26"/>
      <c r="I198" s="26"/>
    </row>
    <row r="199" ht="14.25" customHeight="1">
      <c r="A199" s="26"/>
      <c r="B199" s="26"/>
      <c r="C199" s="26"/>
      <c r="D199" s="26"/>
      <c r="E199" s="26"/>
      <c r="F199" s="26"/>
      <c r="G199" s="26"/>
      <c r="H199" s="26"/>
      <c r="I199" s="26"/>
    </row>
    <row r="200" ht="14.25" customHeight="1">
      <c r="A200" s="26"/>
      <c r="B200" s="26"/>
      <c r="C200" s="26"/>
      <c r="D200" s="26"/>
      <c r="E200" s="26"/>
      <c r="F200" s="26"/>
      <c r="G200" s="26"/>
      <c r="H200" s="26"/>
      <c r="I200" s="26"/>
    </row>
    <row r="201" ht="14.25" customHeight="1">
      <c r="A201" s="26"/>
      <c r="B201" s="26"/>
      <c r="C201" s="26"/>
      <c r="D201" s="26"/>
      <c r="E201" s="26"/>
      <c r="F201" s="26"/>
      <c r="G201" s="26"/>
      <c r="H201" s="26"/>
      <c r="I201" s="26"/>
    </row>
    <row r="202" ht="14.25" customHeight="1">
      <c r="A202" s="26"/>
      <c r="B202" s="26"/>
      <c r="C202" s="26"/>
      <c r="D202" s="26"/>
      <c r="E202" s="26"/>
      <c r="F202" s="26"/>
      <c r="G202" s="26"/>
      <c r="H202" s="26"/>
      <c r="I202" s="26"/>
    </row>
    <row r="203" ht="14.25" customHeight="1">
      <c r="A203" s="26"/>
      <c r="B203" s="26"/>
      <c r="C203" s="26"/>
      <c r="D203" s="26"/>
      <c r="E203" s="26"/>
      <c r="F203" s="26"/>
      <c r="G203" s="26"/>
      <c r="H203" s="26"/>
      <c r="I203" s="26"/>
    </row>
    <row r="204" ht="14.25" customHeight="1">
      <c r="A204" s="26"/>
      <c r="B204" s="26"/>
      <c r="C204" s="26"/>
      <c r="D204" s="26"/>
      <c r="E204" s="26"/>
      <c r="F204" s="26"/>
      <c r="G204" s="26"/>
      <c r="H204" s="26"/>
      <c r="I204" s="26"/>
    </row>
    <row r="205" ht="14.25" customHeight="1">
      <c r="A205" s="26"/>
      <c r="B205" s="26"/>
      <c r="C205" s="26"/>
      <c r="D205" s="26"/>
      <c r="E205" s="26"/>
      <c r="F205" s="26"/>
      <c r="G205" s="26"/>
      <c r="H205" s="26"/>
      <c r="I205" s="26"/>
    </row>
    <row r="206" ht="14.25" customHeight="1">
      <c r="A206" s="26"/>
      <c r="B206" s="26"/>
      <c r="C206" s="26"/>
      <c r="D206" s="26"/>
      <c r="E206" s="26"/>
      <c r="F206" s="26"/>
      <c r="G206" s="26"/>
      <c r="H206" s="26"/>
      <c r="I206" s="26"/>
    </row>
    <row r="207" ht="14.25" customHeight="1">
      <c r="A207" s="26"/>
      <c r="B207" s="26"/>
      <c r="C207" s="26"/>
      <c r="D207" s="26"/>
      <c r="E207" s="26"/>
      <c r="F207" s="26"/>
      <c r="G207" s="26"/>
      <c r="H207" s="26"/>
      <c r="I207" s="26"/>
    </row>
    <row r="208" ht="14.25" customHeight="1">
      <c r="A208" s="26"/>
      <c r="B208" s="26"/>
      <c r="C208" s="26"/>
      <c r="D208" s="26"/>
      <c r="E208" s="26"/>
      <c r="F208" s="26"/>
      <c r="G208" s="26"/>
      <c r="H208" s="26"/>
      <c r="I208" s="26"/>
    </row>
    <row r="209" ht="14.25" customHeight="1">
      <c r="A209" s="26"/>
      <c r="B209" s="26"/>
      <c r="C209" s="26"/>
      <c r="D209" s="26"/>
      <c r="E209" s="26"/>
      <c r="F209" s="26"/>
      <c r="G209" s="26"/>
      <c r="H209" s="26"/>
      <c r="I209" s="26"/>
    </row>
    <row r="210" ht="14.25" customHeight="1">
      <c r="A210" s="26"/>
      <c r="B210" s="26"/>
      <c r="C210" s="26"/>
      <c r="D210" s="26"/>
      <c r="E210" s="26"/>
      <c r="F210" s="26"/>
      <c r="G210" s="26"/>
      <c r="H210" s="26"/>
      <c r="I210" s="26"/>
    </row>
    <row r="211" ht="14.25" customHeight="1">
      <c r="A211" s="26"/>
      <c r="B211" s="26"/>
      <c r="C211" s="26"/>
      <c r="D211" s="26"/>
      <c r="E211" s="26"/>
      <c r="F211" s="26"/>
      <c r="G211" s="26"/>
      <c r="H211" s="26"/>
      <c r="I211" s="26"/>
    </row>
    <row r="212" ht="14.25" customHeight="1">
      <c r="A212" s="26"/>
      <c r="B212" s="26"/>
      <c r="C212" s="26"/>
      <c r="D212" s="26"/>
      <c r="E212" s="26"/>
      <c r="F212" s="26"/>
      <c r="G212" s="26"/>
      <c r="H212" s="26"/>
      <c r="I212" s="26"/>
    </row>
    <row r="213" ht="14.25" customHeight="1">
      <c r="A213" s="26"/>
      <c r="B213" s="26"/>
      <c r="C213" s="26"/>
      <c r="D213" s="26"/>
      <c r="E213" s="26"/>
      <c r="F213" s="26"/>
      <c r="G213" s="26"/>
      <c r="H213" s="26"/>
      <c r="I213" s="26"/>
    </row>
    <row r="214" ht="14.25" customHeight="1">
      <c r="A214" s="26"/>
      <c r="B214" s="26"/>
      <c r="C214" s="26"/>
      <c r="D214" s="26"/>
      <c r="E214" s="26"/>
      <c r="F214" s="26"/>
      <c r="G214" s="26"/>
      <c r="H214" s="26"/>
      <c r="I214" s="26"/>
    </row>
    <row r="215" ht="14.25" customHeight="1">
      <c r="A215" s="26"/>
      <c r="B215" s="26"/>
      <c r="C215" s="26"/>
      <c r="D215" s="26"/>
      <c r="E215" s="26"/>
      <c r="F215" s="26"/>
      <c r="G215" s="26"/>
      <c r="H215" s="26"/>
      <c r="I215" s="26"/>
    </row>
    <row r="216" ht="14.25" customHeight="1">
      <c r="A216" s="26"/>
      <c r="B216" s="26"/>
      <c r="C216" s="26"/>
      <c r="D216" s="26"/>
      <c r="E216" s="26"/>
      <c r="F216" s="26"/>
      <c r="G216" s="26"/>
      <c r="H216" s="26"/>
      <c r="I216" s="26"/>
    </row>
    <row r="217" ht="14.25" customHeight="1">
      <c r="A217" s="26"/>
      <c r="B217" s="26"/>
      <c r="C217" s="26"/>
      <c r="D217" s="26"/>
      <c r="E217" s="26"/>
      <c r="F217" s="26"/>
      <c r="G217" s="26"/>
      <c r="H217" s="26"/>
      <c r="I217" s="26"/>
    </row>
    <row r="218" ht="14.25" customHeight="1">
      <c r="A218" s="26"/>
      <c r="B218" s="26"/>
      <c r="C218" s="26"/>
      <c r="D218" s="26"/>
      <c r="E218" s="26"/>
      <c r="F218" s="26"/>
      <c r="G218" s="26"/>
      <c r="H218" s="26"/>
      <c r="I218" s="26"/>
    </row>
    <row r="219" ht="14.25" customHeight="1">
      <c r="A219" s="26"/>
      <c r="B219" s="26"/>
      <c r="C219" s="26"/>
      <c r="D219" s="26"/>
      <c r="E219" s="26"/>
      <c r="F219" s="26"/>
      <c r="G219" s="26"/>
      <c r="H219" s="26"/>
      <c r="I219" s="26"/>
    </row>
    <row r="220" ht="14.25" customHeight="1">
      <c r="A220" s="26"/>
      <c r="B220" s="26"/>
      <c r="C220" s="26"/>
      <c r="D220" s="26"/>
      <c r="E220" s="26"/>
      <c r="F220" s="26"/>
      <c r="G220" s="26"/>
      <c r="H220" s="26"/>
      <c r="I220" s="26"/>
    </row>
    <row r="221" ht="14.25" customHeight="1">
      <c r="A221" s="26"/>
      <c r="B221" s="26"/>
      <c r="C221" s="26"/>
      <c r="D221" s="26"/>
      <c r="E221" s="26"/>
      <c r="F221" s="26"/>
      <c r="G221" s="26"/>
      <c r="H221" s="26"/>
      <c r="I221" s="26"/>
    </row>
    <row r="222" ht="14.25" customHeight="1">
      <c r="A222" s="26"/>
      <c r="B222" s="26"/>
      <c r="C222" s="26"/>
      <c r="D222" s="26"/>
      <c r="E222" s="26"/>
      <c r="F222" s="26"/>
      <c r="G222" s="26"/>
      <c r="H222" s="26"/>
      <c r="I222" s="26"/>
    </row>
    <row r="223" ht="14.25" customHeight="1">
      <c r="A223" s="26"/>
      <c r="B223" s="26"/>
      <c r="C223" s="26"/>
      <c r="D223" s="26"/>
      <c r="E223" s="26"/>
      <c r="F223" s="26"/>
      <c r="G223" s="26"/>
      <c r="H223" s="26"/>
      <c r="I223" s="26"/>
    </row>
    <row r="224" ht="14.25" customHeight="1">
      <c r="A224" s="26"/>
      <c r="B224" s="26"/>
      <c r="C224" s="26"/>
      <c r="D224" s="26"/>
      <c r="E224" s="26"/>
      <c r="F224" s="26"/>
      <c r="G224" s="26"/>
      <c r="H224" s="26"/>
      <c r="I224" s="26"/>
    </row>
    <row r="225" ht="14.25" customHeight="1">
      <c r="A225" s="26"/>
      <c r="B225" s="26"/>
      <c r="C225" s="26"/>
      <c r="D225" s="26"/>
      <c r="E225" s="26"/>
      <c r="F225" s="26"/>
      <c r="G225" s="26"/>
      <c r="H225" s="26"/>
      <c r="I225" s="26"/>
    </row>
    <row r="226" ht="14.25" customHeight="1">
      <c r="A226" s="26"/>
      <c r="B226" s="26"/>
      <c r="C226" s="26"/>
      <c r="D226" s="26"/>
      <c r="E226" s="26"/>
      <c r="F226" s="26"/>
      <c r="G226" s="26"/>
      <c r="H226" s="26"/>
      <c r="I226" s="26"/>
    </row>
    <row r="227" ht="14.25" customHeight="1">
      <c r="A227" s="26"/>
      <c r="B227" s="26"/>
      <c r="C227" s="26"/>
      <c r="D227" s="26"/>
      <c r="E227" s="26"/>
      <c r="F227" s="26"/>
      <c r="G227" s="26"/>
      <c r="H227" s="26"/>
      <c r="I227" s="26"/>
    </row>
    <row r="228" ht="14.25" customHeight="1">
      <c r="A228" s="26"/>
      <c r="B228" s="26"/>
      <c r="C228" s="26"/>
      <c r="D228" s="26"/>
      <c r="E228" s="26"/>
      <c r="F228" s="26"/>
      <c r="G228" s="26"/>
      <c r="H228" s="26"/>
      <c r="I228" s="26"/>
    </row>
    <row r="229" ht="14.25" customHeight="1">
      <c r="A229" s="26"/>
      <c r="B229" s="26"/>
      <c r="C229" s="26"/>
      <c r="D229" s="26"/>
      <c r="E229" s="26"/>
      <c r="F229" s="26"/>
      <c r="G229" s="26"/>
      <c r="H229" s="26"/>
      <c r="I229" s="26"/>
    </row>
    <row r="230" ht="14.25" customHeight="1">
      <c r="A230" s="26"/>
      <c r="B230" s="26"/>
      <c r="C230" s="26"/>
      <c r="D230" s="26"/>
      <c r="E230" s="26"/>
      <c r="F230" s="26"/>
      <c r="G230" s="26"/>
      <c r="H230" s="26"/>
      <c r="I230" s="26"/>
    </row>
    <row r="231" ht="14.25" customHeight="1">
      <c r="A231" s="26"/>
      <c r="B231" s="26"/>
      <c r="C231" s="26"/>
      <c r="D231" s="26"/>
      <c r="E231" s="26"/>
      <c r="F231" s="26"/>
      <c r="G231" s="26"/>
      <c r="H231" s="26"/>
      <c r="I231" s="26"/>
    </row>
    <row r="232" ht="14.25" customHeight="1">
      <c r="A232" s="26"/>
      <c r="B232" s="26"/>
      <c r="C232" s="26"/>
      <c r="D232" s="26"/>
      <c r="E232" s="26"/>
      <c r="F232" s="26"/>
      <c r="G232" s="26"/>
      <c r="H232" s="26"/>
      <c r="I232" s="26"/>
    </row>
    <row r="233" ht="14.25" customHeight="1">
      <c r="A233" s="26"/>
      <c r="B233" s="26"/>
      <c r="C233" s="26"/>
      <c r="D233" s="26"/>
      <c r="E233" s="26"/>
      <c r="F233" s="26"/>
      <c r="G233" s="26"/>
      <c r="H233" s="26"/>
      <c r="I233" s="26"/>
    </row>
    <row r="234" ht="14.25" customHeight="1">
      <c r="A234" s="26"/>
      <c r="B234" s="26"/>
      <c r="C234" s="26"/>
      <c r="D234" s="26"/>
      <c r="E234" s="26"/>
      <c r="F234" s="26"/>
      <c r="G234" s="26"/>
      <c r="H234" s="26"/>
      <c r="I234" s="26"/>
    </row>
    <row r="235" ht="14.25" customHeight="1">
      <c r="A235" s="26"/>
      <c r="B235" s="26"/>
      <c r="C235" s="26"/>
      <c r="D235" s="26"/>
      <c r="E235" s="26"/>
      <c r="F235" s="26"/>
      <c r="G235" s="26"/>
      <c r="H235" s="26"/>
      <c r="I235" s="26"/>
    </row>
    <row r="236" ht="14.25" customHeight="1">
      <c r="A236" s="26"/>
      <c r="B236" s="26"/>
      <c r="C236" s="26"/>
      <c r="D236" s="26"/>
      <c r="E236" s="26"/>
      <c r="F236" s="26"/>
      <c r="G236" s="26"/>
      <c r="H236" s="26"/>
      <c r="I236" s="26"/>
    </row>
    <row r="237" ht="14.25" customHeight="1">
      <c r="A237" s="26"/>
      <c r="B237" s="26"/>
      <c r="C237" s="26"/>
      <c r="D237" s="26"/>
      <c r="E237" s="26"/>
      <c r="F237" s="26"/>
      <c r="G237" s="26"/>
      <c r="H237" s="26"/>
      <c r="I237" s="26"/>
    </row>
    <row r="238" ht="14.25" customHeight="1">
      <c r="A238" s="26"/>
      <c r="B238" s="26"/>
      <c r="C238" s="26"/>
      <c r="D238" s="26"/>
      <c r="E238" s="26"/>
      <c r="F238" s="26"/>
      <c r="G238" s="26"/>
      <c r="H238" s="26"/>
      <c r="I238" s="26"/>
    </row>
    <row r="239" ht="14.25" customHeight="1">
      <c r="A239" s="26"/>
      <c r="B239" s="26"/>
      <c r="C239" s="26"/>
      <c r="D239" s="26"/>
      <c r="E239" s="26"/>
      <c r="F239" s="26"/>
      <c r="G239" s="26"/>
      <c r="H239" s="26"/>
      <c r="I239" s="26"/>
    </row>
    <row r="240" ht="14.25" customHeight="1">
      <c r="A240" s="26"/>
      <c r="B240" s="26"/>
      <c r="C240" s="26"/>
      <c r="D240" s="26"/>
      <c r="E240" s="26"/>
      <c r="F240" s="26"/>
      <c r="G240" s="26"/>
      <c r="H240" s="26"/>
      <c r="I240" s="26"/>
    </row>
    <row r="241" ht="14.25" customHeight="1">
      <c r="A241" s="26"/>
      <c r="B241" s="26"/>
      <c r="C241" s="26"/>
      <c r="D241" s="26"/>
      <c r="E241" s="26"/>
      <c r="F241" s="26"/>
      <c r="G241" s="26"/>
      <c r="H241" s="26"/>
      <c r="I241" s="26"/>
    </row>
    <row r="242" ht="14.25" customHeight="1">
      <c r="A242" s="26"/>
      <c r="B242" s="26"/>
      <c r="C242" s="26"/>
      <c r="D242" s="26"/>
      <c r="E242" s="26"/>
      <c r="F242" s="26"/>
      <c r="G242" s="26"/>
      <c r="H242" s="26"/>
      <c r="I242" s="26"/>
    </row>
    <row r="243" ht="14.25" customHeight="1">
      <c r="A243" s="26"/>
      <c r="B243" s="26"/>
      <c r="C243" s="26"/>
      <c r="D243" s="26"/>
      <c r="E243" s="26"/>
      <c r="F243" s="26"/>
      <c r="G243" s="26"/>
      <c r="H243" s="26"/>
      <c r="I243" s="26"/>
    </row>
    <row r="244" ht="14.25" customHeight="1">
      <c r="A244" s="26"/>
      <c r="B244" s="26"/>
      <c r="C244" s="26"/>
      <c r="D244" s="26"/>
      <c r="E244" s="26"/>
      <c r="F244" s="26"/>
      <c r="G244" s="26"/>
      <c r="H244" s="26"/>
      <c r="I244" s="26"/>
    </row>
    <row r="245" ht="14.25" customHeight="1">
      <c r="A245" s="26"/>
      <c r="B245" s="26"/>
      <c r="C245" s="26"/>
      <c r="D245" s="26"/>
      <c r="E245" s="26"/>
      <c r="F245" s="26"/>
      <c r="G245" s="26"/>
      <c r="H245" s="26"/>
      <c r="I245" s="26"/>
    </row>
    <row r="246" ht="14.25" customHeight="1">
      <c r="A246" s="26"/>
      <c r="B246" s="26"/>
      <c r="C246" s="26"/>
      <c r="D246" s="26"/>
      <c r="E246" s="26"/>
      <c r="F246" s="26"/>
      <c r="G246" s="26"/>
      <c r="H246" s="26"/>
      <c r="I246" s="26"/>
    </row>
    <row r="247" ht="14.25" customHeight="1">
      <c r="A247" s="26"/>
      <c r="B247" s="26"/>
      <c r="C247" s="26"/>
      <c r="D247" s="26"/>
      <c r="E247" s="26"/>
      <c r="F247" s="26"/>
      <c r="G247" s="26"/>
      <c r="H247" s="26"/>
      <c r="I247" s="26"/>
    </row>
    <row r="248" ht="14.25" customHeight="1">
      <c r="A248" s="26"/>
      <c r="B248" s="26"/>
      <c r="C248" s="26"/>
      <c r="D248" s="26"/>
      <c r="E248" s="26"/>
      <c r="F248" s="26"/>
      <c r="G248" s="26"/>
      <c r="H248" s="26"/>
      <c r="I248" s="26"/>
    </row>
    <row r="249" ht="14.25" customHeight="1">
      <c r="A249" s="26"/>
      <c r="B249" s="26"/>
      <c r="C249" s="26"/>
      <c r="D249" s="26"/>
      <c r="E249" s="26"/>
      <c r="F249" s="26"/>
      <c r="G249" s="26"/>
      <c r="H249" s="26"/>
      <c r="I249" s="26"/>
    </row>
    <row r="250" ht="14.25" customHeight="1">
      <c r="A250" s="26"/>
      <c r="B250" s="26"/>
      <c r="C250" s="26"/>
      <c r="D250" s="26"/>
      <c r="E250" s="26"/>
      <c r="F250" s="26"/>
      <c r="G250" s="26"/>
      <c r="H250" s="26"/>
      <c r="I250" s="26"/>
    </row>
    <row r="251" ht="14.25" customHeight="1">
      <c r="A251" s="26"/>
      <c r="B251" s="26"/>
      <c r="C251" s="26"/>
      <c r="D251" s="26"/>
      <c r="E251" s="26"/>
      <c r="F251" s="26"/>
      <c r="G251" s="26"/>
      <c r="H251" s="26"/>
      <c r="I251" s="26"/>
    </row>
    <row r="252" ht="14.25" customHeight="1">
      <c r="A252" s="26"/>
      <c r="B252" s="26"/>
      <c r="C252" s="26"/>
      <c r="D252" s="26"/>
      <c r="E252" s="26"/>
      <c r="F252" s="26"/>
      <c r="G252" s="26"/>
      <c r="H252" s="26"/>
      <c r="I252" s="26"/>
    </row>
    <row r="253" ht="14.25" customHeight="1">
      <c r="A253" s="26"/>
      <c r="B253" s="26"/>
      <c r="C253" s="26"/>
      <c r="D253" s="26"/>
      <c r="E253" s="26"/>
      <c r="F253" s="26"/>
      <c r="G253" s="26"/>
      <c r="H253" s="26"/>
      <c r="I253" s="26"/>
    </row>
    <row r="254" ht="14.25" customHeight="1">
      <c r="A254" s="26"/>
      <c r="B254" s="26"/>
      <c r="C254" s="26"/>
      <c r="D254" s="26"/>
      <c r="E254" s="26"/>
      <c r="F254" s="26"/>
      <c r="G254" s="26"/>
      <c r="H254" s="26"/>
      <c r="I254" s="26"/>
    </row>
    <row r="255" ht="14.25" customHeight="1">
      <c r="A255" s="26"/>
      <c r="B255" s="26"/>
      <c r="C255" s="26"/>
      <c r="D255" s="26"/>
      <c r="E255" s="26"/>
      <c r="F255" s="26"/>
      <c r="G255" s="26"/>
      <c r="H255" s="26"/>
      <c r="I255" s="26"/>
    </row>
    <row r="256" ht="14.25" customHeight="1">
      <c r="A256" s="26"/>
      <c r="B256" s="26"/>
      <c r="C256" s="26"/>
      <c r="D256" s="26"/>
      <c r="E256" s="26"/>
      <c r="F256" s="26"/>
      <c r="G256" s="26"/>
      <c r="H256" s="26"/>
      <c r="I256" s="26"/>
    </row>
    <row r="257" ht="14.25" customHeight="1">
      <c r="A257" s="26"/>
      <c r="B257" s="26"/>
      <c r="C257" s="26"/>
      <c r="D257" s="26"/>
      <c r="E257" s="26"/>
      <c r="F257" s="26"/>
      <c r="G257" s="26"/>
      <c r="H257" s="26"/>
      <c r="I257" s="26"/>
    </row>
    <row r="258" ht="14.25" customHeight="1">
      <c r="A258" s="26"/>
      <c r="B258" s="26"/>
      <c r="C258" s="26"/>
      <c r="D258" s="26"/>
      <c r="E258" s="26"/>
      <c r="F258" s="26"/>
      <c r="G258" s="26"/>
      <c r="H258" s="26"/>
      <c r="I258" s="26"/>
    </row>
    <row r="259" ht="14.25" customHeight="1">
      <c r="A259" s="26"/>
      <c r="B259" s="26"/>
      <c r="C259" s="26"/>
      <c r="D259" s="26"/>
      <c r="E259" s="26"/>
      <c r="F259" s="26"/>
      <c r="G259" s="26"/>
      <c r="H259" s="26"/>
      <c r="I259" s="26"/>
    </row>
    <row r="260" ht="14.25" customHeight="1">
      <c r="A260" s="26"/>
      <c r="B260" s="26"/>
      <c r="C260" s="26"/>
      <c r="D260" s="26"/>
      <c r="E260" s="26"/>
      <c r="F260" s="26"/>
      <c r="G260" s="26"/>
      <c r="H260" s="26"/>
      <c r="I260" s="26"/>
    </row>
    <row r="261" ht="14.25" customHeight="1">
      <c r="A261" s="26"/>
      <c r="B261" s="26"/>
      <c r="C261" s="26"/>
      <c r="D261" s="26"/>
      <c r="E261" s="26"/>
      <c r="F261" s="26"/>
      <c r="G261" s="26"/>
      <c r="H261" s="26"/>
      <c r="I261" s="26"/>
    </row>
    <row r="262" ht="14.25" customHeight="1">
      <c r="A262" s="26"/>
      <c r="B262" s="26"/>
      <c r="C262" s="26"/>
      <c r="D262" s="26"/>
      <c r="E262" s="26"/>
      <c r="F262" s="26"/>
      <c r="G262" s="26"/>
      <c r="H262" s="26"/>
      <c r="I262" s="26"/>
    </row>
    <row r="263" ht="14.25" customHeight="1">
      <c r="A263" s="26"/>
      <c r="B263" s="26"/>
      <c r="C263" s="26"/>
      <c r="D263" s="26"/>
      <c r="E263" s="26"/>
      <c r="F263" s="26"/>
      <c r="G263" s="26"/>
      <c r="H263" s="26"/>
      <c r="I263" s="26"/>
    </row>
    <row r="264" ht="14.25" customHeight="1">
      <c r="A264" s="26"/>
      <c r="B264" s="26"/>
      <c r="C264" s="26"/>
      <c r="D264" s="26"/>
      <c r="E264" s="26"/>
      <c r="F264" s="26"/>
      <c r="G264" s="26"/>
      <c r="H264" s="26"/>
      <c r="I264" s="26"/>
    </row>
    <row r="265" ht="14.25" customHeight="1">
      <c r="A265" s="26"/>
      <c r="B265" s="26"/>
      <c r="C265" s="26"/>
      <c r="D265" s="26"/>
      <c r="E265" s="26"/>
      <c r="F265" s="26"/>
      <c r="G265" s="26"/>
      <c r="H265" s="26"/>
      <c r="I265" s="26"/>
    </row>
    <row r="266" ht="14.25" customHeight="1">
      <c r="A266" s="26"/>
      <c r="B266" s="26"/>
      <c r="C266" s="26"/>
      <c r="D266" s="26"/>
      <c r="E266" s="26"/>
      <c r="F266" s="26"/>
      <c r="G266" s="26"/>
      <c r="H266" s="26"/>
      <c r="I266" s="26"/>
    </row>
    <row r="267" ht="14.25" customHeight="1">
      <c r="A267" s="26"/>
      <c r="B267" s="26"/>
      <c r="C267" s="26"/>
      <c r="D267" s="26"/>
      <c r="E267" s="26"/>
      <c r="F267" s="26"/>
      <c r="G267" s="26"/>
      <c r="H267" s="26"/>
      <c r="I267" s="26"/>
    </row>
    <row r="268" ht="14.25" customHeight="1">
      <c r="A268" s="26"/>
      <c r="B268" s="26"/>
      <c r="C268" s="26"/>
      <c r="D268" s="26"/>
      <c r="E268" s="26"/>
      <c r="F268" s="26"/>
      <c r="G268" s="26"/>
      <c r="H268" s="26"/>
      <c r="I268" s="26"/>
    </row>
    <row r="269" ht="14.25" customHeight="1">
      <c r="A269" s="26"/>
      <c r="B269" s="26"/>
      <c r="C269" s="26"/>
      <c r="D269" s="26"/>
      <c r="E269" s="26"/>
      <c r="F269" s="26"/>
      <c r="G269" s="26"/>
      <c r="H269" s="26"/>
      <c r="I269" s="26"/>
    </row>
    <row r="270" ht="14.25" customHeight="1">
      <c r="A270" s="26"/>
      <c r="B270" s="26"/>
      <c r="C270" s="26"/>
      <c r="D270" s="26"/>
      <c r="E270" s="26"/>
      <c r="F270" s="26"/>
      <c r="G270" s="26"/>
      <c r="H270" s="26"/>
      <c r="I270" s="26"/>
    </row>
    <row r="271" ht="14.25" customHeight="1">
      <c r="A271" s="26"/>
      <c r="B271" s="26"/>
      <c r="C271" s="26"/>
      <c r="D271" s="26"/>
      <c r="E271" s="26"/>
      <c r="F271" s="26"/>
      <c r="G271" s="26"/>
      <c r="H271" s="26"/>
      <c r="I271" s="26"/>
    </row>
    <row r="272" ht="14.25" customHeight="1">
      <c r="A272" s="26"/>
      <c r="B272" s="26"/>
      <c r="C272" s="26"/>
      <c r="D272" s="26"/>
      <c r="E272" s="26"/>
      <c r="F272" s="26"/>
      <c r="G272" s="26"/>
      <c r="H272" s="26"/>
      <c r="I272" s="26"/>
    </row>
    <row r="273" ht="14.25" customHeight="1">
      <c r="A273" s="26"/>
      <c r="B273" s="26"/>
      <c r="C273" s="26"/>
      <c r="D273" s="26"/>
      <c r="E273" s="26"/>
      <c r="F273" s="26"/>
      <c r="G273" s="26"/>
      <c r="H273" s="26"/>
      <c r="I273" s="26"/>
    </row>
    <row r="274" ht="14.25" customHeight="1">
      <c r="A274" s="26"/>
      <c r="B274" s="26"/>
      <c r="C274" s="26"/>
      <c r="D274" s="26"/>
      <c r="E274" s="26"/>
      <c r="F274" s="26"/>
      <c r="G274" s="26"/>
      <c r="H274" s="26"/>
      <c r="I274" s="26"/>
    </row>
    <row r="275" ht="14.25" customHeight="1">
      <c r="A275" s="26"/>
      <c r="B275" s="26"/>
      <c r="C275" s="26"/>
      <c r="D275" s="26"/>
      <c r="E275" s="26"/>
      <c r="F275" s="26"/>
      <c r="G275" s="26"/>
      <c r="H275" s="26"/>
      <c r="I275" s="26"/>
    </row>
    <row r="276" ht="14.25" customHeight="1">
      <c r="A276" s="26"/>
      <c r="B276" s="26"/>
      <c r="C276" s="26"/>
      <c r="D276" s="26"/>
      <c r="E276" s="26"/>
      <c r="F276" s="26"/>
      <c r="G276" s="26"/>
      <c r="H276" s="26"/>
      <c r="I276" s="26"/>
    </row>
    <row r="277" ht="14.25" customHeight="1">
      <c r="A277" s="26"/>
      <c r="B277" s="26"/>
      <c r="C277" s="26"/>
      <c r="D277" s="26"/>
      <c r="E277" s="26"/>
      <c r="F277" s="26"/>
      <c r="G277" s="26"/>
      <c r="H277" s="26"/>
      <c r="I277" s="26"/>
    </row>
    <row r="278" ht="14.25" customHeight="1">
      <c r="A278" s="26"/>
      <c r="B278" s="26"/>
      <c r="C278" s="26"/>
      <c r="D278" s="26"/>
      <c r="E278" s="26"/>
      <c r="F278" s="26"/>
      <c r="G278" s="26"/>
      <c r="H278" s="26"/>
      <c r="I278" s="26"/>
    </row>
    <row r="279" ht="14.25" customHeight="1">
      <c r="A279" s="26"/>
      <c r="B279" s="26"/>
      <c r="C279" s="26"/>
      <c r="D279" s="26"/>
      <c r="E279" s="26"/>
      <c r="F279" s="26"/>
      <c r="G279" s="26"/>
      <c r="H279" s="26"/>
      <c r="I279" s="26"/>
    </row>
    <row r="280" ht="14.25" customHeight="1">
      <c r="A280" s="26"/>
      <c r="B280" s="26"/>
      <c r="C280" s="26"/>
      <c r="D280" s="26"/>
      <c r="E280" s="26"/>
      <c r="F280" s="26"/>
      <c r="G280" s="26"/>
      <c r="H280" s="26"/>
      <c r="I280" s="26"/>
    </row>
    <row r="281" ht="14.25" customHeight="1">
      <c r="A281" s="26"/>
      <c r="B281" s="26"/>
      <c r="C281" s="26"/>
      <c r="D281" s="26"/>
      <c r="E281" s="26"/>
      <c r="F281" s="26"/>
      <c r="G281" s="26"/>
      <c r="H281" s="26"/>
      <c r="I281" s="26"/>
    </row>
    <row r="282" ht="14.25" customHeight="1">
      <c r="A282" s="26"/>
      <c r="B282" s="26"/>
      <c r="C282" s="26"/>
      <c r="D282" s="26"/>
      <c r="E282" s="26"/>
      <c r="F282" s="26"/>
      <c r="G282" s="26"/>
      <c r="H282" s="26"/>
      <c r="I282" s="26"/>
    </row>
    <row r="283" ht="14.25" customHeight="1">
      <c r="A283" s="26"/>
      <c r="B283" s="26"/>
      <c r="C283" s="26"/>
      <c r="D283" s="26"/>
      <c r="E283" s="26"/>
      <c r="F283" s="26"/>
      <c r="G283" s="26"/>
      <c r="H283" s="26"/>
      <c r="I283" s="26"/>
    </row>
    <row r="284" ht="14.25" customHeight="1">
      <c r="A284" s="26"/>
      <c r="B284" s="26"/>
      <c r="C284" s="26"/>
      <c r="D284" s="26"/>
      <c r="E284" s="26"/>
      <c r="F284" s="26"/>
      <c r="G284" s="26"/>
      <c r="H284" s="26"/>
      <c r="I284" s="26"/>
    </row>
    <row r="285" ht="14.25" customHeight="1">
      <c r="A285" s="26"/>
      <c r="B285" s="26"/>
      <c r="C285" s="26"/>
      <c r="D285" s="26"/>
      <c r="E285" s="26"/>
      <c r="F285" s="26"/>
      <c r="G285" s="26"/>
      <c r="H285" s="26"/>
      <c r="I285" s="26"/>
    </row>
    <row r="286" ht="14.25" customHeight="1">
      <c r="A286" s="26"/>
      <c r="B286" s="26"/>
      <c r="C286" s="26"/>
      <c r="D286" s="26"/>
      <c r="E286" s="26"/>
      <c r="F286" s="26"/>
      <c r="G286" s="26"/>
      <c r="H286" s="26"/>
      <c r="I286" s="26"/>
    </row>
    <row r="287" ht="14.25" customHeight="1">
      <c r="A287" s="26"/>
      <c r="B287" s="26"/>
      <c r="C287" s="26"/>
      <c r="D287" s="26"/>
      <c r="E287" s="26"/>
      <c r="F287" s="26"/>
      <c r="G287" s="26"/>
      <c r="H287" s="26"/>
      <c r="I287" s="26"/>
    </row>
    <row r="288" ht="14.25" customHeight="1">
      <c r="A288" s="26"/>
      <c r="B288" s="26"/>
      <c r="C288" s="26"/>
      <c r="D288" s="26"/>
      <c r="E288" s="26"/>
      <c r="F288" s="26"/>
      <c r="G288" s="26"/>
      <c r="H288" s="26"/>
      <c r="I288" s="26"/>
    </row>
    <row r="289" ht="14.25" customHeight="1">
      <c r="A289" s="26"/>
      <c r="B289" s="26"/>
      <c r="C289" s="26"/>
      <c r="D289" s="26"/>
      <c r="E289" s="26"/>
      <c r="F289" s="26"/>
      <c r="G289" s="26"/>
      <c r="H289" s="26"/>
      <c r="I289" s="26"/>
    </row>
    <row r="290" ht="14.25" customHeight="1">
      <c r="A290" s="26"/>
      <c r="B290" s="26"/>
      <c r="C290" s="26"/>
      <c r="D290" s="26"/>
      <c r="E290" s="26"/>
      <c r="F290" s="26"/>
      <c r="G290" s="26"/>
      <c r="H290" s="26"/>
      <c r="I290" s="26"/>
    </row>
    <row r="291" ht="14.25" customHeight="1">
      <c r="A291" s="26"/>
      <c r="B291" s="26"/>
      <c r="C291" s="26"/>
      <c r="D291" s="26"/>
      <c r="E291" s="26"/>
      <c r="F291" s="26"/>
      <c r="G291" s="26"/>
      <c r="H291" s="26"/>
      <c r="I291" s="26"/>
    </row>
    <row r="292" ht="14.25" customHeight="1">
      <c r="A292" s="26"/>
      <c r="B292" s="26"/>
      <c r="C292" s="26"/>
      <c r="D292" s="26"/>
      <c r="E292" s="26"/>
      <c r="F292" s="26"/>
      <c r="G292" s="26"/>
      <c r="H292" s="26"/>
      <c r="I292" s="26"/>
    </row>
    <row r="293" ht="14.25" customHeight="1">
      <c r="A293" s="26"/>
      <c r="B293" s="26"/>
      <c r="C293" s="26"/>
      <c r="D293" s="26"/>
      <c r="E293" s="26"/>
      <c r="F293" s="26"/>
      <c r="G293" s="26"/>
      <c r="H293" s="26"/>
      <c r="I293" s="26"/>
    </row>
    <row r="294" ht="14.25" customHeight="1">
      <c r="A294" s="26"/>
      <c r="B294" s="26"/>
      <c r="C294" s="26"/>
      <c r="D294" s="26"/>
      <c r="E294" s="26"/>
      <c r="F294" s="26"/>
      <c r="G294" s="26"/>
      <c r="H294" s="26"/>
      <c r="I294" s="26"/>
    </row>
    <row r="295" ht="14.25" customHeight="1">
      <c r="A295" s="26"/>
      <c r="B295" s="26"/>
      <c r="C295" s="26"/>
      <c r="D295" s="26"/>
      <c r="E295" s="26"/>
      <c r="F295" s="26"/>
      <c r="G295" s="26"/>
      <c r="H295" s="26"/>
      <c r="I295" s="26"/>
    </row>
    <row r="296" ht="14.25" customHeight="1">
      <c r="A296" s="26"/>
      <c r="B296" s="26"/>
      <c r="C296" s="26"/>
      <c r="D296" s="26"/>
      <c r="E296" s="26"/>
      <c r="F296" s="26"/>
      <c r="G296" s="26"/>
      <c r="H296" s="26"/>
      <c r="I296" s="26"/>
    </row>
    <row r="297" ht="14.25" customHeight="1">
      <c r="A297" s="26"/>
      <c r="B297" s="26"/>
      <c r="C297" s="26"/>
      <c r="D297" s="26"/>
      <c r="E297" s="26"/>
      <c r="F297" s="26"/>
      <c r="G297" s="26"/>
      <c r="H297" s="26"/>
      <c r="I297" s="26"/>
    </row>
    <row r="298" ht="14.25" customHeight="1">
      <c r="A298" s="26"/>
      <c r="B298" s="26"/>
      <c r="C298" s="26"/>
      <c r="D298" s="26"/>
      <c r="E298" s="26"/>
      <c r="F298" s="26"/>
      <c r="G298" s="26"/>
      <c r="H298" s="26"/>
      <c r="I298" s="26"/>
    </row>
    <row r="299" ht="14.25" customHeight="1">
      <c r="A299" s="26"/>
      <c r="B299" s="26"/>
      <c r="C299" s="26"/>
      <c r="D299" s="26"/>
      <c r="E299" s="26"/>
      <c r="F299" s="26"/>
      <c r="G299" s="26"/>
      <c r="H299" s="26"/>
      <c r="I299" s="26"/>
    </row>
    <row r="300" ht="14.25" customHeight="1">
      <c r="A300" s="26"/>
      <c r="B300" s="26"/>
      <c r="C300" s="26"/>
      <c r="D300" s="26"/>
      <c r="E300" s="26"/>
      <c r="F300" s="26"/>
      <c r="G300" s="26"/>
      <c r="H300" s="26"/>
      <c r="I300" s="26"/>
    </row>
    <row r="301" ht="14.25" customHeight="1">
      <c r="A301" s="26"/>
      <c r="B301" s="26"/>
      <c r="C301" s="26"/>
      <c r="D301" s="26"/>
      <c r="E301" s="26"/>
      <c r="F301" s="26"/>
      <c r="G301" s="26"/>
      <c r="H301" s="26"/>
      <c r="I301" s="26"/>
    </row>
    <row r="302" ht="14.25" customHeight="1">
      <c r="A302" s="26"/>
      <c r="B302" s="26"/>
      <c r="C302" s="26"/>
      <c r="D302" s="26"/>
      <c r="E302" s="26"/>
      <c r="F302" s="26"/>
      <c r="G302" s="26"/>
      <c r="H302" s="26"/>
      <c r="I302" s="26"/>
    </row>
    <row r="303" ht="14.25" customHeight="1">
      <c r="A303" s="26"/>
      <c r="B303" s="26"/>
      <c r="C303" s="26"/>
      <c r="D303" s="26"/>
      <c r="E303" s="26"/>
      <c r="F303" s="26"/>
      <c r="G303" s="26"/>
      <c r="H303" s="26"/>
      <c r="I303" s="26"/>
    </row>
    <row r="304" ht="14.25" customHeight="1">
      <c r="A304" s="26"/>
      <c r="B304" s="26"/>
      <c r="C304" s="26"/>
      <c r="D304" s="26"/>
      <c r="E304" s="26"/>
      <c r="F304" s="26"/>
      <c r="G304" s="26"/>
      <c r="H304" s="26"/>
      <c r="I304" s="26"/>
    </row>
    <row r="305" ht="14.25" customHeight="1">
      <c r="A305" s="26"/>
      <c r="B305" s="26"/>
      <c r="C305" s="26"/>
      <c r="D305" s="26"/>
      <c r="E305" s="26"/>
      <c r="F305" s="26"/>
      <c r="G305" s="26"/>
      <c r="H305" s="26"/>
      <c r="I305" s="26"/>
    </row>
    <row r="306" ht="14.25" customHeight="1">
      <c r="A306" s="26"/>
      <c r="B306" s="26"/>
      <c r="C306" s="26"/>
      <c r="D306" s="26"/>
      <c r="E306" s="26"/>
      <c r="F306" s="26"/>
      <c r="G306" s="26"/>
      <c r="H306" s="26"/>
      <c r="I306" s="26"/>
    </row>
    <row r="307" ht="14.25" customHeight="1">
      <c r="A307" s="26"/>
      <c r="B307" s="26"/>
      <c r="C307" s="26"/>
      <c r="D307" s="26"/>
      <c r="E307" s="26"/>
      <c r="F307" s="26"/>
      <c r="G307" s="26"/>
      <c r="H307" s="26"/>
      <c r="I307" s="26"/>
    </row>
    <row r="308" ht="14.25" customHeight="1">
      <c r="A308" s="26"/>
      <c r="B308" s="26"/>
      <c r="C308" s="26"/>
      <c r="D308" s="26"/>
      <c r="E308" s="26"/>
      <c r="F308" s="26"/>
      <c r="G308" s="26"/>
      <c r="H308" s="26"/>
      <c r="I308" s="26"/>
    </row>
    <row r="309" ht="14.25" customHeight="1">
      <c r="A309" s="26"/>
      <c r="B309" s="26"/>
      <c r="C309" s="26"/>
      <c r="D309" s="26"/>
      <c r="E309" s="26"/>
      <c r="F309" s="26"/>
      <c r="G309" s="26"/>
      <c r="H309" s="26"/>
      <c r="I309" s="26"/>
    </row>
    <row r="310" ht="14.25" customHeight="1">
      <c r="A310" s="26"/>
      <c r="B310" s="26"/>
      <c r="C310" s="26"/>
      <c r="D310" s="26"/>
      <c r="E310" s="26"/>
      <c r="F310" s="26"/>
      <c r="G310" s="26"/>
      <c r="H310" s="26"/>
      <c r="I310" s="26"/>
    </row>
    <row r="311" ht="14.25" customHeight="1">
      <c r="A311" s="26"/>
      <c r="B311" s="26"/>
      <c r="C311" s="26"/>
      <c r="D311" s="26"/>
      <c r="E311" s="26"/>
      <c r="F311" s="26"/>
      <c r="G311" s="26"/>
      <c r="H311" s="26"/>
      <c r="I311" s="26"/>
    </row>
    <row r="312" ht="14.25" customHeight="1">
      <c r="A312" s="26"/>
      <c r="B312" s="26"/>
      <c r="C312" s="26"/>
      <c r="D312" s="26"/>
      <c r="E312" s="26"/>
      <c r="F312" s="26"/>
      <c r="G312" s="26"/>
      <c r="H312" s="26"/>
      <c r="I312" s="26"/>
    </row>
    <row r="313" ht="14.25" customHeight="1">
      <c r="A313" s="26"/>
      <c r="B313" s="26"/>
      <c r="C313" s="26"/>
      <c r="D313" s="26"/>
      <c r="E313" s="26"/>
      <c r="F313" s="26"/>
      <c r="G313" s="26"/>
      <c r="H313" s="26"/>
      <c r="I313" s="26"/>
    </row>
    <row r="314" ht="14.25" customHeight="1">
      <c r="A314" s="26"/>
      <c r="B314" s="26"/>
      <c r="C314" s="26"/>
      <c r="D314" s="26"/>
      <c r="E314" s="26"/>
      <c r="F314" s="26"/>
      <c r="G314" s="26"/>
      <c r="H314" s="26"/>
      <c r="I314" s="26"/>
    </row>
    <row r="315" ht="14.25" customHeight="1">
      <c r="A315" s="26"/>
      <c r="B315" s="26"/>
      <c r="C315" s="26"/>
      <c r="D315" s="26"/>
      <c r="E315" s="26"/>
      <c r="F315" s="26"/>
      <c r="G315" s="26"/>
      <c r="H315" s="26"/>
      <c r="I315" s="26"/>
    </row>
    <row r="316" ht="14.25" customHeight="1">
      <c r="A316" s="26"/>
      <c r="B316" s="26"/>
      <c r="C316" s="26"/>
      <c r="D316" s="26"/>
      <c r="E316" s="26"/>
      <c r="F316" s="26"/>
      <c r="G316" s="26"/>
      <c r="H316" s="26"/>
      <c r="I316" s="26"/>
    </row>
    <row r="317" ht="14.25" customHeight="1">
      <c r="A317" s="26"/>
      <c r="B317" s="26"/>
      <c r="C317" s="26"/>
      <c r="D317" s="26"/>
      <c r="E317" s="26"/>
      <c r="F317" s="26"/>
      <c r="G317" s="26"/>
      <c r="H317" s="26"/>
      <c r="I317" s="26"/>
    </row>
    <row r="318" ht="14.25" customHeight="1">
      <c r="A318" s="26"/>
      <c r="B318" s="26"/>
      <c r="C318" s="26"/>
      <c r="D318" s="26"/>
      <c r="E318" s="26"/>
      <c r="F318" s="26"/>
      <c r="G318" s="26"/>
      <c r="H318" s="26"/>
      <c r="I318" s="26"/>
    </row>
    <row r="319" ht="14.25" customHeight="1">
      <c r="A319" s="26"/>
      <c r="B319" s="26"/>
      <c r="C319" s="26"/>
      <c r="D319" s="26"/>
      <c r="E319" s="26"/>
      <c r="F319" s="26"/>
      <c r="G319" s="26"/>
      <c r="H319" s="26"/>
      <c r="I319" s="26"/>
    </row>
    <row r="320" ht="14.25" customHeight="1">
      <c r="A320" s="26"/>
      <c r="B320" s="26"/>
      <c r="C320" s="26"/>
      <c r="D320" s="26"/>
      <c r="E320" s="26"/>
      <c r="F320" s="26"/>
      <c r="G320" s="26"/>
      <c r="H320" s="26"/>
      <c r="I320" s="26"/>
    </row>
    <row r="321" ht="14.25" customHeight="1">
      <c r="A321" s="26"/>
      <c r="B321" s="26"/>
      <c r="C321" s="26"/>
      <c r="D321" s="26"/>
      <c r="E321" s="26"/>
      <c r="F321" s="26"/>
      <c r="G321" s="26"/>
      <c r="H321" s="26"/>
      <c r="I321" s="26"/>
    </row>
    <row r="322" ht="14.25" customHeight="1">
      <c r="A322" s="26"/>
      <c r="B322" s="26"/>
      <c r="C322" s="26"/>
      <c r="D322" s="26"/>
      <c r="E322" s="26"/>
      <c r="F322" s="26"/>
      <c r="G322" s="26"/>
      <c r="H322" s="26"/>
      <c r="I322" s="26"/>
    </row>
    <row r="323" ht="14.25" customHeight="1">
      <c r="A323" s="26"/>
      <c r="B323" s="26"/>
      <c r="C323" s="26"/>
      <c r="D323" s="26"/>
      <c r="E323" s="26"/>
      <c r="F323" s="26"/>
      <c r="G323" s="26"/>
      <c r="H323" s="26"/>
      <c r="I323" s="26"/>
    </row>
    <row r="324" ht="14.25" customHeight="1">
      <c r="A324" s="26"/>
      <c r="B324" s="26"/>
      <c r="C324" s="26"/>
      <c r="D324" s="26"/>
      <c r="E324" s="26"/>
      <c r="F324" s="26"/>
      <c r="G324" s="26"/>
      <c r="H324" s="26"/>
      <c r="I324" s="26"/>
    </row>
    <row r="325" ht="14.25" customHeight="1">
      <c r="A325" s="26"/>
      <c r="B325" s="26"/>
      <c r="C325" s="26"/>
      <c r="D325" s="26"/>
      <c r="E325" s="26"/>
      <c r="F325" s="26"/>
      <c r="G325" s="26"/>
      <c r="H325" s="26"/>
      <c r="I325" s="26"/>
    </row>
    <row r="326" ht="14.25" customHeight="1">
      <c r="A326" s="26"/>
      <c r="B326" s="26"/>
      <c r="C326" s="26"/>
      <c r="D326" s="26"/>
      <c r="E326" s="26"/>
      <c r="F326" s="26"/>
      <c r="G326" s="26"/>
      <c r="H326" s="26"/>
      <c r="I326" s="26"/>
    </row>
    <row r="327" ht="14.25" customHeight="1">
      <c r="A327" s="26"/>
      <c r="B327" s="26"/>
      <c r="C327" s="26"/>
      <c r="D327" s="26"/>
      <c r="E327" s="26"/>
      <c r="F327" s="26"/>
      <c r="G327" s="26"/>
      <c r="H327" s="26"/>
      <c r="I327" s="26"/>
    </row>
    <row r="328" ht="14.25" customHeight="1">
      <c r="A328" s="26"/>
      <c r="B328" s="26"/>
      <c r="C328" s="26"/>
      <c r="D328" s="26"/>
      <c r="E328" s="26"/>
      <c r="F328" s="26"/>
      <c r="G328" s="26"/>
      <c r="H328" s="26"/>
      <c r="I328" s="26"/>
    </row>
    <row r="329" ht="14.25" customHeight="1">
      <c r="A329" s="26"/>
      <c r="B329" s="26"/>
      <c r="C329" s="26"/>
      <c r="D329" s="26"/>
      <c r="E329" s="26"/>
      <c r="F329" s="26"/>
      <c r="G329" s="26"/>
      <c r="H329" s="26"/>
      <c r="I329" s="26"/>
    </row>
    <row r="330" ht="14.25" customHeight="1">
      <c r="A330" s="26"/>
      <c r="B330" s="26"/>
      <c r="C330" s="26"/>
      <c r="D330" s="26"/>
      <c r="E330" s="26"/>
      <c r="F330" s="26"/>
      <c r="G330" s="26"/>
      <c r="H330" s="26"/>
      <c r="I330" s="26"/>
    </row>
    <row r="331" ht="14.25" customHeight="1">
      <c r="A331" s="26"/>
      <c r="B331" s="26"/>
      <c r="C331" s="26"/>
      <c r="D331" s="26"/>
      <c r="E331" s="26"/>
      <c r="F331" s="26"/>
      <c r="G331" s="26"/>
      <c r="H331" s="26"/>
      <c r="I331" s="26"/>
    </row>
    <row r="332" ht="14.25" customHeight="1">
      <c r="A332" s="26"/>
      <c r="B332" s="26"/>
      <c r="C332" s="26"/>
      <c r="D332" s="26"/>
      <c r="E332" s="26"/>
      <c r="F332" s="26"/>
      <c r="G332" s="26"/>
      <c r="H332" s="26"/>
      <c r="I332" s="26"/>
    </row>
    <row r="333" ht="14.25" customHeight="1">
      <c r="A333" s="26"/>
      <c r="B333" s="26"/>
      <c r="C333" s="26"/>
      <c r="D333" s="26"/>
      <c r="E333" s="26"/>
      <c r="F333" s="26"/>
      <c r="G333" s="26"/>
      <c r="H333" s="26"/>
      <c r="I333" s="26"/>
    </row>
    <row r="334" ht="14.25" customHeight="1">
      <c r="A334" s="26"/>
      <c r="B334" s="26"/>
      <c r="C334" s="26"/>
      <c r="D334" s="26"/>
      <c r="E334" s="26"/>
      <c r="F334" s="26"/>
      <c r="G334" s="26"/>
      <c r="H334" s="26"/>
      <c r="I334" s="26"/>
    </row>
    <row r="335" ht="14.25" customHeight="1">
      <c r="A335" s="26"/>
      <c r="B335" s="26"/>
      <c r="C335" s="26"/>
      <c r="D335" s="26"/>
      <c r="E335" s="26"/>
      <c r="F335" s="26"/>
      <c r="G335" s="26"/>
      <c r="H335" s="26"/>
      <c r="I335" s="26"/>
    </row>
    <row r="336" ht="14.25" customHeight="1">
      <c r="A336" s="26"/>
      <c r="B336" s="26"/>
      <c r="C336" s="26"/>
      <c r="D336" s="26"/>
      <c r="E336" s="26"/>
      <c r="F336" s="26"/>
      <c r="G336" s="26"/>
      <c r="H336" s="26"/>
      <c r="I336" s="26"/>
    </row>
    <row r="337" ht="14.25" customHeight="1">
      <c r="A337" s="26"/>
      <c r="B337" s="26"/>
      <c r="C337" s="26"/>
      <c r="D337" s="26"/>
      <c r="E337" s="26"/>
      <c r="F337" s="26"/>
      <c r="G337" s="26"/>
      <c r="H337" s="26"/>
      <c r="I337" s="26"/>
    </row>
    <row r="338" ht="14.25" customHeight="1">
      <c r="A338" s="26"/>
      <c r="B338" s="26"/>
      <c r="C338" s="26"/>
      <c r="D338" s="26"/>
      <c r="E338" s="26"/>
      <c r="F338" s="26"/>
      <c r="G338" s="26"/>
      <c r="H338" s="26"/>
      <c r="I338" s="26"/>
    </row>
    <row r="339" ht="14.25" customHeight="1">
      <c r="A339" s="26"/>
      <c r="B339" s="26"/>
      <c r="C339" s="26"/>
      <c r="D339" s="26"/>
      <c r="E339" s="26"/>
      <c r="F339" s="26"/>
      <c r="G339" s="26"/>
      <c r="H339" s="26"/>
      <c r="I339" s="26"/>
    </row>
    <row r="340" ht="14.25" customHeight="1">
      <c r="A340" s="26"/>
      <c r="B340" s="26"/>
      <c r="C340" s="26"/>
      <c r="D340" s="26"/>
      <c r="E340" s="26"/>
      <c r="F340" s="26"/>
      <c r="G340" s="26"/>
      <c r="H340" s="26"/>
      <c r="I340" s="26"/>
    </row>
    <row r="341" ht="14.25" customHeight="1">
      <c r="A341" s="26"/>
      <c r="B341" s="26"/>
      <c r="C341" s="26"/>
      <c r="D341" s="26"/>
      <c r="E341" s="26"/>
      <c r="F341" s="26"/>
      <c r="G341" s="26"/>
      <c r="H341" s="26"/>
      <c r="I341" s="26"/>
    </row>
    <row r="342" ht="14.25" customHeight="1">
      <c r="A342" s="26"/>
      <c r="B342" s="26"/>
      <c r="C342" s="26"/>
      <c r="D342" s="26"/>
      <c r="E342" s="26"/>
      <c r="F342" s="26"/>
      <c r="G342" s="26"/>
      <c r="H342" s="26"/>
      <c r="I342" s="26"/>
    </row>
    <row r="343" ht="14.25" customHeight="1">
      <c r="A343" s="26"/>
      <c r="B343" s="26"/>
      <c r="C343" s="26"/>
      <c r="D343" s="26"/>
      <c r="E343" s="26"/>
      <c r="F343" s="26"/>
      <c r="G343" s="26"/>
      <c r="H343" s="26"/>
      <c r="I343" s="26"/>
    </row>
    <row r="344" ht="14.25" customHeight="1">
      <c r="A344" s="26"/>
      <c r="B344" s="26"/>
      <c r="C344" s="26"/>
      <c r="D344" s="26"/>
      <c r="E344" s="26"/>
      <c r="F344" s="26"/>
      <c r="G344" s="26"/>
      <c r="H344" s="26"/>
      <c r="I344" s="26"/>
    </row>
    <row r="345" ht="14.25" customHeight="1">
      <c r="A345" s="26"/>
      <c r="B345" s="26"/>
      <c r="C345" s="26"/>
      <c r="D345" s="26"/>
      <c r="E345" s="26"/>
      <c r="F345" s="26"/>
      <c r="G345" s="26"/>
      <c r="H345" s="26"/>
      <c r="I345" s="26"/>
    </row>
    <row r="346" ht="14.25" customHeight="1">
      <c r="A346" s="26"/>
      <c r="B346" s="26"/>
      <c r="C346" s="26"/>
      <c r="D346" s="26"/>
      <c r="E346" s="26"/>
      <c r="F346" s="26"/>
      <c r="G346" s="26"/>
      <c r="H346" s="26"/>
      <c r="I346" s="26"/>
    </row>
    <row r="347" ht="14.25" customHeight="1">
      <c r="A347" s="26"/>
      <c r="B347" s="26"/>
      <c r="C347" s="26"/>
      <c r="D347" s="26"/>
      <c r="E347" s="26"/>
      <c r="F347" s="26"/>
      <c r="G347" s="26"/>
      <c r="H347" s="26"/>
      <c r="I347" s="26"/>
    </row>
    <row r="348" ht="14.25" customHeight="1">
      <c r="A348" s="26"/>
      <c r="B348" s="26"/>
      <c r="C348" s="26"/>
      <c r="D348" s="26"/>
      <c r="E348" s="26"/>
      <c r="F348" s="26"/>
      <c r="G348" s="26"/>
      <c r="H348" s="26"/>
      <c r="I348" s="26"/>
    </row>
    <row r="349" ht="14.25" customHeight="1">
      <c r="A349" s="26"/>
      <c r="B349" s="26"/>
      <c r="C349" s="26"/>
      <c r="D349" s="26"/>
      <c r="E349" s="26"/>
      <c r="F349" s="26"/>
      <c r="G349" s="26"/>
      <c r="H349" s="26"/>
      <c r="I349" s="26"/>
    </row>
    <row r="350" ht="14.25" customHeight="1">
      <c r="A350" s="26"/>
      <c r="B350" s="26"/>
      <c r="C350" s="26"/>
      <c r="D350" s="26"/>
      <c r="E350" s="26"/>
      <c r="F350" s="26"/>
      <c r="G350" s="26"/>
      <c r="H350" s="26"/>
      <c r="I350" s="26"/>
    </row>
    <row r="351" ht="14.25" customHeight="1">
      <c r="A351" s="26"/>
      <c r="B351" s="26"/>
      <c r="C351" s="26"/>
      <c r="D351" s="26"/>
      <c r="E351" s="26"/>
      <c r="F351" s="26"/>
      <c r="G351" s="26"/>
      <c r="H351" s="26"/>
      <c r="I351" s="26"/>
    </row>
    <row r="352" ht="14.25" customHeight="1">
      <c r="A352" s="26"/>
      <c r="B352" s="26"/>
      <c r="C352" s="26"/>
      <c r="D352" s="26"/>
      <c r="E352" s="26"/>
      <c r="F352" s="26"/>
      <c r="G352" s="26"/>
      <c r="H352" s="26"/>
      <c r="I352" s="26"/>
    </row>
    <row r="353" ht="14.25" customHeight="1">
      <c r="A353" s="26"/>
      <c r="B353" s="26"/>
      <c r="C353" s="26"/>
      <c r="D353" s="26"/>
      <c r="E353" s="26"/>
      <c r="F353" s="26"/>
      <c r="G353" s="26"/>
      <c r="H353" s="26"/>
      <c r="I353" s="26"/>
    </row>
    <row r="354" ht="14.25" customHeight="1">
      <c r="A354" s="26"/>
      <c r="B354" s="26"/>
      <c r="C354" s="26"/>
      <c r="D354" s="26"/>
      <c r="E354" s="26"/>
      <c r="F354" s="26"/>
      <c r="G354" s="26"/>
      <c r="H354" s="26"/>
      <c r="I354" s="26"/>
    </row>
    <row r="355" ht="14.25" customHeight="1">
      <c r="A355" s="26"/>
      <c r="B355" s="26"/>
      <c r="C355" s="26"/>
      <c r="D355" s="26"/>
      <c r="E355" s="26"/>
      <c r="F355" s="26"/>
      <c r="G355" s="26"/>
      <c r="H355" s="26"/>
      <c r="I355" s="26"/>
    </row>
    <row r="356" ht="14.25" customHeight="1">
      <c r="A356" s="26"/>
      <c r="B356" s="26"/>
      <c r="C356" s="26"/>
      <c r="D356" s="26"/>
      <c r="E356" s="26"/>
      <c r="F356" s="26"/>
      <c r="G356" s="26"/>
      <c r="H356" s="26"/>
      <c r="I356" s="26"/>
    </row>
    <row r="357" ht="14.25" customHeight="1">
      <c r="A357" s="26"/>
      <c r="B357" s="26"/>
      <c r="C357" s="26"/>
      <c r="D357" s="26"/>
      <c r="E357" s="26"/>
      <c r="F357" s="26"/>
      <c r="G357" s="26"/>
      <c r="H357" s="26"/>
      <c r="I357" s="26"/>
    </row>
    <row r="358" ht="14.25" customHeight="1">
      <c r="A358" s="26"/>
      <c r="B358" s="26"/>
      <c r="C358" s="26"/>
      <c r="D358" s="26"/>
      <c r="E358" s="26"/>
      <c r="F358" s="26"/>
      <c r="G358" s="26"/>
      <c r="H358" s="26"/>
      <c r="I358" s="26"/>
    </row>
    <row r="359" ht="14.25" customHeight="1">
      <c r="A359" s="26"/>
      <c r="B359" s="26"/>
      <c r="C359" s="26"/>
      <c r="D359" s="26"/>
      <c r="E359" s="26"/>
      <c r="F359" s="26"/>
      <c r="G359" s="26"/>
      <c r="H359" s="26"/>
      <c r="I359" s="26"/>
    </row>
    <row r="360" ht="14.25" customHeight="1">
      <c r="A360" s="26"/>
      <c r="B360" s="26"/>
      <c r="C360" s="26"/>
      <c r="D360" s="26"/>
      <c r="E360" s="26"/>
      <c r="F360" s="26"/>
      <c r="G360" s="26"/>
      <c r="H360" s="26"/>
      <c r="I360" s="26"/>
    </row>
    <row r="361" ht="14.25" customHeight="1">
      <c r="A361" s="26"/>
      <c r="B361" s="26"/>
      <c r="C361" s="26"/>
      <c r="D361" s="26"/>
      <c r="E361" s="26"/>
      <c r="F361" s="26"/>
      <c r="G361" s="26"/>
      <c r="H361" s="26"/>
      <c r="I361" s="26"/>
    </row>
    <row r="362" ht="14.25" customHeight="1">
      <c r="A362" s="26"/>
      <c r="B362" s="26"/>
      <c r="C362" s="26"/>
      <c r="D362" s="26"/>
      <c r="E362" s="26"/>
      <c r="F362" s="26"/>
      <c r="G362" s="26"/>
      <c r="H362" s="26"/>
      <c r="I362" s="26"/>
    </row>
    <row r="363" ht="14.25" customHeight="1">
      <c r="A363" s="26"/>
      <c r="B363" s="26"/>
      <c r="C363" s="26"/>
      <c r="D363" s="26"/>
      <c r="E363" s="26"/>
      <c r="F363" s="26"/>
      <c r="G363" s="26"/>
      <c r="H363" s="26"/>
      <c r="I363" s="26"/>
    </row>
    <row r="364" ht="14.25" customHeight="1">
      <c r="A364" s="26"/>
      <c r="B364" s="26"/>
      <c r="C364" s="26"/>
      <c r="D364" s="26"/>
      <c r="E364" s="26"/>
      <c r="F364" s="26"/>
      <c r="G364" s="26"/>
      <c r="H364" s="26"/>
      <c r="I364" s="26"/>
    </row>
    <row r="365" ht="14.25" customHeight="1">
      <c r="A365" s="26"/>
      <c r="B365" s="26"/>
      <c r="C365" s="26"/>
      <c r="D365" s="26"/>
      <c r="E365" s="26"/>
      <c r="F365" s="26"/>
      <c r="G365" s="26"/>
      <c r="H365" s="26"/>
      <c r="I365" s="26"/>
    </row>
    <row r="366" ht="14.25" customHeight="1">
      <c r="A366" s="26"/>
      <c r="B366" s="26"/>
      <c r="C366" s="26"/>
      <c r="D366" s="26"/>
      <c r="E366" s="26"/>
      <c r="F366" s="26"/>
      <c r="G366" s="26"/>
      <c r="H366" s="26"/>
      <c r="I366" s="26"/>
    </row>
    <row r="367" ht="14.25" customHeight="1">
      <c r="A367" s="26"/>
      <c r="B367" s="26"/>
      <c r="C367" s="26"/>
      <c r="D367" s="26"/>
      <c r="E367" s="26"/>
      <c r="F367" s="26"/>
      <c r="G367" s="26"/>
      <c r="H367" s="26"/>
      <c r="I367" s="26"/>
    </row>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A5:A167">
      <formula1>'Licences &amp; Certificates'!$A$5:$A$73</formula1>
    </dataValidation>
    <dataValidation type="list" allowBlank="1" showErrorMessage="1" sqref="H5:H167">
      <formula1>Lists!$E$5:$E$8</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7.57"/>
    <col customWidth="1" min="2" max="2" width="27.71"/>
    <col customWidth="1" min="3" max="3" width="38.86"/>
    <col customWidth="1" min="4" max="6" width="27.71"/>
    <col customWidth="1" min="7" max="7" width="16.71"/>
    <col customWidth="1" min="8" max="8" width="9.29"/>
    <col customWidth="1" min="9" max="9" width="31.43"/>
    <col customWidth="1" min="10" max="26" width="8.71"/>
  </cols>
  <sheetData>
    <row r="1" ht="25.5" customHeight="1">
      <c r="A1" s="307" t="s">
        <v>1367</v>
      </c>
      <c r="B1" s="307"/>
      <c r="C1" s="307"/>
      <c r="D1" s="307"/>
      <c r="E1" s="307"/>
      <c r="F1" s="307"/>
      <c r="G1" s="307"/>
      <c r="H1" s="307"/>
      <c r="I1" s="307"/>
    </row>
    <row r="2" ht="14.25" customHeight="1">
      <c r="A2" s="30" t="s">
        <v>1368</v>
      </c>
      <c r="B2" s="26"/>
      <c r="C2" s="26"/>
      <c r="D2" s="26"/>
      <c r="E2" s="26"/>
      <c r="F2" s="26"/>
      <c r="G2" s="26"/>
      <c r="H2" s="26"/>
      <c r="I2" s="26"/>
    </row>
    <row r="3" ht="14.25" customHeight="1">
      <c r="A3" s="26"/>
      <c r="B3" s="26"/>
      <c r="C3" s="26"/>
      <c r="D3" s="26"/>
      <c r="E3" s="26"/>
      <c r="F3" s="26"/>
      <c r="G3" s="26"/>
      <c r="H3" s="26"/>
      <c r="I3" s="26"/>
    </row>
    <row r="4" ht="30.0" customHeight="1">
      <c r="A4" s="280" t="s">
        <v>1211</v>
      </c>
      <c r="B4" s="280" t="s">
        <v>560</v>
      </c>
      <c r="C4" s="280" t="s">
        <v>218</v>
      </c>
      <c r="D4" s="280" t="s">
        <v>1371</v>
      </c>
      <c r="E4" s="280" t="s">
        <v>1372</v>
      </c>
      <c r="F4" s="280" t="s">
        <v>354</v>
      </c>
    </row>
    <row r="5" ht="14.25" customHeight="1">
      <c r="A5" s="282" t="s">
        <v>1306</v>
      </c>
      <c r="B5" s="282" t="str">
        <f t="array" ref="B5">IF($A5="","",IFERROR(INDEX('Licences &amp; Certificates'!$K$5:$K$73,MATCH($A5,'Licences &amp; Certificates'!$A$5:$A$73,0))&amp;"","Unknown ID"))</f>
        <v>EPA/CTP-001/01/R0526</v>
      </c>
      <c r="C5" s="282" t="str">
        <f t="array" ref="C5">IF($A5="","",IFERROR(INDEX('Licences &amp; Certificates'!$C$5:$C$73,MATCH($A5,'Licences &amp; Certificates'!$A$5:$A$73,0)),"Unknown ID"))</f>
        <v>AMASCO</v>
      </c>
      <c r="D5" s="282" t="s">
        <v>1375</v>
      </c>
      <c r="E5" s="282" t="s">
        <v>1376</v>
      </c>
      <c r="F5" s="282" t="s">
        <v>1377</v>
      </c>
    </row>
    <row r="6" ht="14.25" customHeight="1">
      <c r="A6" s="282" t="s">
        <v>1306</v>
      </c>
      <c r="B6" s="282" t="str">
        <f t="array" ref="B6">IF($A6="","",IFERROR(INDEX('Licences &amp; Certificates'!$K$5:$K$73,MATCH($A6,'Licences &amp; Certificates'!$A$5:$A$73,0))&amp;"","Unknown ID"))</f>
        <v>EPA/CTP-001/01/R0526</v>
      </c>
      <c r="C6" s="282" t="str">
        <f t="array" ref="C6">IF($A6="","",IFERROR(INDEX('Licences &amp; Certificates'!$C$5:$C$73,MATCH($A6,'Licences &amp; Certificates'!$A$5:$A$73,0)),"Unknown ID"))</f>
        <v>AMASCO</v>
      </c>
      <c r="D6" s="282" t="s">
        <v>1375</v>
      </c>
      <c r="E6" s="282" t="s">
        <v>1376</v>
      </c>
      <c r="F6" s="282" t="s">
        <v>1380</v>
      </c>
      <c r="G6" s="26"/>
      <c r="H6" s="26"/>
      <c r="I6" s="26"/>
    </row>
    <row r="7" ht="14.25" customHeight="1">
      <c r="A7" s="282" t="s">
        <v>1306</v>
      </c>
      <c r="B7" s="282" t="str">
        <f t="array" ref="B7">IF($A7="","",IFERROR(INDEX('Licences &amp; Certificates'!$K$5:$K$73,MATCH($A7,'Licences &amp; Certificates'!$A$5:$A$73,0))&amp;"","Unknown ID"))</f>
        <v>EPA/CTP-001/01/R0526</v>
      </c>
      <c r="C7" s="282" t="str">
        <f t="array" ref="C7">IF($A7="","",IFERROR(INDEX('Licences &amp; Certificates'!$C$5:$C$73,MATCH($A7,'Licences &amp; Certificates'!$A$5:$A$73,0)),"Unknown ID"))</f>
        <v>AMASCO</v>
      </c>
      <c r="D7" s="282" t="s">
        <v>1375</v>
      </c>
      <c r="E7" s="282" t="s">
        <v>1383</v>
      </c>
      <c r="F7" s="282" t="s">
        <v>1384</v>
      </c>
      <c r="G7" s="26"/>
      <c r="H7" s="26"/>
      <c r="I7" s="26"/>
    </row>
    <row r="8" ht="14.25" customHeight="1">
      <c r="A8" s="282" t="s">
        <v>1306</v>
      </c>
      <c r="B8" s="282" t="str">
        <f t="array" ref="B8">IF($A8="","",IFERROR(INDEX('Licences &amp; Certificates'!$K$5:$K$73,MATCH($A8,'Licences &amp; Certificates'!$A$5:$A$73,0))&amp;"","Unknown ID"))</f>
        <v>EPA/CTP-001/01/R0526</v>
      </c>
      <c r="C8" s="282" t="str">
        <f t="array" ref="C8">IF($A8="","",IFERROR(INDEX('Licences &amp; Certificates'!$C$5:$C$73,MATCH($A8,'Licences &amp; Certificates'!$A$5:$A$73,0)),"Unknown ID"))</f>
        <v>AMASCO</v>
      </c>
      <c r="D8" s="282" t="s">
        <v>1375</v>
      </c>
      <c r="E8" s="282" t="s">
        <v>1387</v>
      </c>
      <c r="F8" s="282" t="s">
        <v>1388</v>
      </c>
      <c r="G8" s="26"/>
      <c r="H8" s="26"/>
      <c r="I8" s="26"/>
    </row>
    <row r="9" ht="14.25" customHeight="1">
      <c r="A9" s="282" t="s">
        <v>1306</v>
      </c>
      <c r="B9" s="282" t="str">
        <f t="array" ref="B9">IF($A9="","",IFERROR(INDEX('Licences &amp; Certificates'!$K$5:$K$73,MATCH($A9,'Licences &amp; Certificates'!$A$5:$A$73,0))&amp;"","Unknown ID"))</f>
        <v>EPA/CTP-001/01/R0526</v>
      </c>
      <c r="C9" s="282" t="str">
        <f t="array" ref="C9">IF($A9="","",IFERROR(INDEX('Licences &amp; Certificates'!$C$5:$C$73,MATCH($A9,'Licences &amp; Certificates'!$A$5:$A$73,0)),"Unknown ID"))</f>
        <v>AMASCO</v>
      </c>
      <c r="D9" s="282" t="s">
        <v>1375</v>
      </c>
      <c r="E9" s="282" t="s">
        <v>1389</v>
      </c>
      <c r="F9" s="282" t="s">
        <v>1390</v>
      </c>
      <c r="G9" s="26"/>
      <c r="H9" s="26"/>
      <c r="I9" s="26"/>
    </row>
    <row r="10" ht="14.25" customHeight="1">
      <c r="A10" s="282" t="s">
        <v>1306</v>
      </c>
      <c r="B10" s="282" t="str">
        <f t="array" ref="B10">IF($A10="","",IFERROR(INDEX('Licences &amp; Certificates'!$K$5:$K$73,MATCH($A10,'Licences &amp; Certificates'!$A$5:$A$73,0))&amp;"","Unknown ID"))</f>
        <v>EPA/CTP-001/01/R0526</v>
      </c>
      <c r="C10" s="282" t="str">
        <f t="array" ref="C10">IF($A10="","",IFERROR(INDEX('Licences &amp; Certificates'!$C$5:$C$73,MATCH($A10,'Licences &amp; Certificates'!$A$5:$A$73,0)),"Unknown ID"))</f>
        <v>AMASCO</v>
      </c>
      <c r="D10" s="282" t="s">
        <v>1375</v>
      </c>
      <c r="E10" s="282" t="s">
        <v>1393</v>
      </c>
      <c r="F10" s="282" t="s">
        <v>1394</v>
      </c>
      <c r="G10" s="26"/>
      <c r="H10" s="26"/>
      <c r="I10" s="26"/>
    </row>
    <row r="11" ht="14.25" customHeight="1">
      <c r="A11" s="282" t="s">
        <v>1306</v>
      </c>
      <c r="B11" s="282" t="str">
        <f t="array" ref="B11">IF($A11="","",IFERROR(INDEX('Licences &amp; Certificates'!$K$5:$K$73,MATCH($A11,'Licences &amp; Certificates'!$A$5:$A$73,0))&amp;"","Unknown ID"))</f>
        <v>EPA/CTP-001/01/R0526</v>
      </c>
      <c r="C11" s="282" t="str">
        <f t="array" ref="C11">IF($A11="","",IFERROR(INDEX('Licences &amp; Certificates'!$C$5:$C$73,MATCH($A11,'Licences &amp; Certificates'!$A$5:$A$73,0)),"Unknown ID"))</f>
        <v>AMASCO</v>
      </c>
      <c r="D11" s="282" t="s">
        <v>1375</v>
      </c>
      <c r="E11" s="282" t="s">
        <v>1397</v>
      </c>
      <c r="F11" s="282" t="s">
        <v>1398</v>
      </c>
      <c r="G11" s="26"/>
      <c r="H11" s="26"/>
      <c r="I11" s="26"/>
    </row>
    <row r="12" ht="14.25" customHeight="1">
      <c r="A12" s="282" t="s">
        <v>1306</v>
      </c>
      <c r="B12" s="282" t="str">
        <f t="array" ref="B12">IF($A12="","",IFERROR(INDEX('Licences &amp; Certificates'!$K$5:$K$73,MATCH($A12,'Licences &amp; Certificates'!$A$5:$A$73,0))&amp;"","Unknown ID"))</f>
        <v>EPA/CTP-001/01/R0526</v>
      </c>
      <c r="C12" s="282" t="str">
        <f t="array" ref="C12">IF($A12="","",IFERROR(INDEX('Licences &amp; Certificates'!$C$5:$C$73,MATCH($A12,'Licences &amp; Certificates'!$A$5:$A$73,0)),"Unknown ID"))</f>
        <v>AMASCO</v>
      </c>
      <c r="D12" s="282" t="s">
        <v>1375</v>
      </c>
      <c r="E12" s="282" t="s">
        <v>1401</v>
      </c>
      <c r="F12" s="282" t="s">
        <v>1402</v>
      </c>
      <c r="G12" s="26"/>
      <c r="H12" s="26"/>
      <c r="I12" s="26"/>
    </row>
    <row r="13" ht="14.25" customHeight="1">
      <c r="A13" s="282" t="s">
        <v>1306</v>
      </c>
      <c r="B13" s="282" t="str">
        <f t="array" ref="B13">IF($A13="","",IFERROR(INDEX('Licences &amp; Certificates'!$K$5:$K$73,MATCH($A13,'Licences &amp; Certificates'!$A$5:$A$73,0))&amp;"","Unknown ID"))</f>
        <v>EPA/CTP-001/01/R0526</v>
      </c>
      <c r="C13" s="282" t="str">
        <f t="array" ref="C13">IF($A13="","",IFERROR(INDEX('Licences &amp; Certificates'!$C$5:$C$73,MATCH($A13,'Licences &amp; Certificates'!$A$5:$A$73,0)),"Unknown ID"))</f>
        <v>AMASCO</v>
      </c>
      <c r="D13" s="282" t="s">
        <v>1375</v>
      </c>
      <c r="E13" s="282" t="s">
        <v>1404</v>
      </c>
      <c r="F13" s="282" t="s">
        <v>1405</v>
      </c>
      <c r="G13" s="26"/>
      <c r="H13" s="26"/>
      <c r="I13" s="26"/>
    </row>
    <row r="14" ht="14.25" customHeight="1">
      <c r="A14" s="282" t="s">
        <v>1306</v>
      </c>
      <c r="B14" s="282" t="str">
        <f t="array" ref="B14">IF($A14="","",IFERROR(INDEX('Licences &amp; Certificates'!$K$5:$K$73,MATCH($A14,'Licences &amp; Certificates'!$A$5:$A$73,0))&amp;"","Unknown ID"))</f>
        <v>EPA/CTP-001/01/R0526</v>
      </c>
      <c r="C14" s="282" t="str">
        <f t="array" ref="C14">IF($A14="","",IFERROR(INDEX('Licences &amp; Certificates'!$C$5:$C$73,MATCH($A14,'Licences &amp; Certificates'!$A$5:$A$73,0)),"Unknown ID"))</f>
        <v>AMASCO</v>
      </c>
      <c r="D14" s="282" t="s">
        <v>1375</v>
      </c>
      <c r="E14" s="282" t="s">
        <v>1406</v>
      </c>
      <c r="F14" s="282" t="s">
        <v>1407</v>
      </c>
      <c r="G14" s="26"/>
      <c r="H14" s="26"/>
      <c r="I14" s="26"/>
    </row>
    <row r="15" ht="14.25" customHeight="1">
      <c r="A15" s="282" t="s">
        <v>1306</v>
      </c>
      <c r="B15" s="282" t="str">
        <f t="array" ref="B15">IF($A15="","",IFERROR(INDEX('Licences &amp; Certificates'!$K$5:$K$73,MATCH($A15,'Licences &amp; Certificates'!$A$5:$A$73,0))&amp;"","Unknown ID"))</f>
        <v>EPA/CTP-001/01/R0526</v>
      </c>
      <c r="C15" s="282" t="str">
        <f t="array" ref="C15">IF($A15="","",IFERROR(INDEX('Licences &amp; Certificates'!$C$5:$C$73,MATCH($A15,'Licences &amp; Certificates'!$A$5:$A$73,0)),"Unknown ID"))</f>
        <v>AMASCO</v>
      </c>
      <c r="D15" s="282" t="s">
        <v>1375</v>
      </c>
      <c r="E15" s="282" t="s">
        <v>1410</v>
      </c>
      <c r="F15" s="282" t="s">
        <v>1411</v>
      </c>
      <c r="G15" s="26"/>
      <c r="H15" s="26"/>
      <c r="I15" s="26"/>
    </row>
    <row r="16" ht="14.25" customHeight="1">
      <c r="A16" s="282" t="s">
        <v>1306</v>
      </c>
      <c r="B16" s="282" t="str">
        <f t="array" ref="B16">IF($A16="","",IFERROR(INDEX('Licences &amp; Certificates'!$K$5:$K$73,MATCH($A16,'Licences &amp; Certificates'!$A$5:$A$73,0))&amp;"","Unknown ID"))</f>
        <v>EPA/CTP-001/01/R0526</v>
      </c>
      <c r="C16" s="282" t="str">
        <f t="array" ref="C16">IF($A16="","",IFERROR(INDEX('Licences &amp; Certificates'!$C$5:$C$73,MATCH($A16,'Licences &amp; Certificates'!$A$5:$A$73,0)),"Unknown ID"))</f>
        <v>AMASCO</v>
      </c>
      <c r="D16" s="282" t="s">
        <v>1375</v>
      </c>
      <c r="E16" s="282" t="s">
        <v>1414</v>
      </c>
      <c r="F16" s="282" t="s">
        <v>1415</v>
      </c>
      <c r="G16" s="26"/>
      <c r="H16" s="26"/>
      <c r="I16" s="26"/>
    </row>
    <row r="17" ht="14.25" customHeight="1">
      <c r="A17" s="282" t="s">
        <v>1306</v>
      </c>
      <c r="B17" s="282" t="str">
        <f t="array" ref="B17">IF($A17="","",IFERROR(INDEX('Licences &amp; Certificates'!$K$5:$K$73,MATCH($A17,'Licences &amp; Certificates'!$A$5:$A$73,0))&amp;"","Unknown ID"))</f>
        <v>EPA/CTP-001/01/R0526</v>
      </c>
      <c r="C17" s="282" t="str">
        <f t="array" ref="C17">IF($A17="","",IFERROR(INDEX('Licences &amp; Certificates'!$C$5:$C$73,MATCH($A17,'Licences &amp; Certificates'!$A$5:$A$73,0)),"Unknown ID"))</f>
        <v>AMASCO</v>
      </c>
      <c r="D17" s="282" t="s">
        <v>1375</v>
      </c>
      <c r="E17" s="282" t="s">
        <v>1418</v>
      </c>
      <c r="F17" s="282" t="s">
        <v>1419</v>
      </c>
      <c r="G17" s="26"/>
      <c r="H17" s="26"/>
      <c r="I17" s="26"/>
    </row>
    <row r="18" ht="14.25" customHeight="1">
      <c r="A18" s="282" t="s">
        <v>1306</v>
      </c>
      <c r="B18" s="282" t="str">
        <f t="array" ref="B18">IF($A18="","",IFERROR(INDEX('Licences &amp; Certificates'!$K$5:$K$73,MATCH($A18,'Licences &amp; Certificates'!$A$5:$A$73,0))&amp;"","Unknown ID"))</f>
        <v>EPA/CTP-001/01/R0526</v>
      </c>
      <c r="C18" s="282" t="str">
        <f t="array" ref="C18">IF($A18="","",IFERROR(INDEX('Licences &amp; Certificates'!$C$5:$C$73,MATCH($A18,'Licences &amp; Certificates'!$A$5:$A$73,0)),"Unknown ID"))</f>
        <v>AMASCO</v>
      </c>
      <c r="D18" s="282" t="s">
        <v>1375</v>
      </c>
      <c r="E18" s="282" t="s">
        <v>1420</v>
      </c>
      <c r="F18" s="282" t="s">
        <v>1421</v>
      </c>
      <c r="G18" s="26"/>
      <c r="H18" s="26"/>
      <c r="I18" s="26"/>
    </row>
    <row r="19" ht="14.25" customHeight="1">
      <c r="A19" s="282" t="s">
        <v>1201</v>
      </c>
      <c r="B19" s="282" t="str">
        <f t="array" ref="B19">IF($A19="","",IFERROR(INDEX('Licences &amp; Certificates'!$K$5:$K$73,MATCH($A19,'Licences &amp; Certificates'!$A$5:$A$73,0))&amp;"","Unknown ID"))</f>
        <v>EPA/CTL-002/0126</v>
      </c>
      <c r="C19" s="282" t="str">
        <f t="array" ref="C19">IF($A19="","",IFERROR(INDEX('Licences &amp; Certificates'!$C$5:$C$73,MATCH($A19,'Licences &amp; Certificates'!$A$5:$A$73,0)),"Unknown ID"))</f>
        <v>Dauda Transport Services</v>
      </c>
      <c r="D19" s="282" t="s">
        <v>1375</v>
      </c>
      <c r="E19" s="282" t="s">
        <v>1376</v>
      </c>
      <c r="F19" s="282"/>
      <c r="G19" s="26"/>
      <c r="H19" s="26"/>
      <c r="I19" s="26"/>
    </row>
    <row r="20" ht="14.25" customHeight="1">
      <c r="A20" s="282" t="s">
        <v>1201</v>
      </c>
      <c r="B20" s="282" t="str">
        <f t="array" ref="B20">IF($A20="","",IFERROR(INDEX('Licences &amp; Certificates'!$K$5:$K$73,MATCH($A20,'Licences &amp; Certificates'!$A$5:$A$73,0))&amp;"","Unknown ID"))</f>
        <v>EPA/CTL-002/0126</v>
      </c>
      <c r="C20" s="282" t="str">
        <f t="array" ref="C20">IF($A20="","",IFERROR(INDEX('Licences &amp; Certificates'!$C$5:$C$73,MATCH($A20,'Licences &amp; Certificates'!$A$5:$A$73,0)),"Unknown ID"))</f>
        <v>Dauda Transport Services</v>
      </c>
      <c r="D20" s="282" t="s">
        <v>1375</v>
      </c>
      <c r="E20" s="282" t="s">
        <v>1376</v>
      </c>
      <c r="F20" s="282"/>
      <c r="G20" s="26"/>
      <c r="H20" s="26"/>
      <c r="I20" s="26"/>
    </row>
    <row r="21" ht="14.25" customHeight="1">
      <c r="A21" s="282" t="s">
        <v>1201</v>
      </c>
      <c r="B21" s="282" t="str">
        <f t="array" ref="B21">IF($A21="","",IFERROR(INDEX('Licences &amp; Certificates'!$K$5:$K$73,MATCH($A21,'Licences &amp; Certificates'!$A$5:$A$73,0))&amp;"","Unknown ID"))</f>
        <v>EPA/CTL-002/0126</v>
      </c>
      <c r="C21" s="282" t="str">
        <f t="array" ref="C21">IF($A21="","",IFERROR(INDEX('Licences &amp; Certificates'!$C$5:$C$73,MATCH($A21,'Licences &amp; Certificates'!$A$5:$A$73,0)),"Unknown ID"))</f>
        <v>Dauda Transport Services</v>
      </c>
      <c r="D21" s="282" t="s">
        <v>1375</v>
      </c>
      <c r="E21" s="282" t="s">
        <v>1376</v>
      </c>
      <c r="F21" s="282"/>
      <c r="G21" s="26"/>
      <c r="H21" s="26"/>
      <c r="I21" s="26"/>
    </row>
    <row r="22" ht="14.25" customHeight="1">
      <c r="A22" s="282" t="s">
        <v>1201</v>
      </c>
      <c r="B22" s="282" t="str">
        <f t="array" ref="B22">IF($A22="","",IFERROR(INDEX('Licences &amp; Certificates'!$K$5:$K$73,MATCH($A22,'Licences &amp; Certificates'!$A$5:$A$73,0))&amp;"","Unknown ID"))</f>
        <v>EPA/CTL-002/0126</v>
      </c>
      <c r="C22" s="282" t="str">
        <f t="array" ref="C22">IF($A22="","",IFERROR(INDEX('Licences &amp; Certificates'!$C$5:$C$73,MATCH($A22,'Licences &amp; Certificates'!$A$5:$A$73,0)),"Unknown ID"))</f>
        <v>Dauda Transport Services</v>
      </c>
      <c r="D22" s="282" t="s">
        <v>1375</v>
      </c>
      <c r="E22" s="282" t="s">
        <v>1376</v>
      </c>
      <c r="F22" s="282"/>
      <c r="G22" s="26"/>
      <c r="H22" s="26"/>
      <c r="I22" s="26"/>
    </row>
    <row r="23" ht="14.25" customHeight="1">
      <c r="A23" s="282" t="s">
        <v>1201</v>
      </c>
      <c r="B23" s="282" t="str">
        <f t="array" ref="B23">IF($A23="","",IFERROR(INDEX('Licences &amp; Certificates'!$K$5:$K$73,MATCH($A23,'Licences &amp; Certificates'!$A$5:$A$73,0))&amp;"","Unknown ID"))</f>
        <v>EPA/CTL-002/0126</v>
      </c>
      <c r="C23" s="282" t="str">
        <f t="array" ref="C23">IF($A23="","",IFERROR(INDEX('Licences &amp; Certificates'!$C$5:$C$73,MATCH($A23,'Licences &amp; Certificates'!$A$5:$A$73,0)),"Unknown ID"))</f>
        <v>Dauda Transport Services</v>
      </c>
      <c r="D23" s="282" t="s">
        <v>1375</v>
      </c>
      <c r="E23" s="282" t="s">
        <v>1376</v>
      </c>
      <c r="F23" s="282"/>
      <c r="G23" s="26"/>
      <c r="H23" s="26"/>
      <c r="I23" s="26"/>
    </row>
    <row r="24" ht="14.25" customHeight="1">
      <c r="A24" s="282" t="s">
        <v>1201</v>
      </c>
      <c r="B24" s="282" t="str">
        <f t="array" ref="B24">IF($A24="","",IFERROR(INDEX('Licences &amp; Certificates'!$K$5:$K$73,MATCH($A24,'Licences &amp; Certificates'!$A$5:$A$73,0))&amp;"","Unknown ID"))</f>
        <v>EPA/CTL-002/0126</v>
      </c>
      <c r="C24" s="282" t="str">
        <f t="array" ref="C24">IF($A24="","",IFERROR(INDEX('Licences &amp; Certificates'!$C$5:$C$73,MATCH($A24,'Licences &amp; Certificates'!$A$5:$A$73,0)),"Unknown ID"))</f>
        <v>Dauda Transport Services</v>
      </c>
      <c r="D24" s="282" t="s">
        <v>1375</v>
      </c>
      <c r="E24" s="282" t="s">
        <v>1376</v>
      </c>
      <c r="F24" s="282"/>
      <c r="G24" s="26"/>
      <c r="H24" s="26"/>
      <c r="I24" s="26"/>
    </row>
    <row r="25" ht="14.25" customHeight="1">
      <c r="A25" s="282" t="s">
        <v>1201</v>
      </c>
      <c r="B25" s="282" t="str">
        <f t="array" ref="B25">IF($A25="","",IFERROR(INDEX('Licences &amp; Certificates'!$K$5:$K$73,MATCH($A25,'Licences &amp; Certificates'!$A$5:$A$73,0))&amp;"","Unknown ID"))</f>
        <v>EPA/CTL-002/0126</v>
      </c>
      <c r="C25" s="282" t="str">
        <f t="array" ref="C25">IF($A25="","",IFERROR(INDEX('Licences &amp; Certificates'!$C$5:$C$73,MATCH($A25,'Licences &amp; Certificates'!$A$5:$A$73,0)),"Unknown ID"))</f>
        <v>Dauda Transport Services</v>
      </c>
      <c r="D25" s="282" t="s">
        <v>1375</v>
      </c>
      <c r="E25" s="282" t="s">
        <v>1376</v>
      </c>
      <c r="F25" s="282"/>
      <c r="G25" s="26"/>
      <c r="H25" s="26"/>
      <c r="I25" s="26"/>
    </row>
    <row r="26" ht="14.25" customHeight="1">
      <c r="A26" s="282" t="s">
        <v>1201</v>
      </c>
      <c r="B26" s="282" t="str">
        <f t="array" ref="B26">IF($A26="","",IFERROR(INDEX('Licences &amp; Certificates'!$K$5:$K$73,MATCH($A26,'Licences &amp; Certificates'!$A$5:$A$73,0))&amp;"","Unknown ID"))</f>
        <v>EPA/CTL-002/0126</v>
      </c>
      <c r="C26" s="282" t="str">
        <f t="array" ref="C26">IF($A26="","",IFERROR(INDEX('Licences &amp; Certificates'!$C$5:$C$73,MATCH($A26,'Licences &amp; Certificates'!$A$5:$A$73,0)),"Unknown ID"))</f>
        <v>Dauda Transport Services</v>
      </c>
      <c r="D26" s="282" t="s">
        <v>1375</v>
      </c>
      <c r="E26" s="282" t="s">
        <v>1376</v>
      </c>
      <c r="F26" s="282"/>
      <c r="G26" s="26"/>
      <c r="H26" s="26"/>
      <c r="I26" s="26"/>
    </row>
    <row r="27" ht="14.25" customHeight="1">
      <c r="A27" s="282" t="s">
        <v>1201</v>
      </c>
      <c r="B27" s="282" t="str">
        <f t="array" ref="B27">IF($A27="","",IFERROR(INDEX('Licences &amp; Certificates'!$K$5:$K$73,MATCH($A27,'Licences &amp; Certificates'!$A$5:$A$73,0))&amp;"","Unknown ID"))</f>
        <v>EPA/CTL-002/0126</v>
      </c>
      <c r="C27" s="282" t="str">
        <f t="array" ref="C27">IF($A27="","",IFERROR(INDEX('Licences &amp; Certificates'!$C$5:$C$73,MATCH($A27,'Licences &amp; Certificates'!$A$5:$A$73,0)),"Unknown ID"))</f>
        <v>Dauda Transport Services</v>
      </c>
      <c r="D27" s="282" t="s">
        <v>1375</v>
      </c>
      <c r="E27" s="282" t="s">
        <v>1376</v>
      </c>
      <c r="F27" s="282"/>
      <c r="G27" s="26"/>
      <c r="H27" s="26"/>
      <c r="I27" s="26"/>
    </row>
    <row r="28" ht="14.25" customHeight="1">
      <c r="A28" s="282" t="s">
        <v>1201</v>
      </c>
      <c r="B28" s="282" t="str">
        <f t="array" ref="B28">IF($A28="","",IFERROR(INDEX('Licences &amp; Certificates'!$K$5:$K$73,MATCH($A28,'Licences &amp; Certificates'!$A$5:$A$73,0))&amp;"","Unknown ID"))</f>
        <v>EPA/CTL-002/0126</v>
      </c>
      <c r="C28" s="282" t="str">
        <f t="array" ref="C28">IF($A28="","",IFERROR(INDEX('Licences &amp; Certificates'!$C$5:$C$73,MATCH($A28,'Licences &amp; Certificates'!$A$5:$A$73,0)),"Unknown ID"))</f>
        <v>Dauda Transport Services</v>
      </c>
      <c r="D28" s="282" t="s">
        <v>1375</v>
      </c>
      <c r="E28" s="282" t="s">
        <v>1376</v>
      </c>
      <c r="F28" s="282"/>
      <c r="G28" s="26"/>
      <c r="H28" s="26"/>
      <c r="I28" s="26"/>
    </row>
    <row r="29" ht="14.25" customHeight="1">
      <c r="A29" s="282" t="s">
        <v>1201</v>
      </c>
      <c r="B29" s="282" t="str">
        <f t="array" ref="B29">IF($A29="","",IFERROR(INDEX('Licences &amp; Certificates'!$K$5:$K$73,MATCH($A29,'Licences &amp; Certificates'!$A$5:$A$73,0))&amp;"","Unknown ID"))</f>
        <v>EPA/CTL-002/0126</v>
      </c>
      <c r="C29" s="282" t="str">
        <f t="array" ref="C29">IF($A29="","",IFERROR(INDEX('Licences &amp; Certificates'!$C$5:$C$73,MATCH($A29,'Licences &amp; Certificates'!$A$5:$A$73,0)),"Unknown ID"))</f>
        <v>Dauda Transport Services</v>
      </c>
      <c r="D29" s="282" t="s">
        <v>1375</v>
      </c>
      <c r="E29" s="282" t="s">
        <v>1376</v>
      </c>
      <c r="F29" s="282"/>
      <c r="G29" s="26"/>
      <c r="H29" s="26"/>
      <c r="I29" s="26"/>
    </row>
    <row r="30" ht="14.25" customHeight="1">
      <c r="A30" s="282" t="s">
        <v>1201</v>
      </c>
      <c r="B30" s="282" t="str">
        <f t="array" ref="B30">IF($A30="","",IFERROR(INDEX('Licences &amp; Certificates'!$K$5:$K$73,MATCH($A30,'Licences &amp; Certificates'!$A$5:$A$73,0))&amp;"","Unknown ID"))</f>
        <v>EPA/CTL-002/0126</v>
      </c>
      <c r="C30" s="282" t="str">
        <f t="array" ref="C30">IF($A30="","",IFERROR(INDEX('Licences &amp; Certificates'!$C$5:$C$73,MATCH($A30,'Licences &amp; Certificates'!$A$5:$A$73,0)),"Unknown ID"))</f>
        <v>Dauda Transport Services</v>
      </c>
      <c r="D30" s="282" t="s">
        <v>1375</v>
      </c>
      <c r="E30" s="282" t="s">
        <v>1440</v>
      </c>
      <c r="F30" s="282"/>
      <c r="G30" s="26"/>
      <c r="H30" s="26"/>
      <c r="I30" s="26"/>
    </row>
    <row r="31" ht="14.25" customHeight="1">
      <c r="A31" s="282" t="s">
        <v>1201</v>
      </c>
      <c r="B31" s="282" t="str">
        <f t="array" ref="B31">IF($A31="","",IFERROR(INDEX('Licences &amp; Certificates'!$K$5:$K$73,MATCH($A31,'Licences &amp; Certificates'!$A$5:$A$73,0))&amp;"","Unknown ID"))</f>
        <v>EPA/CTL-002/0126</v>
      </c>
      <c r="C31" s="282" t="str">
        <f t="array" ref="C31">IF($A31="","",IFERROR(INDEX('Licences &amp; Certificates'!$C$5:$C$73,MATCH($A31,'Licences &amp; Certificates'!$A$5:$A$73,0)),"Unknown ID"))</f>
        <v>Dauda Transport Services</v>
      </c>
      <c r="D31" s="282" t="s">
        <v>1375</v>
      </c>
      <c r="E31" s="282" t="s">
        <v>1376</v>
      </c>
      <c r="F31" s="282"/>
      <c r="G31" s="26"/>
      <c r="H31" s="26"/>
      <c r="I31" s="26"/>
    </row>
    <row r="32" ht="14.25" customHeight="1">
      <c r="A32" s="282" t="s">
        <v>1201</v>
      </c>
      <c r="B32" s="282" t="str">
        <f t="array" ref="B32">IF($A32="","",IFERROR(INDEX('Licences &amp; Certificates'!$K$5:$K$73,MATCH($A32,'Licences &amp; Certificates'!$A$5:$A$73,0))&amp;"","Unknown ID"))</f>
        <v>EPA/CTL-002/0126</v>
      </c>
      <c r="C32" s="282" t="str">
        <f t="array" ref="C32">IF($A32="","",IFERROR(INDEX('Licences &amp; Certificates'!$C$5:$C$73,MATCH($A32,'Licences &amp; Certificates'!$A$5:$A$73,0)),"Unknown ID"))</f>
        <v>Dauda Transport Services</v>
      </c>
      <c r="D32" s="282" t="s">
        <v>1375</v>
      </c>
      <c r="E32" s="282" t="s">
        <v>1445</v>
      </c>
      <c r="F32" s="282"/>
      <c r="G32" s="26"/>
      <c r="H32" s="26"/>
      <c r="I32" s="26"/>
    </row>
    <row r="33" ht="14.25" customHeight="1">
      <c r="A33" s="282" t="s">
        <v>1201</v>
      </c>
      <c r="B33" s="282" t="str">
        <f t="array" ref="B33">IF($A33="","",IFERROR(INDEX('Licences &amp; Certificates'!$K$5:$K$73,MATCH($A33,'Licences &amp; Certificates'!$A$5:$A$73,0))&amp;"","Unknown ID"))</f>
        <v>EPA/CTL-002/0126</v>
      </c>
      <c r="C33" s="282" t="str">
        <f t="array" ref="C33">IF($A33="","",IFERROR(INDEX('Licences &amp; Certificates'!$C$5:$C$73,MATCH($A33,'Licences &amp; Certificates'!$A$5:$A$73,0)),"Unknown ID"))</f>
        <v>Dauda Transport Services</v>
      </c>
      <c r="D33" s="282" t="s">
        <v>1375</v>
      </c>
      <c r="E33" s="282" t="s">
        <v>1447</v>
      </c>
      <c r="F33" s="282"/>
      <c r="G33" s="26"/>
      <c r="H33" s="26"/>
      <c r="I33" s="26"/>
    </row>
    <row r="34" ht="14.25" customHeight="1">
      <c r="A34" s="282" t="s">
        <v>1201</v>
      </c>
      <c r="B34" s="282" t="str">
        <f t="array" ref="B34">IF($A34="","",IFERROR(INDEX('Licences &amp; Certificates'!$K$5:$K$73,MATCH($A34,'Licences &amp; Certificates'!$A$5:$A$73,0))&amp;"","Unknown ID"))</f>
        <v>EPA/CTL-002/0126</v>
      </c>
      <c r="C34" s="282" t="str">
        <f t="array" ref="C34">IF($A34="","",IFERROR(INDEX('Licences &amp; Certificates'!$C$5:$C$73,MATCH($A34,'Licences &amp; Certificates'!$A$5:$A$73,0)),"Unknown ID"))</f>
        <v>Dauda Transport Services</v>
      </c>
      <c r="D34" s="282" t="s">
        <v>1375</v>
      </c>
      <c r="E34" s="282" t="s">
        <v>1448</v>
      </c>
      <c r="F34" s="282"/>
      <c r="G34" s="26"/>
      <c r="H34" s="26"/>
      <c r="I34" s="26"/>
    </row>
    <row r="35" ht="14.25" customHeight="1">
      <c r="A35" s="282" t="s">
        <v>1201</v>
      </c>
      <c r="B35" s="282" t="str">
        <f t="array" ref="B35">IF($A35="","",IFERROR(INDEX('Licences &amp; Certificates'!$K$5:$K$73,MATCH($A35,'Licences &amp; Certificates'!$A$5:$A$73,0))&amp;"","Unknown ID"))</f>
        <v>EPA/CTL-002/0126</v>
      </c>
      <c r="C35" s="282" t="str">
        <f t="array" ref="C35">IF($A35="","",IFERROR(INDEX('Licences &amp; Certificates'!$C$5:$C$73,MATCH($A35,'Licences &amp; Certificates'!$A$5:$A$73,0)),"Unknown ID"))</f>
        <v>Dauda Transport Services</v>
      </c>
      <c r="D35" s="282" t="s">
        <v>1375</v>
      </c>
      <c r="E35" s="282" t="s">
        <v>1376</v>
      </c>
      <c r="F35" s="282"/>
      <c r="G35" s="26"/>
      <c r="H35" s="26"/>
      <c r="I35" s="26"/>
    </row>
    <row r="36" ht="14.25" customHeight="1">
      <c r="A36" s="282" t="s">
        <v>1201</v>
      </c>
      <c r="B36" s="282" t="str">
        <f t="array" ref="B36">IF($A36="","",IFERROR(INDEX('Licences &amp; Certificates'!$K$5:$K$73,MATCH($A36,'Licences &amp; Certificates'!$A$5:$A$73,0))&amp;"","Unknown ID"))</f>
        <v>EPA/CTL-002/0126</v>
      </c>
      <c r="C36" s="282" t="str">
        <f t="array" ref="C36">IF($A36="","",IFERROR(INDEX('Licences &amp; Certificates'!$C$5:$C$73,MATCH($A36,'Licences &amp; Certificates'!$A$5:$A$73,0)),"Unknown ID"))</f>
        <v>Dauda Transport Services</v>
      </c>
      <c r="D36" s="282" t="s">
        <v>1375</v>
      </c>
      <c r="E36" s="282" t="s">
        <v>1453</v>
      </c>
      <c r="F36" s="282"/>
      <c r="G36" s="26"/>
      <c r="H36" s="26"/>
      <c r="I36" s="26"/>
    </row>
    <row r="37" ht="14.25" customHeight="1">
      <c r="A37" s="282" t="s">
        <v>1299</v>
      </c>
      <c r="B37" s="282" t="str">
        <f t="array" ref="B37">IF($A37="","",IFERROR(INDEX('Licences &amp; Certificates'!$K$5:$K$73,MATCH($A37,'Licences &amp; Certificates'!$A$5:$A$73,0))&amp;"","Unknown ID"))</f>
        <v>EPA/CTP-001/01/R0726</v>
      </c>
      <c r="C37" s="282" t="str">
        <f t="array" ref="C37">IF($A37="","",IFERROR(INDEX('Licences &amp; Certificates'!$C$5:$C$73,MATCH($A37,'Licences &amp; Certificates'!$A$5:$A$73,0)),"Unknown ID"))</f>
        <v>Everette Transport Corporation</v>
      </c>
      <c r="D37" s="282" t="s">
        <v>1375</v>
      </c>
      <c r="E37" s="282" t="s">
        <v>1454</v>
      </c>
      <c r="F37" s="282" t="s">
        <v>1377</v>
      </c>
      <c r="G37" s="26"/>
      <c r="H37" s="26"/>
      <c r="I37" s="26"/>
    </row>
    <row r="38" ht="14.25" customHeight="1">
      <c r="A38" s="282" t="s">
        <v>1299</v>
      </c>
      <c r="B38" s="282" t="str">
        <f t="array" ref="B38">IF($A38="","",IFERROR(INDEX('Licences &amp; Certificates'!$K$5:$K$73,MATCH($A38,'Licences &amp; Certificates'!$A$5:$A$73,0))&amp;"","Unknown ID"))</f>
        <v>EPA/CTP-001/01/R0726</v>
      </c>
      <c r="C38" s="282" t="str">
        <f t="array" ref="C38">IF($A38="","",IFERROR(INDEX('Licences &amp; Certificates'!$C$5:$C$73,MATCH($A38,'Licences &amp; Certificates'!$A$5:$A$73,0)),"Unknown ID"))</f>
        <v>Everette Transport Corporation</v>
      </c>
      <c r="D38" s="282" t="s">
        <v>1375</v>
      </c>
      <c r="E38" s="282" t="s">
        <v>1456</v>
      </c>
      <c r="F38" s="282" t="s">
        <v>1380</v>
      </c>
      <c r="G38" s="26"/>
      <c r="H38" s="26"/>
      <c r="I38" s="26"/>
    </row>
    <row r="39" ht="14.25" customHeight="1">
      <c r="A39" s="282" t="s">
        <v>1299</v>
      </c>
      <c r="B39" s="282" t="str">
        <f t="array" ref="B39">IF($A39="","",IFERROR(INDEX('Licences &amp; Certificates'!$K$5:$K$73,MATCH($A39,'Licences &amp; Certificates'!$A$5:$A$73,0))&amp;"","Unknown ID"))</f>
        <v>EPA/CTP-001/01/R0726</v>
      </c>
      <c r="C39" s="282" t="str">
        <f t="array" ref="C39">IF($A39="","",IFERROR(INDEX('Licences &amp; Certificates'!$C$5:$C$73,MATCH($A39,'Licences &amp; Certificates'!$A$5:$A$73,0)),"Unknown ID"))</f>
        <v>Everette Transport Corporation</v>
      </c>
      <c r="D39" s="282" t="s">
        <v>1375</v>
      </c>
      <c r="E39" s="282" t="s">
        <v>1457</v>
      </c>
      <c r="F39" s="282" t="s">
        <v>1384</v>
      </c>
      <c r="G39" s="26"/>
      <c r="H39" s="26"/>
      <c r="I39" s="26"/>
    </row>
    <row r="40" ht="14.25" customHeight="1">
      <c r="A40" s="282" t="s">
        <v>1299</v>
      </c>
      <c r="B40" s="282" t="str">
        <f t="array" ref="B40">IF($A40="","",IFERROR(INDEX('Licences &amp; Certificates'!$K$5:$K$73,MATCH($A40,'Licences &amp; Certificates'!$A$5:$A$73,0))&amp;"","Unknown ID"))</f>
        <v>EPA/CTP-001/01/R0726</v>
      </c>
      <c r="C40" s="282" t="str">
        <f t="array" ref="C40">IF($A40="","",IFERROR(INDEX('Licences &amp; Certificates'!$C$5:$C$73,MATCH($A40,'Licences &amp; Certificates'!$A$5:$A$73,0)),"Unknown ID"))</f>
        <v>Everette Transport Corporation</v>
      </c>
      <c r="D40" s="282" t="s">
        <v>1375</v>
      </c>
      <c r="E40" s="282" t="s">
        <v>1459</v>
      </c>
      <c r="F40" s="282" t="s">
        <v>1388</v>
      </c>
      <c r="G40" s="26"/>
      <c r="H40" s="26"/>
      <c r="I40" s="26"/>
    </row>
    <row r="41" ht="14.25" customHeight="1">
      <c r="A41" s="282" t="s">
        <v>1299</v>
      </c>
      <c r="B41" s="282" t="str">
        <f t="array" ref="B41">IF($A41="","",IFERROR(INDEX('Licences &amp; Certificates'!$K$5:$K$73,MATCH($A41,'Licences &amp; Certificates'!$A$5:$A$73,0))&amp;"","Unknown ID"))</f>
        <v>EPA/CTP-001/01/R0726</v>
      </c>
      <c r="C41" s="282" t="str">
        <f t="array" ref="C41">IF($A41="","",IFERROR(INDEX('Licences &amp; Certificates'!$C$5:$C$73,MATCH($A41,'Licences &amp; Certificates'!$A$5:$A$73,0)),"Unknown ID"))</f>
        <v>Everette Transport Corporation</v>
      </c>
      <c r="D41" s="282" t="s">
        <v>1375</v>
      </c>
      <c r="E41" s="282" t="s">
        <v>1461</v>
      </c>
      <c r="F41" s="282" t="s">
        <v>1390</v>
      </c>
      <c r="G41" s="26"/>
      <c r="H41" s="26"/>
      <c r="I41" s="26"/>
    </row>
    <row r="42" ht="14.25" customHeight="1">
      <c r="A42" s="282" t="s">
        <v>1190</v>
      </c>
      <c r="B42" s="282" t="str">
        <f t="array" ref="B42">IF($A42="","",IFERROR(INDEX('Licences &amp; Certificates'!$K$5:$K$73,MATCH($A42,'Licences &amp; Certificates'!$A$5:$A$73,0))&amp;"","Unknown ID"))</f>
        <v>EPA/CTP-012/01/24</v>
      </c>
      <c r="C42" s="282" t="str">
        <f t="array" ref="C42">IF($A42="","",IFERROR(INDEX('Licences &amp; Certificates'!$C$5:$C$73,MATCH($A42,'Licences &amp; Certificates'!$A$5:$A$73,0)),"Unknown ID"))</f>
        <v>Everette Transport Corporation</v>
      </c>
      <c r="D42" s="282" t="s">
        <v>1375</v>
      </c>
      <c r="E42" s="282" t="s">
        <v>1462</v>
      </c>
      <c r="F42" s="282" t="s">
        <v>1377</v>
      </c>
      <c r="G42" s="26"/>
      <c r="H42" s="26"/>
      <c r="I42" s="26"/>
    </row>
    <row r="43" ht="14.25" customHeight="1">
      <c r="A43" s="282" t="s">
        <v>1190</v>
      </c>
      <c r="B43" s="282" t="str">
        <f t="array" ref="B43">IF($A43="","",IFERROR(INDEX('Licences &amp; Certificates'!$K$5:$K$73,MATCH($A43,'Licences &amp; Certificates'!$A$5:$A$73,0))&amp;"","Unknown ID"))</f>
        <v>EPA/CTP-012/01/24</v>
      </c>
      <c r="C43" s="282" t="str">
        <f t="array" ref="C43">IF($A43="","",IFERROR(INDEX('Licences &amp; Certificates'!$C$5:$C$73,MATCH($A43,'Licences &amp; Certificates'!$A$5:$A$73,0)),"Unknown ID"))</f>
        <v>Everette Transport Corporation</v>
      </c>
      <c r="D43" s="282" t="s">
        <v>1375</v>
      </c>
      <c r="E43" s="282" t="s">
        <v>1465</v>
      </c>
      <c r="F43" s="282" t="s">
        <v>1380</v>
      </c>
      <c r="G43" s="26"/>
      <c r="H43" s="26"/>
      <c r="I43" s="26"/>
    </row>
    <row r="44" ht="14.25" customHeight="1">
      <c r="A44" s="282" t="s">
        <v>1190</v>
      </c>
      <c r="B44" s="282" t="str">
        <f t="array" ref="B44">IF($A44="","",IFERROR(INDEX('Licences &amp; Certificates'!$K$5:$K$73,MATCH($A44,'Licences &amp; Certificates'!$A$5:$A$73,0))&amp;"","Unknown ID"))</f>
        <v>EPA/CTP-012/01/24</v>
      </c>
      <c r="C44" s="282" t="str">
        <f t="array" ref="C44">IF($A44="","",IFERROR(INDEX('Licences &amp; Certificates'!$C$5:$C$73,MATCH($A44,'Licences &amp; Certificates'!$A$5:$A$73,0)),"Unknown ID"))</f>
        <v>Everette Transport Corporation</v>
      </c>
      <c r="D44" s="282" t="s">
        <v>1375</v>
      </c>
      <c r="E44" s="282" t="s">
        <v>1468</v>
      </c>
      <c r="F44" s="282" t="s">
        <v>1384</v>
      </c>
      <c r="G44" s="26"/>
      <c r="H44" s="26"/>
      <c r="I44" s="26"/>
    </row>
    <row r="45" ht="14.25" customHeight="1">
      <c r="A45" s="282" t="s">
        <v>1190</v>
      </c>
      <c r="B45" s="282" t="str">
        <f t="array" ref="B45">IF($A45="","",IFERROR(INDEX('Licences &amp; Certificates'!$K$5:$K$73,MATCH($A45,'Licences &amp; Certificates'!$A$5:$A$73,0))&amp;"","Unknown ID"))</f>
        <v>EPA/CTP-012/01/24</v>
      </c>
      <c r="C45" s="282" t="str">
        <f t="array" ref="C45">IF($A45="","",IFERROR(INDEX('Licences &amp; Certificates'!$C$5:$C$73,MATCH($A45,'Licences &amp; Certificates'!$A$5:$A$73,0)),"Unknown ID"))</f>
        <v>Everette Transport Corporation</v>
      </c>
      <c r="D45" s="282" t="s">
        <v>1375</v>
      </c>
      <c r="E45" s="282" t="s">
        <v>1469</v>
      </c>
      <c r="F45" s="282" t="s">
        <v>1388</v>
      </c>
      <c r="G45" s="26"/>
      <c r="H45" s="26"/>
      <c r="I45" s="26"/>
    </row>
    <row r="46" ht="14.25" customHeight="1">
      <c r="A46" s="282" t="s">
        <v>1190</v>
      </c>
      <c r="B46" s="282" t="str">
        <f t="array" ref="B46">IF($A46="","",IFERROR(INDEX('Licences &amp; Certificates'!$K$5:$K$73,MATCH($A46,'Licences &amp; Certificates'!$A$5:$A$73,0))&amp;"","Unknown ID"))</f>
        <v>EPA/CTP-012/01/24</v>
      </c>
      <c r="C46" s="282" t="str">
        <f t="array" ref="C46">IF($A46="","",IFERROR(INDEX('Licences &amp; Certificates'!$C$5:$C$73,MATCH($A46,'Licences &amp; Certificates'!$A$5:$A$73,0)),"Unknown ID"))</f>
        <v>Everette Transport Corporation</v>
      </c>
      <c r="D46" s="282" t="s">
        <v>1375</v>
      </c>
      <c r="E46" s="282" t="s">
        <v>1471</v>
      </c>
      <c r="F46" s="282" t="s">
        <v>1390</v>
      </c>
      <c r="G46" s="26"/>
      <c r="H46" s="26"/>
      <c r="I46" s="26"/>
    </row>
    <row r="47" ht="14.25" customHeight="1">
      <c r="A47" s="282" t="s">
        <v>1190</v>
      </c>
      <c r="B47" s="282" t="str">
        <f t="array" ref="B47">IF($A47="","",IFERROR(INDEX('Licences &amp; Certificates'!$K$5:$K$73,MATCH($A47,'Licences &amp; Certificates'!$A$5:$A$73,0))&amp;"","Unknown ID"))</f>
        <v>EPA/CTP-012/01/24</v>
      </c>
      <c r="C47" s="282" t="str">
        <f t="array" ref="C47">IF($A47="","",IFERROR(INDEX('Licences &amp; Certificates'!$C$5:$C$73,MATCH($A47,'Licences &amp; Certificates'!$A$5:$A$73,0)),"Unknown ID"))</f>
        <v>Everette Transport Corporation</v>
      </c>
      <c r="D47" s="282" t="s">
        <v>1375</v>
      </c>
      <c r="E47" s="282" t="s">
        <v>1376</v>
      </c>
      <c r="F47" s="282" t="s">
        <v>1394</v>
      </c>
      <c r="G47" s="26"/>
      <c r="H47" s="26"/>
      <c r="I47" s="26"/>
    </row>
    <row r="48" ht="14.25" customHeight="1">
      <c r="A48" s="282" t="s">
        <v>1190</v>
      </c>
      <c r="B48" s="282" t="str">
        <f t="array" ref="B48">IF($A48="","",IFERROR(INDEX('Licences &amp; Certificates'!$K$5:$K$73,MATCH($A48,'Licences &amp; Certificates'!$A$5:$A$73,0))&amp;"","Unknown ID"))</f>
        <v>EPA/CTP-012/01/24</v>
      </c>
      <c r="C48" s="282" t="str">
        <f t="array" ref="C48">IF($A48="","",IFERROR(INDEX('Licences &amp; Certificates'!$C$5:$C$73,MATCH($A48,'Licences &amp; Certificates'!$A$5:$A$73,0)),"Unknown ID"))</f>
        <v>Everette Transport Corporation</v>
      </c>
      <c r="D48" s="282" t="s">
        <v>1375</v>
      </c>
      <c r="E48" s="282" t="s">
        <v>1473</v>
      </c>
      <c r="F48" s="282" t="s">
        <v>1398</v>
      </c>
      <c r="G48" s="26"/>
      <c r="H48" s="26"/>
      <c r="I48" s="26"/>
    </row>
    <row r="49" ht="14.25" customHeight="1">
      <c r="A49" s="282" t="s">
        <v>1190</v>
      </c>
      <c r="B49" s="282" t="str">
        <f t="array" ref="B49">IF($A49="","",IFERROR(INDEX('Licences &amp; Certificates'!$K$5:$K$73,MATCH($A49,'Licences &amp; Certificates'!$A$5:$A$73,0))&amp;"","Unknown ID"))</f>
        <v>EPA/CTP-012/01/24</v>
      </c>
      <c r="C49" s="282" t="str">
        <f t="array" ref="C49">IF($A49="","",IFERROR(INDEX('Licences &amp; Certificates'!$C$5:$C$73,MATCH($A49,'Licences &amp; Certificates'!$A$5:$A$73,0)),"Unknown ID"))</f>
        <v>Everette Transport Corporation</v>
      </c>
      <c r="D49" s="282" t="s">
        <v>1375</v>
      </c>
      <c r="E49" s="282" t="s">
        <v>1476</v>
      </c>
      <c r="F49" s="282" t="s">
        <v>1402</v>
      </c>
      <c r="G49" s="26"/>
      <c r="H49" s="26"/>
      <c r="I49" s="26"/>
    </row>
    <row r="50" ht="14.25" customHeight="1">
      <c r="A50" s="282" t="s">
        <v>1190</v>
      </c>
      <c r="B50" s="282" t="str">
        <f t="array" ref="B50">IF($A50="","",IFERROR(INDEX('Licences &amp; Certificates'!$K$5:$K$73,MATCH($A50,'Licences &amp; Certificates'!$A$5:$A$73,0))&amp;"","Unknown ID"))</f>
        <v>EPA/CTP-012/01/24</v>
      </c>
      <c r="C50" s="282" t="str">
        <f t="array" ref="C50">IF($A50="","",IFERROR(INDEX('Licences &amp; Certificates'!$C$5:$C$73,MATCH($A50,'Licences &amp; Certificates'!$A$5:$A$73,0)),"Unknown ID"))</f>
        <v>Everette Transport Corporation</v>
      </c>
      <c r="D50" s="282" t="s">
        <v>1375</v>
      </c>
      <c r="E50" s="282" t="s">
        <v>1478</v>
      </c>
      <c r="F50" s="282" t="s">
        <v>1405</v>
      </c>
      <c r="G50" s="26"/>
      <c r="H50" s="26"/>
      <c r="I50" s="26"/>
    </row>
    <row r="51" ht="14.25" customHeight="1">
      <c r="A51" s="282" t="s">
        <v>1190</v>
      </c>
      <c r="B51" s="282" t="str">
        <f t="array" ref="B51">IF($A51="","",IFERROR(INDEX('Licences &amp; Certificates'!$K$5:$K$73,MATCH($A51,'Licences &amp; Certificates'!$A$5:$A$73,0))&amp;"","Unknown ID"))</f>
        <v>EPA/CTP-012/01/24</v>
      </c>
      <c r="C51" s="282" t="str">
        <f t="array" ref="C51">IF($A51="","",IFERROR(INDEX('Licences &amp; Certificates'!$C$5:$C$73,MATCH($A51,'Licences &amp; Certificates'!$A$5:$A$73,0)),"Unknown ID"))</f>
        <v>Everette Transport Corporation</v>
      </c>
      <c r="D51" s="282" t="s">
        <v>1375</v>
      </c>
      <c r="E51" s="282" t="s">
        <v>1480</v>
      </c>
      <c r="F51" s="282" t="s">
        <v>1407</v>
      </c>
      <c r="G51" s="26"/>
      <c r="H51" s="26"/>
      <c r="I51" s="26"/>
    </row>
    <row r="52" ht="14.25" customHeight="1">
      <c r="A52" s="282" t="s">
        <v>1190</v>
      </c>
      <c r="B52" s="282" t="str">
        <f t="array" ref="B52">IF($A52="","",IFERROR(INDEX('Licences &amp; Certificates'!$K$5:$K$73,MATCH($A52,'Licences &amp; Certificates'!$A$5:$A$73,0))&amp;"","Unknown ID"))</f>
        <v>EPA/CTP-012/01/24</v>
      </c>
      <c r="C52" s="282" t="str">
        <f t="array" ref="C52">IF($A52="","",IFERROR(INDEX('Licences &amp; Certificates'!$C$5:$C$73,MATCH($A52,'Licences &amp; Certificates'!$A$5:$A$73,0)),"Unknown ID"))</f>
        <v>Everette Transport Corporation</v>
      </c>
      <c r="D52" s="282" t="s">
        <v>1375</v>
      </c>
      <c r="E52" s="282" t="s">
        <v>1481</v>
      </c>
      <c r="F52" s="282" t="s">
        <v>1411</v>
      </c>
      <c r="G52" s="26"/>
      <c r="H52" s="26"/>
      <c r="I52" s="26"/>
    </row>
    <row r="53" ht="14.25" customHeight="1">
      <c r="A53" s="282" t="s">
        <v>248</v>
      </c>
      <c r="B53" s="282" t="str">
        <f t="array" ref="B53">IF($A53="","",IFERROR(INDEX('Licences &amp; Certificates'!$K$5:$K$73,MATCH($A53,'Licences &amp; Certificates'!$A$5:$A$73,0))&amp;"","Unknown ID"))</f>
        <v>EPA/CTP-013/01/26</v>
      </c>
      <c r="C53" s="282" t="str">
        <f t="array" ref="C53">IF($A53="","",IFERROR(INDEX('Licences &amp; Certificates'!$C$5:$C$73,MATCH($A53,'Licences &amp; Certificates'!$A$5:$A$73,0)),"Unknown ID"))</f>
        <v>Freeway Logistics Trucking Company Inc.</v>
      </c>
      <c r="D53" s="282" t="s">
        <v>1375</v>
      </c>
      <c r="E53" s="282" t="s">
        <v>1483</v>
      </c>
      <c r="F53" s="282" t="s">
        <v>1377</v>
      </c>
      <c r="G53" s="26"/>
      <c r="H53" s="26"/>
      <c r="I53" s="26"/>
    </row>
    <row r="54" ht="14.25" customHeight="1">
      <c r="A54" s="282" t="s">
        <v>248</v>
      </c>
      <c r="B54" s="282" t="str">
        <f t="array" ref="B54">IF($A54="","",IFERROR(INDEX('Licences &amp; Certificates'!$K$5:$K$73,MATCH($A54,'Licences &amp; Certificates'!$A$5:$A$73,0))&amp;"","Unknown ID"))</f>
        <v>EPA/CTP-013/01/26</v>
      </c>
      <c r="C54" s="282" t="str">
        <f t="array" ref="C54">IF($A54="","",IFERROR(INDEX('Licences &amp; Certificates'!$C$5:$C$73,MATCH($A54,'Licences &amp; Certificates'!$A$5:$A$73,0)),"Unknown ID"))</f>
        <v>Freeway Logistics Trucking Company Inc.</v>
      </c>
      <c r="D54" s="282" t="s">
        <v>1375</v>
      </c>
      <c r="E54" s="282" t="s">
        <v>1485</v>
      </c>
      <c r="F54" s="282" t="s">
        <v>1380</v>
      </c>
      <c r="G54" s="26"/>
      <c r="H54" s="26"/>
      <c r="I54" s="26"/>
    </row>
    <row r="55" ht="14.25" customHeight="1">
      <c r="A55" s="282" t="s">
        <v>248</v>
      </c>
      <c r="B55" s="282" t="str">
        <f t="array" ref="B55">IF($A55="","",IFERROR(INDEX('Licences &amp; Certificates'!$K$5:$K$73,MATCH($A55,'Licences &amp; Certificates'!$A$5:$A$73,0))&amp;"","Unknown ID"))</f>
        <v>EPA/CTP-013/01/26</v>
      </c>
      <c r="C55" s="282" t="str">
        <f t="array" ref="C55">IF($A55="","",IFERROR(INDEX('Licences &amp; Certificates'!$C$5:$C$73,MATCH($A55,'Licences &amp; Certificates'!$A$5:$A$73,0)),"Unknown ID"))</f>
        <v>Freeway Logistics Trucking Company Inc.</v>
      </c>
      <c r="D55" s="282" t="s">
        <v>1375</v>
      </c>
      <c r="E55" s="282" t="s">
        <v>1486</v>
      </c>
      <c r="F55" s="282" t="s">
        <v>1384</v>
      </c>
      <c r="G55" s="26"/>
      <c r="H55" s="26"/>
      <c r="I55" s="26"/>
    </row>
    <row r="56" ht="14.25" customHeight="1">
      <c r="A56" s="282" t="s">
        <v>1196</v>
      </c>
      <c r="B56" s="282" t="str">
        <f t="array" ref="B56">IF($A56="","",IFERROR(INDEX('Licences &amp; Certificates'!$K$5:$K$73,MATCH($A56,'Licences &amp; Certificates'!$A$5:$A$73,0))&amp;"","Unknown ID"))</f>
        <v>EPA/CTP-012/01/26</v>
      </c>
      <c r="C56" s="282" t="str">
        <f t="array" ref="C56">IF($A56="","",IFERROR(INDEX('Licences &amp; Certificates'!$C$5:$C$73,MATCH($A56,'Licences &amp; Certificates'!$A$5:$A$73,0)),"Unknown ID"))</f>
        <v>Sayminee Express Services Inc.</v>
      </c>
      <c r="D56" s="282" t="s">
        <v>1375</v>
      </c>
      <c r="E56" s="282" t="s">
        <v>1488</v>
      </c>
      <c r="F56" s="282" t="s">
        <v>1377</v>
      </c>
      <c r="G56" s="26"/>
      <c r="H56" s="26"/>
      <c r="I56" s="26"/>
    </row>
    <row r="57" ht="14.25" customHeight="1">
      <c r="A57" s="282" t="s">
        <v>1196</v>
      </c>
      <c r="B57" s="282" t="str">
        <f t="array" ref="B57">IF($A57="","",IFERROR(INDEX('Licences &amp; Certificates'!$K$5:$K$73,MATCH($A57,'Licences &amp; Certificates'!$A$5:$A$73,0))&amp;"","Unknown ID"))</f>
        <v>EPA/CTP-012/01/26</v>
      </c>
      <c r="C57" s="282" t="str">
        <f t="array" ref="C57">IF($A57="","",IFERROR(INDEX('Licences &amp; Certificates'!$C$5:$C$73,MATCH($A57,'Licences &amp; Certificates'!$A$5:$A$73,0)),"Unknown ID"))</f>
        <v>Sayminee Express Services Inc.</v>
      </c>
      <c r="D57" s="282" t="s">
        <v>1375</v>
      </c>
      <c r="E57" s="282" t="s">
        <v>1490</v>
      </c>
      <c r="F57" s="282" t="s">
        <v>1380</v>
      </c>
      <c r="G57" s="26"/>
      <c r="H57" s="26"/>
      <c r="I57" s="26"/>
    </row>
    <row r="58" ht="14.25" customHeight="1">
      <c r="A58" s="282" t="s">
        <v>1196</v>
      </c>
      <c r="B58" s="282" t="str">
        <f t="array" ref="B58">IF($A58="","",IFERROR(INDEX('Licences &amp; Certificates'!$K$5:$K$73,MATCH($A58,'Licences &amp; Certificates'!$A$5:$A$73,0))&amp;"","Unknown ID"))</f>
        <v>EPA/CTP-012/01/26</v>
      </c>
      <c r="C58" s="282" t="str">
        <f t="array" ref="C58">IF($A58="","",IFERROR(INDEX('Licences &amp; Certificates'!$C$5:$C$73,MATCH($A58,'Licences &amp; Certificates'!$A$5:$A$73,0)),"Unknown ID"))</f>
        <v>Sayminee Express Services Inc.</v>
      </c>
      <c r="D58" s="282" t="s">
        <v>1375</v>
      </c>
      <c r="E58" s="282" t="s">
        <v>1491</v>
      </c>
      <c r="F58" s="282" t="s">
        <v>1384</v>
      </c>
      <c r="G58" s="26"/>
      <c r="H58" s="26"/>
      <c r="I58" s="26"/>
    </row>
    <row r="59" ht="14.25" customHeight="1">
      <c r="A59" s="282" t="s">
        <v>1196</v>
      </c>
      <c r="B59" s="282" t="str">
        <f t="array" ref="B59">IF($A59="","",IFERROR(INDEX('Licences &amp; Certificates'!$K$5:$K$73,MATCH($A59,'Licences &amp; Certificates'!$A$5:$A$73,0))&amp;"","Unknown ID"))</f>
        <v>EPA/CTP-012/01/26</v>
      </c>
      <c r="C59" s="282" t="str">
        <f t="array" ref="C59">IF($A59="","",IFERROR(INDEX('Licences &amp; Certificates'!$C$5:$C$73,MATCH($A59,'Licences &amp; Certificates'!$A$5:$A$73,0)),"Unknown ID"))</f>
        <v>Sayminee Express Services Inc.</v>
      </c>
      <c r="D59" s="282" t="s">
        <v>1375</v>
      </c>
      <c r="E59" s="282" t="s">
        <v>1493</v>
      </c>
      <c r="F59" s="282" t="s">
        <v>1388</v>
      </c>
      <c r="G59" s="26"/>
      <c r="H59" s="26"/>
      <c r="I59" s="26"/>
    </row>
    <row r="60" ht="14.25" customHeight="1">
      <c r="A60" s="282" t="s">
        <v>1196</v>
      </c>
      <c r="B60" s="282" t="str">
        <f t="array" ref="B60">IF($A60="","",IFERROR(INDEX('Licences &amp; Certificates'!$K$5:$K$73,MATCH($A60,'Licences &amp; Certificates'!$A$5:$A$73,0))&amp;"","Unknown ID"))</f>
        <v>EPA/CTP-012/01/26</v>
      </c>
      <c r="C60" s="282" t="str">
        <f t="array" ref="C60">IF($A60="","",IFERROR(INDEX('Licences &amp; Certificates'!$C$5:$C$73,MATCH($A60,'Licences &amp; Certificates'!$A$5:$A$73,0)),"Unknown ID"))</f>
        <v>Sayminee Express Services Inc.</v>
      </c>
      <c r="D60" s="282" t="s">
        <v>1375</v>
      </c>
      <c r="E60" s="282" t="s">
        <v>1495</v>
      </c>
      <c r="F60" s="282" t="s">
        <v>1390</v>
      </c>
      <c r="G60" s="26"/>
      <c r="H60" s="26"/>
      <c r="I60" s="26"/>
    </row>
    <row r="61" ht="14.25" customHeight="1">
      <c r="A61" s="282" t="s">
        <v>1196</v>
      </c>
      <c r="B61" s="282" t="str">
        <f t="array" ref="B61">IF($A61="","",IFERROR(INDEX('Licences &amp; Certificates'!$K$5:$K$73,MATCH($A61,'Licences &amp; Certificates'!$A$5:$A$73,0))&amp;"","Unknown ID"))</f>
        <v>EPA/CTP-012/01/26</v>
      </c>
      <c r="C61" s="282" t="str">
        <f t="array" ref="C61">IF($A61="","",IFERROR(INDEX('Licences &amp; Certificates'!$C$5:$C$73,MATCH($A61,'Licences &amp; Certificates'!$A$5:$A$73,0)),"Unknown ID"))</f>
        <v>Sayminee Express Services Inc.</v>
      </c>
      <c r="D61" s="282" t="s">
        <v>1375</v>
      </c>
      <c r="E61" s="282" t="s">
        <v>1498</v>
      </c>
      <c r="F61" s="282" t="s">
        <v>1394</v>
      </c>
      <c r="G61" s="26"/>
      <c r="H61" s="26"/>
      <c r="I61" s="26"/>
    </row>
    <row r="62" ht="14.25" customHeight="1">
      <c r="A62" s="282" t="s">
        <v>1196</v>
      </c>
      <c r="B62" s="282" t="str">
        <f t="array" ref="B62">IF($A62="","",IFERROR(INDEX('Licences &amp; Certificates'!$K$5:$K$73,MATCH($A62,'Licences &amp; Certificates'!$A$5:$A$73,0))&amp;"","Unknown ID"))</f>
        <v>EPA/CTP-012/01/26</v>
      </c>
      <c r="C62" s="282" t="str">
        <f t="array" ref="C62">IF($A62="","",IFERROR(INDEX('Licences &amp; Certificates'!$C$5:$C$73,MATCH($A62,'Licences &amp; Certificates'!$A$5:$A$73,0)),"Unknown ID"))</f>
        <v>Sayminee Express Services Inc.</v>
      </c>
      <c r="D62" s="282" t="s">
        <v>1375</v>
      </c>
      <c r="E62" s="282" t="s">
        <v>1499</v>
      </c>
      <c r="F62" s="282" t="s">
        <v>1398</v>
      </c>
      <c r="G62" s="26"/>
      <c r="H62" s="26"/>
      <c r="I62" s="26"/>
    </row>
    <row r="63" ht="14.25" customHeight="1">
      <c r="A63" s="282" t="s">
        <v>1196</v>
      </c>
      <c r="B63" s="282" t="str">
        <f t="array" ref="B63">IF($A63="","",IFERROR(INDEX('Licences &amp; Certificates'!$K$5:$K$73,MATCH($A63,'Licences &amp; Certificates'!$A$5:$A$73,0))&amp;"","Unknown ID"))</f>
        <v>EPA/CTP-012/01/26</v>
      </c>
      <c r="C63" s="282" t="str">
        <f t="array" ref="C63">IF($A63="","",IFERROR(INDEX('Licences &amp; Certificates'!$C$5:$C$73,MATCH($A63,'Licences &amp; Certificates'!$A$5:$A$73,0)),"Unknown ID"))</f>
        <v>Sayminee Express Services Inc.</v>
      </c>
      <c r="D63" s="282" t="s">
        <v>1375</v>
      </c>
      <c r="E63" s="282" t="s">
        <v>1501</v>
      </c>
      <c r="F63" s="282" t="s">
        <v>1402</v>
      </c>
      <c r="G63" s="26"/>
      <c r="H63" s="26"/>
      <c r="I63" s="26"/>
    </row>
    <row r="64" ht="14.25" customHeight="1">
      <c r="A64" s="282" t="s">
        <v>1196</v>
      </c>
      <c r="B64" s="282" t="str">
        <f t="array" ref="B64">IF($A64="","",IFERROR(INDEX('Licences &amp; Certificates'!$K$5:$K$73,MATCH($A64,'Licences &amp; Certificates'!$A$5:$A$73,0))&amp;"","Unknown ID"))</f>
        <v>EPA/CTP-012/01/26</v>
      </c>
      <c r="C64" s="282" t="str">
        <f t="array" ref="C64">IF($A64="","",IFERROR(INDEX('Licences &amp; Certificates'!$C$5:$C$73,MATCH($A64,'Licences &amp; Certificates'!$A$5:$A$73,0)),"Unknown ID"))</f>
        <v>Sayminee Express Services Inc.</v>
      </c>
      <c r="D64" s="282" t="s">
        <v>1375</v>
      </c>
      <c r="E64" s="282" t="s">
        <v>1503</v>
      </c>
      <c r="F64" s="282" t="s">
        <v>1405</v>
      </c>
      <c r="G64" s="26"/>
      <c r="H64" s="26"/>
      <c r="I64" s="26"/>
    </row>
    <row r="65" ht="14.25" customHeight="1">
      <c r="A65" s="282" t="s">
        <v>1196</v>
      </c>
      <c r="B65" s="282" t="str">
        <f t="array" ref="B65">IF($A65="","",IFERROR(INDEX('Licences &amp; Certificates'!$K$5:$K$73,MATCH($A65,'Licences &amp; Certificates'!$A$5:$A$73,0))&amp;"","Unknown ID"))</f>
        <v>EPA/CTP-012/01/26</v>
      </c>
      <c r="C65" s="282" t="str">
        <f t="array" ref="C65">IF($A65="","",IFERROR(INDEX('Licences &amp; Certificates'!$C$5:$C$73,MATCH($A65,'Licences &amp; Certificates'!$A$5:$A$73,0)),"Unknown ID"))</f>
        <v>Sayminee Express Services Inc.</v>
      </c>
      <c r="D65" s="282" t="s">
        <v>1375</v>
      </c>
      <c r="E65" s="282" t="s">
        <v>1505</v>
      </c>
      <c r="F65" s="282" t="s">
        <v>1407</v>
      </c>
      <c r="G65" s="26"/>
      <c r="H65" s="26"/>
      <c r="I65" s="26"/>
    </row>
    <row r="66" ht="14.25" customHeight="1">
      <c r="A66" s="282" t="s">
        <v>1196</v>
      </c>
      <c r="B66" s="282" t="str">
        <f t="array" ref="B66">IF($A66="","",IFERROR(INDEX('Licences &amp; Certificates'!$K$5:$K$73,MATCH($A66,'Licences &amp; Certificates'!$A$5:$A$73,0))&amp;"","Unknown ID"))</f>
        <v>EPA/CTP-012/01/26</v>
      </c>
      <c r="C66" s="282" t="str">
        <f t="array" ref="C66">IF($A66="","",IFERROR(INDEX('Licences &amp; Certificates'!$C$5:$C$73,MATCH($A66,'Licences &amp; Certificates'!$A$5:$A$73,0)),"Unknown ID"))</f>
        <v>Sayminee Express Services Inc.</v>
      </c>
      <c r="D66" s="282" t="s">
        <v>1375</v>
      </c>
      <c r="E66" s="282" t="s">
        <v>1507</v>
      </c>
      <c r="F66" s="282" t="s">
        <v>1411</v>
      </c>
      <c r="G66" s="26"/>
      <c r="H66" s="26"/>
      <c r="I66" s="26"/>
    </row>
    <row r="67" ht="14.25" customHeight="1">
      <c r="A67" s="282" t="s">
        <v>1196</v>
      </c>
      <c r="B67" s="282" t="str">
        <f t="array" ref="B67">IF($A67="","",IFERROR(INDEX('Licences &amp; Certificates'!$K$5:$K$73,MATCH($A67,'Licences &amp; Certificates'!$A$5:$A$73,0))&amp;"","Unknown ID"))</f>
        <v>EPA/CTP-012/01/26</v>
      </c>
      <c r="C67" s="282" t="str">
        <f t="array" ref="C67">IF($A67="","",IFERROR(INDEX('Licences &amp; Certificates'!$C$5:$C$73,MATCH($A67,'Licences &amp; Certificates'!$A$5:$A$73,0)),"Unknown ID"))</f>
        <v>Sayminee Express Services Inc.</v>
      </c>
      <c r="D67" s="282" t="s">
        <v>1375</v>
      </c>
      <c r="E67" s="282" t="s">
        <v>1508</v>
      </c>
      <c r="F67" s="282" t="s">
        <v>1415</v>
      </c>
      <c r="G67" s="26"/>
      <c r="H67" s="26"/>
      <c r="I67" s="26"/>
    </row>
    <row r="68" ht="14.25" customHeight="1">
      <c r="A68" s="26"/>
      <c r="B68" s="26"/>
      <c r="C68" s="26"/>
      <c r="D68" s="26"/>
      <c r="E68" s="26"/>
      <c r="F68" s="26"/>
      <c r="G68" s="26"/>
      <c r="H68" s="26"/>
      <c r="I68" s="26"/>
    </row>
    <row r="69" ht="14.25" customHeight="1">
      <c r="A69" s="26"/>
      <c r="B69" s="26"/>
      <c r="C69" s="26"/>
      <c r="D69" s="26"/>
      <c r="E69" s="26"/>
      <c r="F69" s="26"/>
      <c r="G69" s="26"/>
      <c r="H69" s="26"/>
      <c r="I69" s="26"/>
    </row>
    <row r="70" ht="14.25" customHeight="1">
      <c r="A70" s="26"/>
      <c r="B70" s="26"/>
      <c r="C70" s="26"/>
      <c r="D70" s="26"/>
      <c r="E70" s="26"/>
      <c r="F70" s="26"/>
      <c r="G70" s="26"/>
      <c r="H70" s="26"/>
      <c r="I70" s="26"/>
    </row>
    <row r="71" ht="14.25" customHeight="1">
      <c r="A71" s="26"/>
      <c r="B71" s="26"/>
      <c r="C71" s="26"/>
      <c r="D71" s="26"/>
      <c r="E71" s="26"/>
      <c r="F71" s="26"/>
      <c r="G71" s="26"/>
      <c r="H71" s="26"/>
      <c r="I71" s="26"/>
    </row>
    <row r="72" ht="14.25" customHeight="1">
      <c r="A72" s="26"/>
      <c r="B72" s="26"/>
      <c r="C72" s="26"/>
      <c r="D72" s="26"/>
      <c r="E72" s="26"/>
      <c r="F72" s="26"/>
      <c r="G72" s="26"/>
      <c r="H72" s="26"/>
      <c r="I72" s="26"/>
    </row>
    <row r="73" ht="14.25" customHeight="1">
      <c r="A73" s="26"/>
      <c r="B73" s="26"/>
      <c r="C73" s="26"/>
      <c r="D73" s="26"/>
      <c r="E73" s="26"/>
      <c r="F73" s="26"/>
      <c r="G73" s="26"/>
      <c r="H73" s="26"/>
      <c r="I73" s="26"/>
    </row>
    <row r="74" ht="14.25" customHeight="1">
      <c r="A74" s="26"/>
      <c r="B74" s="26"/>
      <c r="C74" s="26"/>
      <c r="D74" s="26"/>
      <c r="E74" s="26"/>
      <c r="F74" s="26"/>
      <c r="G74" s="26"/>
      <c r="H74" s="26"/>
      <c r="I74" s="26"/>
    </row>
    <row r="75" ht="14.25" customHeight="1">
      <c r="A75" s="26"/>
      <c r="B75" s="26"/>
      <c r="C75" s="26"/>
      <c r="D75" s="26"/>
      <c r="E75" s="26"/>
      <c r="F75" s="26"/>
      <c r="G75" s="26"/>
      <c r="H75" s="26"/>
      <c r="I75" s="26"/>
    </row>
    <row r="76" ht="14.25" customHeight="1">
      <c r="A76" s="26"/>
      <c r="B76" s="26"/>
      <c r="C76" s="26"/>
      <c r="D76" s="26"/>
      <c r="E76" s="26"/>
      <c r="F76" s="26"/>
      <c r="G76" s="26"/>
      <c r="H76" s="26"/>
      <c r="I76" s="26"/>
    </row>
    <row r="77" ht="14.25" customHeight="1">
      <c r="A77" s="26"/>
      <c r="B77" s="26"/>
      <c r="C77" s="26"/>
      <c r="D77" s="26"/>
      <c r="E77" s="26"/>
      <c r="F77" s="26"/>
      <c r="G77" s="26"/>
      <c r="H77" s="26"/>
      <c r="I77" s="26"/>
    </row>
    <row r="78" ht="14.25" customHeight="1">
      <c r="A78" s="26"/>
      <c r="B78" s="26"/>
      <c r="C78" s="26"/>
      <c r="D78" s="26"/>
      <c r="E78" s="26"/>
      <c r="F78" s="26"/>
      <c r="G78" s="26"/>
      <c r="H78" s="26"/>
      <c r="I78" s="26"/>
    </row>
    <row r="79" ht="14.25" customHeight="1">
      <c r="A79" s="26"/>
      <c r="B79" s="26"/>
      <c r="C79" s="26"/>
      <c r="D79" s="26"/>
      <c r="E79" s="26"/>
      <c r="F79" s="26"/>
      <c r="G79" s="26"/>
      <c r="H79" s="26"/>
      <c r="I79" s="26"/>
    </row>
    <row r="80" ht="14.25" customHeight="1">
      <c r="A80" s="26"/>
      <c r="B80" s="26"/>
      <c r="C80" s="26"/>
      <c r="D80" s="26"/>
      <c r="E80" s="26"/>
      <c r="F80" s="26"/>
      <c r="G80" s="26"/>
      <c r="H80" s="26"/>
      <c r="I80" s="26"/>
    </row>
    <row r="81" ht="14.25" customHeight="1">
      <c r="A81" s="26"/>
      <c r="B81" s="26"/>
      <c r="C81" s="26"/>
      <c r="D81" s="26"/>
      <c r="E81" s="26"/>
      <c r="F81" s="26"/>
      <c r="G81" s="26"/>
      <c r="H81" s="26"/>
      <c r="I81" s="26"/>
    </row>
    <row r="82" ht="14.25" customHeight="1">
      <c r="A82" s="26"/>
      <c r="B82" s="26"/>
      <c r="C82" s="26"/>
      <c r="D82" s="26"/>
      <c r="E82" s="26"/>
      <c r="F82" s="26"/>
      <c r="G82" s="26"/>
      <c r="H82" s="26"/>
      <c r="I82" s="26"/>
    </row>
    <row r="83" ht="14.25" customHeight="1">
      <c r="A83" s="26"/>
      <c r="B83" s="26"/>
      <c r="C83" s="26"/>
      <c r="D83" s="26"/>
      <c r="E83" s="26"/>
      <c r="F83" s="26"/>
      <c r="G83" s="26"/>
      <c r="H83" s="26"/>
      <c r="I83" s="26"/>
    </row>
    <row r="84" ht="14.25" customHeight="1">
      <c r="A84" s="26"/>
      <c r="B84" s="26"/>
      <c r="C84" s="26"/>
      <c r="D84" s="26"/>
      <c r="E84" s="26"/>
      <c r="F84" s="26"/>
      <c r="G84" s="26"/>
      <c r="H84" s="26"/>
      <c r="I84" s="26"/>
    </row>
    <row r="85" ht="14.25" customHeight="1">
      <c r="A85" s="26"/>
      <c r="B85" s="26"/>
      <c r="C85" s="26"/>
      <c r="D85" s="26"/>
      <c r="E85" s="26"/>
      <c r="F85" s="26"/>
      <c r="G85" s="26"/>
      <c r="H85" s="26"/>
      <c r="I85" s="26"/>
    </row>
    <row r="86" ht="14.25" customHeight="1">
      <c r="A86" s="26"/>
      <c r="B86" s="26"/>
      <c r="C86" s="26"/>
      <c r="D86" s="26"/>
      <c r="E86" s="26"/>
      <c r="F86" s="26"/>
      <c r="G86" s="26"/>
      <c r="H86" s="26"/>
      <c r="I86" s="26"/>
    </row>
    <row r="87" ht="14.25" customHeight="1">
      <c r="A87" s="26"/>
      <c r="B87" s="26"/>
      <c r="C87" s="26"/>
      <c r="D87" s="26"/>
      <c r="E87" s="26"/>
      <c r="F87" s="26"/>
      <c r="G87" s="26"/>
      <c r="H87" s="26"/>
      <c r="I87" s="26"/>
    </row>
    <row r="88" ht="14.25" customHeight="1">
      <c r="A88" s="26"/>
      <c r="B88" s="26"/>
      <c r="C88" s="26"/>
      <c r="D88" s="26"/>
      <c r="E88" s="26"/>
      <c r="F88" s="26"/>
      <c r="G88" s="26"/>
      <c r="H88" s="26"/>
      <c r="I88" s="26"/>
    </row>
    <row r="89" ht="14.25" customHeight="1">
      <c r="A89" s="26"/>
      <c r="B89" s="26"/>
      <c r="C89" s="26"/>
      <c r="D89" s="26"/>
      <c r="E89" s="26"/>
      <c r="F89" s="26"/>
      <c r="G89" s="26"/>
      <c r="H89" s="26"/>
      <c r="I89" s="26"/>
    </row>
    <row r="90" ht="14.25" customHeight="1">
      <c r="A90" s="26"/>
      <c r="B90" s="26"/>
      <c r="C90" s="26"/>
      <c r="D90" s="26"/>
      <c r="E90" s="26"/>
      <c r="F90" s="26"/>
      <c r="G90" s="26"/>
      <c r="H90" s="26"/>
      <c r="I90" s="26"/>
    </row>
    <row r="91" ht="14.25" customHeight="1">
      <c r="A91" s="26"/>
      <c r="B91" s="26"/>
      <c r="C91" s="26"/>
      <c r="D91" s="26"/>
      <c r="E91" s="26"/>
      <c r="F91" s="26"/>
      <c r="G91" s="26"/>
      <c r="H91" s="26"/>
      <c r="I91" s="26"/>
    </row>
    <row r="92" ht="14.25" customHeight="1">
      <c r="A92" s="26"/>
      <c r="B92" s="26"/>
      <c r="C92" s="26"/>
      <c r="D92" s="26"/>
      <c r="E92" s="26"/>
      <c r="F92" s="26"/>
      <c r="G92" s="26"/>
      <c r="H92" s="26"/>
      <c r="I92" s="26"/>
    </row>
    <row r="93" ht="14.25" customHeight="1">
      <c r="A93" s="26"/>
      <c r="B93" s="26"/>
      <c r="C93" s="26"/>
      <c r="D93" s="26"/>
      <c r="E93" s="26"/>
      <c r="F93" s="26"/>
      <c r="G93" s="26"/>
      <c r="H93" s="26"/>
      <c r="I93" s="26"/>
    </row>
    <row r="94" ht="14.25" customHeight="1">
      <c r="A94" s="26"/>
      <c r="B94" s="26"/>
      <c r="C94" s="26"/>
      <c r="D94" s="26"/>
      <c r="E94" s="26"/>
      <c r="F94" s="26"/>
      <c r="G94" s="26"/>
      <c r="H94" s="26"/>
      <c r="I94" s="26"/>
    </row>
    <row r="95" ht="14.25" customHeight="1">
      <c r="A95" s="26"/>
      <c r="B95" s="26"/>
      <c r="C95" s="26"/>
      <c r="D95" s="26"/>
      <c r="E95" s="26"/>
      <c r="F95" s="26"/>
      <c r="G95" s="26"/>
      <c r="H95" s="26"/>
      <c r="I95" s="26"/>
    </row>
    <row r="96" ht="14.25" customHeight="1">
      <c r="A96" s="26"/>
      <c r="B96" s="26"/>
      <c r="C96" s="26"/>
      <c r="D96" s="26"/>
      <c r="E96" s="26"/>
      <c r="F96" s="26"/>
      <c r="G96" s="26"/>
      <c r="H96" s="26"/>
      <c r="I96" s="26"/>
    </row>
    <row r="97" ht="14.25" customHeight="1">
      <c r="A97" s="26"/>
      <c r="B97" s="26"/>
      <c r="C97" s="26"/>
      <c r="D97" s="26"/>
      <c r="E97" s="26"/>
      <c r="F97" s="26"/>
      <c r="G97" s="26"/>
      <c r="H97" s="26"/>
      <c r="I97" s="26"/>
    </row>
    <row r="98" ht="14.25" customHeight="1">
      <c r="A98" s="26"/>
      <c r="B98" s="26"/>
      <c r="C98" s="26"/>
      <c r="D98" s="26"/>
      <c r="E98" s="26"/>
      <c r="F98" s="26"/>
      <c r="G98" s="26"/>
      <c r="H98" s="26"/>
      <c r="I98" s="26"/>
    </row>
    <row r="99" ht="14.25" customHeight="1">
      <c r="A99" s="26"/>
      <c r="B99" s="26"/>
      <c r="C99" s="26"/>
      <c r="D99" s="26"/>
      <c r="E99" s="26"/>
      <c r="F99" s="26"/>
      <c r="G99" s="26"/>
      <c r="H99" s="26"/>
      <c r="I99" s="26"/>
    </row>
    <row r="100" ht="14.25" customHeight="1">
      <c r="A100" s="26"/>
      <c r="B100" s="26"/>
      <c r="C100" s="26"/>
      <c r="D100" s="26"/>
      <c r="E100" s="26"/>
      <c r="F100" s="26"/>
      <c r="G100" s="26"/>
      <c r="H100" s="26"/>
      <c r="I100" s="26"/>
    </row>
    <row r="101" ht="14.25" customHeight="1">
      <c r="A101" s="26"/>
      <c r="B101" s="26"/>
      <c r="C101" s="26"/>
      <c r="D101" s="26"/>
      <c r="E101" s="26"/>
      <c r="F101" s="26"/>
      <c r="G101" s="26"/>
      <c r="H101" s="26"/>
      <c r="I101" s="26"/>
    </row>
    <row r="102" ht="14.25" customHeight="1">
      <c r="A102" s="26"/>
      <c r="B102" s="26"/>
      <c r="C102" s="26"/>
      <c r="D102" s="26"/>
      <c r="E102" s="26"/>
      <c r="F102" s="26"/>
      <c r="G102" s="26"/>
      <c r="H102" s="26"/>
      <c r="I102" s="26"/>
    </row>
    <row r="103" ht="14.25" customHeight="1">
      <c r="A103" s="26"/>
      <c r="B103" s="26"/>
      <c r="C103" s="26"/>
      <c r="D103" s="26"/>
      <c r="E103" s="26"/>
      <c r="F103" s="26"/>
      <c r="G103" s="26"/>
      <c r="H103" s="26"/>
      <c r="I103" s="26"/>
    </row>
    <row r="104" ht="14.25" customHeight="1">
      <c r="A104" s="26"/>
      <c r="B104" s="26"/>
      <c r="C104" s="26"/>
      <c r="D104" s="26"/>
      <c r="E104" s="26"/>
      <c r="F104" s="26"/>
      <c r="G104" s="26"/>
      <c r="H104" s="26"/>
      <c r="I104" s="26"/>
    </row>
    <row r="105" ht="14.25" customHeight="1">
      <c r="A105" s="26"/>
      <c r="B105" s="26"/>
      <c r="C105" s="26"/>
      <c r="D105" s="26"/>
      <c r="E105" s="26"/>
      <c r="F105" s="26"/>
      <c r="G105" s="26"/>
      <c r="H105" s="26"/>
      <c r="I105" s="26"/>
    </row>
    <row r="106" ht="14.25" customHeight="1">
      <c r="A106" s="26"/>
      <c r="B106" s="26"/>
      <c r="C106" s="26"/>
      <c r="D106" s="26"/>
      <c r="E106" s="26"/>
      <c r="F106" s="26"/>
      <c r="G106" s="26"/>
      <c r="H106" s="26"/>
      <c r="I106" s="26"/>
    </row>
    <row r="107" ht="14.25" customHeight="1">
      <c r="A107" s="26"/>
      <c r="B107" s="26"/>
      <c r="C107" s="26"/>
      <c r="D107" s="26"/>
      <c r="E107" s="26"/>
      <c r="F107" s="26"/>
      <c r="G107" s="26"/>
      <c r="H107" s="26"/>
      <c r="I107" s="26"/>
    </row>
    <row r="108" ht="14.25" customHeight="1">
      <c r="A108" s="26"/>
      <c r="B108" s="26"/>
      <c r="C108" s="26"/>
      <c r="D108" s="26"/>
      <c r="E108" s="26"/>
      <c r="F108" s="26"/>
      <c r="G108" s="26"/>
      <c r="H108" s="26"/>
      <c r="I108" s="26"/>
    </row>
    <row r="109" ht="14.25" customHeight="1">
      <c r="A109" s="26"/>
      <c r="B109" s="26"/>
      <c r="C109" s="26"/>
      <c r="D109" s="26"/>
      <c r="E109" s="26"/>
      <c r="F109" s="26"/>
      <c r="G109" s="26"/>
      <c r="H109" s="26"/>
      <c r="I109" s="26"/>
    </row>
    <row r="110" ht="14.25" customHeight="1">
      <c r="A110" s="26"/>
      <c r="B110" s="26"/>
      <c r="C110" s="26"/>
      <c r="D110" s="26"/>
      <c r="E110" s="26"/>
      <c r="F110" s="26"/>
      <c r="G110" s="26"/>
      <c r="H110" s="26"/>
      <c r="I110" s="26"/>
    </row>
    <row r="111" ht="14.25" customHeight="1">
      <c r="A111" s="26"/>
      <c r="B111" s="26"/>
      <c r="C111" s="26"/>
      <c r="D111" s="26"/>
      <c r="E111" s="26"/>
      <c r="F111" s="26"/>
      <c r="G111" s="26"/>
      <c r="H111" s="26"/>
      <c r="I111" s="26"/>
    </row>
    <row r="112" ht="14.25" customHeight="1">
      <c r="A112" s="26"/>
      <c r="B112" s="26"/>
      <c r="C112" s="26"/>
      <c r="D112" s="26"/>
      <c r="E112" s="26"/>
      <c r="F112" s="26"/>
      <c r="G112" s="26"/>
      <c r="H112" s="26"/>
      <c r="I112" s="26"/>
    </row>
    <row r="113" ht="14.25" customHeight="1">
      <c r="A113" s="26"/>
      <c r="B113" s="26"/>
      <c r="C113" s="26"/>
      <c r="D113" s="26"/>
      <c r="E113" s="26"/>
      <c r="F113" s="26"/>
      <c r="G113" s="26"/>
      <c r="H113" s="26"/>
      <c r="I113" s="26"/>
    </row>
    <row r="114" ht="14.25" customHeight="1">
      <c r="A114" s="26"/>
      <c r="B114" s="26"/>
      <c r="C114" s="26"/>
      <c r="D114" s="26"/>
      <c r="E114" s="26"/>
      <c r="F114" s="26"/>
      <c r="G114" s="26"/>
      <c r="H114" s="26"/>
      <c r="I114" s="26"/>
    </row>
    <row r="115" ht="14.25" customHeight="1">
      <c r="A115" s="26"/>
      <c r="B115" s="26"/>
      <c r="C115" s="26"/>
      <c r="D115" s="26"/>
      <c r="E115" s="26"/>
      <c r="F115" s="26"/>
      <c r="G115" s="26"/>
      <c r="H115" s="26"/>
      <c r="I115" s="26"/>
    </row>
    <row r="116" ht="14.25" customHeight="1">
      <c r="A116" s="26"/>
      <c r="B116" s="26"/>
      <c r="C116" s="26"/>
      <c r="D116" s="26"/>
      <c r="E116" s="26"/>
      <c r="F116" s="26"/>
      <c r="G116" s="26"/>
      <c r="H116" s="26"/>
      <c r="I116" s="26"/>
    </row>
    <row r="117" ht="14.25" customHeight="1">
      <c r="A117" s="26"/>
      <c r="B117" s="26"/>
      <c r="C117" s="26"/>
      <c r="D117" s="26"/>
      <c r="E117" s="26"/>
      <c r="F117" s="26"/>
      <c r="G117" s="26"/>
      <c r="H117" s="26"/>
      <c r="I117" s="26"/>
    </row>
    <row r="118" ht="14.25" customHeight="1">
      <c r="A118" s="26"/>
      <c r="B118" s="26"/>
      <c r="C118" s="26"/>
      <c r="D118" s="26"/>
      <c r="E118" s="26"/>
      <c r="F118" s="26"/>
      <c r="G118" s="26"/>
      <c r="H118" s="26"/>
      <c r="I118" s="26"/>
    </row>
    <row r="119" ht="14.25" customHeight="1">
      <c r="A119" s="26"/>
      <c r="B119" s="26"/>
      <c r="C119" s="26"/>
      <c r="D119" s="26"/>
      <c r="E119" s="26"/>
      <c r="F119" s="26"/>
      <c r="G119" s="26"/>
      <c r="H119" s="26"/>
      <c r="I119" s="26"/>
    </row>
    <row r="120" ht="14.25" customHeight="1">
      <c r="A120" s="26"/>
      <c r="B120" s="26"/>
      <c r="C120" s="26"/>
      <c r="D120" s="26"/>
      <c r="E120" s="26"/>
      <c r="F120" s="26"/>
      <c r="G120" s="26"/>
      <c r="H120" s="26"/>
      <c r="I120" s="26"/>
    </row>
    <row r="121" ht="14.25" customHeight="1">
      <c r="A121" s="26"/>
      <c r="B121" s="26"/>
      <c r="C121" s="26"/>
      <c r="D121" s="26"/>
      <c r="E121" s="26"/>
      <c r="F121" s="26"/>
      <c r="G121" s="26"/>
      <c r="H121" s="26"/>
      <c r="I121" s="26"/>
    </row>
    <row r="122" ht="14.25" customHeight="1">
      <c r="A122" s="26"/>
      <c r="B122" s="26"/>
      <c r="C122" s="26"/>
      <c r="D122" s="26"/>
      <c r="E122" s="26"/>
      <c r="F122" s="26"/>
      <c r="G122" s="26"/>
      <c r="H122" s="26"/>
      <c r="I122" s="26"/>
    </row>
    <row r="123" ht="14.25" customHeight="1">
      <c r="A123" s="26"/>
      <c r="B123" s="26"/>
      <c r="C123" s="26"/>
      <c r="D123" s="26"/>
      <c r="E123" s="26"/>
      <c r="F123" s="26"/>
      <c r="G123" s="26"/>
      <c r="H123" s="26"/>
      <c r="I123" s="26"/>
    </row>
    <row r="124" ht="14.25" customHeight="1">
      <c r="A124" s="26"/>
      <c r="B124" s="26"/>
      <c r="C124" s="26"/>
      <c r="D124" s="26"/>
      <c r="E124" s="26"/>
      <c r="F124" s="26"/>
      <c r="G124" s="26"/>
      <c r="H124" s="26"/>
      <c r="I124" s="26"/>
    </row>
    <row r="125" ht="14.25" customHeight="1">
      <c r="A125" s="26"/>
      <c r="B125" s="26"/>
      <c r="C125" s="26"/>
      <c r="D125" s="26"/>
      <c r="E125" s="26"/>
      <c r="F125" s="26"/>
      <c r="G125" s="26"/>
      <c r="H125" s="26"/>
      <c r="I125" s="26"/>
    </row>
    <row r="126" ht="14.25" customHeight="1">
      <c r="A126" s="26"/>
      <c r="B126" s="26"/>
      <c r="C126" s="26"/>
      <c r="D126" s="26"/>
      <c r="E126" s="26"/>
      <c r="F126" s="26"/>
      <c r="G126" s="26"/>
      <c r="H126" s="26"/>
      <c r="I126" s="26"/>
    </row>
    <row r="127" ht="14.25" customHeight="1">
      <c r="A127" s="26"/>
      <c r="B127" s="26"/>
      <c r="C127" s="26"/>
      <c r="D127" s="26"/>
      <c r="E127" s="26"/>
      <c r="F127" s="26"/>
      <c r="G127" s="26"/>
      <c r="H127" s="26"/>
      <c r="I127" s="26"/>
    </row>
    <row r="128" ht="14.25" customHeight="1">
      <c r="A128" s="26"/>
      <c r="B128" s="26"/>
      <c r="C128" s="26"/>
      <c r="D128" s="26"/>
      <c r="E128" s="26"/>
      <c r="F128" s="26"/>
      <c r="G128" s="26"/>
      <c r="H128" s="26"/>
      <c r="I128" s="26"/>
    </row>
    <row r="129" ht="14.25" customHeight="1">
      <c r="A129" s="26"/>
      <c r="B129" s="26"/>
      <c r="C129" s="26"/>
      <c r="D129" s="26"/>
      <c r="E129" s="26"/>
      <c r="F129" s="26"/>
      <c r="G129" s="26"/>
      <c r="H129" s="26"/>
      <c r="I129" s="26"/>
    </row>
    <row r="130" ht="14.25" customHeight="1">
      <c r="A130" s="26"/>
      <c r="B130" s="26"/>
      <c r="C130" s="26"/>
      <c r="D130" s="26"/>
      <c r="E130" s="26"/>
      <c r="F130" s="26"/>
      <c r="G130" s="26"/>
      <c r="H130" s="26"/>
      <c r="I130" s="26"/>
    </row>
    <row r="131" ht="14.25" customHeight="1">
      <c r="A131" s="26"/>
      <c r="B131" s="26"/>
      <c r="C131" s="26"/>
      <c r="D131" s="26"/>
      <c r="E131" s="26"/>
      <c r="F131" s="26"/>
      <c r="G131" s="26"/>
      <c r="H131" s="26"/>
      <c r="I131" s="26"/>
    </row>
    <row r="132" ht="14.25" customHeight="1">
      <c r="A132" s="26"/>
      <c r="B132" s="26"/>
      <c r="C132" s="26"/>
      <c r="D132" s="26"/>
      <c r="E132" s="26"/>
      <c r="F132" s="26"/>
      <c r="G132" s="26"/>
      <c r="H132" s="26"/>
      <c r="I132" s="26"/>
    </row>
    <row r="133" ht="14.25" customHeight="1">
      <c r="A133" s="26"/>
      <c r="B133" s="26"/>
      <c r="C133" s="26"/>
      <c r="D133" s="26"/>
      <c r="E133" s="26"/>
      <c r="F133" s="26"/>
      <c r="G133" s="26"/>
      <c r="H133" s="26"/>
      <c r="I133" s="26"/>
    </row>
    <row r="134" ht="14.25" customHeight="1">
      <c r="A134" s="26"/>
      <c r="B134" s="26"/>
      <c r="C134" s="26"/>
      <c r="D134" s="26"/>
      <c r="E134" s="26"/>
      <c r="F134" s="26"/>
      <c r="G134" s="26"/>
      <c r="H134" s="26"/>
      <c r="I134" s="26"/>
    </row>
    <row r="135" ht="14.25" customHeight="1">
      <c r="A135" s="26"/>
      <c r="B135" s="26"/>
      <c r="C135" s="26"/>
      <c r="D135" s="26"/>
      <c r="E135" s="26"/>
      <c r="F135" s="26"/>
      <c r="G135" s="26"/>
      <c r="H135" s="26"/>
      <c r="I135" s="26"/>
    </row>
    <row r="136" ht="14.25" customHeight="1">
      <c r="A136" s="26"/>
      <c r="B136" s="26"/>
      <c r="C136" s="26"/>
      <c r="D136" s="26"/>
      <c r="E136" s="26"/>
      <c r="F136" s="26"/>
      <c r="G136" s="26"/>
      <c r="H136" s="26"/>
      <c r="I136" s="26"/>
    </row>
    <row r="137" ht="14.25" customHeight="1">
      <c r="A137" s="26"/>
      <c r="B137" s="26"/>
      <c r="C137" s="26"/>
      <c r="D137" s="26"/>
      <c r="E137" s="26"/>
      <c r="F137" s="26"/>
      <c r="G137" s="26"/>
      <c r="H137" s="26"/>
      <c r="I137" s="26"/>
    </row>
    <row r="138" ht="14.25" customHeight="1">
      <c r="A138" s="26"/>
      <c r="B138" s="26"/>
      <c r="C138" s="26"/>
      <c r="D138" s="26"/>
      <c r="E138" s="26"/>
      <c r="F138" s="26"/>
      <c r="G138" s="26"/>
      <c r="H138" s="26"/>
      <c r="I138" s="26"/>
    </row>
    <row r="139" ht="14.25" customHeight="1">
      <c r="A139" s="26"/>
      <c r="B139" s="26"/>
      <c r="C139" s="26"/>
      <c r="D139" s="26"/>
      <c r="E139" s="26"/>
      <c r="F139" s="26"/>
      <c r="G139" s="26"/>
      <c r="H139" s="26"/>
      <c r="I139" s="26"/>
    </row>
    <row r="140" ht="14.25" customHeight="1">
      <c r="A140" s="26"/>
      <c r="B140" s="26"/>
      <c r="C140" s="26"/>
      <c r="D140" s="26"/>
      <c r="E140" s="26"/>
      <c r="F140" s="26"/>
      <c r="G140" s="26"/>
      <c r="H140" s="26"/>
      <c r="I140" s="26"/>
    </row>
    <row r="141" ht="14.25" customHeight="1">
      <c r="A141" s="26"/>
      <c r="B141" s="26"/>
      <c r="C141" s="26"/>
      <c r="D141" s="26"/>
      <c r="E141" s="26"/>
      <c r="F141" s="26"/>
      <c r="G141" s="26"/>
      <c r="H141" s="26"/>
      <c r="I141" s="26"/>
    </row>
    <row r="142" ht="14.25" customHeight="1">
      <c r="A142" s="26"/>
      <c r="B142" s="26"/>
      <c r="C142" s="26"/>
      <c r="D142" s="26"/>
      <c r="E142" s="26"/>
      <c r="F142" s="26"/>
      <c r="G142" s="26"/>
      <c r="H142" s="26"/>
      <c r="I142" s="26"/>
    </row>
    <row r="143" ht="14.25" customHeight="1">
      <c r="A143" s="26"/>
      <c r="B143" s="26"/>
      <c r="C143" s="26"/>
      <c r="D143" s="26"/>
      <c r="E143" s="26"/>
      <c r="F143" s="26"/>
      <c r="G143" s="26"/>
      <c r="H143" s="26"/>
      <c r="I143" s="26"/>
    </row>
    <row r="144" ht="14.25" customHeight="1">
      <c r="A144" s="26"/>
      <c r="B144" s="26"/>
      <c r="C144" s="26"/>
      <c r="D144" s="26"/>
      <c r="E144" s="26"/>
      <c r="F144" s="26"/>
      <c r="G144" s="26"/>
      <c r="H144" s="26"/>
      <c r="I144" s="26"/>
    </row>
    <row r="145" ht="14.25" customHeight="1">
      <c r="A145" s="26"/>
      <c r="B145" s="26"/>
      <c r="C145" s="26"/>
      <c r="D145" s="26"/>
      <c r="E145" s="26"/>
      <c r="F145" s="26"/>
      <c r="G145" s="26"/>
      <c r="H145" s="26"/>
      <c r="I145" s="26"/>
    </row>
    <row r="146" ht="14.25" customHeight="1">
      <c r="A146" s="26"/>
      <c r="B146" s="26"/>
      <c r="C146" s="26"/>
      <c r="D146" s="26"/>
      <c r="E146" s="26"/>
      <c r="F146" s="26"/>
      <c r="G146" s="26"/>
      <c r="H146" s="26"/>
      <c r="I146" s="26"/>
    </row>
    <row r="147" ht="14.25" customHeight="1">
      <c r="A147" s="26"/>
      <c r="B147" s="26"/>
      <c r="C147" s="26"/>
      <c r="D147" s="26"/>
      <c r="E147" s="26"/>
      <c r="F147" s="26"/>
      <c r="G147" s="26"/>
      <c r="H147" s="26"/>
      <c r="I147" s="26"/>
    </row>
    <row r="148" ht="14.25" customHeight="1">
      <c r="A148" s="26"/>
      <c r="B148" s="26"/>
      <c r="C148" s="26"/>
      <c r="D148" s="26"/>
      <c r="E148" s="26"/>
      <c r="F148" s="26"/>
      <c r="G148" s="26"/>
      <c r="H148" s="26"/>
      <c r="I148" s="26"/>
    </row>
    <row r="149" ht="14.25" customHeight="1">
      <c r="A149" s="26"/>
      <c r="B149" s="26"/>
      <c r="C149" s="26"/>
      <c r="D149" s="26"/>
      <c r="E149" s="26"/>
      <c r="F149" s="26"/>
      <c r="G149" s="26"/>
      <c r="H149" s="26"/>
      <c r="I149" s="26"/>
    </row>
    <row r="150" ht="14.25" customHeight="1">
      <c r="A150" s="26"/>
      <c r="B150" s="26"/>
      <c r="C150" s="26"/>
      <c r="D150" s="26"/>
      <c r="E150" s="26"/>
      <c r="F150" s="26"/>
      <c r="G150" s="26"/>
      <c r="H150" s="26"/>
      <c r="I150" s="26"/>
    </row>
    <row r="151" ht="14.25" customHeight="1">
      <c r="A151" s="26"/>
      <c r="B151" s="26"/>
      <c r="C151" s="26"/>
      <c r="D151" s="26"/>
      <c r="E151" s="26"/>
      <c r="F151" s="26"/>
      <c r="G151" s="26"/>
      <c r="H151" s="26"/>
      <c r="I151" s="26"/>
    </row>
    <row r="152" ht="14.25" customHeight="1">
      <c r="A152" s="26"/>
      <c r="B152" s="26"/>
      <c r="C152" s="26"/>
      <c r="D152" s="26"/>
      <c r="E152" s="26"/>
      <c r="F152" s="26"/>
      <c r="G152" s="26"/>
      <c r="H152" s="26"/>
      <c r="I152" s="26"/>
    </row>
    <row r="153" ht="14.25" customHeight="1">
      <c r="A153" s="26"/>
      <c r="B153" s="26"/>
      <c r="C153" s="26"/>
      <c r="D153" s="26"/>
      <c r="E153" s="26"/>
      <c r="F153" s="26"/>
      <c r="G153" s="26"/>
      <c r="H153" s="26"/>
      <c r="I153" s="26"/>
    </row>
    <row r="154" ht="14.25" customHeight="1">
      <c r="A154" s="26"/>
      <c r="B154" s="26"/>
      <c r="C154" s="26"/>
      <c r="D154" s="26"/>
      <c r="E154" s="26"/>
      <c r="F154" s="26"/>
      <c r="G154" s="26"/>
      <c r="H154" s="26"/>
      <c r="I154" s="26"/>
    </row>
    <row r="155" ht="14.25" customHeight="1">
      <c r="A155" s="26"/>
      <c r="B155" s="26"/>
      <c r="C155" s="26"/>
      <c r="D155" s="26"/>
      <c r="E155" s="26"/>
      <c r="F155" s="26"/>
      <c r="G155" s="26"/>
      <c r="H155" s="26"/>
      <c r="I155" s="26"/>
    </row>
    <row r="156" ht="14.25" customHeight="1">
      <c r="A156" s="26"/>
      <c r="B156" s="26"/>
      <c r="C156" s="26"/>
      <c r="D156" s="26"/>
      <c r="E156" s="26"/>
      <c r="F156" s="26"/>
      <c r="G156" s="26"/>
      <c r="H156" s="26"/>
      <c r="I156" s="26"/>
    </row>
    <row r="157" ht="14.25" customHeight="1">
      <c r="A157" s="26"/>
      <c r="B157" s="26"/>
      <c r="C157" s="26"/>
      <c r="D157" s="26"/>
      <c r="E157" s="26"/>
      <c r="F157" s="26"/>
      <c r="G157" s="26"/>
      <c r="H157" s="26"/>
      <c r="I157" s="26"/>
    </row>
    <row r="158" ht="14.25" customHeight="1">
      <c r="A158" s="26"/>
      <c r="B158" s="26"/>
      <c r="C158" s="26"/>
      <c r="D158" s="26"/>
      <c r="E158" s="26"/>
      <c r="F158" s="26"/>
      <c r="G158" s="26"/>
      <c r="H158" s="26"/>
      <c r="I158" s="26"/>
    </row>
    <row r="159" ht="14.25" customHeight="1">
      <c r="A159" s="26"/>
      <c r="B159" s="26"/>
      <c r="C159" s="26"/>
      <c r="D159" s="26"/>
      <c r="E159" s="26"/>
      <c r="F159" s="26"/>
      <c r="G159" s="26"/>
      <c r="H159" s="26"/>
      <c r="I159" s="26"/>
    </row>
    <row r="160" ht="14.25" customHeight="1">
      <c r="A160" s="26"/>
      <c r="B160" s="26"/>
      <c r="C160" s="26"/>
      <c r="D160" s="26"/>
      <c r="E160" s="26"/>
      <c r="F160" s="26"/>
      <c r="G160" s="26"/>
      <c r="H160" s="26"/>
      <c r="I160" s="26"/>
    </row>
    <row r="161" ht="14.25" customHeight="1">
      <c r="A161" s="26"/>
      <c r="B161" s="26"/>
      <c r="C161" s="26"/>
      <c r="D161" s="26"/>
      <c r="E161" s="26"/>
      <c r="F161" s="26"/>
      <c r="G161" s="26"/>
      <c r="H161" s="26"/>
      <c r="I161" s="26"/>
    </row>
    <row r="162" ht="14.25" customHeight="1">
      <c r="A162" s="26"/>
      <c r="B162" s="26"/>
      <c r="C162" s="26"/>
      <c r="D162" s="26"/>
      <c r="E162" s="26"/>
      <c r="F162" s="26"/>
      <c r="G162" s="26"/>
      <c r="H162" s="26"/>
      <c r="I162" s="26"/>
    </row>
    <row r="163" ht="14.25" customHeight="1">
      <c r="A163" s="26"/>
      <c r="B163" s="26"/>
      <c r="C163" s="26"/>
      <c r="D163" s="26"/>
      <c r="E163" s="26"/>
      <c r="F163" s="26"/>
      <c r="G163" s="26"/>
      <c r="H163" s="26"/>
      <c r="I163" s="26"/>
    </row>
    <row r="164" ht="14.25" customHeight="1">
      <c r="A164" s="26"/>
      <c r="B164" s="26"/>
      <c r="C164" s="26"/>
      <c r="D164" s="26"/>
      <c r="E164" s="26"/>
      <c r="F164" s="26"/>
      <c r="G164" s="26"/>
      <c r="H164" s="26"/>
      <c r="I164" s="26"/>
    </row>
    <row r="165" ht="14.25" customHeight="1">
      <c r="A165" s="26"/>
      <c r="B165" s="26"/>
      <c r="C165" s="26"/>
      <c r="D165" s="26"/>
      <c r="E165" s="26"/>
      <c r="F165" s="26"/>
      <c r="G165" s="26"/>
      <c r="H165" s="26"/>
      <c r="I165" s="26"/>
    </row>
    <row r="166" ht="14.25" customHeight="1">
      <c r="A166" s="26"/>
      <c r="B166" s="26"/>
      <c r="C166" s="26"/>
      <c r="D166" s="26"/>
      <c r="E166" s="26"/>
      <c r="F166" s="26"/>
      <c r="G166" s="26"/>
      <c r="H166" s="26"/>
      <c r="I166" s="26"/>
    </row>
    <row r="167" ht="14.25" customHeight="1">
      <c r="A167" s="26"/>
      <c r="B167" s="26"/>
      <c r="C167" s="26"/>
      <c r="D167" s="26"/>
      <c r="E167" s="26"/>
      <c r="F167" s="26"/>
      <c r="G167" s="26"/>
      <c r="H167" s="26"/>
      <c r="I167" s="26"/>
    </row>
    <row r="168" ht="14.25" customHeight="1">
      <c r="A168" s="26"/>
      <c r="B168" s="26"/>
      <c r="C168" s="26"/>
      <c r="D168" s="26"/>
      <c r="E168" s="26"/>
      <c r="F168" s="26"/>
      <c r="G168" s="26"/>
      <c r="H168" s="26"/>
      <c r="I168" s="26"/>
    </row>
    <row r="169" ht="14.25" customHeight="1">
      <c r="A169" s="26"/>
      <c r="B169" s="26"/>
      <c r="C169" s="26"/>
      <c r="D169" s="26"/>
      <c r="E169" s="26"/>
      <c r="F169" s="26"/>
      <c r="G169" s="26"/>
      <c r="H169" s="26"/>
      <c r="I169" s="26"/>
    </row>
    <row r="170" ht="14.25" customHeight="1">
      <c r="A170" s="26"/>
      <c r="B170" s="26"/>
      <c r="C170" s="26"/>
      <c r="D170" s="26"/>
      <c r="E170" s="26"/>
      <c r="F170" s="26"/>
      <c r="G170" s="26"/>
      <c r="H170" s="26"/>
      <c r="I170" s="26"/>
    </row>
    <row r="171" ht="14.25" customHeight="1">
      <c r="A171" s="26"/>
      <c r="B171" s="26"/>
      <c r="C171" s="26"/>
      <c r="D171" s="26"/>
      <c r="E171" s="26"/>
      <c r="F171" s="26"/>
      <c r="G171" s="26"/>
      <c r="H171" s="26"/>
      <c r="I171" s="26"/>
    </row>
    <row r="172" ht="14.25" customHeight="1">
      <c r="A172" s="26"/>
      <c r="B172" s="26"/>
      <c r="C172" s="26"/>
      <c r="D172" s="26"/>
      <c r="E172" s="26"/>
      <c r="F172" s="26"/>
      <c r="G172" s="26"/>
      <c r="H172" s="26"/>
      <c r="I172" s="26"/>
    </row>
    <row r="173" ht="14.25" customHeight="1">
      <c r="A173" s="26"/>
      <c r="B173" s="26"/>
      <c r="C173" s="26"/>
      <c r="D173" s="26"/>
      <c r="E173" s="26"/>
      <c r="F173" s="26"/>
      <c r="G173" s="26"/>
      <c r="H173" s="26"/>
      <c r="I173" s="26"/>
    </row>
    <row r="174" ht="14.25" customHeight="1">
      <c r="A174" s="26"/>
      <c r="B174" s="26"/>
      <c r="C174" s="26"/>
      <c r="D174" s="26"/>
      <c r="E174" s="26"/>
      <c r="F174" s="26"/>
      <c r="G174" s="26"/>
      <c r="H174" s="26"/>
      <c r="I174" s="26"/>
    </row>
    <row r="175" ht="14.25" customHeight="1">
      <c r="A175" s="26"/>
      <c r="B175" s="26"/>
      <c r="C175" s="26"/>
      <c r="D175" s="26"/>
      <c r="E175" s="26"/>
      <c r="F175" s="26"/>
      <c r="G175" s="26"/>
      <c r="H175" s="26"/>
      <c r="I175" s="26"/>
    </row>
    <row r="176" ht="14.25" customHeight="1">
      <c r="A176" s="26"/>
      <c r="B176" s="26"/>
      <c r="C176" s="26"/>
      <c r="D176" s="26"/>
      <c r="E176" s="26"/>
      <c r="F176" s="26"/>
      <c r="G176" s="26"/>
      <c r="H176" s="26"/>
      <c r="I176" s="26"/>
    </row>
    <row r="177" ht="14.25" customHeight="1">
      <c r="A177" s="26"/>
      <c r="B177" s="26"/>
      <c r="C177" s="26"/>
      <c r="D177" s="26"/>
      <c r="E177" s="26"/>
      <c r="F177" s="26"/>
      <c r="G177" s="26"/>
      <c r="H177" s="26"/>
      <c r="I177" s="26"/>
    </row>
    <row r="178" ht="14.25" customHeight="1">
      <c r="A178" s="26"/>
      <c r="B178" s="26"/>
      <c r="C178" s="26"/>
      <c r="D178" s="26"/>
      <c r="E178" s="26"/>
      <c r="F178" s="26"/>
      <c r="G178" s="26"/>
      <c r="H178" s="26"/>
      <c r="I178" s="26"/>
    </row>
    <row r="179" ht="14.25" customHeight="1">
      <c r="A179" s="26"/>
      <c r="B179" s="26"/>
      <c r="C179" s="26"/>
      <c r="D179" s="26"/>
      <c r="E179" s="26"/>
      <c r="F179" s="26"/>
      <c r="G179" s="26"/>
      <c r="H179" s="26"/>
      <c r="I179" s="26"/>
    </row>
    <row r="180" ht="14.25" customHeight="1">
      <c r="A180" s="26"/>
      <c r="B180" s="26"/>
      <c r="C180" s="26"/>
      <c r="D180" s="26"/>
      <c r="E180" s="26"/>
      <c r="F180" s="26"/>
      <c r="G180" s="26"/>
      <c r="H180" s="26"/>
      <c r="I180" s="26"/>
    </row>
    <row r="181" ht="14.25" customHeight="1">
      <c r="A181" s="26"/>
      <c r="B181" s="26"/>
      <c r="C181" s="26"/>
      <c r="D181" s="26"/>
      <c r="E181" s="26"/>
      <c r="F181" s="26"/>
      <c r="G181" s="26"/>
      <c r="H181" s="26"/>
      <c r="I181" s="26"/>
    </row>
    <row r="182" ht="14.25" customHeight="1">
      <c r="A182" s="26"/>
      <c r="B182" s="26"/>
      <c r="C182" s="26"/>
      <c r="D182" s="26"/>
      <c r="E182" s="26"/>
      <c r="F182" s="26"/>
      <c r="G182" s="26"/>
      <c r="H182" s="26"/>
      <c r="I182" s="26"/>
    </row>
    <row r="183" ht="14.25" customHeight="1">
      <c r="A183" s="26"/>
      <c r="B183" s="26"/>
      <c r="C183" s="26"/>
      <c r="D183" s="26"/>
      <c r="E183" s="26"/>
      <c r="F183" s="26"/>
      <c r="G183" s="26"/>
      <c r="H183" s="26"/>
      <c r="I183" s="26"/>
    </row>
    <row r="184" ht="14.25" customHeight="1">
      <c r="A184" s="26"/>
      <c r="B184" s="26"/>
      <c r="C184" s="26"/>
      <c r="D184" s="26"/>
      <c r="E184" s="26"/>
      <c r="F184" s="26"/>
      <c r="G184" s="26"/>
      <c r="H184" s="26"/>
      <c r="I184" s="26"/>
    </row>
    <row r="185" ht="14.25" customHeight="1">
      <c r="A185" s="26"/>
      <c r="B185" s="26"/>
      <c r="C185" s="26"/>
      <c r="D185" s="26"/>
      <c r="E185" s="26"/>
      <c r="F185" s="26"/>
      <c r="G185" s="26"/>
      <c r="H185" s="26"/>
      <c r="I185" s="26"/>
    </row>
    <row r="186" ht="14.25" customHeight="1">
      <c r="A186" s="26"/>
      <c r="B186" s="26"/>
      <c r="C186" s="26"/>
      <c r="D186" s="26"/>
      <c r="E186" s="26"/>
      <c r="F186" s="26"/>
      <c r="G186" s="26"/>
      <c r="H186" s="26"/>
      <c r="I186" s="26"/>
    </row>
    <row r="187" ht="14.25" customHeight="1">
      <c r="A187" s="26"/>
      <c r="B187" s="26"/>
      <c r="C187" s="26"/>
      <c r="D187" s="26"/>
      <c r="E187" s="26"/>
      <c r="F187" s="26"/>
      <c r="G187" s="26"/>
      <c r="H187" s="26"/>
      <c r="I187" s="26"/>
    </row>
    <row r="188" ht="14.25" customHeight="1">
      <c r="A188" s="26"/>
      <c r="B188" s="26"/>
      <c r="C188" s="26"/>
      <c r="D188" s="26"/>
      <c r="E188" s="26"/>
      <c r="F188" s="26"/>
      <c r="G188" s="26"/>
      <c r="H188" s="26"/>
      <c r="I188" s="26"/>
    </row>
    <row r="189" ht="14.25" customHeight="1">
      <c r="A189" s="26"/>
      <c r="B189" s="26"/>
      <c r="C189" s="26"/>
      <c r="D189" s="26"/>
      <c r="E189" s="26"/>
      <c r="F189" s="26"/>
      <c r="G189" s="26"/>
      <c r="H189" s="26"/>
      <c r="I189" s="26"/>
    </row>
    <row r="190" ht="14.25" customHeight="1">
      <c r="A190" s="26"/>
      <c r="B190" s="26"/>
      <c r="C190" s="26"/>
      <c r="D190" s="26"/>
      <c r="E190" s="26"/>
      <c r="F190" s="26"/>
      <c r="G190" s="26"/>
      <c r="H190" s="26"/>
      <c r="I190" s="26"/>
    </row>
    <row r="191" ht="14.25" customHeight="1">
      <c r="A191" s="26"/>
      <c r="B191" s="26"/>
      <c r="C191" s="26"/>
      <c r="D191" s="26"/>
      <c r="E191" s="26"/>
      <c r="F191" s="26"/>
      <c r="G191" s="26"/>
      <c r="H191" s="26"/>
      <c r="I191" s="26"/>
    </row>
    <row r="192" ht="14.25" customHeight="1">
      <c r="A192" s="26"/>
      <c r="B192" s="26"/>
      <c r="C192" s="26"/>
      <c r="D192" s="26"/>
      <c r="E192" s="26"/>
      <c r="F192" s="26"/>
      <c r="G192" s="26"/>
      <c r="H192" s="26"/>
      <c r="I192" s="26"/>
    </row>
    <row r="193" ht="14.25" customHeight="1">
      <c r="A193" s="26"/>
      <c r="B193" s="26"/>
      <c r="C193" s="26"/>
      <c r="D193" s="26"/>
      <c r="E193" s="26"/>
      <c r="F193" s="26"/>
      <c r="G193" s="26"/>
      <c r="H193" s="26"/>
      <c r="I193" s="26"/>
    </row>
    <row r="194" ht="14.25" customHeight="1">
      <c r="A194" s="26"/>
      <c r="B194" s="26"/>
      <c r="C194" s="26"/>
      <c r="D194" s="26"/>
      <c r="E194" s="26"/>
      <c r="F194" s="26"/>
      <c r="G194" s="26"/>
      <c r="H194" s="26"/>
      <c r="I194" s="26"/>
    </row>
    <row r="195" ht="14.25" customHeight="1">
      <c r="A195" s="26"/>
      <c r="B195" s="26"/>
      <c r="C195" s="26"/>
      <c r="D195" s="26"/>
      <c r="E195" s="26"/>
      <c r="F195" s="26"/>
      <c r="G195" s="26"/>
      <c r="H195" s="26"/>
      <c r="I195" s="26"/>
    </row>
    <row r="196" ht="14.25" customHeight="1">
      <c r="A196" s="26"/>
      <c r="B196" s="26"/>
      <c r="C196" s="26"/>
      <c r="D196" s="26"/>
      <c r="E196" s="26"/>
      <c r="F196" s="26"/>
      <c r="G196" s="26"/>
      <c r="H196" s="26"/>
      <c r="I196" s="26"/>
    </row>
    <row r="197" ht="14.25" customHeight="1">
      <c r="A197" s="26"/>
      <c r="B197" s="26"/>
      <c r="C197" s="26"/>
      <c r="D197" s="26"/>
      <c r="E197" s="26"/>
      <c r="F197" s="26"/>
      <c r="G197" s="26"/>
      <c r="H197" s="26"/>
      <c r="I197" s="26"/>
    </row>
    <row r="198" ht="14.25" customHeight="1">
      <c r="A198" s="26"/>
      <c r="B198" s="26"/>
      <c r="C198" s="26"/>
      <c r="D198" s="26"/>
      <c r="E198" s="26"/>
      <c r="F198" s="26"/>
      <c r="G198" s="26"/>
      <c r="H198" s="26"/>
      <c r="I198" s="26"/>
    </row>
    <row r="199" ht="14.25" customHeight="1">
      <c r="A199" s="26"/>
      <c r="B199" s="26"/>
      <c r="C199" s="26"/>
      <c r="D199" s="26"/>
      <c r="E199" s="26"/>
      <c r="F199" s="26"/>
      <c r="G199" s="26"/>
      <c r="H199" s="26"/>
      <c r="I199" s="26"/>
    </row>
    <row r="200" ht="14.25" customHeight="1">
      <c r="A200" s="26"/>
      <c r="B200" s="26"/>
      <c r="C200" s="26"/>
      <c r="D200" s="26"/>
      <c r="E200" s="26"/>
      <c r="F200" s="26"/>
      <c r="G200" s="26"/>
      <c r="H200" s="26"/>
      <c r="I200" s="26"/>
    </row>
    <row r="201" ht="14.25" customHeight="1">
      <c r="A201" s="26"/>
      <c r="B201" s="26"/>
      <c r="C201" s="26"/>
      <c r="D201" s="26"/>
      <c r="E201" s="26"/>
      <c r="F201" s="26"/>
      <c r="G201" s="26"/>
      <c r="H201" s="26"/>
      <c r="I201" s="26"/>
    </row>
    <row r="202" ht="14.25" customHeight="1">
      <c r="A202" s="26"/>
      <c r="B202" s="26"/>
      <c r="C202" s="26"/>
      <c r="D202" s="26"/>
      <c r="E202" s="26"/>
      <c r="F202" s="26"/>
      <c r="G202" s="26"/>
      <c r="H202" s="26"/>
      <c r="I202" s="26"/>
    </row>
    <row r="203" ht="14.25" customHeight="1">
      <c r="A203" s="26"/>
      <c r="B203" s="26"/>
      <c r="C203" s="26"/>
      <c r="D203" s="26"/>
      <c r="E203" s="26"/>
      <c r="F203" s="26"/>
      <c r="G203" s="26"/>
      <c r="H203" s="26"/>
      <c r="I203" s="26"/>
    </row>
    <row r="204" ht="14.25" customHeight="1">
      <c r="A204" s="26"/>
      <c r="B204" s="26"/>
      <c r="C204" s="26"/>
      <c r="D204" s="26"/>
      <c r="E204" s="26"/>
      <c r="F204" s="26"/>
      <c r="G204" s="26"/>
      <c r="H204" s="26"/>
      <c r="I204" s="26"/>
    </row>
    <row r="205" ht="14.25" customHeight="1">
      <c r="A205" s="26"/>
      <c r="B205" s="26"/>
      <c r="C205" s="26"/>
      <c r="D205" s="26"/>
      <c r="E205" s="26"/>
      <c r="F205" s="26"/>
      <c r="G205" s="26"/>
      <c r="H205" s="26"/>
      <c r="I205" s="26"/>
    </row>
    <row r="206" ht="14.25" customHeight="1">
      <c r="A206" s="26"/>
      <c r="B206" s="26"/>
      <c r="C206" s="26"/>
      <c r="D206" s="26"/>
      <c r="E206" s="26"/>
      <c r="F206" s="26"/>
      <c r="G206" s="26"/>
      <c r="H206" s="26"/>
      <c r="I206" s="26"/>
    </row>
    <row r="207" ht="14.25" customHeight="1">
      <c r="A207" s="26"/>
      <c r="B207" s="26"/>
      <c r="C207" s="26"/>
      <c r="D207" s="26"/>
      <c r="E207" s="26"/>
      <c r="F207" s="26"/>
      <c r="G207" s="26"/>
      <c r="H207" s="26"/>
      <c r="I207" s="26"/>
    </row>
    <row r="208" ht="14.25" customHeight="1">
      <c r="A208" s="26"/>
      <c r="B208" s="26"/>
      <c r="C208" s="26"/>
      <c r="D208" s="26"/>
      <c r="E208" s="26"/>
      <c r="F208" s="26"/>
      <c r="G208" s="26"/>
      <c r="H208" s="26"/>
      <c r="I208" s="26"/>
    </row>
    <row r="209" ht="14.25" customHeight="1">
      <c r="A209" s="26"/>
      <c r="B209" s="26"/>
      <c r="C209" s="26"/>
      <c r="D209" s="26"/>
      <c r="E209" s="26"/>
      <c r="F209" s="26"/>
      <c r="G209" s="26"/>
      <c r="H209" s="26"/>
      <c r="I209" s="26"/>
    </row>
    <row r="210" ht="14.25" customHeight="1">
      <c r="A210" s="26"/>
      <c r="B210" s="26"/>
      <c r="C210" s="26"/>
      <c r="D210" s="26"/>
      <c r="E210" s="26"/>
      <c r="F210" s="26"/>
      <c r="G210" s="26"/>
      <c r="H210" s="26"/>
      <c r="I210" s="26"/>
    </row>
    <row r="211" ht="14.25" customHeight="1">
      <c r="A211" s="26"/>
      <c r="B211" s="26"/>
      <c r="C211" s="26"/>
      <c r="D211" s="26"/>
      <c r="E211" s="26"/>
      <c r="F211" s="26"/>
      <c r="G211" s="26"/>
      <c r="H211" s="26"/>
      <c r="I211" s="26"/>
    </row>
    <row r="212" ht="14.25" customHeight="1">
      <c r="A212" s="26"/>
      <c r="B212" s="26"/>
      <c r="C212" s="26"/>
      <c r="D212" s="26"/>
      <c r="E212" s="26"/>
      <c r="F212" s="26"/>
      <c r="G212" s="26"/>
      <c r="H212" s="26"/>
      <c r="I212" s="26"/>
    </row>
    <row r="213" ht="14.25" customHeight="1">
      <c r="A213" s="26"/>
      <c r="B213" s="26"/>
      <c r="C213" s="26"/>
      <c r="D213" s="26"/>
      <c r="E213" s="26"/>
      <c r="F213" s="26"/>
      <c r="G213" s="26"/>
      <c r="H213" s="26"/>
      <c r="I213" s="26"/>
    </row>
    <row r="214" ht="14.25" customHeight="1">
      <c r="A214" s="26"/>
      <c r="B214" s="26"/>
      <c r="C214" s="26"/>
      <c r="D214" s="26"/>
      <c r="E214" s="26"/>
      <c r="F214" s="26"/>
      <c r="G214" s="26"/>
      <c r="H214" s="26"/>
      <c r="I214" s="26"/>
    </row>
    <row r="215" ht="14.25" customHeight="1">
      <c r="A215" s="26"/>
      <c r="B215" s="26"/>
      <c r="C215" s="26"/>
      <c r="D215" s="26"/>
      <c r="E215" s="26"/>
      <c r="F215" s="26"/>
      <c r="G215" s="26"/>
      <c r="H215" s="26"/>
      <c r="I215" s="26"/>
    </row>
    <row r="216" ht="14.25" customHeight="1">
      <c r="A216" s="26"/>
      <c r="B216" s="26"/>
      <c r="C216" s="26"/>
      <c r="D216" s="26"/>
      <c r="E216" s="26"/>
      <c r="F216" s="26"/>
      <c r="G216" s="26"/>
      <c r="H216" s="26"/>
      <c r="I216" s="26"/>
    </row>
    <row r="217" ht="14.25" customHeight="1">
      <c r="A217" s="26"/>
      <c r="B217" s="26"/>
      <c r="C217" s="26"/>
      <c r="D217" s="26"/>
      <c r="E217" s="26"/>
      <c r="F217" s="26"/>
      <c r="G217" s="26"/>
      <c r="H217" s="26"/>
      <c r="I217" s="26"/>
    </row>
    <row r="218" ht="14.25" customHeight="1">
      <c r="A218" s="26"/>
      <c r="B218" s="26"/>
      <c r="C218" s="26"/>
      <c r="D218" s="26"/>
      <c r="E218" s="26"/>
      <c r="F218" s="26"/>
      <c r="G218" s="26"/>
      <c r="H218" s="26"/>
      <c r="I218" s="26"/>
    </row>
    <row r="219" ht="14.25" customHeight="1">
      <c r="A219" s="26"/>
      <c r="B219" s="26"/>
      <c r="C219" s="26"/>
      <c r="D219" s="26"/>
      <c r="E219" s="26"/>
      <c r="F219" s="26"/>
      <c r="G219" s="26"/>
      <c r="H219" s="26"/>
      <c r="I219" s="26"/>
    </row>
    <row r="220" ht="14.25" customHeight="1">
      <c r="A220" s="26"/>
      <c r="B220" s="26"/>
      <c r="C220" s="26"/>
      <c r="D220" s="26"/>
      <c r="E220" s="26"/>
      <c r="F220" s="26"/>
      <c r="G220" s="26"/>
      <c r="H220" s="26"/>
      <c r="I220" s="26"/>
    </row>
    <row r="221" ht="14.25" customHeight="1">
      <c r="A221" s="26"/>
      <c r="B221" s="26"/>
      <c r="C221" s="26"/>
      <c r="D221" s="26"/>
      <c r="E221" s="26"/>
      <c r="F221" s="26"/>
      <c r="G221" s="26"/>
      <c r="H221" s="26"/>
      <c r="I221" s="26"/>
    </row>
    <row r="222" ht="14.25" customHeight="1">
      <c r="A222" s="26"/>
      <c r="B222" s="26"/>
      <c r="C222" s="26"/>
      <c r="D222" s="26"/>
      <c r="E222" s="26"/>
      <c r="F222" s="26"/>
      <c r="G222" s="26"/>
      <c r="H222" s="26"/>
      <c r="I222" s="26"/>
    </row>
    <row r="223" ht="14.25" customHeight="1">
      <c r="A223" s="26"/>
      <c r="B223" s="26"/>
      <c r="C223" s="26"/>
      <c r="D223" s="26"/>
      <c r="E223" s="26"/>
      <c r="F223" s="26"/>
      <c r="G223" s="26"/>
      <c r="H223" s="26"/>
      <c r="I223" s="26"/>
    </row>
    <row r="224" ht="14.25" customHeight="1">
      <c r="A224" s="26"/>
      <c r="B224" s="26"/>
      <c r="C224" s="26"/>
      <c r="D224" s="26"/>
      <c r="E224" s="26"/>
      <c r="F224" s="26"/>
      <c r="G224" s="26"/>
      <c r="H224" s="26"/>
      <c r="I224" s="26"/>
    </row>
    <row r="225" ht="14.25" customHeight="1">
      <c r="A225" s="26"/>
      <c r="B225" s="26"/>
      <c r="C225" s="26"/>
      <c r="D225" s="26"/>
      <c r="E225" s="26"/>
      <c r="F225" s="26"/>
      <c r="G225" s="26"/>
      <c r="H225" s="26"/>
      <c r="I225" s="26"/>
    </row>
    <row r="226" ht="14.25" customHeight="1">
      <c r="A226" s="26"/>
      <c r="B226" s="26"/>
      <c r="C226" s="26"/>
      <c r="D226" s="26"/>
      <c r="E226" s="26"/>
      <c r="F226" s="26"/>
      <c r="G226" s="26"/>
      <c r="H226" s="26"/>
      <c r="I226" s="26"/>
    </row>
    <row r="227" ht="14.25" customHeight="1">
      <c r="A227" s="26"/>
      <c r="B227" s="26"/>
      <c r="C227" s="26"/>
      <c r="D227" s="26"/>
      <c r="E227" s="26"/>
      <c r="F227" s="26"/>
      <c r="G227" s="26"/>
      <c r="H227" s="26"/>
      <c r="I227" s="26"/>
    </row>
    <row r="228" ht="14.25" customHeight="1">
      <c r="A228" s="26"/>
      <c r="B228" s="26"/>
      <c r="C228" s="26"/>
      <c r="D228" s="26"/>
      <c r="E228" s="26"/>
      <c r="F228" s="26"/>
      <c r="G228" s="26"/>
      <c r="H228" s="26"/>
      <c r="I228" s="26"/>
    </row>
    <row r="229" ht="14.25" customHeight="1">
      <c r="A229" s="26"/>
      <c r="B229" s="26"/>
      <c r="C229" s="26"/>
      <c r="D229" s="26"/>
      <c r="E229" s="26"/>
      <c r="F229" s="26"/>
      <c r="G229" s="26"/>
      <c r="H229" s="26"/>
      <c r="I229" s="26"/>
    </row>
    <row r="230" ht="14.25" customHeight="1">
      <c r="A230" s="26"/>
      <c r="B230" s="26"/>
      <c r="C230" s="26"/>
      <c r="D230" s="26"/>
      <c r="E230" s="26"/>
      <c r="F230" s="26"/>
      <c r="G230" s="26"/>
      <c r="H230" s="26"/>
      <c r="I230" s="26"/>
    </row>
    <row r="231" ht="14.25" customHeight="1">
      <c r="A231" s="26"/>
      <c r="B231" s="26"/>
      <c r="C231" s="26"/>
      <c r="D231" s="26"/>
      <c r="E231" s="26"/>
      <c r="F231" s="26"/>
      <c r="G231" s="26"/>
      <c r="H231" s="26"/>
      <c r="I231" s="26"/>
    </row>
    <row r="232" ht="14.25" customHeight="1">
      <c r="A232" s="26"/>
      <c r="B232" s="26"/>
      <c r="C232" s="26"/>
      <c r="D232" s="26"/>
      <c r="E232" s="26"/>
      <c r="F232" s="26"/>
      <c r="G232" s="26"/>
      <c r="H232" s="26"/>
      <c r="I232" s="26"/>
    </row>
    <row r="233" ht="14.25" customHeight="1">
      <c r="A233" s="26"/>
      <c r="B233" s="26"/>
      <c r="C233" s="26"/>
      <c r="D233" s="26"/>
      <c r="E233" s="26"/>
      <c r="F233" s="26"/>
      <c r="G233" s="26"/>
      <c r="H233" s="26"/>
      <c r="I233" s="26"/>
    </row>
    <row r="234" ht="14.25" customHeight="1">
      <c r="A234" s="26"/>
      <c r="B234" s="26"/>
      <c r="C234" s="26"/>
      <c r="D234" s="26"/>
      <c r="E234" s="26"/>
      <c r="F234" s="26"/>
      <c r="G234" s="26"/>
      <c r="H234" s="26"/>
      <c r="I234" s="26"/>
    </row>
    <row r="235" ht="14.25" customHeight="1">
      <c r="A235" s="26"/>
      <c r="B235" s="26"/>
      <c r="C235" s="26"/>
      <c r="D235" s="26"/>
      <c r="E235" s="26"/>
      <c r="F235" s="26"/>
      <c r="G235" s="26"/>
      <c r="H235" s="26"/>
      <c r="I235" s="26"/>
    </row>
    <row r="236" ht="14.25" customHeight="1">
      <c r="A236" s="26"/>
      <c r="B236" s="26"/>
      <c r="C236" s="26"/>
      <c r="D236" s="26"/>
      <c r="E236" s="26"/>
      <c r="F236" s="26"/>
      <c r="G236" s="26"/>
      <c r="H236" s="26"/>
      <c r="I236" s="26"/>
    </row>
    <row r="237" ht="14.25" customHeight="1">
      <c r="A237" s="26"/>
      <c r="B237" s="26"/>
      <c r="C237" s="26"/>
      <c r="D237" s="26"/>
      <c r="E237" s="26"/>
      <c r="F237" s="26"/>
      <c r="G237" s="26"/>
      <c r="H237" s="26"/>
      <c r="I237" s="26"/>
    </row>
    <row r="238" ht="14.25" customHeight="1">
      <c r="A238" s="26"/>
      <c r="B238" s="26"/>
      <c r="C238" s="26"/>
      <c r="D238" s="26"/>
      <c r="E238" s="26"/>
      <c r="F238" s="26"/>
      <c r="G238" s="26"/>
      <c r="H238" s="26"/>
      <c r="I238" s="26"/>
    </row>
    <row r="239" ht="14.25" customHeight="1">
      <c r="A239" s="26"/>
      <c r="B239" s="26"/>
      <c r="C239" s="26"/>
      <c r="D239" s="26"/>
      <c r="E239" s="26"/>
      <c r="F239" s="26"/>
      <c r="G239" s="26"/>
      <c r="H239" s="26"/>
      <c r="I239" s="26"/>
    </row>
    <row r="240" ht="14.25" customHeight="1">
      <c r="A240" s="26"/>
      <c r="B240" s="26"/>
      <c r="C240" s="26"/>
      <c r="D240" s="26"/>
      <c r="E240" s="26"/>
      <c r="F240" s="26"/>
      <c r="G240" s="26"/>
      <c r="H240" s="26"/>
      <c r="I240" s="26"/>
    </row>
    <row r="241" ht="14.25" customHeight="1">
      <c r="A241" s="26"/>
      <c r="B241" s="26"/>
      <c r="C241" s="26"/>
      <c r="D241" s="26"/>
      <c r="E241" s="26"/>
      <c r="F241" s="26"/>
      <c r="G241" s="26"/>
      <c r="H241" s="26"/>
      <c r="I241" s="26"/>
    </row>
    <row r="242" ht="14.25" customHeight="1">
      <c r="A242" s="26"/>
      <c r="B242" s="26"/>
      <c r="C242" s="26"/>
      <c r="D242" s="26"/>
      <c r="E242" s="26"/>
      <c r="F242" s="26"/>
      <c r="G242" s="26"/>
      <c r="H242" s="26"/>
      <c r="I242" s="26"/>
    </row>
    <row r="243" ht="14.25" customHeight="1">
      <c r="A243" s="26"/>
      <c r="B243" s="26"/>
      <c r="C243" s="26"/>
      <c r="D243" s="26"/>
      <c r="E243" s="26"/>
      <c r="F243" s="26"/>
      <c r="G243" s="26"/>
      <c r="H243" s="26"/>
      <c r="I243" s="26"/>
    </row>
    <row r="244" ht="14.25" customHeight="1">
      <c r="A244" s="26"/>
      <c r="B244" s="26"/>
      <c r="C244" s="26"/>
      <c r="D244" s="26"/>
      <c r="E244" s="26"/>
      <c r="F244" s="26"/>
      <c r="G244" s="26"/>
      <c r="H244" s="26"/>
      <c r="I244" s="26"/>
    </row>
    <row r="245" ht="14.25" customHeight="1">
      <c r="A245" s="26"/>
      <c r="B245" s="26"/>
      <c r="C245" s="26"/>
      <c r="D245" s="26"/>
      <c r="E245" s="26"/>
      <c r="F245" s="26"/>
      <c r="G245" s="26"/>
      <c r="H245" s="26"/>
      <c r="I245" s="26"/>
    </row>
    <row r="246" ht="14.25" customHeight="1">
      <c r="A246" s="26"/>
      <c r="B246" s="26"/>
      <c r="C246" s="26"/>
      <c r="D246" s="26"/>
      <c r="E246" s="26"/>
      <c r="F246" s="26"/>
      <c r="G246" s="26"/>
      <c r="H246" s="26"/>
      <c r="I246" s="26"/>
    </row>
    <row r="247" ht="14.25" customHeight="1">
      <c r="A247" s="26"/>
      <c r="B247" s="26"/>
      <c r="C247" s="26"/>
      <c r="D247" s="26"/>
      <c r="E247" s="26"/>
      <c r="F247" s="26"/>
      <c r="G247" s="26"/>
      <c r="H247" s="26"/>
      <c r="I247" s="26"/>
    </row>
    <row r="248" ht="14.25" customHeight="1">
      <c r="A248" s="26"/>
      <c r="B248" s="26"/>
      <c r="C248" s="26"/>
      <c r="D248" s="26"/>
      <c r="E248" s="26"/>
      <c r="F248" s="26"/>
      <c r="G248" s="26"/>
      <c r="H248" s="26"/>
      <c r="I248" s="26"/>
    </row>
    <row r="249" ht="14.25" customHeight="1">
      <c r="A249" s="26"/>
      <c r="B249" s="26"/>
      <c r="C249" s="26"/>
      <c r="D249" s="26"/>
      <c r="E249" s="26"/>
      <c r="F249" s="26"/>
      <c r="G249" s="26"/>
      <c r="H249" s="26"/>
      <c r="I249" s="26"/>
    </row>
    <row r="250" ht="14.25" customHeight="1">
      <c r="A250" s="26"/>
      <c r="B250" s="26"/>
      <c r="C250" s="26"/>
      <c r="D250" s="26"/>
      <c r="E250" s="26"/>
      <c r="F250" s="26"/>
      <c r="G250" s="26"/>
      <c r="H250" s="26"/>
      <c r="I250" s="26"/>
    </row>
    <row r="251" ht="14.25" customHeight="1">
      <c r="A251" s="26"/>
      <c r="B251" s="26"/>
      <c r="C251" s="26"/>
      <c r="D251" s="26"/>
      <c r="E251" s="26"/>
      <c r="F251" s="26"/>
      <c r="G251" s="26"/>
      <c r="H251" s="26"/>
      <c r="I251" s="26"/>
    </row>
    <row r="252" ht="14.25" customHeight="1">
      <c r="A252" s="26"/>
      <c r="B252" s="26"/>
      <c r="C252" s="26"/>
      <c r="D252" s="26"/>
      <c r="E252" s="26"/>
      <c r="F252" s="26"/>
      <c r="G252" s="26"/>
      <c r="H252" s="26"/>
      <c r="I252" s="26"/>
    </row>
    <row r="253" ht="14.25" customHeight="1">
      <c r="A253" s="26"/>
      <c r="B253" s="26"/>
      <c r="C253" s="26"/>
      <c r="D253" s="26"/>
      <c r="E253" s="26"/>
      <c r="F253" s="26"/>
      <c r="G253" s="26"/>
      <c r="H253" s="26"/>
      <c r="I253" s="26"/>
    </row>
    <row r="254" ht="14.25" customHeight="1">
      <c r="A254" s="26"/>
      <c r="B254" s="26"/>
      <c r="C254" s="26"/>
      <c r="D254" s="26"/>
      <c r="E254" s="26"/>
      <c r="F254" s="26"/>
      <c r="G254" s="26"/>
      <c r="H254" s="26"/>
      <c r="I254" s="26"/>
    </row>
    <row r="255" ht="14.25" customHeight="1">
      <c r="A255" s="26"/>
      <c r="B255" s="26"/>
      <c r="C255" s="26"/>
      <c r="D255" s="26"/>
      <c r="E255" s="26"/>
      <c r="F255" s="26"/>
      <c r="G255" s="26"/>
      <c r="H255" s="26"/>
      <c r="I255" s="26"/>
    </row>
    <row r="256" ht="14.25" customHeight="1">
      <c r="A256" s="26"/>
      <c r="B256" s="26"/>
      <c r="C256" s="26"/>
      <c r="D256" s="26"/>
      <c r="E256" s="26"/>
      <c r="F256" s="26"/>
      <c r="G256" s="26"/>
      <c r="H256" s="26"/>
      <c r="I256" s="26"/>
    </row>
    <row r="257" ht="14.25" customHeight="1">
      <c r="A257" s="26"/>
      <c r="B257" s="26"/>
      <c r="C257" s="26"/>
      <c r="D257" s="26"/>
      <c r="E257" s="26"/>
      <c r="F257" s="26"/>
      <c r="G257" s="26"/>
      <c r="H257" s="26"/>
      <c r="I257" s="26"/>
    </row>
    <row r="258" ht="14.25" customHeight="1">
      <c r="A258" s="26"/>
      <c r="B258" s="26"/>
      <c r="C258" s="26"/>
      <c r="D258" s="26"/>
      <c r="E258" s="26"/>
      <c r="F258" s="26"/>
      <c r="G258" s="26"/>
      <c r="H258" s="26"/>
      <c r="I258" s="26"/>
    </row>
    <row r="259" ht="14.25" customHeight="1">
      <c r="A259" s="26"/>
      <c r="B259" s="26"/>
      <c r="C259" s="26"/>
      <c r="D259" s="26"/>
      <c r="E259" s="26"/>
      <c r="F259" s="26"/>
      <c r="G259" s="26"/>
      <c r="H259" s="26"/>
      <c r="I259" s="26"/>
    </row>
    <row r="260" ht="14.25" customHeight="1">
      <c r="A260" s="26"/>
      <c r="B260" s="26"/>
      <c r="C260" s="26"/>
      <c r="D260" s="26"/>
      <c r="E260" s="26"/>
      <c r="F260" s="26"/>
      <c r="G260" s="26"/>
      <c r="H260" s="26"/>
      <c r="I260" s="26"/>
    </row>
    <row r="261" ht="14.25" customHeight="1">
      <c r="A261" s="26"/>
      <c r="B261" s="26"/>
      <c r="C261" s="26"/>
      <c r="D261" s="26"/>
      <c r="E261" s="26"/>
      <c r="F261" s="26"/>
      <c r="G261" s="26"/>
      <c r="H261" s="26"/>
      <c r="I261" s="26"/>
    </row>
    <row r="262" ht="14.25" customHeight="1">
      <c r="A262" s="26"/>
      <c r="B262" s="26"/>
      <c r="C262" s="26"/>
      <c r="D262" s="26"/>
      <c r="E262" s="26"/>
      <c r="F262" s="26"/>
      <c r="G262" s="26"/>
      <c r="H262" s="26"/>
      <c r="I262" s="26"/>
    </row>
    <row r="263" ht="14.25" customHeight="1">
      <c r="A263" s="26"/>
      <c r="B263" s="26"/>
      <c r="C263" s="26"/>
      <c r="D263" s="26"/>
      <c r="E263" s="26"/>
      <c r="F263" s="26"/>
      <c r="G263" s="26"/>
      <c r="H263" s="26"/>
      <c r="I263" s="26"/>
    </row>
    <row r="264" ht="14.25" customHeight="1">
      <c r="A264" s="26"/>
      <c r="B264" s="26"/>
      <c r="C264" s="26"/>
      <c r="D264" s="26"/>
      <c r="E264" s="26"/>
      <c r="F264" s="26"/>
      <c r="G264" s="26"/>
      <c r="H264" s="26"/>
      <c r="I264" s="26"/>
    </row>
    <row r="265" ht="14.25" customHeight="1">
      <c r="A265" s="26"/>
      <c r="B265" s="26"/>
      <c r="C265" s="26"/>
      <c r="D265" s="26"/>
      <c r="E265" s="26"/>
      <c r="F265" s="26"/>
      <c r="G265" s="26"/>
      <c r="H265" s="26"/>
      <c r="I265" s="26"/>
    </row>
    <row r="266" ht="14.25" customHeight="1">
      <c r="A266" s="26"/>
      <c r="B266" s="26"/>
      <c r="C266" s="26"/>
      <c r="D266" s="26"/>
      <c r="E266" s="26"/>
      <c r="F266" s="26"/>
      <c r="G266" s="26"/>
      <c r="H266" s="26"/>
      <c r="I266" s="26"/>
    </row>
    <row r="267" ht="14.25" customHeight="1">
      <c r="A267" s="26"/>
      <c r="B267" s="26"/>
      <c r="C267" s="26"/>
      <c r="D267" s="26"/>
      <c r="E267" s="26"/>
      <c r="F267" s="26"/>
      <c r="G267" s="26"/>
      <c r="H267" s="26"/>
      <c r="I267" s="26"/>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A5:A67">
      <formula1>'Licences &amp; Certificates'!$A$5:$A$73</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7.57"/>
    <col customWidth="1" min="2" max="2" width="27.71"/>
    <col customWidth="1" min="3" max="3" width="38.86"/>
    <col customWidth="1" min="4" max="4" width="14.71"/>
    <col customWidth="1" min="5" max="5" width="8.29"/>
    <col customWidth="1" min="6" max="6" width="35.29"/>
    <col customWidth="1" min="7" max="7" width="20.29"/>
    <col customWidth="1" min="8" max="9" width="16.71"/>
    <col customWidth="1" min="10" max="10" width="20.29"/>
    <col customWidth="1" min="11" max="11" width="22.29"/>
    <col customWidth="1" min="12" max="12" width="29.71"/>
    <col customWidth="1" min="13" max="26" width="8.71"/>
  </cols>
  <sheetData>
    <row r="1" ht="14.25" customHeight="1">
      <c r="A1" s="307" t="s">
        <v>1535</v>
      </c>
      <c r="B1" s="307"/>
      <c r="C1" s="307"/>
      <c r="D1" s="307"/>
      <c r="E1" s="307"/>
      <c r="F1" s="307"/>
      <c r="G1" s="307"/>
      <c r="H1" s="307"/>
      <c r="I1" s="307"/>
      <c r="J1" s="307"/>
      <c r="K1" s="307"/>
      <c r="L1" s="307"/>
    </row>
    <row r="2" ht="14.25" customHeight="1">
      <c r="A2" s="30" t="s">
        <v>1536</v>
      </c>
    </row>
    <row r="3" ht="14.25" customHeight="1"/>
    <row r="4" ht="14.25" customHeight="1">
      <c r="A4" s="309" t="s">
        <v>1211</v>
      </c>
      <c r="B4" s="309" t="s">
        <v>560</v>
      </c>
      <c r="C4" s="309" t="s">
        <v>218</v>
      </c>
      <c r="D4" s="309" t="s">
        <v>1538</v>
      </c>
      <c r="E4" s="309" t="s">
        <v>497</v>
      </c>
      <c r="F4" s="309" t="s">
        <v>1539</v>
      </c>
      <c r="G4" s="309" t="s">
        <v>1540</v>
      </c>
      <c r="H4" s="309" t="s">
        <v>1541</v>
      </c>
      <c r="I4" s="309" t="s">
        <v>1542</v>
      </c>
      <c r="J4" s="309" t="s">
        <v>1543</v>
      </c>
      <c r="K4" s="309" t="s">
        <v>1544</v>
      </c>
      <c r="L4" s="309" t="s">
        <v>1545</v>
      </c>
    </row>
    <row r="5" ht="14.25" customHeight="1">
      <c r="A5" s="282"/>
      <c r="B5" s="282" t="str">
        <f t="array" ref="B5">IF($A5="","",IFERROR(INDEX('Licences &amp; Certificates'!$K$5:$K$73,MATCH($A5,'Licences &amp; Certificates'!$A$5:$A$73,0))&amp;"","Unknown ID"))</f>
        <v/>
      </c>
      <c r="C5" s="282" t="str">
        <f t="array" ref="C5">IF($A5="","",IFERROR(INDEX('Licences &amp; Certificates'!$C$5:$C$73,MATCH($A5,'Licences &amp; Certificates'!$A$5:$A$73,0)),"Unknown ID"))</f>
        <v/>
      </c>
      <c r="D5" s="282"/>
      <c r="E5" s="282"/>
      <c r="F5" s="310" t="s">
        <v>1547</v>
      </c>
      <c r="G5" s="310" t="s">
        <v>1547</v>
      </c>
      <c r="H5" s="310" t="s">
        <v>1547</v>
      </c>
      <c r="I5" s="310" t="s">
        <v>1547</v>
      </c>
      <c r="J5" s="310" t="s">
        <v>1547</v>
      </c>
      <c r="K5" s="310" t="s">
        <v>1547</v>
      </c>
      <c r="L5" s="282" t="str">
        <f t="shared" ref="L5:L6" si="1">IF($A5="","",UPPER(TRIM($A5))&amp;"|"&amp;$D5&amp;"|"&amp;$E5)</f>
        <v/>
      </c>
    </row>
    <row r="6" ht="14.25" customHeight="1">
      <c r="A6" s="311"/>
      <c r="B6" s="312" t="str">
        <f t="array" ref="B6">IF($A6="","",IFERROR(INDEX('Licences &amp; Certificates'!$K$5:$K$73,MATCH($A6,'Licences &amp; Certificates'!$A$5:$A$73,0))&amp;"","Unknown ID"))</f>
        <v/>
      </c>
      <c r="C6" s="312" t="str">
        <f t="array" ref="C6">IF($A6="","",IFERROR(INDEX('Licences &amp; Certificates'!$C$5:$C$73,MATCH($A6,'Licences &amp; Certificates'!$A$5:$A$73,0)),"Unknown ID"))</f>
        <v/>
      </c>
      <c r="D6" s="311"/>
      <c r="E6" s="313"/>
      <c r="F6" s="314"/>
      <c r="G6" s="314"/>
      <c r="H6" s="315"/>
      <c r="I6" s="315"/>
      <c r="J6" s="315"/>
      <c r="K6" s="315"/>
      <c r="L6" s="312" t="str">
        <f t="shared" si="1"/>
        <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14"/>
    <col customWidth="1" min="2" max="2" width="13.0"/>
    <col customWidth="1" min="3" max="4" width="37.0"/>
    <col customWidth="1" min="5" max="5" width="35.29"/>
    <col customWidth="1" min="6" max="6" width="15.71"/>
    <col customWidth="1" min="7" max="7" width="10.29"/>
    <col customWidth="1" min="8" max="8" width="17.57"/>
    <col customWidth="1" min="9" max="9" width="14.71"/>
    <col customWidth="1" min="10" max="10" width="27.71"/>
    <col customWidth="1" min="11" max="11" width="25.86"/>
    <col customWidth="1" min="12" max="12" width="19.71"/>
    <col customWidth="1" min="13" max="13" width="55.57"/>
    <col customWidth="1" min="14" max="14" width="42.57"/>
    <col customWidth="1" min="15" max="26" width="8.86"/>
    <col customWidth="1" min="27" max="29" width="8.71"/>
  </cols>
  <sheetData>
    <row r="1" ht="25.5" customHeight="1">
      <c r="A1" s="25" t="s">
        <v>1551</v>
      </c>
      <c r="B1" s="25"/>
      <c r="C1" s="25"/>
      <c r="D1" s="25"/>
      <c r="E1" s="25"/>
      <c r="F1" s="25"/>
      <c r="G1" s="25"/>
      <c r="H1" s="25"/>
      <c r="I1" s="25"/>
      <c r="J1" s="25"/>
      <c r="K1" s="25"/>
      <c r="L1" s="25"/>
      <c r="M1" s="25"/>
      <c r="N1" s="25"/>
      <c r="O1" s="26"/>
      <c r="P1" s="26"/>
      <c r="Q1" s="26"/>
      <c r="R1" s="26"/>
      <c r="S1" s="26"/>
      <c r="T1" s="26"/>
      <c r="U1" s="26"/>
      <c r="V1" s="26"/>
      <c r="W1" s="26"/>
      <c r="X1" s="26"/>
      <c r="Y1" s="26"/>
      <c r="Z1" s="26"/>
    </row>
    <row r="2" ht="14.25" customHeight="1">
      <c r="A2" s="30" t="s">
        <v>1552</v>
      </c>
      <c r="B2" s="30"/>
      <c r="C2" s="30"/>
      <c r="D2" s="30"/>
      <c r="E2" s="30"/>
      <c r="F2" s="30"/>
      <c r="G2" s="30"/>
      <c r="H2" s="30"/>
      <c r="I2" s="30"/>
      <c r="J2" s="30"/>
      <c r="K2" s="30"/>
      <c r="L2" s="30"/>
      <c r="M2" s="30"/>
      <c r="N2" s="30"/>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280" t="s">
        <v>294</v>
      </c>
      <c r="B4" s="280" t="s">
        <v>422</v>
      </c>
      <c r="C4" s="280" t="s">
        <v>171</v>
      </c>
      <c r="D4" s="280" t="s">
        <v>736</v>
      </c>
      <c r="E4" s="280" t="s">
        <v>499</v>
      </c>
      <c r="F4" s="280" t="s">
        <v>500</v>
      </c>
      <c r="G4" s="280" t="s">
        <v>1553</v>
      </c>
      <c r="H4" s="280" t="s">
        <v>397</v>
      </c>
      <c r="I4" s="280" t="s">
        <v>524</v>
      </c>
      <c r="J4" s="280" t="s">
        <v>525</v>
      </c>
      <c r="K4" s="280" t="s">
        <v>476</v>
      </c>
      <c r="L4" s="280" t="s">
        <v>1554</v>
      </c>
      <c r="M4" s="280" t="s">
        <v>1555</v>
      </c>
      <c r="N4" s="280" t="s">
        <v>349</v>
      </c>
      <c r="O4" s="280" t="s">
        <v>964</v>
      </c>
      <c r="P4" s="280" t="s">
        <v>492</v>
      </c>
      <c r="Q4" s="280" t="s">
        <v>216</v>
      </c>
      <c r="R4" s="281"/>
      <c r="S4" s="281"/>
      <c r="T4" s="281"/>
      <c r="U4" s="281"/>
      <c r="V4" s="281"/>
      <c r="W4" s="281"/>
      <c r="X4" s="281"/>
      <c r="Y4" s="281"/>
      <c r="Z4" s="281"/>
      <c r="AA4" s="281"/>
      <c r="AB4" s="281"/>
      <c r="AC4" s="281"/>
    </row>
    <row r="5" ht="14.25" customHeight="1">
      <c r="A5" s="282" t="s">
        <v>1556</v>
      </c>
      <c r="B5" s="301" t="s">
        <v>1557</v>
      </c>
      <c r="C5" s="282" t="s">
        <v>745</v>
      </c>
      <c r="D5" s="282" t="str">
        <f t="array" ref="D5">IFERROR(INDEX(Companies!$B$5:$B$74,MATCH($C5,Companies!$A$5:$A$74,0)),"Unknown ID")</f>
        <v>MNG Gold Liberia Inc.</v>
      </c>
      <c r="E5" s="282" t="str">
        <f>'SRC BMMC Log'!A4</f>
        <v>Sodium Cyandide</v>
      </c>
      <c r="F5" s="282" t="s">
        <v>529</v>
      </c>
      <c r="G5" s="316">
        <f>'SRC BMMC Log'!B4</f>
        <v>160000</v>
      </c>
      <c r="H5" s="282" t="s">
        <v>1225</v>
      </c>
      <c r="I5" s="317">
        <f t="shared" ref="I5:I169" si="1">IF(OR($H5="kg",$H5="MT"),IF(ISNUMBER($G5),$G5,VALUE(TRIM(SUBSTITUTE(UPPER($G5),"MT",""))))*IF($H5="MT",1000,1),"")</f>
        <v>160000</v>
      </c>
      <c r="J5" s="318">
        <f t="shared" ref="J5:J169" si="2">IF($I5="","",$I5/1000)</f>
        <v>160</v>
      </c>
      <c r="K5" s="282" t="str">
        <f>'SRC BMMC Log'!D4</f>
        <v>HLCUSEL251150580</v>
      </c>
      <c r="L5" s="282" t="s">
        <v>1562</v>
      </c>
      <c r="M5" s="300">
        <f>'SRC BMMC Log'!C4</f>
        <v>46042</v>
      </c>
      <c r="N5" s="282" t="s">
        <v>1565</v>
      </c>
      <c r="O5" s="282" t="s">
        <v>1566</v>
      </c>
      <c r="P5" s="282"/>
      <c r="Q5" s="301" t="str">
        <f t="array" ref="Q5">IFERROR(INDEX('Bills &amp; Invoices'!$B$5:$B$32,MATCH("*"&amp;$B5&amp;"*",'Bills &amp; Invoices'!$V$5:$V$32,0)),"")</f>
        <v/>
      </c>
      <c r="R5" s="26"/>
      <c r="S5" s="26"/>
      <c r="T5" s="26"/>
      <c r="U5" s="26"/>
      <c r="V5" s="26"/>
      <c r="W5" s="26"/>
      <c r="X5" s="26"/>
      <c r="Y5" s="26"/>
      <c r="Z5" s="26"/>
      <c r="AA5" s="26"/>
      <c r="AB5" s="26"/>
      <c r="AC5" s="26"/>
    </row>
    <row r="6" ht="14.25" customHeight="1">
      <c r="A6" s="282" t="s">
        <v>1567</v>
      </c>
      <c r="B6" s="301" t="s">
        <v>1568</v>
      </c>
      <c r="C6" s="282" t="s">
        <v>739</v>
      </c>
      <c r="D6" s="282" t="str">
        <f t="array" ref="D6">IFERROR(INDEX(Companies!$B$5:$B$74,MATCH($C6,Companies!$A$5:$A$74,0)),"Unknown ID")</f>
        <v>Bea Mountain Mining Corporation (BMMC)</v>
      </c>
      <c r="E6" s="282" t="str">
        <f>'SRC BMMC Log'!A5</f>
        <v>Acetic Acid</v>
      </c>
      <c r="F6" s="282" t="s">
        <v>568</v>
      </c>
      <c r="G6" s="316">
        <f>'SRC BMMC Log'!B5</f>
        <v>16020</v>
      </c>
      <c r="H6" s="282" t="s">
        <v>1225</v>
      </c>
      <c r="I6" s="317">
        <f t="shared" si="1"/>
        <v>16020</v>
      </c>
      <c r="J6" s="318">
        <f t="shared" si="2"/>
        <v>16.02</v>
      </c>
      <c r="K6" s="282" t="str">
        <f>'SRC BMMC Log'!D5</f>
        <v>BL 261510438/ INV. ORB19522025</v>
      </c>
      <c r="L6" s="282"/>
      <c r="M6" s="300">
        <f>'SRC BMMC Log'!C5</f>
        <v>46049</v>
      </c>
      <c r="N6" s="282" t="s">
        <v>1572</v>
      </c>
      <c r="O6" s="282" t="s">
        <v>1573</v>
      </c>
      <c r="P6" s="282"/>
      <c r="Q6" s="301" t="str">
        <f t="array" ref="Q6">IFERROR(INDEX('Bills &amp; Invoices'!$B$5:$B$32,MATCH("*"&amp;$B6&amp;"*",'Bills &amp; Invoices'!$V$5:$V$32,0)),"")</f>
        <v/>
      </c>
      <c r="R6" s="26"/>
      <c r="S6" s="26"/>
      <c r="T6" s="26"/>
      <c r="U6" s="26"/>
      <c r="V6" s="26"/>
      <c r="W6" s="26"/>
      <c r="X6" s="26"/>
      <c r="Y6" s="26"/>
      <c r="Z6" s="26"/>
      <c r="AA6" s="26"/>
      <c r="AB6" s="26"/>
      <c r="AC6" s="26"/>
    </row>
    <row r="7" ht="14.25" customHeight="1">
      <c r="A7" s="282" t="s">
        <v>1574</v>
      </c>
      <c r="B7" s="301" t="s">
        <v>1575</v>
      </c>
      <c r="C7" s="282" t="s">
        <v>739</v>
      </c>
      <c r="D7" s="282" t="str">
        <f t="array" ref="D7">IFERROR(INDEX(Companies!$B$5:$B$74,MATCH($C7,Companies!$A$5:$A$74,0)),"Unknown ID")</f>
        <v>Bea Mountain Mining Corporation (BMMC)</v>
      </c>
      <c r="E7" s="282" t="str">
        <f>'SRC BMMC Log'!A6</f>
        <v>Loctite Thresd Sealant</v>
      </c>
      <c r="F7" s="282" t="s">
        <v>584</v>
      </c>
      <c r="G7" s="316">
        <f>'SRC BMMC Log'!B6</f>
        <v>1846</v>
      </c>
      <c r="H7" s="282" t="s">
        <v>1225</v>
      </c>
      <c r="I7" s="317">
        <f t="shared" si="1"/>
        <v>1846</v>
      </c>
      <c r="J7" s="318">
        <f t="shared" si="2"/>
        <v>1.846</v>
      </c>
      <c r="K7" s="282" t="str">
        <f>'SRC BMMC Log'!D6</f>
        <v>BL 265569706</v>
      </c>
      <c r="L7" s="282"/>
      <c r="M7" s="300">
        <f>'SRC BMMC Log'!C6</f>
        <v>46049</v>
      </c>
      <c r="N7" s="282" t="s">
        <v>1572</v>
      </c>
      <c r="O7" s="282" t="s">
        <v>1589</v>
      </c>
      <c r="P7" s="282"/>
      <c r="Q7" s="301" t="str">
        <f t="array" ref="Q7">IFERROR(INDEX('Bills &amp; Invoices'!$B$5:$B$32,MATCH("*"&amp;$B7&amp;"*",'Bills &amp; Invoices'!$V$5:$V$32,0)),"")</f>
        <v/>
      </c>
      <c r="R7" s="26"/>
      <c r="S7" s="26"/>
      <c r="T7" s="26"/>
      <c r="U7" s="26"/>
      <c r="V7" s="26"/>
      <c r="W7" s="26"/>
      <c r="X7" s="26"/>
      <c r="Y7" s="26"/>
      <c r="Z7" s="26"/>
      <c r="AA7" s="26"/>
      <c r="AB7" s="26"/>
      <c r="AC7" s="26"/>
    </row>
    <row r="8" ht="14.25" customHeight="1">
      <c r="A8" s="282" t="s">
        <v>1593</v>
      </c>
      <c r="B8" s="301" t="s">
        <v>1594</v>
      </c>
      <c r="C8" s="282" t="s">
        <v>739</v>
      </c>
      <c r="D8" s="282" t="str">
        <f t="array" ref="D8">IFERROR(INDEX(Companies!$B$5:$B$74,MATCH($C8,Companies!$A$5:$A$74,0)),"Unknown ID")</f>
        <v>Bea Mountain Mining Corporation (BMMC)</v>
      </c>
      <c r="E8" s="282" t="str">
        <f>'SRC BMMC Log'!A7</f>
        <v>Loctite Thresd Sealant</v>
      </c>
      <c r="F8" s="282" t="s">
        <v>584</v>
      </c>
      <c r="G8" s="316">
        <f>'SRC BMMC Log'!B7</f>
        <v>7714</v>
      </c>
      <c r="H8" s="282" t="s">
        <v>1225</v>
      </c>
      <c r="I8" s="317">
        <f t="shared" si="1"/>
        <v>7714</v>
      </c>
      <c r="J8" s="318">
        <f t="shared" si="2"/>
        <v>7.714</v>
      </c>
      <c r="K8" s="282" t="str">
        <f>'SRC BMMC Log'!D7</f>
        <v>BL 261510675</v>
      </c>
      <c r="L8" s="282"/>
      <c r="M8" s="300">
        <f>'SRC BMMC Log'!C7</f>
        <v>46049</v>
      </c>
      <c r="N8" s="282" t="s">
        <v>1572</v>
      </c>
      <c r="O8" s="282" t="s">
        <v>1598</v>
      </c>
      <c r="P8" s="282"/>
      <c r="Q8" s="301" t="str">
        <f t="array" ref="Q8">IFERROR(INDEX('Bills &amp; Invoices'!$B$5:$B$32,MATCH("*"&amp;$B8&amp;"*",'Bills &amp; Invoices'!$V$5:$V$32,0)),"")</f>
        <v/>
      </c>
      <c r="R8" s="26"/>
      <c r="S8" s="26"/>
      <c r="T8" s="26"/>
      <c r="U8" s="26"/>
      <c r="V8" s="26"/>
      <c r="W8" s="26"/>
      <c r="X8" s="26"/>
      <c r="Y8" s="26"/>
      <c r="Z8" s="26"/>
      <c r="AA8" s="26"/>
      <c r="AB8" s="26"/>
      <c r="AC8" s="26"/>
    </row>
    <row r="9" ht="14.25" customHeight="1">
      <c r="A9" s="282" t="s">
        <v>1601</v>
      </c>
      <c r="B9" s="301" t="s">
        <v>1602</v>
      </c>
      <c r="C9" s="282" t="s">
        <v>745</v>
      </c>
      <c r="D9" s="282" t="str">
        <f t="array" ref="D9">IFERROR(INDEX(Companies!$B$5:$B$74,MATCH($C9,Companies!$A$5:$A$74,0)),"Unknown ID")</f>
        <v>MNG Gold Liberia Inc.</v>
      </c>
      <c r="E9" s="282" t="str">
        <f>'SRC BMMC Log'!A8</f>
        <v>MethylTrialkylammonium</v>
      </c>
      <c r="F9" s="282" t="s">
        <v>535</v>
      </c>
      <c r="G9" s="316">
        <f>'SRC BMMC Log'!B8</f>
        <v>860000</v>
      </c>
      <c r="H9" s="282" t="s">
        <v>1225</v>
      </c>
      <c r="I9" s="317">
        <f t="shared" si="1"/>
        <v>860000</v>
      </c>
      <c r="J9" s="318">
        <f t="shared" si="2"/>
        <v>860</v>
      </c>
      <c r="K9" s="282" t="str">
        <f>'SRC BMMC Log'!D8</f>
        <v>BL 259856144</v>
      </c>
      <c r="L9" s="282" t="s">
        <v>1605</v>
      </c>
      <c r="M9" s="300">
        <f>'SRC BMMC Log'!C8</f>
        <v>46059</v>
      </c>
      <c r="N9" s="282" t="s">
        <v>1606</v>
      </c>
      <c r="O9" s="282" t="s">
        <v>1607</v>
      </c>
      <c r="P9" s="282"/>
      <c r="Q9" s="301" t="str">
        <f t="array" ref="Q9">IFERROR(INDEX('Bills &amp; Invoices'!$B$5:$B$32,MATCH("*"&amp;$B9&amp;"*",'Bills &amp; Invoices'!$V$5:$V$32,0)),"")</f>
        <v/>
      </c>
      <c r="R9" s="26"/>
      <c r="S9" s="26"/>
      <c r="T9" s="26"/>
      <c r="U9" s="26"/>
      <c r="V9" s="26"/>
      <c r="W9" s="26"/>
      <c r="X9" s="26"/>
      <c r="Y9" s="26"/>
      <c r="Z9" s="26"/>
      <c r="AA9" s="26"/>
      <c r="AB9" s="26"/>
      <c r="AC9" s="26"/>
    </row>
    <row r="10" ht="14.25" customHeight="1">
      <c r="A10" s="282" t="s">
        <v>1609</v>
      </c>
      <c r="B10" s="301" t="s">
        <v>1610</v>
      </c>
      <c r="C10" s="282" t="s">
        <v>745</v>
      </c>
      <c r="D10" s="282" t="str">
        <f t="array" ref="D10">IFERROR(INDEX(Companies!$B$5:$B$74,MATCH($C10,Companies!$A$5:$A$74,0)),"Unknown ID")</f>
        <v>MNG Gold Liberia Inc.</v>
      </c>
      <c r="E10" s="282" t="str">
        <f>'SRC BMMC Log'!A9</f>
        <v>Alkali Curing Acceleration, Akkshot 160</v>
      </c>
      <c r="F10" s="282" t="s">
        <v>530</v>
      </c>
      <c r="G10" s="316">
        <f>'SRC BMMC Log'!B9</f>
        <v>100170</v>
      </c>
      <c r="H10" s="282" t="s">
        <v>1225</v>
      </c>
      <c r="I10" s="317">
        <f t="shared" si="1"/>
        <v>100170</v>
      </c>
      <c r="J10" s="318">
        <f t="shared" si="2"/>
        <v>100.17</v>
      </c>
      <c r="K10" s="282" t="str">
        <f>'SRC BMMC Log'!D9</f>
        <v>BL 257853200</v>
      </c>
      <c r="L10" s="282" t="s">
        <v>1605</v>
      </c>
      <c r="M10" s="300">
        <v>46059.0</v>
      </c>
      <c r="N10" s="282" t="s">
        <v>1618</v>
      </c>
      <c r="O10" s="282" t="s">
        <v>1619</v>
      </c>
      <c r="P10" s="282"/>
      <c r="Q10" s="301" t="str">
        <f t="array" ref="Q10">IFERROR(INDEX('Bills &amp; Invoices'!$B$5:$B$32,MATCH("*"&amp;$B10&amp;"*",'Bills &amp; Invoices'!$V$5:$V$32,0)),"")</f>
        <v/>
      </c>
      <c r="R10" s="26"/>
      <c r="S10" s="26"/>
      <c r="T10" s="26"/>
      <c r="U10" s="26"/>
      <c r="V10" s="26"/>
      <c r="W10" s="26"/>
      <c r="X10" s="26"/>
      <c r="Y10" s="26"/>
      <c r="Z10" s="26"/>
      <c r="AA10" s="26"/>
      <c r="AB10" s="26"/>
      <c r="AC10" s="26"/>
    </row>
    <row r="11" ht="14.25" customHeight="1">
      <c r="A11" s="282" t="s">
        <v>1621</v>
      </c>
      <c r="B11" s="301" t="s">
        <v>1622</v>
      </c>
      <c r="C11" s="282" t="s">
        <v>745</v>
      </c>
      <c r="D11" s="282" t="str">
        <f t="array" ref="D11">IFERROR(INDEX(Companies!$B$5:$B$74,MATCH($C11,Companies!$A$5:$A$74,0)),"Unknown ID")</f>
        <v>MNG Gold Liberia Inc.</v>
      </c>
      <c r="E11" s="282" t="str">
        <f>'SRC BMMC Log'!A10</f>
        <v>Nitric Acid</v>
      </c>
      <c r="F11" s="282" t="s">
        <v>564</v>
      </c>
      <c r="G11" s="316">
        <f>'SRC BMMC Log'!B10</f>
        <v>9500</v>
      </c>
      <c r="H11" s="282" t="s">
        <v>1225</v>
      </c>
      <c r="I11" s="317">
        <f t="shared" si="1"/>
        <v>9500</v>
      </c>
      <c r="J11" s="318">
        <f t="shared" si="2"/>
        <v>9.5</v>
      </c>
      <c r="K11" s="282" t="str">
        <f>'SRC BMMC Log'!D10</f>
        <v>BL 257855611</v>
      </c>
      <c r="L11" s="282" t="s">
        <v>1605</v>
      </c>
      <c r="M11" s="300">
        <v>46059.0</v>
      </c>
      <c r="N11" s="282" t="s">
        <v>1618</v>
      </c>
      <c r="O11" s="282" t="s">
        <v>1626</v>
      </c>
      <c r="P11" s="282"/>
      <c r="Q11" s="301" t="str">
        <f t="array" ref="Q11">IFERROR(INDEX('Bills &amp; Invoices'!$B$5:$B$32,MATCH("*"&amp;$B11&amp;"*",'Bills &amp; Invoices'!$V$5:$V$32,0)),"")</f>
        <v/>
      </c>
      <c r="R11" s="26"/>
      <c r="S11" s="26"/>
      <c r="T11" s="26"/>
      <c r="U11" s="26"/>
      <c r="V11" s="26"/>
      <c r="W11" s="26"/>
      <c r="X11" s="26"/>
      <c r="Y11" s="26"/>
      <c r="Z11" s="26"/>
      <c r="AA11" s="26"/>
      <c r="AB11" s="26"/>
      <c r="AC11" s="26"/>
    </row>
    <row r="12" ht="14.25" customHeight="1">
      <c r="A12" s="282" t="s">
        <v>1628</v>
      </c>
      <c r="B12" s="301" t="s">
        <v>1629</v>
      </c>
      <c r="C12" s="282" t="s">
        <v>739</v>
      </c>
      <c r="D12" s="282" t="str">
        <f t="array" ref="D12">IFERROR(INDEX(Companies!$B$5:$B$74,MATCH($C12,Companies!$A$5:$A$74,0)),"Unknown ID")</f>
        <v>Bea Mountain Mining Corporation (BMMC)</v>
      </c>
      <c r="E12" s="282" t="str">
        <f>'SRC BMMC Log'!A11</f>
        <v>Ferric Chloride Solution 40-42%</v>
      </c>
      <c r="F12" s="282" t="s">
        <v>527</v>
      </c>
      <c r="G12" s="316">
        <f>'SRC BMMC Log'!B11</f>
        <v>27126</v>
      </c>
      <c r="H12" s="282" t="s">
        <v>1225</v>
      </c>
      <c r="I12" s="317">
        <f t="shared" si="1"/>
        <v>27126</v>
      </c>
      <c r="J12" s="318">
        <f t="shared" si="2"/>
        <v>27.126</v>
      </c>
      <c r="K12" s="282" t="str">
        <f>'SRC BMMC Log'!D11</f>
        <v>BL HLUCUBO1260100236</v>
      </c>
      <c r="L12" s="282"/>
      <c r="M12" s="300">
        <v>46063.0</v>
      </c>
      <c r="N12" s="282" t="s">
        <v>1635</v>
      </c>
      <c r="O12" s="282" t="s">
        <v>1636</v>
      </c>
      <c r="P12" s="282"/>
      <c r="Q12" s="301" t="str">
        <f t="array" ref="Q12">IFERROR(INDEX('Bills &amp; Invoices'!$B$5:$B$32,MATCH("*"&amp;$B12&amp;"*",'Bills &amp; Invoices'!$V$5:$V$32,0)),"")</f>
        <v/>
      </c>
      <c r="R12" s="26"/>
      <c r="S12" s="26"/>
      <c r="T12" s="26"/>
      <c r="U12" s="26"/>
      <c r="V12" s="26"/>
      <c r="W12" s="26"/>
      <c r="X12" s="26"/>
      <c r="Y12" s="26"/>
      <c r="Z12" s="26"/>
      <c r="AA12" s="26"/>
      <c r="AB12" s="26"/>
      <c r="AC12" s="26"/>
    </row>
    <row r="13" ht="14.25" customHeight="1">
      <c r="A13" s="282" t="s">
        <v>1638</v>
      </c>
      <c r="B13" s="301" t="s">
        <v>1639</v>
      </c>
      <c r="C13" s="282" t="s">
        <v>745</v>
      </c>
      <c r="D13" s="282" t="str">
        <f t="array" ref="D13">IFERROR(INDEX(Companies!$B$5:$B$74,MATCH($C13,Companies!$A$5:$A$74,0)),"Unknown ID")</f>
        <v>MNG Gold Liberia Inc.</v>
      </c>
      <c r="E13" s="282" t="str">
        <f>'SRC BMMC Log'!A12</f>
        <v>Caustic Soda Flakes</v>
      </c>
      <c r="F13" s="282" t="s">
        <v>538</v>
      </c>
      <c r="G13" s="316">
        <f>'SRC BMMC Log'!B12</f>
        <v>45000</v>
      </c>
      <c r="H13" s="282" t="s">
        <v>1225</v>
      </c>
      <c r="I13" s="317">
        <f t="shared" si="1"/>
        <v>45000</v>
      </c>
      <c r="J13" s="318">
        <f t="shared" si="2"/>
        <v>45</v>
      </c>
      <c r="K13" s="282" t="str">
        <f>'SRC BMMC Log'!D12</f>
        <v>BL MEDUP4500708</v>
      </c>
      <c r="L13" s="282" t="s">
        <v>1646</v>
      </c>
      <c r="M13" s="300">
        <f>'SRC BMMC Log'!C12</f>
        <v>46065</v>
      </c>
      <c r="N13" s="282" t="s">
        <v>1647</v>
      </c>
      <c r="O13" s="282" t="s">
        <v>1648</v>
      </c>
      <c r="P13" s="282"/>
      <c r="Q13" s="301" t="str">
        <f t="array" ref="Q13">IFERROR(INDEX('Bills &amp; Invoices'!$B$5:$B$32,MATCH("*"&amp;$B13&amp;"*",'Bills &amp; Invoices'!$V$5:$V$32,0)),"")</f>
        <v/>
      </c>
      <c r="R13" s="26"/>
      <c r="S13" s="26"/>
      <c r="T13" s="26"/>
      <c r="U13" s="26"/>
      <c r="V13" s="26"/>
      <c r="W13" s="26"/>
      <c r="X13" s="26"/>
      <c r="Y13" s="26"/>
      <c r="Z13" s="26"/>
      <c r="AA13" s="26"/>
      <c r="AB13" s="26"/>
      <c r="AC13" s="26"/>
    </row>
    <row r="14" ht="14.25" customHeight="1">
      <c r="A14" s="282" t="s">
        <v>1652</v>
      </c>
      <c r="B14" s="301" t="s">
        <v>1653</v>
      </c>
      <c r="C14" s="282" t="s">
        <v>739</v>
      </c>
      <c r="D14" s="282" t="str">
        <f t="array" ref="D14">IFERROR(INDEX(Companies!$B$5:$B$74,MATCH($C14,Companies!$A$5:$A$74,0)),"Unknown ID")</f>
        <v>Bea Mountain Mining Corporation (BMMC)</v>
      </c>
      <c r="E14" s="282" t="str">
        <f>'SRC BMMC Log'!A13</f>
        <v>Degreaser &amp; Tar Remover</v>
      </c>
      <c r="F14" s="282" t="s">
        <v>561</v>
      </c>
      <c r="G14" s="316">
        <f>'SRC BMMC Log'!B13</f>
        <v>13275</v>
      </c>
      <c r="H14" s="282" t="s">
        <v>1225</v>
      </c>
      <c r="I14" s="317">
        <f t="shared" si="1"/>
        <v>13275</v>
      </c>
      <c r="J14" s="318">
        <f t="shared" si="2"/>
        <v>13.275</v>
      </c>
      <c r="K14" s="282" t="str">
        <f>'SRC BMMC Log'!D13</f>
        <v>BL 260567551</v>
      </c>
      <c r="L14" s="282" t="s">
        <v>1658</v>
      </c>
      <c r="M14" s="300">
        <f>'SRC BMMC Log'!C13</f>
        <v>46069</v>
      </c>
      <c r="N14" s="282"/>
      <c r="O14" s="282" t="s">
        <v>1660</v>
      </c>
      <c r="P14" s="282"/>
      <c r="Q14" s="301" t="str">
        <f t="array" ref="Q14">IFERROR(INDEX('Bills &amp; Invoices'!$B$5:$B$32,MATCH("*"&amp;$B14&amp;"*",'Bills &amp; Invoices'!$V$5:$V$32,0)),"")</f>
        <v/>
      </c>
      <c r="R14" s="26"/>
      <c r="S14" s="26"/>
      <c r="T14" s="26"/>
      <c r="U14" s="26"/>
      <c r="V14" s="26"/>
      <c r="W14" s="26"/>
      <c r="X14" s="26"/>
      <c r="Y14" s="26"/>
      <c r="Z14" s="26"/>
      <c r="AA14" s="26"/>
      <c r="AB14" s="26"/>
      <c r="AC14" s="26"/>
    </row>
    <row r="15" ht="14.25" customHeight="1">
      <c r="A15" s="282" t="s">
        <v>1662</v>
      </c>
      <c r="B15" s="301" t="s">
        <v>1664</v>
      </c>
      <c r="C15" s="282" t="s">
        <v>739</v>
      </c>
      <c r="D15" s="282" t="str">
        <f t="array" ref="D15">IFERROR(INDEX(Companies!$B$5:$B$74,MATCH($C15,Companies!$A$5:$A$74,0)),"Unknown ID")</f>
        <v>Bea Mountain Mining Corporation (BMMC)</v>
      </c>
      <c r="E15" s="282" t="str">
        <f>'SRC BMMC Log'!A14</f>
        <v>Corrosive Liquid, Aerosos, Tangit PVC-C</v>
      </c>
      <c r="F15" s="282" t="s">
        <v>595</v>
      </c>
      <c r="G15" s="316">
        <f>'SRC BMMC Log'!B14</f>
        <v>318</v>
      </c>
      <c r="H15" s="282" t="s">
        <v>1225</v>
      </c>
      <c r="I15" s="317">
        <f t="shared" si="1"/>
        <v>318</v>
      </c>
      <c r="J15" s="318">
        <f t="shared" si="2"/>
        <v>0.318</v>
      </c>
      <c r="K15" s="282" t="str">
        <f>'SRC BMMC Log'!D14</f>
        <v>BL 265252729</v>
      </c>
      <c r="L15" s="282" t="s">
        <v>1658</v>
      </c>
      <c r="M15" s="300">
        <f>'SRC BMMC Log'!C14</f>
        <v>46069</v>
      </c>
      <c r="N15" s="282"/>
      <c r="O15" s="282" t="s">
        <v>1669</v>
      </c>
      <c r="P15" s="282"/>
      <c r="Q15" s="301" t="str">
        <f t="array" ref="Q15">IFERROR(INDEX('Bills &amp; Invoices'!$B$5:$B$32,MATCH("*"&amp;$B15&amp;"*",'Bills &amp; Invoices'!$V$5:$V$32,0)),"")</f>
        <v/>
      </c>
      <c r="R15" s="26"/>
      <c r="S15" s="26"/>
      <c r="T15" s="26"/>
      <c r="U15" s="26"/>
      <c r="V15" s="26"/>
      <c r="W15" s="26"/>
      <c r="X15" s="26"/>
      <c r="Y15" s="26"/>
      <c r="Z15" s="26"/>
      <c r="AA15" s="26"/>
      <c r="AB15" s="26"/>
      <c r="AC15" s="26"/>
    </row>
    <row r="16" ht="14.25" customHeight="1">
      <c r="A16" s="282" t="s">
        <v>1674</v>
      </c>
      <c r="B16" s="301" t="s">
        <v>1675</v>
      </c>
      <c r="C16" s="282" t="s">
        <v>739</v>
      </c>
      <c r="D16" s="282" t="str">
        <f t="array" ref="D16">IFERROR(INDEX(Companies!$B$5:$B$74,MATCH($C16,Companies!$A$5:$A$74,0)),"Unknown ID")</f>
        <v>Bea Mountain Mining Corporation (BMMC)</v>
      </c>
      <c r="E16" s="282" t="str">
        <f>'SRC BMMC Log'!A15</f>
        <v>Degreaser </v>
      </c>
      <c r="F16" s="282" t="s">
        <v>561</v>
      </c>
      <c r="G16" s="316">
        <f>'SRC BMMC Log'!B15</f>
        <v>38420</v>
      </c>
      <c r="H16" s="282" t="s">
        <v>1225</v>
      </c>
      <c r="I16" s="317">
        <f t="shared" si="1"/>
        <v>38420</v>
      </c>
      <c r="J16" s="318">
        <f t="shared" si="2"/>
        <v>38.42</v>
      </c>
      <c r="K16" s="282" t="str">
        <f>'SRC BMMC Log'!D15</f>
        <v>BL 263247741</v>
      </c>
      <c r="L16" s="282" t="s">
        <v>1658</v>
      </c>
      <c r="M16" s="300">
        <f>'SRC BMMC Log'!C15</f>
        <v>46069</v>
      </c>
      <c r="N16" s="282"/>
      <c r="O16" s="282" t="s">
        <v>1678</v>
      </c>
      <c r="P16" s="282"/>
      <c r="Q16" s="301" t="str">
        <f t="array" ref="Q16">IFERROR(INDEX('Bills &amp; Invoices'!$B$5:$B$32,MATCH("*"&amp;$B16&amp;"*",'Bills &amp; Invoices'!$V$5:$V$32,0)),"")</f>
        <v/>
      </c>
      <c r="R16" s="26"/>
      <c r="S16" s="26"/>
      <c r="T16" s="26"/>
      <c r="U16" s="26"/>
      <c r="V16" s="26"/>
      <c r="W16" s="26"/>
      <c r="X16" s="26"/>
      <c r="Y16" s="26"/>
      <c r="Z16" s="26"/>
      <c r="AA16" s="26"/>
      <c r="AB16" s="26"/>
      <c r="AC16" s="26"/>
    </row>
    <row r="17" ht="14.25" customHeight="1">
      <c r="A17" s="282" t="s">
        <v>1682</v>
      </c>
      <c r="B17" s="301" t="s">
        <v>1683</v>
      </c>
      <c r="C17" s="282" t="s">
        <v>739</v>
      </c>
      <c r="D17" s="282" t="str">
        <f t="array" ref="D17">IFERROR(INDEX(Companies!$B$5:$B$74,MATCH($C17,Companies!$A$5:$A$74,0)),"Unknown ID")</f>
        <v>Bea Mountain Mining Corporation (BMMC)</v>
      </c>
      <c r="E17" s="282" t="str">
        <f>'SRC BMMC Log'!A16</f>
        <v>Nitric Acid</v>
      </c>
      <c r="F17" s="282" t="s">
        <v>564</v>
      </c>
      <c r="G17" s="316">
        <f>'SRC BMMC Log'!B16</f>
        <v>27</v>
      </c>
      <c r="H17" s="282" t="s">
        <v>1225</v>
      </c>
      <c r="I17" s="317">
        <f t="shared" si="1"/>
        <v>27</v>
      </c>
      <c r="J17" s="318">
        <f t="shared" si="2"/>
        <v>0.027</v>
      </c>
      <c r="K17" s="282" t="str">
        <f>'SRC BMMC Log'!D16</f>
        <v>BL 260289892</v>
      </c>
      <c r="L17" s="282" t="s">
        <v>1658</v>
      </c>
      <c r="M17" s="300">
        <f>'SRC BMMC Log'!C16</f>
        <v>46069</v>
      </c>
      <c r="N17" s="282"/>
      <c r="O17" s="282" t="s">
        <v>1688</v>
      </c>
      <c r="P17" s="282"/>
      <c r="Q17" s="301" t="str">
        <f t="array" ref="Q17">IFERROR(INDEX('Bills &amp; Invoices'!$B$5:$B$32,MATCH("*"&amp;$B17&amp;"*",'Bills &amp; Invoices'!$V$5:$V$32,0)),"")</f>
        <v/>
      </c>
      <c r="R17" s="26"/>
      <c r="S17" s="26"/>
      <c r="T17" s="26"/>
      <c r="U17" s="26"/>
      <c r="V17" s="26"/>
      <c r="W17" s="26"/>
      <c r="X17" s="26"/>
      <c r="Y17" s="26"/>
      <c r="Z17" s="26"/>
      <c r="AA17" s="26"/>
      <c r="AB17" s="26"/>
      <c r="AC17" s="26"/>
    </row>
    <row r="18" ht="14.25" customHeight="1">
      <c r="A18" s="282" t="s">
        <v>1690</v>
      </c>
      <c r="B18" s="301" t="s">
        <v>1692</v>
      </c>
      <c r="C18" s="282" t="s">
        <v>739</v>
      </c>
      <c r="D18" s="282" t="str">
        <f t="array" ref="D18">IFERROR(INDEX(Companies!$B$5:$B$74,MATCH($C18,Companies!$A$5:$A$74,0)),"Unknown ID")</f>
        <v>Bea Mountain Mining Corporation (BMMC)</v>
      </c>
      <c r="E18" s="282" t="str">
        <f>'SRC BMMC Log'!A17</f>
        <v>Corrosive Liquid</v>
      </c>
      <c r="F18" s="282" t="s">
        <v>595</v>
      </c>
      <c r="G18" s="316">
        <f>'SRC BMMC Log'!B17</f>
        <v>8</v>
      </c>
      <c r="H18" s="282" t="s">
        <v>1225</v>
      </c>
      <c r="I18" s="317">
        <f t="shared" si="1"/>
        <v>8</v>
      </c>
      <c r="J18" s="318">
        <f t="shared" si="2"/>
        <v>0.008</v>
      </c>
      <c r="K18" s="282" t="str">
        <f>'SRC BMMC Log'!D17</f>
        <v>BL 265251737</v>
      </c>
      <c r="L18" s="282" t="s">
        <v>1658</v>
      </c>
      <c r="M18" s="300">
        <f>'SRC BMMC Log'!C17</f>
        <v>46069</v>
      </c>
      <c r="N18" s="282"/>
      <c r="O18" s="282" t="s">
        <v>1698</v>
      </c>
      <c r="P18" s="282"/>
      <c r="Q18" s="301" t="str">
        <f t="array" ref="Q18">IFERROR(INDEX('Bills &amp; Invoices'!$B$5:$B$32,MATCH("*"&amp;$B18&amp;"*",'Bills &amp; Invoices'!$V$5:$V$32,0)),"")</f>
        <v/>
      </c>
      <c r="R18" s="26"/>
      <c r="S18" s="26"/>
      <c r="T18" s="26"/>
      <c r="U18" s="26"/>
      <c r="V18" s="26"/>
      <c r="W18" s="26"/>
      <c r="X18" s="26"/>
      <c r="Y18" s="26"/>
      <c r="Z18" s="26"/>
      <c r="AA18" s="26"/>
      <c r="AB18" s="26"/>
      <c r="AC18" s="26"/>
    </row>
    <row r="19" ht="14.25" customHeight="1">
      <c r="A19" s="282" t="s">
        <v>1703</v>
      </c>
      <c r="B19" s="301" t="s">
        <v>1704</v>
      </c>
      <c r="C19" s="282" t="s">
        <v>739</v>
      </c>
      <c r="D19" s="282" t="str">
        <f t="array" ref="D19">IFERROR(INDEX(Companies!$B$5:$B$74,MATCH($C19,Companies!$A$5:$A$74,0)),"Unknown ID")</f>
        <v>Bea Mountain Mining Corporation (BMMC)</v>
      </c>
      <c r="E19" s="282" t="str">
        <f>'SRC BMMC Log'!A18</f>
        <v>Corrosive Liquid</v>
      </c>
      <c r="F19" s="282" t="s">
        <v>595</v>
      </c>
      <c r="G19" s="316">
        <f>'SRC BMMC Log'!B18</f>
        <v>8</v>
      </c>
      <c r="H19" s="282" t="s">
        <v>1225</v>
      </c>
      <c r="I19" s="317">
        <f t="shared" si="1"/>
        <v>8</v>
      </c>
      <c r="J19" s="318">
        <f t="shared" si="2"/>
        <v>0.008</v>
      </c>
      <c r="K19" s="282" t="str">
        <f>'SRC BMMC Log'!D18</f>
        <v>BL 264269801</v>
      </c>
      <c r="L19" s="282" t="s">
        <v>1658</v>
      </c>
      <c r="M19" s="300">
        <f>'SRC BMMC Log'!C18</f>
        <v>46069</v>
      </c>
      <c r="N19" s="282"/>
      <c r="O19" s="282" t="s">
        <v>1709</v>
      </c>
      <c r="P19" s="282"/>
      <c r="Q19" s="301" t="str">
        <f t="array" ref="Q19">IFERROR(INDEX('Bills &amp; Invoices'!$B$5:$B$32,MATCH("*"&amp;$B19&amp;"*",'Bills &amp; Invoices'!$V$5:$V$32,0)),"")</f>
        <v/>
      </c>
      <c r="R19" s="26"/>
      <c r="S19" s="26"/>
      <c r="T19" s="26"/>
      <c r="U19" s="26"/>
      <c r="V19" s="26"/>
      <c r="W19" s="26"/>
      <c r="X19" s="26"/>
      <c r="Y19" s="26"/>
      <c r="Z19" s="26"/>
      <c r="AA19" s="26"/>
      <c r="AB19" s="26"/>
      <c r="AC19" s="26"/>
    </row>
    <row r="20" ht="14.25" customHeight="1">
      <c r="A20" s="282" t="s">
        <v>1711</v>
      </c>
      <c r="B20" s="301" t="s">
        <v>1712</v>
      </c>
      <c r="C20" s="282" t="s">
        <v>739</v>
      </c>
      <c r="D20" s="282" t="str">
        <f t="array" ref="D20">IFERROR(INDEX(Companies!$B$5:$B$74,MATCH($C20,Companies!$A$5:$A$74,0)),"Unknown ID")</f>
        <v>Bea Mountain Mining Corporation (BMMC)</v>
      </c>
      <c r="E20" s="282" t="str">
        <f>'SRC BMMC Log'!A19</f>
        <v>Corrosive Liquid</v>
      </c>
      <c r="F20" s="282" t="s">
        <v>595</v>
      </c>
      <c r="G20" s="316">
        <f>'SRC BMMC Log'!B19</f>
        <v>8</v>
      </c>
      <c r="H20" s="282" t="s">
        <v>1225</v>
      </c>
      <c r="I20" s="317">
        <f t="shared" si="1"/>
        <v>8</v>
      </c>
      <c r="J20" s="318">
        <f t="shared" si="2"/>
        <v>0.008</v>
      </c>
      <c r="K20" s="282" t="str">
        <f>'SRC BMMC Log'!D19</f>
        <v>BL 265251729</v>
      </c>
      <c r="L20" s="282" t="s">
        <v>1658</v>
      </c>
      <c r="M20" s="300">
        <f>'SRC BMMC Log'!C19</f>
        <v>46069</v>
      </c>
      <c r="N20" s="282"/>
      <c r="O20" s="282" t="s">
        <v>1717</v>
      </c>
      <c r="P20" s="282"/>
      <c r="Q20" s="301" t="str">
        <f t="array" ref="Q20">IFERROR(INDEX('Bills &amp; Invoices'!$B$5:$B$32,MATCH("*"&amp;$B20&amp;"*",'Bills &amp; Invoices'!$V$5:$V$32,0)),"")</f>
        <v/>
      </c>
      <c r="R20" s="26"/>
      <c r="S20" s="26"/>
      <c r="T20" s="26"/>
      <c r="U20" s="26"/>
      <c r="V20" s="26"/>
      <c r="W20" s="26"/>
      <c r="X20" s="26"/>
      <c r="Y20" s="26"/>
      <c r="Z20" s="26"/>
      <c r="AA20" s="26"/>
      <c r="AB20" s="26"/>
      <c r="AC20" s="26"/>
    </row>
    <row r="21" ht="14.25" customHeight="1">
      <c r="A21" s="282" t="s">
        <v>1720</v>
      </c>
      <c r="B21" s="301" t="s">
        <v>1722</v>
      </c>
      <c r="C21" s="282" t="s">
        <v>739</v>
      </c>
      <c r="D21" s="282" t="str">
        <f t="array" ref="D21">IFERROR(INDEX(Companies!$B$5:$B$74,MATCH($C21,Companies!$A$5:$A$74,0)),"Unknown ID")</f>
        <v>Bea Mountain Mining Corporation (BMMC)</v>
      </c>
      <c r="E21" s="282" t="str">
        <f>'SRC BMMC Log'!A20</f>
        <v>Acetylene</v>
      </c>
      <c r="F21" s="282" t="s">
        <v>587</v>
      </c>
      <c r="G21" s="316">
        <f>'SRC BMMC Log'!B20</f>
        <v>4119</v>
      </c>
      <c r="H21" s="282" t="s">
        <v>1225</v>
      </c>
      <c r="I21" s="317">
        <f t="shared" si="1"/>
        <v>4119</v>
      </c>
      <c r="J21" s="318">
        <f t="shared" si="2"/>
        <v>4.119</v>
      </c>
      <c r="K21" s="282" t="str">
        <f>'SRC BMMC Log'!D20</f>
        <v>BL 265546247</v>
      </c>
      <c r="L21" s="282" t="s">
        <v>1726</v>
      </c>
      <c r="M21" s="300">
        <f>'SRC BMMC Log'!C20</f>
        <v>46069</v>
      </c>
      <c r="N21" s="282"/>
      <c r="O21" s="282" t="s">
        <v>1730</v>
      </c>
      <c r="P21" s="282"/>
      <c r="Q21" s="301" t="str">
        <f t="array" ref="Q21">IFERROR(INDEX('Bills &amp; Invoices'!$B$5:$B$32,MATCH("*"&amp;$B21&amp;"*",'Bills &amp; Invoices'!$V$5:$V$32,0)),"")</f>
        <v/>
      </c>
      <c r="R21" s="26"/>
      <c r="S21" s="26"/>
      <c r="T21" s="26"/>
      <c r="U21" s="26"/>
      <c r="V21" s="26"/>
      <c r="W21" s="26"/>
      <c r="X21" s="26"/>
      <c r="Y21" s="26"/>
      <c r="Z21" s="26"/>
      <c r="AA21" s="26"/>
      <c r="AB21" s="26"/>
      <c r="AC21" s="26"/>
    </row>
    <row r="22" ht="14.25" customHeight="1">
      <c r="A22" s="282" t="s">
        <v>1731</v>
      </c>
      <c r="B22" s="301" t="s">
        <v>1732</v>
      </c>
      <c r="C22" s="282" t="s">
        <v>739</v>
      </c>
      <c r="D22" s="282" t="str">
        <f t="array" ref="D22">IFERROR(INDEX(Companies!$B$5:$B$74,MATCH($C22,Companies!$A$5:$A$74,0)),"Unknown ID")</f>
        <v>Bea Mountain Mining Corporation (BMMC)</v>
      </c>
      <c r="E22" s="282" t="str">
        <f>'SRC BMMC Log'!A21</f>
        <v>Emulsion Pumping System</v>
      </c>
      <c r="F22" s="282" t="s">
        <v>596</v>
      </c>
      <c r="G22" s="316">
        <f>'SRC BMMC Log'!B21</f>
        <v>550</v>
      </c>
      <c r="H22" s="282" t="s">
        <v>1225</v>
      </c>
      <c r="I22" s="317">
        <f t="shared" si="1"/>
        <v>550</v>
      </c>
      <c r="J22" s="318">
        <f t="shared" si="2"/>
        <v>0.55</v>
      </c>
      <c r="K22" s="282" t="str">
        <f>'SRC BMMC Log'!D21</f>
        <v>BL 265546256</v>
      </c>
      <c r="L22" s="282" t="s">
        <v>1726</v>
      </c>
      <c r="M22" s="300">
        <f>'SRC BMMC Log'!C21</f>
        <v>46069</v>
      </c>
      <c r="N22" s="282"/>
      <c r="O22" s="282" t="s">
        <v>1737</v>
      </c>
      <c r="P22" s="282"/>
      <c r="Q22" s="301" t="str">
        <f t="array" ref="Q22">IFERROR(INDEX('Bills &amp; Invoices'!$B$5:$B$32,MATCH("*"&amp;$B22&amp;"*",'Bills &amp; Invoices'!$V$5:$V$32,0)),"")</f>
        <v/>
      </c>
      <c r="R22" s="26"/>
      <c r="S22" s="26"/>
      <c r="T22" s="26"/>
      <c r="U22" s="26"/>
      <c r="V22" s="26"/>
      <c r="W22" s="26"/>
      <c r="X22" s="26"/>
      <c r="Y22" s="26"/>
      <c r="Z22" s="26"/>
      <c r="AA22" s="26"/>
      <c r="AB22" s="26"/>
      <c r="AC22" s="26"/>
    </row>
    <row r="23" ht="14.25" customHeight="1">
      <c r="A23" s="282" t="s">
        <v>1740</v>
      </c>
      <c r="B23" s="301" t="s">
        <v>1741</v>
      </c>
      <c r="C23" s="282" t="s">
        <v>739</v>
      </c>
      <c r="D23" s="282" t="str">
        <f t="array" ref="D23">IFERROR(INDEX(Companies!$B$5:$B$74,MATCH($C23,Companies!$A$5:$A$74,0)),"Unknown ID")</f>
        <v>Bea Mountain Mining Corporation (BMMC)</v>
      </c>
      <c r="E23" s="282" t="str">
        <f>'SRC BMMC Log'!A22</f>
        <v>Alkali Curing Acceleration, Akkshot </v>
      </c>
      <c r="F23" s="282" t="s">
        <v>530</v>
      </c>
      <c r="G23" s="316">
        <f>'SRC BMMC Log'!B22</f>
        <v>100180</v>
      </c>
      <c r="H23" s="282" t="s">
        <v>1225</v>
      </c>
      <c r="I23" s="317">
        <f t="shared" si="1"/>
        <v>100180</v>
      </c>
      <c r="J23" s="318">
        <f t="shared" si="2"/>
        <v>100.18</v>
      </c>
      <c r="K23" s="282" t="str">
        <f>'SRC BMMC Log'!D22</f>
        <v>BL 263709399</v>
      </c>
      <c r="L23" s="282" t="s">
        <v>1726</v>
      </c>
      <c r="M23" s="300">
        <f>'SRC BMMC Log'!C22</f>
        <v>46069</v>
      </c>
      <c r="N23" s="282"/>
      <c r="O23" s="282" t="s">
        <v>1747</v>
      </c>
      <c r="P23" s="282"/>
      <c r="Q23" s="301" t="str">
        <f t="array" ref="Q23">IFERROR(INDEX('Bills &amp; Invoices'!$B$5:$B$32,MATCH("*"&amp;$B23&amp;"*",'Bills &amp; Invoices'!$V$5:$V$32,0)),"")</f>
        <v/>
      </c>
      <c r="R23" s="26"/>
      <c r="S23" s="26"/>
      <c r="T23" s="26"/>
      <c r="U23" s="26"/>
      <c r="V23" s="26"/>
      <c r="W23" s="26"/>
      <c r="X23" s="26"/>
      <c r="Y23" s="26"/>
      <c r="Z23" s="26"/>
      <c r="AA23" s="26"/>
      <c r="AB23" s="26"/>
      <c r="AC23" s="26"/>
    </row>
    <row r="24" ht="14.25" customHeight="1">
      <c r="A24" s="282" t="s">
        <v>1748</v>
      </c>
      <c r="B24" s="301" t="s">
        <v>1749</v>
      </c>
      <c r="C24" s="282" t="s">
        <v>739</v>
      </c>
      <c r="D24" s="282" t="str">
        <f t="array" ref="D24">IFERROR(INDEX(Companies!$B$5:$B$74,MATCH($C24,Companies!$A$5:$A$74,0)),"Unknown ID")</f>
        <v>Bea Mountain Mining Corporation (BMMC)</v>
      </c>
      <c r="E24" s="282" t="str">
        <f>'SRC BMMC Log'!A23</f>
        <v>Corrosive Liquid</v>
      </c>
      <c r="F24" s="282" t="s">
        <v>595</v>
      </c>
      <c r="G24" s="316">
        <f>'SRC BMMC Log'!B23</f>
        <v>440</v>
      </c>
      <c r="H24" s="282" t="s">
        <v>1225</v>
      </c>
      <c r="I24" s="317">
        <f t="shared" si="1"/>
        <v>440</v>
      </c>
      <c r="J24" s="318">
        <f t="shared" si="2"/>
        <v>0.44</v>
      </c>
      <c r="K24" s="282" t="str">
        <f>'SRC BMMC Log'!D23</f>
        <v>BL 265986123</v>
      </c>
      <c r="L24" s="282" t="s">
        <v>1754</v>
      </c>
      <c r="M24" s="300">
        <f>'SRC BMMC Log'!C23</f>
        <v>46076</v>
      </c>
      <c r="N24" s="282"/>
      <c r="O24" s="282" t="s">
        <v>1755</v>
      </c>
      <c r="P24" s="282"/>
      <c r="Q24" s="301" t="str">
        <f t="array" ref="Q24">IFERROR(INDEX('Bills &amp; Invoices'!$B$5:$B$32,MATCH("*"&amp;$B24&amp;"*",'Bills &amp; Invoices'!$V$5:$V$32,0)),"")</f>
        <v/>
      </c>
      <c r="R24" s="26"/>
      <c r="S24" s="26"/>
      <c r="T24" s="26"/>
      <c r="U24" s="26"/>
      <c r="V24" s="26"/>
      <c r="W24" s="26"/>
      <c r="X24" s="26"/>
      <c r="Y24" s="26"/>
      <c r="Z24" s="26"/>
      <c r="AA24" s="26"/>
      <c r="AB24" s="26"/>
      <c r="AC24" s="26"/>
    </row>
    <row r="25" ht="14.25" customHeight="1">
      <c r="A25" s="282" t="s">
        <v>1756</v>
      </c>
      <c r="B25" s="301" t="s">
        <v>1757</v>
      </c>
      <c r="C25" s="282" t="s">
        <v>739</v>
      </c>
      <c r="D25" s="282" t="str">
        <f t="array" ref="D25">IFERROR(INDEX(Companies!$B$5:$B$74,MATCH($C25,Companies!$A$5:$A$74,0)),"Unknown ID")</f>
        <v>Bea Mountain Mining Corporation (BMMC)</v>
      </c>
      <c r="E25" s="282" t="str">
        <f>'SRC BMMC Log'!A24</f>
        <v>Akshop 160</v>
      </c>
      <c r="F25" s="282" t="s">
        <v>530</v>
      </c>
      <c r="G25" s="316">
        <f>'SRC BMMC Log'!B24</f>
        <v>124210</v>
      </c>
      <c r="H25" s="282" t="s">
        <v>1225</v>
      </c>
      <c r="I25" s="317">
        <f t="shared" si="1"/>
        <v>124210</v>
      </c>
      <c r="J25" s="318">
        <f t="shared" si="2"/>
        <v>124.21</v>
      </c>
      <c r="K25" s="282" t="str">
        <f>'SRC BMMC Log'!D24</f>
        <v>BL 262848858</v>
      </c>
      <c r="L25" s="282"/>
      <c r="M25" s="300">
        <f>'SRC BMMC Log'!C24</f>
        <v>46076</v>
      </c>
      <c r="N25" s="282"/>
      <c r="O25" s="282" t="s">
        <v>1761</v>
      </c>
      <c r="P25" s="282"/>
      <c r="Q25" s="301" t="str">
        <f t="array" ref="Q25">IFERROR(INDEX('Bills &amp; Invoices'!$B$5:$B$32,MATCH("*"&amp;$B25&amp;"*",'Bills &amp; Invoices'!$V$5:$V$32,0)),"")</f>
        <v/>
      </c>
      <c r="R25" s="26"/>
      <c r="S25" s="26"/>
      <c r="T25" s="26"/>
      <c r="U25" s="26"/>
      <c r="V25" s="26"/>
      <c r="W25" s="26"/>
      <c r="X25" s="26"/>
      <c r="Y25" s="26"/>
      <c r="Z25" s="26"/>
      <c r="AA25" s="26"/>
      <c r="AB25" s="26"/>
      <c r="AC25" s="26"/>
    </row>
    <row r="26" ht="14.25" customHeight="1">
      <c r="A26" s="282" t="s">
        <v>1765</v>
      </c>
      <c r="B26" s="301" t="s">
        <v>1766</v>
      </c>
      <c r="C26" s="282" t="s">
        <v>739</v>
      </c>
      <c r="D26" s="282" t="str">
        <f t="array" ref="D26">IFERROR(INDEX(Companies!$B$5:$B$74,MATCH($C26,Companies!$A$5:$A$74,0)),"Unknown ID")</f>
        <v>Bea Mountain Mining Corporation (BMMC)</v>
      </c>
      <c r="E26" s="282" t="str">
        <f>'SRC BMMC Log'!A25</f>
        <v>Thiourea</v>
      </c>
      <c r="F26" s="282" t="s">
        <v>583</v>
      </c>
      <c r="G26" s="316">
        <f>'SRC BMMC Log'!B25</f>
        <v>10400</v>
      </c>
      <c r="H26" s="282" t="s">
        <v>1225</v>
      </c>
      <c r="I26" s="317">
        <f t="shared" si="1"/>
        <v>10400</v>
      </c>
      <c r="J26" s="318">
        <f t="shared" si="2"/>
        <v>10.4</v>
      </c>
      <c r="K26" s="282" t="str">
        <f>'SRC BMMC Log'!D25</f>
        <v>BL 263709637</v>
      </c>
      <c r="L26" s="282"/>
      <c r="M26" s="300">
        <f>'SRC BMMC Log'!C25</f>
        <v>46076</v>
      </c>
      <c r="N26" s="282"/>
      <c r="O26" s="282" t="s">
        <v>1772</v>
      </c>
      <c r="P26" s="282"/>
      <c r="Q26" s="301" t="str">
        <f t="array" ref="Q26">IFERROR(INDEX('Bills &amp; Invoices'!$B$5:$B$32,MATCH("*"&amp;$B26&amp;"*",'Bills &amp; Invoices'!$V$5:$V$32,0)),"")</f>
        <v/>
      </c>
      <c r="R26" s="26"/>
      <c r="S26" s="26"/>
      <c r="T26" s="26"/>
      <c r="U26" s="26"/>
      <c r="V26" s="26"/>
      <c r="W26" s="26"/>
      <c r="X26" s="26"/>
      <c r="Y26" s="26"/>
      <c r="Z26" s="26"/>
      <c r="AA26" s="26"/>
      <c r="AB26" s="26"/>
      <c r="AC26" s="26"/>
    </row>
    <row r="27" ht="14.25" customHeight="1">
      <c r="A27" s="282" t="s">
        <v>1773</v>
      </c>
      <c r="B27" s="301" t="s">
        <v>1774</v>
      </c>
      <c r="C27" s="282" t="s">
        <v>739</v>
      </c>
      <c r="D27" s="282" t="str">
        <f t="array" ref="D27">IFERROR(INDEX(Companies!$B$5:$B$74,MATCH($C27,Companies!$A$5:$A$74,0)),"Unknown ID")</f>
        <v>Bea Mountain Mining Corporation (BMMC)</v>
      </c>
      <c r="E27" s="282" t="str">
        <f>'SRC BMMC Log'!A26</f>
        <v>Hydrochloric Acid</v>
      </c>
      <c r="F27" s="282" t="s">
        <v>552</v>
      </c>
      <c r="G27" s="316">
        <f>'SRC BMMC Log'!B26</f>
        <v>23000</v>
      </c>
      <c r="H27" s="282" t="s">
        <v>1225</v>
      </c>
      <c r="I27" s="317">
        <f t="shared" si="1"/>
        <v>23000</v>
      </c>
      <c r="J27" s="318">
        <f t="shared" si="2"/>
        <v>23</v>
      </c>
      <c r="K27" s="282" t="str">
        <f>'SRC BMMC Log'!D26</f>
        <v>BL HLCUBO12512BXAU3</v>
      </c>
      <c r="L27" s="282" t="s">
        <v>1779</v>
      </c>
      <c r="M27" s="300">
        <f>'SRC BMMC Log'!C26</f>
        <v>46076</v>
      </c>
      <c r="N27" s="282"/>
      <c r="O27" s="282" t="s">
        <v>1780</v>
      </c>
      <c r="P27" s="282"/>
      <c r="Q27" s="301" t="str">
        <f t="array" ref="Q27">IFERROR(INDEX('Bills &amp; Invoices'!$B$5:$B$32,MATCH("*"&amp;$B27&amp;"*",'Bills &amp; Invoices'!$V$5:$V$32,0)),"")</f>
        <v/>
      </c>
      <c r="R27" s="26"/>
      <c r="S27" s="26"/>
      <c r="T27" s="26"/>
      <c r="U27" s="26"/>
      <c r="V27" s="26"/>
      <c r="W27" s="26"/>
      <c r="X27" s="26"/>
      <c r="Y27" s="26"/>
      <c r="Z27" s="26"/>
      <c r="AA27" s="26"/>
      <c r="AB27" s="26"/>
      <c r="AC27" s="26"/>
    </row>
    <row r="28" ht="14.25" customHeight="1">
      <c r="A28" s="282" t="s">
        <v>1783</v>
      </c>
      <c r="B28" s="301" t="s">
        <v>1785</v>
      </c>
      <c r="C28" s="282" t="s">
        <v>739</v>
      </c>
      <c r="D28" s="282" t="str">
        <f t="array" ref="D28">IFERROR(INDEX(Companies!$B$5:$B$74,MATCH($C28,Companies!$A$5:$A$74,0)),"Unknown ID")</f>
        <v>Bea Mountain Mining Corporation (BMMC)</v>
      </c>
      <c r="E28" s="282" t="str">
        <f>'SRC BMMC Log'!A27</f>
        <v>Epoxy Coating Solvent</v>
      </c>
      <c r="F28" s="282" t="s">
        <v>603</v>
      </c>
      <c r="G28" s="316">
        <f>'SRC BMMC Log'!B27</f>
        <v>2599007504</v>
      </c>
      <c r="H28" s="282" t="s">
        <v>1787</v>
      </c>
      <c r="I28" s="317" t="str">
        <f t="shared" si="1"/>
        <v/>
      </c>
      <c r="J28" s="318" t="str">
        <f t="shared" si="2"/>
        <v/>
      </c>
      <c r="K28" s="282" t="str">
        <f>'SRC BMMC Log'!D27</f>
        <v>BL 259007504</v>
      </c>
      <c r="L28" s="282" t="s">
        <v>1779</v>
      </c>
      <c r="M28" s="300">
        <f>'SRC BMMC Log'!C27</f>
        <v>46076</v>
      </c>
      <c r="N28" s="282" t="s">
        <v>1790</v>
      </c>
      <c r="O28" s="282" t="s">
        <v>1791</v>
      </c>
      <c r="P28" s="282"/>
      <c r="Q28" s="301" t="str">
        <f t="array" ref="Q28">IFERROR(INDEX('Bills &amp; Invoices'!$B$5:$B$32,MATCH("*"&amp;$B28&amp;"*",'Bills &amp; Invoices'!$V$5:$V$32,0)),"")</f>
        <v/>
      </c>
      <c r="R28" s="26"/>
      <c r="S28" s="26"/>
      <c r="T28" s="26"/>
      <c r="U28" s="26"/>
      <c r="V28" s="26"/>
      <c r="W28" s="26"/>
      <c r="X28" s="26"/>
      <c r="Y28" s="26"/>
      <c r="Z28" s="26"/>
      <c r="AA28" s="26"/>
      <c r="AB28" s="26"/>
      <c r="AC28" s="26"/>
    </row>
    <row r="29" ht="14.25" customHeight="1">
      <c r="A29" s="282" t="s">
        <v>1793</v>
      </c>
      <c r="B29" s="301" t="s">
        <v>1794</v>
      </c>
      <c r="C29" s="282" t="s">
        <v>739</v>
      </c>
      <c r="D29" s="282" t="str">
        <f t="array" ref="D29">IFERROR(INDEX(Companies!$B$5:$B$74,MATCH($C29,Companies!$A$5:$A$74,0)),"Unknown ID")</f>
        <v>Bea Mountain Mining Corporation (BMMC)</v>
      </c>
      <c r="E29" s="282" t="str">
        <f>'SRC BMMC Log'!A28</f>
        <v>Ferric Chloride Solution </v>
      </c>
      <c r="F29" s="282" t="s">
        <v>527</v>
      </c>
      <c r="G29" s="316">
        <f>'SRC BMMC Log'!B28</f>
        <v>156600</v>
      </c>
      <c r="H29" s="282" t="s">
        <v>1225</v>
      </c>
      <c r="I29" s="317">
        <f t="shared" si="1"/>
        <v>156600</v>
      </c>
      <c r="J29" s="318">
        <f t="shared" si="2"/>
        <v>156.6</v>
      </c>
      <c r="K29" s="282" t="str">
        <f>'SRC BMMC Log'!D28</f>
        <v>BL CSN0202778</v>
      </c>
      <c r="L29" s="282" t="s">
        <v>1799</v>
      </c>
      <c r="M29" s="300">
        <f>'SRC BMMC Log'!C28</f>
        <v>46087</v>
      </c>
      <c r="N29" s="282"/>
      <c r="O29" s="282" t="s">
        <v>1800</v>
      </c>
      <c r="P29" s="282"/>
      <c r="Q29" s="301" t="str">
        <f t="array" ref="Q29">IFERROR(INDEX('Bills &amp; Invoices'!$B$5:$B$32,MATCH("*"&amp;$B29&amp;"*",'Bills &amp; Invoices'!$V$5:$V$32,0)),"")</f>
        <v/>
      </c>
      <c r="R29" s="26"/>
      <c r="S29" s="26"/>
      <c r="T29" s="26"/>
      <c r="U29" s="26"/>
      <c r="V29" s="26"/>
      <c r="W29" s="26"/>
      <c r="X29" s="26"/>
      <c r="Y29" s="26"/>
      <c r="Z29" s="26"/>
      <c r="AA29" s="26"/>
      <c r="AB29" s="26"/>
      <c r="AC29" s="26"/>
    </row>
    <row r="30" ht="14.25" customHeight="1">
      <c r="A30" s="282" t="s">
        <v>1802</v>
      </c>
      <c r="B30" s="301" t="s">
        <v>1803</v>
      </c>
      <c r="C30" s="282" t="s">
        <v>739</v>
      </c>
      <c r="D30" s="282" t="str">
        <f t="array" ref="D30">IFERROR(INDEX(Companies!$B$5:$B$74,MATCH($C30,Companies!$A$5:$A$74,0)),"Unknown ID")</f>
        <v>Bea Mountain Mining Corporation (BMMC)</v>
      </c>
      <c r="E30" s="282" t="str">
        <f>'SRC BMMC Log'!A29</f>
        <v>Emulsion Explosives</v>
      </c>
      <c r="F30" s="282" t="s">
        <v>528</v>
      </c>
      <c r="G30" s="316">
        <f>'SRC BMMC Log'!B29</f>
        <v>627830</v>
      </c>
      <c r="H30" s="282" t="s">
        <v>1225</v>
      </c>
      <c r="I30" s="317">
        <f t="shared" si="1"/>
        <v>627830</v>
      </c>
      <c r="J30" s="318">
        <f t="shared" si="2"/>
        <v>627.83</v>
      </c>
      <c r="K30" s="282" t="str">
        <f>'SRC BMMC Log'!D29</f>
        <v>BL BV26DERMON02</v>
      </c>
      <c r="L30" s="282" t="s">
        <v>1810</v>
      </c>
      <c r="M30" s="300">
        <f>'SRC BMMC Log'!C29</f>
        <v>46090</v>
      </c>
      <c r="N30" s="282"/>
      <c r="O30" s="282" t="s">
        <v>1814</v>
      </c>
      <c r="P30" s="282"/>
      <c r="Q30" s="301" t="str">
        <f t="array" ref="Q30">IFERROR(INDEX('Bills &amp; Invoices'!$B$5:$B$32,MATCH("*"&amp;$B30&amp;"*",'Bills &amp; Invoices'!$V$5:$V$32,0)),"")</f>
        <v/>
      </c>
      <c r="R30" s="26"/>
      <c r="S30" s="26"/>
      <c r="T30" s="26"/>
      <c r="U30" s="26"/>
      <c r="V30" s="26"/>
      <c r="W30" s="26"/>
      <c r="X30" s="26"/>
      <c r="Y30" s="26"/>
      <c r="Z30" s="26"/>
      <c r="AA30" s="26"/>
      <c r="AB30" s="26"/>
      <c r="AC30" s="26"/>
    </row>
    <row r="31" ht="14.25" customHeight="1">
      <c r="A31" s="282" t="s">
        <v>1816</v>
      </c>
      <c r="B31" s="301" t="s">
        <v>1817</v>
      </c>
      <c r="C31" s="282" t="s">
        <v>739</v>
      </c>
      <c r="D31" s="282" t="str">
        <f t="array" ref="D31">IFERROR(INDEX(Companies!$B$5:$B$74,MATCH($C31,Companies!$A$5:$A$74,0)),"Unknown ID")</f>
        <v>Bea Mountain Mining Corporation (BMMC)</v>
      </c>
      <c r="E31" s="282" t="str">
        <f>'SRC BMMC Log'!A30</f>
        <v>Emulsion Explosives</v>
      </c>
      <c r="F31" s="282" t="s">
        <v>528</v>
      </c>
      <c r="G31" s="316">
        <f>'SRC BMMC Log'!B30</f>
        <v>627830</v>
      </c>
      <c r="H31" s="282" t="s">
        <v>1225</v>
      </c>
      <c r="I31" s="317">
        <f t="shared" si="1"/>
        <v>627830</v>
      </c>
      <c r="J31" s="318">
        <f t="shared" si="2"/>
        <v>627.83</v>
      </c>
      <c r="K31" s="282" t="str">
        <f>'SRC BMMC Log'!D30</f>
        <v>BL BV26DERMON01</v>
      </c>
      <c r="L31" s="282" t="s">
        <v>1810</v>
      </c>
      <c r="M31" s="300">
        <f>'SRC BMMC Log'!C30</f>
        <v>46090</v>
      </c>
      <c r="N31" s="282"/>
      <c r="O31" s="282" t="s">
        <v>1821</v>
      </c>
      <c r="P31" s="282"/>
      <c r="Q31" s="301" t="str">
        <f t="array" ref="Q31">IFERROR(INDEX('Bills &amp; Invoices'!$B$5:$B$32,MATCH("*"&amp;$B31&amp;"*",'Bills &amp; Invoices'!$V$5:$V$32,0)),"")</f>
        <v/>
      </c>
      <c r="R31" s="26"/>
      <c r="S31" s="26"/>
      <c r="T31" s="26"/>
      <c r="U31" s="26"/>
      <c r="V31" s="26"/>
      <c r="W31" s="26"/>
      <c r="X31" s="26"/>
      <c r="Y31" s="26"/>
      <c r="Z31" s="26"/>
      <c r="AA31" s="26"/>
      <c r="AB31" s="26"/>
      <c r="AC31" s="26"/>
    </row>
    <row r="32" ht="14.25" customHeight="1">
      <c r="A32" s="282" t="s">
        <v>1826</v>
      </c>
      <c r="B32" s="301" t="s">
        <v>1827</v>
      </c>
      <c r="C32" s="282" t="s">
        <v>739</v>
      </c>
      <c r="D32" s="282" t="str">
        <f t="array" ref="D32">IFERROR(INDEX(Companies!$B$5:$B$74,MATCH($C32,Companies!$A$5:$A$74,0)),"Unknown ID")</f>
        <v>Bea Mountain Mining Corporation (BMMC)</v>
      </c>
      <c r="E32" s="282" t="str">
        <f>'SRC BMMC Log'!A31</f>
        <v>Manoshot AL IBC Tank</v>
      </c>
      <c r="F32" s="282" t="s">
        <v>555</v>
      </c>
      <c r="G32" s="316">
        <f>'SRC BMMC Log'!B31</f>
        <v>122390</v>
      </c>
      <c r="H32" s="282" t="s">
        <v>1225</v>
      </c>
      <c r="I32" s="317">
        <f t="shared" si="1"/>
        <v>122390</v>
      </c>
      <c r="J32" s="318">
        <f t="shared" si="2"/>
        <v>122.39</v>
      </c>
      <c r="K32" s="282" t="str">
        <f>'SRC BMMC Log'!D31</f>
        <v>BL 265685259</v>
      </c>
      <c r="L32" s="282" t="s">
        <v>1830</v>
      </c>
      <c r="M32" s="300">
        <f>'SRC BMMC Log'!C31</f>
        <v>46094</v>
      </c>
      <c r="N32" s="282"/>
      <c r="O32" s="282" t="s">
        <v>1833</v>
      </c>
      <c r="P32" s="282"/>
      <c r="Q32" s="301" t="str">
        <f t="array" ref="Q32">IFERROR(INDEX('Bills &amp; Invoices'!$B$5:$B$32,MATCH("*"&amp;$B32&amp;"*",'Bills &amp; Invoices'!$V$5:$V$32,0)),"")</f>
        <v/>
      </c>
      <c r="R32" s="26"/>
      <c r="S32" s="26"/>
      <c r="T32" s="26"/>
      <c r="U32" s="26"/>
      <c r="V32" s="26"/>
      <c r="W32" s="26"/>
      <c r="X32" s="26"/>
      <c r="Y32" s="26"/>
      <c r="Z32" s="26"/>
      <c r="AA32" s="26"/>
      <c r="AB32" s="26"/>
      <c r="AC32" s="26"/>
    </row>
    <row r="33" ht="14.25" customHeight="1">
      <c r="A33" s="282" t="s">
        <v>1836</v>
      </c>
      <c r="B33" s="301" t="s">
        <v>1837</v>
      </c>
      <c r="C33" s="282" t="s">
        <v>739</v>
      </c>
      <c r="D33" s="282" t="str">
        <f t="array" ref="D33">IFERROR(INDEX(Companies!$B$5:$B$74,MATCH($C33,Companies!$A$5:$A$74,0)),"Unknown ID")</f>
        <v>Bea Mountain Mining Corporation (BMMC)</v>
      </c>
      <c r="E33" s="282" t="str">
        <f>'SRC BMMC Log'!A32</f>
        <v>Emergency Secape Breathing Device</v>
      </c>
      <c r="F33" s="282" t="s">
        <v>590</v>
      </c>
      <c r="G33" s="316">
        <f>'SRC BMMC Log'!B32</f>
        <v>2360</v>
      </c>
      <c r="H33" s="282" t="s">
        <v>1225</v>
      </c>
      <c r="I33" s="317">
        <f t="shared" si="1"/>
        <v>2360</v>
      </c>
      <c r="J33" s="318">
        <f t="shared" si="2"/>
        <v>2.36</v>
      </c>
      <c r="K33" s="282" t="str">
        <f>'SRC BMMC Log'!D32</f>
        <v>BL 259276608</v>
      </c>
      <c r="L33" s="282" t="s">
        <v>1830</v>
      </c>
      <c r="M33" s="300">
        <f>'SRC BMMC Log'!C32</f>
        <v>46094</v>
      </c>
      <c r="N33" s="282"/>
      <c r="O33" s="282" t="s">
        <v>1844</v>
      </c>
      <c r="P33" s="282"/>
      <c r="Q33" s="301" t="str">
        <f t="array" ref="Q33">IFERROR(INDEX('Bills &amp; Invoices'!$B$5:$B$32,MATCH("*"&amp;$B33&amp;"*",'Bills &amp; Invoices'!$V$5:$V$32,0)),"")</f>
        <v/>
      </c>
      <c r="R33" s="26"/>
      <c r="S33" s="26"/>
      <c r="T33" s="26"/>
      <c r="U33" s="26"/>
      <c r="V33" s="26"/>
      <c r="W33" s="26"/>
      <c r="X33" s="26"/>
      <c r="Y33" s="26"/>
      <c r="Z33" s="26"/>
      <c r="AA33" s="26"/>
      <c r="AB33" s="26"/>
      <c r="AC33" s="26"/>
    </row>
    <row r="34" ht="14.25" customHeight="1">
      <c r="A34" s="282" t="s">
        <v>1847</v>
      </c>
      <c r="B34" s="301" t="s">
        <v>1848</v>
      </c>
      <c r="C34" s="282" t="s">
        <v>739</v>
      </c>
      <c r="D34" s="282" t="str">
        <f t="array" ref="D34">IFERROR(INDEX(Companies!$B$5:$B$74,MATCH($C34,Companies!$A$5:$A$74,0)),"Unknown ID")</f>
        <v>Bea Mountain Mining Corporation (BMMC)</v>
      </c>
      <c r="E34" s="282" t="str">
        <f>'SRC BMMC Log'!A33</f>
        <v>Shotcrette Fludifier Akhiralin</v>
      </c>
      <c r="F34" s="282" t="s">
        <v>544</v>
      </c>
      <c r="G34" s="316">
        <f>'SRC BMMC Log'!B33</f>
        <v>57280</v>
      </c>
      <c r="H34" s="282" t="s">
        <v>1225</v>
      </c>
      <c r="I34" s="317">
        <f t="shared" si="1"/>
        <v>57280</v>
      </c>
      <c r="J34" s="318">
        <f t="shared" si="2"/>
        <v>57.28</v>
      </c>
      <c r="K34" s="282" t="str">
        <f>'SRC BMMC Log'!D33</f>
        <v>BL 263862389</v>
      </c>
      <c r="L34" s="282" t="s">
        <v>1830</v>
      </c>
      <c r="M34" s="300">
        <f>'SRC BMMC Log'!C33</f>
        <v>46094</v>
      </c>
      <c r="N34" s="282"/>
      <c r="O34" s="282" t="s">
        <v>1852</v>
      </c>
      <c r="P34" s="282"/>
      <c r="Q34" s="301" t="str">
        <f t="array" ref="Q34">IFERROR(INDEX('Bills &amp; Invoices'!$B$5:$B$32,MATCH("*"&amp;$B34&amp;"*",'Bills &amp; Invoices'!$V$5:$V$32,0)),"")</f>
        <v/>
      </c>
      <c r="R34" s="26"/>
      <c r="S34" s="26"/>
      <c r="T34" s="26"/>
      <c r="U34" s="26"/>
      <c r="V34" s="26"/>
      <c r="W34" s="26"/>
      <c r="X34" s="26"/>
      <c r="Y34" s="26"/>
      <c r="Z34" s="26"/>
      <c r="AA34" s="26"/>
      <c r="AB34" s="26"/>
      <c r="AC34" s="26"/>
    </row>
    <row r="35" ht="14.25" customHeight="1">
      <c r="A35" s="282" t="s">
        <v>1855</v>
      </c>
      <c r="B35" s="301" t="s">
        <v>1856</v>
      </c>
      <c r="C35" s="282" t="s">
        <v>739</v>
      </c>
      <c r="D35" s="282" t="str">
        <f t="array" ref="D35">IFERROR(INDEX(Companies!$B$5:$B$74,MATCH($C35,Companies!$A$5:$A$74,0)),"Unknown ID")</f>
        <v>Bea Mountain Mining Corporation (BMMC)</v>
      </c>
      <c r="E35" s="282" t="str">
        <f>'SRC BMMC Log'!A34</f>
        <v>Shotcrette Fludifier Akhiralin</v>
      </c>
      <c r="F35" s="282" t="s">
        <v>544</v>
      </c>
      <c r="G35" s="316">
        <f>'SRC BMMC Log'!B34</f>
        <v>19100</v>
      </c>
      <c r="H35" s="282" t="s">
        <v>1225</v>
      </c>
      <c r="I35" s="317">
        <f t="shared" si="1"/>
        <v>19100</v>
      </c>
      <c r="J35" s="318">
        <f t="shared" si="2"/>
        <v>19.1</v>
      </c>
      <c r="K35" s="282" t="str">
        <f>'SRC BMMC Log'!D34</f>
        <v>BL 263709506</v>
      </c>
      <c r="L35" s="282" t="s">
        <v>1860</v>
      </c>
      <c r="M35" s="300">
        <f>'SRC BMMC Log'!C34</f>
        <v>46094</v>
      </c>
      <c r="N35" s="282"/>
      <c r="O35" s="282" t="s">
        <v>1861</v>
      </c>
      <c r="P35" s="282"/>
      <c r="Q35" s="301" t="str">
        <f t="array" ref="Q35">IFERROR(INDEX('Bills &amp; Invoices'!$B$5:$B$32,MATCH("*"&amp;$B35&amp;"*",'Bills &amp; Invoices'!$V$5:$V$32,0)),"")</f>
        <v/>
      </c>
      <c r="R35" s="26"/>
      <c r="S35" s="26"/>
      <c r="T35" s="26"/>
      <c r="U35" s="26"/>
      <c r="V35" s="26"/>
      <c r="W35" s="26"/>
      <c r="X35" s="26"/>
      <c r="Y35" s="26"/>
      <c r="Z35" s="26"/>
      <c r="AA35" s="26"/>
      <c r="AB35" s="26"/>
      <c r="AC35" s="26"/>
    </row>
    <row r="36" ht="14.25" customHeight="1">
      <c r="A36" s="282" t="s">
        <v>1867</v>
      </c>
      <c r="B36" s="301" t="s">
        <v>1868</v>
      </c>
      <c r="C36" s="282" t="s">
        <v>739</v>
      </c>
      <c r="D36" s="282" t="str">
        <f t="array" ref="D36">IFERROR(INDEX(Companies!$B$5:$B$74,MATCH($C36,Companies!$A$5:$A$74,0)),"Unknown ID")</f>
        <v>Bea Mountain Mining Corporation (BMMC)</v>
      </c>
      <c r="E36" s="282" t="str">
        <f>'SRC BMMC Log'!A35</f>
        <v>Caustic Soda Flakes</v>
      </c>
      <c r="F36" s="282" t="s">
        <v>538</v>
      </c>
      <c r="G36" s="316">
        <f>'SRC BMMC Log'!B35</f>
        <v>90000</v>
      </c>
      <c r="H36" s="282" t="s">
        <v>1225</v>
      </c>
      <c r="I36" s="317">
        <f t="shared" si="1"/>
        <v>90000</v>
      </c>
      <c r="J36" s="318">
        <f t="shared" si="2"/>
        <v>90</v>
      </c>
      <c r="K36" s="282" t="str">
        <f>'SRC BMMC Log'!D35</f>
        <v>BL MEDUWP096060</v>
      </c>
      <c r="L36" s="282"/>
      <c r="M36" s="300">
        <f>'SRC BMMC Log'!C35</f>
        <v>46094</v>
      </c>
      <c r="N36" s="282"/>
      <c r="O36" s="282" t="s">
        <v>1871</v>
      </c>
      <c r="P36" s="282"/>
      <c r="Q36" s="301" t="str">
        <f t="array" ref="Q36">IFERROR(INDEX('Bills &amp; Invoices'!$B$5:$B$32,MATCH("*"&amp;$B36&amp;"*",'Bills &amp; Invoices'!$V$5:$V$32,0)),"")</f>
        <v/>
      </c>
      <c r="R36" s="26"/>
      <c r="S36" s="26"/>
      <c r="T36" s="26"/>
      <c r="U36" s="26"/>
      <c r="V36" s="26"/>
      <c r="W36" s="26"/>
      <c r="X36" s="26"/>
      <c r="Y36" s="26"/>
      <c r="Z36" s="26"/>
      <c r="AA36" s="26"/>
      <c r="AB36" s="26"/>
      <c r="AC36" s="26"/>
    </row>
    <row r="37" ht="14.25" customHeight="1">
      <c r="A37" s="282" t="s">
        <v>1873</v>
      </c>
      <c r="B37" s="301" t="s">
        <v>1874</v>
      </c>
      <c r="C37" s="282" t="s">
        <v>739</v>
      </c>
      <c r="D37" s="282" t="str">
        <f t="array" ref="D37">IFERROR(INDEX(Companies!$B$5:$B$74,MATCH($C37,Companies!$A$5:$A$74,0)),"Unknown ID")</f>
        <v>Bea Mountain Mining Corporation (BMMC)</v>
      </c>
      <c r="E37" s="282" t="str">
        <f>'SRC BMMC Log'!A36</f>
        <v>Nitric Acid</v>
      </c>
      <c r="F37" s="282" t="s">
        <v>564</v>
      </c>
      <c r="G37" s="316">
        <f>'SRC BMMC Log'!B36</f>
        <v>25100</v>
      </c>
      <c r="H37" s="282" t="s">
        <v>1225</v>
      </c>
      <c r="I37" s="317">
        <f t="shared" si="1"/>
        <v>25100</v>
      </c>
      <c r="J37" s="318">
        <f t="shared" si="2"/>
        <v>25.1</v>
      </c>
      <c r="K37" s="282" t="str">
        <f>'SRC BMMC Log'!D36</f>
        <v>BL 265055122</v>
      </c>
      <c r="L37" s="282" t="s">
        <v>1876</v>
      </c>
      <c r="M37" s="300">
        <f>'SRC BMMC Log'!C36</f>
        <v>46094</v>
      </c>
      <c r="N37" s="282"/>
      <c r="O37" s="282" t="s">
        <v>1879</v>
      </c>
      <c r="P37" s="282"/>
      <c r="Q37" s="301" t="str">
        <f t="array" ref="Q37">IFERROR(INDEX('Bills &amp; Invoices'!$B$5:$B$32,MATCH("*"&amp;$B37&amp;"*",'Bills &amp; Invoices'!$V$5:$V$32,0)),"")</f>
        <v/>
      </c>
      <c r="R37" s="26"/>
      <c r="S37" s="26"/>
      <c r="T37" s="26"/>
      <c r="U37" s="26"/>
      <c r="V37" s="26"/>
      <c r="W37" s="26"/>
      <c r="X37" s="26"/>
      <c r="Y37" s="26"/>
      <c r="Z37" s="26"/>
      <c r="AA37" s="26"/>
      <c r="AB37" s="26"/>
      <c r="AC37" s="26"/>
    </row>
    <row r="38" ht="14.25" customHeight="1">
      <c r="A38" s="282" t="s">
        <v>1882</v>
      </c>
      <c r="B38" s="301" t="s">
        <v>1883</v>
      </c>
      <c r="C38" s="282" t="s">
        <v>739</v>
      </c>
      <c r="D38" s="282" t="str">
        <f t="array" ref="D38">IFERROR(INDEX(Companies!$B$5:$B$74,MATCH($C38,Companies!$A$5:$A$74,0)),"Unknown ID")</f>
        <v>Bea Mountain Mining Corporation (BMMC)</v>
      </c>
      <c r="E38" s="282" t="str">
        <f>'SRC BMMC Log'!A37</f>
        <v>Akshop 160</v>
      </c>
      <c r="F38" s="282" t="s">
        <v>530</v>
      </c>
      <c r="G38" s="316">
        <f>'SRC BMMC Log'!B37</f>
        <v>250910</v>
      </c>
      <c r="H38" s="282" t="s">
        <v>1225</v>
      </c>
      <c r="I38" s="317">
        <f t="shared" si="1"/>
        <v>250910</v>
      </c>
      <c r="J38" s="318">
        <f t="shared" si="2"/>
        <v>250.91</v>
      </c>
      <c r="K38" s="282" t="str">
        <f>'SRC BMMC Log'!D37</f>
        <v>BL 261510559</v>
      </c>
      <c r="L38" s="282" t="s">
        <v>1876</v>
      </c>
      <c r="M38" s="300">
        <f>'SRC BMMC Log'!C37</f>
        <v>46094</v>
      </c>
      <c r="N38" s="282"/>
      <c r="O38" s="282" t="s">
        <v>1884</v>
      </c>
      <c r="P38" s="282"/>
      <c r="Q38" s="301" t="str">
        <f t="array" ref="Q38">IFERROR(INDEX('Bills &amp; Invoices'!$B$5:$B$32,MATCH("*"&amp;$B38&amp;"*",'Bills &amp; Invoices'!$V$5:$V$32,0)),"")</f>
        <v/>
      </c>
      <c r="R38" s="26"/>
      <c r="S38" s="26"/>
      <c r="T38" s="26"/>
      <c r="U38" s="26"/>
      <c r="V38" s="26"/>
      <c r="W38" s="26"/>
      <c r="X38" s="26"/>
      <c r="Y38" s="26"/>
      <c r="Z38" s="26"/>
      <c r="AA38" s="26"/>
      <c r="AB38" s="26"/>
      <c r="AC38" s="26"/>
    </row>
    <row r="39" ht="14.25" customHeight="1">
      <c r="A39" s="282" t="s">
        <v>1888</v>
      </c>
      <c r="B39" s="301" t="s">
        <v>1889</v>
      </c>
      <c r="C39" s="282" t="s">
        <v>739</v>
      </c>
      <c r="D39" s="282" t="str">
        <f t="array" ref="D39">IFERROR(INDEX(Companies!$B$5:$B$74,MATCH($C39,Companies!$A$5:$A$74,0)),"Unknown ID")</f>
        <v>Bea Mountain Mining Corporation (BMMC)</v>
      </c>
      <c r="E39" s="282" t="str">
        <f>'SRC BMMC Log'!A38</f>
        <v>Lead Nitrate</v>
      </c>
      <c r="F39" s="282" t="s">
        <v>563</v>
      </c>
      <c r="G39" s="316">
        <f>'SRC BMMC Log'!B38</f>
        <v>24000</v>
      </c>
      <c r="H39" s="282" t="s">
        <v>1225</v>
      </c>
      <c r="I39" s="317">
        <f t="shared" si="1"/>
        <v>24000</v>
      </c>
      <c r="J39" s="318">
        <f t="shared" si="2"/>
        <v>24</v>
      </c>
      <c r="K39" s="282" t="str">
        <f>'SRC BMMC Log'!D38</f>
        <v>BL HLCUANR260243565</v>
      </c>
      <c r="L39" s="282" t="s">
        <v>1876</v>
      </c>
      <c r="M39" s="300">
        <f>'SRC BMMC Log'!C38</f>
        <v>46094</v>
      </c>
      <c r="N39" s="282"/>
      <c r="O39" s="282" t="s">
        <v>1893</v>
      </c>
      <c r="P39" s="282"/>
      <c r="Q39" s="301" t="str">
        <f t="array" ref="Q39">IFERROR(INDEX('Bills &amp; Invoices'!$B$5:$B$32,MATCH("*"&amp;$B39&amp;"*",'Bills &amp; Invoices'!$V$5:$V$32,0)),"")</f>
        <v/>
      </c>
      <c r="R39" s="26"/>
      <c r="S39" s="26"/>
      <c r="T39" s="26"/>
      <c r="U39" s="26"/>
      <c r="V39" s="26"/>
      <c r="W39" s="26"/>
      <c r="X39" s="26"/>
      <c r="Y39" s="26"/>
      <c r="Z39" s="26"/>
      <c r="AA39" s="26"/>
      <c r="AB39" s="26"/>
      <c r="AC39" s="26"/>
    </row>
    <row r="40" ht="14.25" customHeight="1">
      <c r="A40" s="282" t="s">
        <v>1894</v>
      </c>
      <c r="B40" s="301" t="s">
        <v>1895</v>
      </c>
      <c r="C40" s="282" t="s">
        <v>739</v>
      </c>
      <c r="D40" s="282" t="str">
        <f t="array" ref="D40">IFERROR(INDEX(Companies!$B$5:$B$74,MATCH($C40,Companies!$A$5:$A$74,0)),"Unknown ID")</f>
        <v>Bea Mountain Mining Corporation (BMMC)</v>
      </c>
      <c r="E40" s="282" t="str">
        <f>'SRC BMMC Log'!A39</f>
        <v>Akshop 160</v>
      </c>
      <c r="F40" s="282" t="s">
        <v>530</v>
      </c>
      <c r="G40" s="316">
        <f>'SRC BMMC Log'!B39</f>
        <v>125110</v>
      </c>
      <c r="H40" s="282" t="s">
        <v>1225</v>
      </c>
      <c r="I40" s="317">
        <f t="shared" si="1"/>
        <v>125110</v>
      </c>
      <c r="J40" s="318">
        <f t="shared" si="2"/>
        <v>125.11</v>
      </c>
      <c r="K40" s="282" t="str">
        <f>'SRC BMMC Log'!D39</f>
        <v>BL 263862512</v>
      </c>
      <c r="L40" s="282" t="s">
        <v>1876</v>
      </c>
      <c r="M40" s="300">
        <f>'SRC BMMC Log'!C39</f>
        <v>46094</v>
      </c>
      <c r="N40" s="282"/>
      <c r="O40" s="282" t="s">
        <v>1898</v>
      </c>
      <c r="P40" s="282"/>
      <c r="Q40" s="301" t="str">
        <f t="array" ref="Q40">IFERROR(INDEX('Bills &amp; Invoices'!$B$5:$B$32,MATCH("*"&amp;$B40&amp;"*",'Bills &amp; Invoices'!$V$5:$V$32,0)),"")</f>
        <v/>
      </c>
      <c r="R40" s="26"/>
      <c r="S40" s="26"/>
      <c r="T40" s="26"/>
      <c r="U40" s="26"/>
      <c r="V40" s="26"/>
      <c r="W40" s="26"/>
      <c r="X40" s="26"/>
      <c r="Y40" s="26"/>
      <c r="Z40" s="26"/>
      <c r="AA40" s="26"/>
      <c r="AB40" s="26"/>
      <c r="AC40" s="26"/>
    </row>
    <row r="41" ht="14.25" customHeight="1">
      <c r="A41" s="282" t="s">
        <v>1899</v>
      </c>
      <c r="B41" s="301" t="s">
        <v>1900</v>
      </c>
      <c r="C41" s="282" t="s">
        <v>739</v>
      </c>
      <c r="D41" s="282" t="str">
        <f t="array" ref="D41">IFERROR(INDEX(Companies!$B$5:$B$74,MATCH($C41,Companies!$A$5:$A$74,0)),"Unknown ID")</f>
        <v>Bea Mountain Mining Corporation (BMMC)</v>
      </c>
      <c r="E41" s="282" t="str">
        <f>'SRC BMMC Log'!A40</f>
        <v>Anti-Scalant Phreedom</v>
      </c>
      <c r="F41" s="282" t="s">
        <v>585</v>
      </c>
      <c r="G41" s="316">
        <f>'SRC BMMC Log'!B40</f>
        <v>6966</v>
      </c>
      <c r="H41" s="282" t="s">
        <v>1225</v>
      </c>
      <c r="I41" s="317">
        <f t="shared" si="1"/>
        <v>6966</v>
      </c>
      <c r="J41" s="318">
        <f t="shared" si="2"/>
        <v>6.966</v>
      </c>
      <c r="K41" s="282" t="str">
        <f>'SRC BMMC Log'!D40</f>
        <v>BL HLUCBC1260201171</v>
      </c>
      <c r="L41" s="282" t="s">
        <v>1903</v>
      </c>
      <c r="M41" s="300">
        <f>'SRC BMMC Log'!C40</f>
        <v>46094</v>
      </c>
      <c r="N41" s="282"/>
      <c r="O41" s="282" t="s">
        <v>1904</v>
      </c>
      <c r="P41" s="282"/>
      <c r="Q41" s="301" t="str">
        <f t="array" ref="Q41">IFERROR(INDEX('Bills &amp; Invoices'!$B$5:$B$32,MATCH("*"&amp;$B41&amp;"*",'Bills &amp; Invoices'!$V$5:$V$32,0)),"")</f>
        <v/>
      </c>
      <c r="R41" s="26"/>
      <c r="S41" s="26"/>
      <c r="T41" s="26"/>
      <c r="U41" s="26"/>
      <c r="V41" s="26"/>
      <c r="W41" s="26"/>
      <c r="X41" s="26"/>
      <c r="Y41" s="26"/>
      <c r="Z41" s="26"/>
      <c r="AA41" s="26"/>
      <c r="AB41" s="26"/>
      <c r="AC41" s="26"/>
    </row>
    <row r="42" ht="14.25" customHeight="1">
      <c r="A42" s="282" t="s">
        <v>1907</v>
      </c>
      <c r="B42" s="301" t="s">
        <v>1908</v>
      </c>
      <c r="C42" s="282" t="s">
        <v>739</v>
      </c>
      <c r="D42" s="282" t="str">
        <f t="array" ref="D42">IFERROR(INDEX(Companies!$B$5:$B$74,MATCH($C42,Companies!$A$5:$A$74,0)),"Unknown ID")</f>
        <v>Bea Mountain Mining Corporation (BMMC)</v>
      </c>
      <c r="E42" s="282" t="str">
        <f>'SRC BMMC Log'!A41</f>
        <v>hYdrochloric Acid 33%</v>
      </c>
      <c r="F42" s="282" t="s">
        <v>552</v>
      </c>
      <c r="G42" s="316">
        <f>'SRC BMMC Log'!B41</f>
        <v>138000</v>
      </c>
      <c r="H42" s="282" t="s">
        <v>1225</v>
      </c>
      <c r="I42" s="317">
        <f t="shared" si="1"/>
        <v>138000</v>
      </c>
      <c r="J42" s="318">
        <f t="shared" si="2"/>
        <v>138</v>
      </c>
      <c r="K42" s="282" t="str">
        <f>'SRC BMMC Log'!D41</f>
        <v>BL HLCUBO12602BQJG8</v>
      </c>
      <c r="L42" s="282" t="s">
        <v>1910</v>
      </c>
      <c r="M42" s="300">
        <f>'SRC BMMC Log'!C41</f>
        <v>46121</v>
      </c>
      <c r="N42" s="282"/>
      <c r="O42" s="282" t="s">
        <v>1911</v>
      </c>
      <c r="P42" s="282"/>
      <c r="Q42" s="301" t="str">
        <f t="array" ref="Q42">IFERROR(INDEX('Bills &amp; Invoices'!$B$5:$B$32,MATCH("*"&amp;$B42&amp;"*",'Bills &amp; Invoices'!$V$5:$V$32,0)),"")</f>
        <v/>
      </c>
      <c r="R42" s="26"/>
      <c r="S42" s="26"/>
      <c r="T42" s="26"/>
      <c r="U42" s="26"/>
      <c r="V42" s="26"/>
      <c r="W42" s="26"/>
      <c r="X42" s="26"/>
      <c r="Y42" s="26"/>
      <c r="Z42" s="26"/>
      <c r="AA42" s="26"/>
      <c r="AB42" s="26"/>
      <c r="AC42" s="26"/>
    </row>
    <row r="43" ht="14.25" customHeight="1">
      <c r="A43" s="282" t="s">
        <v>1914</v>
      </c>
      <c r="B43" s="301" t="s">
        <v>1915</v>
      </c>
      <c r="C43" s="282" t="s">
        <v>739</v>
      </c>
      <c r="D43" s="282" t="str">
        <f t="array" ref="D43">IFERROR(INDEX(Companies!$B$5:$B$74,MATCH($C43,Companies!$A$5:$A$74,0)),"Unknown ID")</f>
        <v>Bea Mountain Mining Corporation (BMMC)</v>
      </c>
      <c r="E43" s="282" t="str">
        <f>'SRC BMMC Log'!A42</f>
        <v>Sodium Hydroxide 90210 ELTRA</v>
      </c>
      <c r="F43" s="282" t="s">
        <v>538</v>
      </c>
      <c r="G43" s="316" t="str">
        <f>'SRC BMMC Log'!B42</f>
        <v>20pcs</v>
      </c>
      <c r="H43" s="282" t="s">
        <v>1916</v>
      </c>
      <c r="I43" s="317" t="str">
        <f t="shared" si="1"/>
        <v/>
      </c>
      <c r="J43" s="318" t="str">
        <f t="shared" si="2"/>
        <v/>
      </c>
      <c r="K43" s="282" t="str">
        <f>'SRC BMMC Log'!D42</f>
        <v>BL 147-92655371</v>
      </c>
      <c r="L43" s="282" t="s">
        <v>1918</v>
      </c>
      <c r="M43" s="300">
        <f>'SRC BMMC Log'!C42</f>
        <v>46121</v>
      </c>
      <c r="N43" s="282" t="s">
        <v>1920</v>
      </c>
      <c r="O43" s="282" t="s">
        <v>1921</v>
      </c>
      <c r="P43" s="282"/>
      <c r="Q43" s="301" t="str">
        <f t="array" ref="Q43">IFERROR(INDEX('Bills &amp; Invoices'!$B$5:$B$32,MATCH("*"&amp;$B43&amp;"*",'Bills &amp; Invoices'!$V$5:$V$32,0)),"")</f>
        <v/>
      </c>
      <c r="R43" s="26"/>
      <c r="S43" s="26"/>
      <c r="T43" s="26"/>
      <c r="U43" s="26"/>
      <c r="V43" s="26"/>
      <c r="W43" s="26"/>
      <c r="X43" s="26"/>
      <c r="Y43" s="26"/>
      <c r="Z43" s="26"/>
      <c r="AA43" s="26"/>
      <c r="AB43" s="26"/>
      <c r="AC43" s="26"/>
    </row>
    <row r="44" ht="14.25" customHeight="1">
      <c r="A44" s="282" t="s">
        <v>1922</v>
      </c>
      <c r="B44" s="301" t="s">
        <v>1923</v>
      </c>
      <c r="C44" s="282" t="s">
        <v>739</v>
      </c>
      <c r="D44" s="282" t="str">
        <f t="array" ref="D44">IFERROR(INDEX(Companies!$B$5:$B$74,MATCH($C44,Companies!$A$5:$A$74,0)),"Unknown ID")</f>
        <v>Bea Mountain Mining Corporation (BMMC)</v>
      </c>
      <c r="E44" s="282" t="str">
        <f>'SRC BMMC Log'!A43</f>
        <v>Flammable non-Toxic Liquefied Gas</v>
      </c>
      <c r="F44" s="282" t="s">
        <v>589</v>
      </c>
      <c r="G44" s="316">
        <f>'SRC BMMC Log'!B43</f>
        <v>100</v>
      </c>
      <c r="H44" s="282" t="s">
        <v>1225</v>
      </c>
      <c r="I44" s="317">
        <f t="shared" si="1"/>
        <v>100</v>
      </c>
      <c r="J44" s="318">
        <f t="shared" si="2"/>
        <v>0.1</v>
      </c>
      <c r="K44" s="282" t="str">
        <f>'SRC BMMC Log'!D43</f>
        <v>BL 265924165</v>
      </c>
      <c r="L44" s="282" t="s">
        <v>1926</v>
      </c>
      <c r="M44" s="300">
        <f>'SRC BMMC Log'!C43</f>
        <v>46121</v>
      </c>
      <c r="N44" s="282"/>
      <c r="O44" s="282" t="s">
        <v>1927</v>
      </c>
      <c r="P44" s="282"/>
      <c r="Q44" s="301" t="str">
        <f t="array" ref="Q44">IFERROR(INDEX('Bills &amp; Invoices'!$B$5:$B$32,MATCH("*"&amp;$B44&amp;"*",'Bills &amp; Invoices'!$V$5:$V$32,0)),"")</f>
        <v/>
      </c>
      <c r="R44" s="26"/>
      <c r="S44" s="26"/>
      <c r="T44" s="26"/>
      <c r="U44" s="26"/>
      <c r="V44" s="26"/>
      <c r="W44" s="26"/>
      <c r="X44" s="26"/>
      <c r="Y44" s="26"/>
      <c r="Z44" s="26"/>
      <c r="AA44" s="26"/>
      <c r="AB44" s="26"/>
      <c r="AC44" s="26"/>
    </row>
    <row r="45" ht="14.25" customHeight="1">
      <c r="A45" s="282" t="s">
        <v>1928</v>
      </c>
      <c r="B45" s="301" t="s">
        <v>1923</v>
      </c>
      <c r="C45" s="282" t="s">
        <v>739</v>
      </c>
      <c r="D45" s="282" t="str">
        <f t="array" ref="D45">IFERROR(INDEX(Companies!$B$5:$B$74,MATCH($C45,Companies!$A$5:$A$74,0)),"Unknown ID")</f>
        <v>Bea Mountain Mining Corporation (BMMC)</v>
      </c>
      <c r="E45" s="282" t="str">
        <f>'SRC BMMC Log'!A44</f>
        <v>Flammable non-Toxic Liquefied Gas</v>
      </c>
      <c r="F45" s="282" t="s">
        <v>589</v>
      </c>
      <c r="G45" s="316">
        <f>'SRC BMMC Log'!B44</f>
        <v>1000</v>
      </c>
      <c r="H45" s="282" t="s">
        <v>1225</v>
      </c>
      <c r="I45" s="317">
        <f t="shared" si="1"/>
        <v>1000</v>
      </c>
      <c r="J45" s="318">
        <f t="shared" si="2"/>
        <v>1</v>
      </c>
      <c r="K45" s="282" t="str">
        <f>'SRC BMMC Log'!D44</f>
        <v>BL 265924165</v>
      </c>
      <c r="L45" s="282" t="s">
        <v>1926</v>
      </c>
      <c r="M45" s="300">
        <f>'SRC BMMC Log'!C44</f>
        <v>46121</v>
      </c>
      <c r="N45" s="282"/>
      <c r="O45" s="282" t="s">
        <v>1931</v>
      </c>
      <c r="P45" s="282"/>
      <c r="Q45" s="301" t="str">
        <f t="array" ref="Q45">IFERROR(INDEX('Bills &amp; Invoices'!$B$5:$B$32,MATCH("*"&amp;$B45&amp;"*",'Bills &amp; Invoices'!$V$5:$V$32,0)),"")</f>
        <v/>
      </c>
      <c r="R45" s="26"/>
      <c r="S45" s="26"/>
      <c r="T45" s="26"/>
      <c r="U45" s="26"/>
      <c r="V45" s="26"/>
      <c r="W45" s="26"/>
      <c r="X45" s="26"/>
      <c r="Y45" s="26"/>
      <c r="Z45" s="26"/>
      <c r="AA45" s="26"/>
      <c r="AB45" s="26"/>
      <c r="AC45" s="26"/>
    </row>
    <row r="46" ht="14.25" customHeight="1">
      <c r="A46" s="282" t="s">
        <v>1934</v>
      </c>
      <c r="B46" s="301" t="s">
        <v>1935</v>
      </c>
      <c r="C46" s="282" t="s">
        <v>739</v>
      </c>
      <c r="D46" s="282" t="str">
        <f t="array" ref="D46">IFERROR(INDEX(Companies!$B$5:$B$74,MATCH($C46,Companies!$A$5:$A$74,0)),"Unknown ID")</f>
        <v>Bea Mountain Mining Corporation (BMMC)</v>
      </c>
      <c r="E46" s="282" t="str">
        <f>'SRC BMMC Log'!A45</f>
        <v>Magnesium Perchlorate</v>
      </c>
      <c r="F46" s="282" t="s">
        <v>624</v>
      </c>
      <c r="G46" s="316">
        <f>'SRC BMMC Log'!B45</f>
        <v>6</v>
      </c>
      <c r="H46" s="282" t="s">
        <v>1225</v>
      </c>
      <c r="I46" s="317">
        <f t="shared" si="1"/>
        <v>6</v>
      </c>
      <c r="J46" s="318">
        <f t="shared" si="2"/>
        <v>0.006</v>
      </c>
      <c r="K46" s="282" t="str">
        <f>'SRC BMMC Log'!D45</f>
        <v>BL 266224839</v>
      </c>
      <c r="L46" s="282" t="s">
        <v>1926</v>
      </c>
      <c r="M46" s="300">
        <f>'SRC BMMC Log'!C45</f>
        <v>46121</v>
      </c>
      <c r="N46" s="282"/>
      <c r="O46" s="282" t="s">
        <v>1938</v>
      </c>
      <c r="P46" s="282"/>
      <c r="Q46" s="301" t="str">
        <f t="array" ref="Q46">IFERROR(INDEX('Bills &amp; Invoices'!$B$5:$B$32,MATCH("*"&amp;$B46&amp;"*",'Bills &amp; Invoices'!$V$5:$V$32,0)),"")</f>
        <v/>
      </c>
      <c r="R46" s="26"/>
      <c r="S46" s="26"/>
      <c r="T46" s="26"/>
      <c r="U46" s="26"/>
      <c r="V46" s="26"/>
      <c r="W46" s="26"/>
      <c r="X46" s="26"/>
      <c r="Y46" s="26"/>
      <c r="Z46" s="26"/>
      <c r="AA46" s="26"/>
      <c r="AB46" s="26"/>
      <c r="AC46" s="26"/>
    </row>
    <row r="47" ht="14.25" customHeight="1">
      <c r="A47" s="282" t="s">
        <v>1939</v>
      </c>
      <c r="B47" s="301" t="s">
        <v>1940</v>
      </c>
      <c r="C47" s="282" t="s">
        <v>739</v>
      </c>
      <c r="D47" s="282" t="str">
        <f t="array" ref="D47">IFERROR(INDEX(Companies!$B$5:$B$74,MATCH($C47,Companies!$A$5:$A$74,0)),"Unknown ID")</f>
        <v>Bea Mountain Mining Corporation (BMMC)</v>
      </c>
      <c r="E47" s="282" t="str">
        <f>'SRC BMMC Log'!A46</f>
        <v>Surfactant </v>
      </c>
      <c r="F47" s="282" t="s">
        <v>562</v>
      </c>
      <c r="G47" s="316">
        <f>'SRC BMMC Log'!B46</f>
        <v>48600</v>
      </c>
      <c r="H47" s="282" t="s">
        <v>1225</v>
      </c>
      <c r="I47" s="317">
        <f t="shared" si="1"/>
        <v>48600</v>
      </c>
      <c r="J47" s="318">
        <f t="shared" si="2"/>
        <v>48.6</v>
      </c>
      <c r="K47" s="282" t="str">
        <f>'SRC BMMC Log'!D46</f>
        <v>BL MEDUEZ473475</v>
      </c>
      <c r="L47" s="282" t="s">
        <v>1943</v>
      </c>
      <c r="M47" s="300">
        <f>'SRC BMMC Log'!C46</f>
        <v>46126</v>
      </c>
      <c r="N47" s="282"/>
      <c r="O47" s="282" t="s">
        <v>1944</v>
      </c>
      <c r="P47" s="282"/>
      <c r="Q47" s="301" t="str">
        <f t="array" ref="Q47">IFERROR(INDEX('Bills &amp; Invoices'!$B$5:$B$32,MATCH("*"&amp;$B47&amp;"*",'Bills &amp; Invoices'!$V$5:$V$32,0)),"")</f>
        <v/>
      </c>
      <c r="R47" s="26"/>
      <c r="S47" s="26"/>
      <c r="T47" s="26"/>
      <c r="U47" s="26"/>
      <c r="V47" s="26"/>
      <c r="W47" s="26"/>
      <c r="X47" s="26"/>
      <c r="Y47" s="26"/>
      <c r="Z47" s="26"/>
      <c r="AA47" s="26"/>
      <c r="AB47" s="26"/>
      <c r="AC47" s="26"/>
    </row>
    <row r="48" ht="14.25" customHeight="1">
      <c r="A48" s="282" t="s">
        <v>1945</v>
      </c>
      <c r="B48" s="301" t="s">
        <v>1946</v>
      </c>
      <c r="C48" s="282" t="s">
        <v>739</v>
      </c>
      <c r="D48" s="282" t="str">
        <f t="array" ref="D48">IFERROR(INDEX(Companies!$B$5:$B$74,MATCH($C48,Companies!$A$5:$A$74,0)),"Unknown ID")</f>
        <v>Bea Mountain Mining Corporation (BMMC)</v>
      </c>
      <c r="E48" s="282" t="str">
        <f>'SRC BMMC Log'!A47</f>
        <v>Cuastic Soda Flakes</v>
      </c>
      <c r="F48" s="282" t="s">
        <v>538</v>
      </c>
      <c r="G48" s="316">
        <f>'SRC BMMC Log'!B47</f>
        <v>90000</v>
      </c>
      <c r="H48" s="282" t="s">
        <v>1225</v>
      </c>
      <c r="I48" s="317">
        <f t="shared" si="1"/>
        <v>90000</v>
      </c>
      <c r="J48" s="318">
        <f t="shared" si="2"/>
        <v>90</v>
      </c>
      <c r="K48" s="282" t="str">
        <f>'SRC BMMC Log'!D47</f>
        <v>BL MEDUXO036701</v>
      </c>
      <c r="L48" s="282" t="s">
        <v>1943</v>
      </c>
      <c r="M48" s="300">
        <f>'SRC BMMC Log'!C47</f>
        <v>46126</v>
      </c>
      <c r="N48" s="282"/>
      <c r="O48" s="282" t="s">
        <v>1949</v>
      </c>
      <c r="P48" s="282"/>
      <c r="Q48" s="301" t="str">
        <f t="array" ref="Q48">IFERROR(INDEX('Bills &amp; Invoices'!$B$5:$B$32,MATCH("*"&amp;$B48&amp;"*",'Bills &amp; Invoices'!$V$5:$V$32,0)),"")</f>
        <v/>
      </c>
      <c r="R48" s="26"/>
      <c r="S48" s="26"/>
      <c r="T48" s="26"/>
      <c r="U48" s="26"/>
      <c r="V48" s="26"/>
      <c r="W48" s="26"/>
      <c r="X48" s="26"/>
      <c r="Y48" s="26"/>
      <c r="Z48" s="26"/>
      <c r="AA48" s="26"/>
      <c r="AB48" s="26"/>
      <c r="AC48" s="26"/>
    </row>
    <row r="49" ht="14.25" customHeight="1">
      <c r="A49" s="282" t="s">
        <v>1952</v>
      </c>
      <c r="B49" s="301" t="s">
        <v>1953</v>
      </c>
      <c r="C49" s="282" t="s">
        <v>739</v>
      </c>
      <c r="D49" s="282" t="str">
        <f t="array" ref="D49">IFERROR(INDEX(Companies!$B$5:$B$74,MATCH($C49,Companies!$A$5:$A$74,0)),"Unknown ID")</f>
        <v>Bea Mountain Mining Corporation (BMMC)</v>
      </c>
      <c r="E49" s="282" t="str">
        <f>'SRC BMMC Log'!A48</f>
        <v>Sodium Nitrite</v>
      </c>
      <c r="F49" s="282" t="s">
        <v>567</v>
      </c>
      <c r="G49" s="316">
        <f>'SRC BMMC Log'!B48</f>
        <v>16390</v>
      </c>
      <c r="H49" s="282" t="s">
        <v>1225</v>
      </c>
      <c r="I49" s="317">
        <f t="shared" si="1"/>
        <v>16390</v>
      </c>
      <c r="J49" s="318">
        <f t="shared" si="2"/>
        <v>16.39</v>
      </c>
      <c r="K49" s="282" t="str">
        <f>'SRC BMMC Log'!D48</f>
        <v>BL 268833547</v>
      </c>
      <c r="L49" s="282" t="s">
        <v>1943</v>
      </c>
      <c r="M49" s="300">
        <f>'SRC BMMC Log'!C48</f>
        <v>46126</v>
      </c>
      <c r="N49" s="282"/>
      <c r="O49" s="282" t="s">
        <v>1955</v>
      </c>
      <c r="P49" s="282"/>
      <c r="Q49" s="301" t="str">
        <f t="array" ref="Q49">IFERROR(INDEX('Bills &amp; Invoices'!$B$5:$B$32,MATCH("*"&amp;$B49&amp;"*",'Bills &amp; Invoices'!$V$5:$V$32,0)),"")</f>
        <v/>
      </c>
      <c r="R49" s="26"/>
      <c r="S49" s="26"/>
      <c r="T49" s="26"/>
      <c r="U49" s="26"/>
      <c r="V49" s="26"/>
      <c r="W49" s="26"/>
      <c r="X49" s="26"/>
      <c r="Y49" s="26"/>
      <c r="Z49" s="26"/>
      <c r="AA49" s="26"/>
      <c r="AB49" s="26"/>
      <c r="AC49" s="26"/>
    </row>
    <row r="50" ht="14.25" customHeight="1">
      <c r="A50" s="282" t="s">
        <v>1957</v>
      </c>
      <c r="B50" s="301" t="s">
        <v>1958</v>
      </c>
      <c r="C50" s="282" t="s">
        <v>739</v>
      </c>
      <c r="D50" s="282" t="str">
        <f t="array" ref="D50">IFERROR(INDEX(Companies!$B$5:$B$74,MATCH($C50,Companies!$A$5:$A$74,0)),"Unknown ID")</f>
        <v>Bea Mountain Mining Corporation (BMMC)</v>
      </c>
      <c r="E50" s="282" t="str">
        <f>'SRC BMMC Log'!A49</f>
        <v>Silver Nitrate</v>
      </c>
      <c r="F50" s="282" t="s">
        <v>611</v>
      </c>
      <c r="G50" s="316">
        <f>'SRC BMMC Log'!B49</f>
        <v>30</v>
      </c>
      <c r="H50" s="282" t="s">
        <v>1225</v>
      </c>
      <c r="I50" s="317">
        <f t="shared" si="1"/>
        <v>30</v>
      </c>
      <c r="J50" s="318">
        <f t="shared" si="2"/>
        <v>0.03</v>
      </c>
      <c r="K50" s="282" t="str">
        <f>'SRC BMMC Log'!D49</f>
        <v>A.W.B 70651415921</v>
      </c>
      <c r="L50" s="282" t="s">
        <v>1961</v>
      </c>
      <c r="M50" s="300">
        <f>'SRC BMMC Log'!C49</f>
        <v>46126</v>
      </c>
      <c r="N50" s="282"/>
      <c r="O50" s="282" t="s">
        <v>1962</v>
      </c>
      <c r="P50" s="282"/>
      <c r="Q50" s="301" t="str">
        <f t="array" ref="Q50">IFERROR(INDEX('Bills &amp; Invoices'!$B$5:$B$32,MATCH("*"&amp;$B50&amp;"*",'Bills &amp; Invoices'!$V$5:$V$32,0)),"")</f>
        <v/>
      </c>
      <c r="R50" s="26"/>
      <c r="S50" s="26"/>
      <c r="T50" s="26"/>
      <c r="U50" s="26"/>
      <c r="V50" s="26"/>
      <c r="W50" s="26"/>
      <c r="X50" s="26"/>
      <c r="Y50" s="26"/>
      <c r="Z50" s="26"/>
      <c r="AA50" s="26"/>
      <c r="AB50" s="26"/>
      <c r="AC50" s="26"/>
    </row>
    <row r="51" ht="14.25" customHeight="1">
      <c r="A51" s="282" t="s">
        <v>1963</v>
      </c>
      <c r="B51" s="301" t="s">
        <v>1964</v>
      </c>
      <c r="C51" s="282" t="s">
        <v>739</v>
      </c>
      <c r="D51" s="282" t="str">
        <f t="array" ref="D51">IFERROR(INDEX(Companies!$B$5:$B$74,MATCH($C51,Companies!$A$5:$A$74,0)),"Unknown ID")</f>
        <v>Bea Mountain Mining Corporation (BMMC)</v>
      </c>
      <c r="E51" s="282" t="str">
        <f>'SRC BMMC Log'!A50</f>
        <v>Hydrochloric Acid Antimony ICP</v>
      </c>
      <c r="F51" s="282" t="s">
        <v>552</v>
      </c>
      <c r="G51" s="316">
        <f>'SRC BMMC Log'!B50</f>
        <v>2</v>
      </c>
      <c r="H51" s="282" t="s">
        <v>1225</v>
      </c>
      <c r="I51" s="317">
        <f t="shared" si="1"/>
        <v>2</v>
      </c>
      <c r="J51" s="318">
        <f t="shared" si="2"/>
        <v>0.002</v>
      </c>
      <c r="K51" s="282" t="str">
        <f>'SRC BMMC Log'!D50</f>
        <v>BL 2664689</v>
      </c>
      <c r="L51" s="282" t="s">
        <v>1968</v>
      </c>
      <c r="M51" s="300">
        <f>'SRC BMMC Log'!C50</f>
        <v>46126</v>
      </c>
      <c r="N51" s="282"/>
      <c r="O51" s="282" t="s">
        <v>1969</v>
      </c>
      <c r="P51" s="282"/>
      <c r="Q51" s="301" t="str">
        <f t="array" ref="Q51">IFERROR(INDEX('Bills &amp; Invoices'!$B$5:$B$32,MATCH("*"&amp;$B51&amp;"*",'Bills &amp; Invoices'!$V$5:$V$32,0)),"")</f>
        <v/>
      </c>
      <c r="R51" s="26"/>
      <c r="S51" s="26"/>
      <c r="T51" s="26"/>
      <c r="U51" s="26"/>
      <c r="V51" s="26"/>
      <c r="W51" s="26"/>
      <c r="X51" s="26"/>
      <c r="Y51" s="26"/>
      <c r="Z51" s="26"/>
      <c r="AA51" s="26"/>
      <c r="AB51" s="26"/>
      <c r="AC51" s="26"/>
    </row>
    <row r="52" ht="14.25" customHeight="1">
      <c r="A52" s="282" t="s">
        <v>1973</v>
      </c>
      <c r="B52" s="301" t="s">
        <v>1964</v>
      </c>
      <c r="C52" s="282" t="s">
        <v>739</v>
      </c>
      <c r="D52" s="282" t="str">
        <f t="array" ref="D52">IFERROR(INDEX(Companies!$B$5:$B$74,MATCH($C52,Companies!$A$5:$A$74,0)),"Unknown ID")</f>
        <v>Bea Mountain Mining Corporation (BMMC)</v>
      </c>
      <c r="E52" s="282" t="str">
        <f>'SRC BMMC Log'!A51</f>
        <v>Epoxy Resin</v>
      </c>
      <c r="F52" s="282" t="s">
        <v>603</v>
      </c>
      <c r="G52" s="316">
        <f>'SRC BMMC Log'!B51</f>
        <v>100</v>
      </c>
      <c r="H52" s="282" t="s">
        <v>1225</v>
      </c>
      <c r="I52" s="317">
        <f t="shared" si="1"/>
        <v>100</v>
      </c>
      <c r="J52" s="318">
        <f t="shared" si="2"/>
        <v>0.1</v>
      </c>
      <c r="K52" s="282" t="str">
        <f>'SRC BMMC Log'!D51</f>
        <v>BL 2664689</v>
      </c>
      <c r="L52" s="282" t="s">
        <v>1968</v>
      </c>
      <c r="M52" s="300">
        <f>'SRC BMMC Log'!C51</f>
        <v>46126</v>
      </c>
      <c r="N52" s="282"/>
      <c r="O52" s="282" t="s">
        <v>1976</v>
      </c>
      <c r="P52" s="282"/>
      <c r="Q52" s="301" t="str">
        <f t="array" ref="Q52">IFERROR(INDEX('Bills &amp; Invoices'!$B$5:$B$32,MATCH("*"&amp;$B52&amp;"*",'Bills &amp; Invoices'!$V$5:$V$32,0)),"")</f>
        <v/>
      </c>
      <c r="R52" s="26"/>
      <c r="S52" s="26"/>
      <c r="T52" s="26"/>
      <c r="U52" s="26"/>
      <c r="V52" s="26"/>
      <c r="W52" s="26"/>
      <c r="X52" s="26"/>
      <c r="Y52" s="26"/>
      <c r="Z52" s="26"/>
      <c r="AA52" s="26"/>
      <c r="AB52" s="26"/>
      <c r="AC52" s="26"/>
    </row>
    <row r="53" ht="14.25" customHeight="1">
      <c r="A53" s="282" t="s">
        <v>1977</v>
      </c>
      <c r="B53" s="301" t="s">
        <v>1964</v>
      </c>
      <c r="C53" s="282" t="s">
        <v>739</v>
      </c>
      <c r="D53" s="282" t="str">
        <f t="array" ref="D53">IFERROR(INDEX(Companies!$B$5:$B$74,MATCH($C53,Companies!$A$5:$A$74,0)),"Unknown ID")</f>
        <v>Bea Mountain Mining Corporation (BMMC)</v>
      </c>
      <c r="E53" s="282" t="str">
        <f>'SRC BMMC Log'!A52</f>
        <v>Rubber Solution</v>
      </c>
      <c r="F53" s="282" t="s">
        <v>597</v>
      </c>
      <c r="G53" s="316">
        <f>'SRC BMMC Log'!B52</f>
        <v>500</v>
      </c>
      <c r="H53" s="282" t="s">
        <v>1225</v>
      </c>
      <c r="I53" s="317">
        <f t="shared" si="1"/>
        <v>500</v>
      </c>
      <c r="J53" s="318">
        <f t="shared" si="2"/>
        <v>0.5</v>
      </c>
      <c r="K53" s="282" t="str">
        <f>'SRC BMMC Log'!D52</f>
        <v>BL 2664689</v>
      </c>
      <c r="L53" s="282" t="s">
        <v>1968</v>
      </c>
      <c r="M53" s="300">
        <f>'SRC BMMC Log'!C52</f>
        <v>46126</v>
      </c>
      <c r="N53" s="282"/>
      <c r="O53" s="282" t="s">
        <v>1980</v>
      </c>
      <c r="P53" s="282"/>
      <c r="Q53" s="301" t="str">
        <f t="array" ref="Q53">IFERROR(INDEX('Bills &amp; Invoices'!$B$5:$B$32,MATCH("*"&amp;$B53&amp;"*",'Bills &amp; Invoices'!$V$5:$V$32,0)),"")</f>
        <v/>
      </c>
      <c r="R53" s="26"/>
      <c r="S53" s="26"/>
      <c r="T53" s="26"/>
      <c r="U53" s="26"/>
      <c r="V53" s="26"/>
      <c r="W53" s="26"/>
      <c r="X53" s="26"/>
      <c r="Y53" s="26"/>
      <c r="Z53" s="26"/>
      <c r="AA53" s="26"/>
      <c r="AB53" s="26"/>
      <c r="AC53" s="26"/>
    </row>
    <row r="54" ht="14.25" customHeight="1">
      <c r="A54" s="282" t="s">
        <v>1981</v>
      </c>
      <c r="B54" s="301" t="s">
        <v>1982</v>
      </c>
      <c r="C54" s="282" t="s">
        <v>739</v>
      </c>
      <c r="D54" s="282" t="str">
        <f t="array" ref="D54">IFERROR(INDEX(Companies!$B$5:$B$74,MATCH($C54,Companies!$A$5:$A$74,0)),"Unknown ID")</f>
        <v>Bea Mountain Mining Corporation (BMMC)</v>
      </c>
      <c r="E54" s="282" t="str">
        <f>'SRC BMMC Log'!A53</f>
        <v>Loctite (Epoxy Resin)</v>
      </c>
      <c r="F54" s="282" t="s">
        <v>584</v>
      </c>
      <c r="G54" s="316">
        <f>'SRC BMMC Log'!B53</f>
        <v>10</v>
      </c>
      <c r="H54" s="282" t="s">
        <v>1225</v>
      </c>
      <c r="I54" s="317">
        <f t="shared" si="1"/>
        <v>10</v>
      </c>
      <c r="J54" s="318">
        <f t="shared" si="2"/>
        <v>0.01</v>
      </c>
      <c r="K54" s="282" t="str">
        <f>'SRC BMMC Log'!D53</f>
        <v>BL 267804860</v>
      </c>
      <c r="L54" s="282" t="s">
        <v>1968</v>
      </c>
      <c r="M54" s="300">
        <f>'SRC BMMC Log'!C53</f>
        <v>46126</v>
      </c>
      <c r="N54" s="282"/>
      <c r="O54" s="282" t="s">
        <v>1985</v>
      </c>
      <c r="P54" s="282"/>
      <c r="Q54" s="301" t="str">
        <f t="array" ref="Q54">IFERROR(INDEX('Bills &amp; Invoices'!$B$5:$B$32,MATCH("*"&amp;$B54&amp;"*",'Bills &amp; Invoices'!$V$5:$V$32,0)),"")</f>
        <v/>
      </c>
      <c r="R54" s="26"/>
      <c r="S54" s="26"/>
      <c r="T54" s="26"/>
      <c r="U54" s="26"/>
      <c r="V54" s="26"/>
      <c r="W54" s="26"/>
      <c r="X54" s="26"/>
      <c r="Y54" s="26"/>
      <c r="Z54" s="26"/>
      <c r="AA54" s="26"/>
      <c r="AB54" s="26"/>
      <c r="AC54" s="26"/>
    </row>
    <row r="55" ht="14.25" customHeight="1">
      <c r="A55" s="282" t="s">
        <v>1987</v>
      </c>
      <c r="B55" s="301" t="s">
        <v>1982</v>
      </c>
      <c r="C55" s="282" t="s">
        <v>739</v>
      </c>
      <c r="D55" s="282" t="str">
        <f t="array" ref="D55">IFERROR(INDEX(Companies!$B$5:$B$74,MATCH($C55,Companies!$A$5:$A$74,0)),"Unknown ID")</f>
        <v>Bea Mountain Mining Corporation (BMMC)</v>
      </c>
      <c r="E55" s="282" t="str">
        <f>'SRC BMMC Log'!A54</f>
        <v>Loctite (Diethylenetriamine)</v>
      </c>
      <c r="F55" s="282" t="s">
        <v>584</v>
      </c>
      <c r="G55" s="316">
        <f>'SRC BMMC Log'!B54</f>
        <v>40</v>
      </c>
      <c r="H55" s="282" t="s">
        <v>1225</v>
      </c>
      <c r="I55" s="317">
        <f t="shared" si="1"/>
        <v>40</v>
      </c>
      <c r="J55" s="318">
        <f t="shared" si="2"/>
        <v>0.04</v>
      </c>
      <c r="K55" s="282" t="str">
        <f>'SRC BMMC Log'!D54</f>
        <v>BL 267804860</v>
      </c>
      <c r="L55" s="282" t="s">
        <v>1968</v>
      </c>
      <c r="M55" s="300">
        <f>'SRC BMMC Log'!C54</f>
        <v>46126</v>
      </c>
      <c r="N55" s="282"/>
      <c r="O55" s="282" t="s">
        <v>1989</v>
      </c>
      <c r="P55" s="282"/>
      <c r="Q55" s="301" t="str">
        <f t="array" ref="Q55">IFERROR(INDEX('Bills &amp; Invoices'!$B$5:$B$32,MATCH("*"&amp;$B55&amp;"*",'Bills &amp; Invoices'!$V$5:$V$32,0)),"")</f>
        <v/>
      </c>
      <c r="R55" s="26"/>
      <c r="S55" s="26"/>
      <c r="T55" s="26"/>
      <c r="U55" s="26"/>
      <c r="V55" s="26"/>
      <c r="W55" s="26"/>
      <c r="X55" s="26"/>
      <c r="Y55" s="26"/>
      <c r="Z55" s="26"/>
      <c r="AA55" s="26"/>
      <c r="AB55" s="26"/>
      <c r="AC55" s="26"/>
    </row>
    <row r="56" ht="14.25" customHeight="1">
      <c r="A56" s="282" t="s">
        <v>1992</v>
      </c>
      <c r="B56" s="301" t="s">
        <v>1993</v>
      </c>
      <c r="C56" s="282" t="s">
        <v>739</v>
      </c>
      <c r="D56" s="282" t="str">
        <f t="array" ref="D56">IFERROR(INDEX(Companies!$B$5:$B$74,MATCH($C56,Companies!$A$5:$A$74,0)),"Unknown ID")</f>
        <v>Bea Mountain Mining Corporation (BMMC)</v>
      </c>
      <c r="E56" s="282" t="str">
        <f>'SRC BMMC Log'!A55</f>
        <v>Ferric Chloride</v>
      </c>
      <c r="F56" s="282" t="s">
        <v>527</v>
      </c>
      <c r="G56" s="316">
        <f>'SRC BMMC Log'!B55</f>
        <v>216000</v>
      </c>
      <c r="H56" s="282" t="s">
        <v>1225</v>
      </c>
      <c r="I56" s="317">
        <f t="shared" si="1"/>
        <v>216000</v>
      </c>
      <c r="J56" s="318">
        <f t="shared" si="2"/>
        <v>216</v>
      </c>
      <c r="K56" s="282" t="str">
        <f>'SRC BMMC Log'!D55</f>
        <v>BL MEDUXO381529</v>
      </c>
      <c r="L56" s="282" t="s">
        <v>1994</v>
      </c>
      <c r="M56" s="300">
        <f>'SRC BMMC Log'!C55</f>
        <v>46139</v>
      </c>
      <c r="N56" s="282"/>
      <c r="O56" s="282" t="s">
        <v>1996</v>
      </c>
      <c r="P56" s="282"/>
      <c r="Q56" s="301" t="str">
        <f t="array" ref="Q56">IFERROR(INDEX('Bills &amp; Invoices'!$B$5:$B$32,MATCH("*"&amp;$B56&amp;"*",'Bills &amp; Invoices'!$V$5:$V$32,0)),"")</f>
        <v/>
      </c>
      <c r="R56" s="26"/>
      <c r="S56" s="26"/>
      <c r="T56" s="26"/>
      <c r="U56" s="26"/>
      <c r="V56" s="26"/>
      <c r="W56" s="26"/>
      <c r="X56" s="26"/>
      <c r="Y56" s="26"/>
      <c r="Z56" s="26"/>
      <c r="AA56" s="26"/>
      <c r="AB56" s="26"/>
      <c r="AC56" s="26"/>
    </row>
    <row r="57" ht="14.25" customHeight="1">
      <c r="A57" s="282" t="s">
        <v>1998</v>
      </c>
      <c r="B57" s="301" t="s">
        <v>1999</v>
      </c>
      <c r="C57" s="282" t="s">
        <v>739</v>
      </c>
      <c r="D57" s="282" t="str">
        <f t="array" ref="D57">IFERROR(INDEX(Companies!$B$5:$B$74,MATCH($C57,Companies!$A$5:$A$74,0)),"Unknown ID")</f>
        <v>Bea Mountain Mining Corporation (BMMC)</v>
      </c>
      <c r="E57" s="282" t="str">
        <f>'SRC BMMC Log'!A56</f>
        <v>Sodium Metabisuphite</v>
      </c>
      <c r="F57" s="282" t="s">
        <v>531</v>
      </c>
      <c r="G57" s="316">
        <f>'SRC BMMC Log'!B56</f>
        <v>96000</v>
      </c>
      <c r="H57" s="282" t="s">
        <v>1225</v>
      </c>
      <c r="I57" s="317">
        <f t="shared" si="1"/>
        <v>96000</v>
      </c>
      <c r="J57" s="318">
        <f t="shared" si="2"/>
        <v>96</v>
      </c>
      <c r="K57" s="282" t="str">
        <f>'SRC BMMC Log'!D56</f>
        <v>BL 267462095</v>
      </c>
      <c r="L57" s="282" t="s">
        <v>2002</v>
      </c>
      <c r="M57" s="300">
        <f>'SRC BMMC Log'!C56</f>
        <v>46155</v>
      </c>
      <c r="N57" s="282"/>
      <c r="O57" s="282" t="s">
        <v>2003</v>
      </c>
      <c r="P57" s="282"/>
      <c r="Q57" s="301" t="str">
        <f t="array" ref="Q57">IFERROR(INDEX('Bills &amp; Invoices'!$B$5:$B$32,MATCH("*"&amp;$B57&amp;"*",'Bills &amp; Invoices'!$V$5:$V$32,0)),"")</f>
        <v/>
      </c>
      <c r="R57" s="26"/>
      <c r="S57" s="26"/>
      <c r="T57" s="26"/>
      <c r="U57" s="26"/>
      <c r="V57" s="26"/>
      <c r="W57" s="26"/>
      <c r="X57" s="26"/>
      <c r="Y57" s="26"/>
      <c r="Z57" s="26"/>
      <c r="AA57" s="26"/>
      <c r="AB57" s="26"/>
      <c r="AC57" s="26"/>
    </row>
    <row r="58" ht="14.25" customHeight="1">
      <c r="A58" s="282" t="s">
        <v>2004</v>
      </c>
      <c r="B58" s="301" t="s">
        <v>2005</v>
      </c>
      <c r="C58" s="282" t="s">
        <v>739</v>
      </c>
      <c r="D58" s="282" t="str">
        <f t="array" ref="D58">IFERROR(INDEX(Companies!$B$5:$B$74,MATCH($C58,Companies!$A$5:$A$74,0)),"Unknown ID")</f>
        <v>Bea Mountain Mining Corporation (BMMC)</v>
      </c>
      <c r="E58" s="282" t="str">
        <f>'SRC BMMC Log'!A57</f>
        <v>Aerosols </v>
      </c>
      <c r="F58" s="282" t="s">
        <v>599</v>
      </c>
      <c r="G58" s="316">
        <f>'SRC BMMC Log'!B57</f>
        <v>250</v>
      </c>
      <c r="H58" s="282" t="s">
        <v>1225</v>
      </c>
      <c r="I58" s="317">
        <f t="shared" si="1"/>
        <v>250</v>
      </c>
      <c r="J58" s="318">
        <f t="shared" si="2"/>
        <v>0.25</v>
      </c>
      <c r="K58" s="282" t="str">
        <f>'SRC BMMC Log'!D57</f>
        <v>BL 269718433</v>
      </c>
      <c r="L58" s="282" t="s">
        <v>2002</v>
      </c>
      <c r="M58" s="300">
        <v>46155.0</v>
      </c>
      <c r="N58" s="282" t="s">
        <v>2008</v>
      </c>
      <c r="O58" s="282" t="s">
        <v>2009</v>
      </c>
      <c r="P58" s="282"/>
      <c r="Q58" s="301" t="str">
        <f t="array" ref="Q58">IFERROR(INDEX('Bills &amp; Invoices'!$B$5:$B$32,MATCH("*"&amp;$B58&amp;"*",'Bills &amp; Invoices'!$V$5:$V$32,0)),"")</f>
        <v/>
      </c>
      <c r="R58" s="26"/>
      <c r="S58" s="26"/>
      <c r="T58" s="26"/>
      <c r="U58" s="26"/>
      <c r="V58" s="26"/>
      <c r="W58" s="26"/>
      <c r="X58" s="26"/>
      <c r="Y58" s="26"/>
      <c r="Z58" s="26"/>
      <c r="AA58" s="26"/>
      <c r="AB58" s="26"/>
      <c r="AC58" s="26"/>
    </row>
    <row r="59" ht="14.25" customHeight="1">
      <c r="A59" s="282" t="s">
        <v>2011</v>
      </c>
      <c r="B59" s="301" t="s">
        <v>2005</v>
      </c>
      <c r="C59" s="282" t="s">
        <v>739</v>
      </c>
      <c r="D59" s="282" t="str">
        <f t="array" ref="D59">IFERROR(INDEX(Companies!$B$5:$B$74,MATCH($C59,Companies!$A$5:$A$74,0)),"Unknown ID")</f>
        <v>Bea Mountain Mining Corporation (BMMC)</v>
      </c>
      <c r="E59" s="282" t="str">
        <f>'SRC BMMC Log'!A58</f>
        <v>Acetic Acid </v>
      </c>
      <c r="F59" s="282" t="s">
        <v>568</v>
      </c>
      <c r="G59" s="316">
        <f>'SRC BMMC Log'!B58</f>
        <v>7.5</v>
      </c>
      <c r="H59" s="282" t="s">
        <v>1225</v>
      </c>
      <c r="I59" s="317">
        <f t="shared" si="1"/>
        <v>7.5</v>
      </c>
      <c r="J59" s="318">
        <f t="shared" si="2"/>
        <v>0.0075</v>
      </c>
      <c r="K59" s="282" t="str">
        <f>'SRC BMMC Log'!D58</f>
        <v>BL 269718433</v>
      </c>
      <c r="L59" s="282" t="s">
        <v>2002</v>
      </c>
      <c r="M59" s="300">
        <v>46155.0</v>
      </c>
      <c r="N59" s="282" t="s">
        <v>2008</v>
      </c>
      <c r="O59" s="282" t="s">
        <v>2015</v>
      </c>
      <c r="P59" s="282"/>
      <c r="Q59" s="301" t="str">
        <f t="array" ref="Q59">IFERROR(INDEX('Bills &amp; Invoices'!$B$5:$B$32,MATCH("*"&amp;$B59&amp;"*",'Bills &amp; Invoices'!$V$5:$V$32,0)),"")</f>
        <v/>
      </c>
      <c r="R59" s="26"/>
      <c r="S59" s="26"/>
      <c r="T59" s="26"/>
      <c r="U59" s="26"/>
      <c r="V59" s="26"/>
      <c r="W59" s="26"/>
      <c r="X59" s="26"/>
      <c r="Y59" s="26"/>
      <c r="Z59" s="26"/>
      <c r="AA59" s="26"/>
      <c r="AB59" s="26"/>
      <c r="AC59" s="26"/>
    </row>
    <row r="60" ht="14.25" customHeight="1">
      <c r="A60" s="282" t="s">
        <v>2017</v>
      </c>
      <c r="B60" s="301" t="s">
        <v>2005</v>
      </c>
      <c r="C60" s="282" t="s">
        <v>739</v>
      </c>
      <c r="D60" s="282" t="str">
        <f t="array" ref="D60">IFERROR(INDEX(Companies!$B$5:$B$74,MATCH($C60,Companies!$A$5:$A$74,0)),"Unknown ID")</f>
        <v>Bea Mountain Mining Corporation (BMMC)</v>
      </c>
      <c r="E60" s="282" t="str">
        <f>'SRC BMMC Log'!A59</f>
        <v>Corrosive Solid, Acidic</v>
      </c>
      <c r="F60" s="282" t="s">
        <v>595</v>
      </c>
      <c r="G60" s="316">
        <f>'SRC BMMC Log'!B59</f>
        <v>2</v>
      </c>
      <c r="H60" s="282" t="s">
        <v>1225</v>
      </c>
      <c r="I60" s="317">
        <f t="shared" si="1"/>
        <v>2</v>
      </c>
      <c r="J60" s="318">
        <f t="shared" si="2"/>
        <v>0.002</v>
      </c>
      <c r="K60" s="282" t="str">
        <f>'SRC BMMC Log'!D59</f>
        <v>BL 269718433</v>
      </c>
      <c r="L60" s="282" t="s">
        <v>2002</v>
      </c>
      <c r="M60" s="300">
        <v>46155.0</v>
      </c>
      <c r="N60" s="282" t="s">
        <v>2008</v>
      </c>
      <c r="O60" s="282" t="s">
        <v>2027</v>
      </c>
      <c r="P60" s="282"/>
      <c r="Q60" s="301" t="str">
        <f t="array" ref="Q60">IFERROR(INDEX('Bills &amp; Invoices'!$B$5:$B$32,MATCH("*"&amp;$B60&amp;"*",'Bills &amp; Invoices'!$V$5:$V$32,0)),"")</f>
        <v/>
      </c>
      <c r="R60" s="26"/>
      <c r="S60" s="26"/>
      <c r="T60" s="26"/>
      <c r="U60" s="26"/>
      <c r="V60" s="26"/>
      <c r="W60" s="26"/>
      <c r="X60" s="26"/>
      <c r="Y60" s="26"/>
      <c r="Z60" s="26"/>
      <c r="AA60" s="26"/>
      <c r="AB60" s="26"/>
      <c r="AC60" s="26"/>
    </row>
    <row r="61" ht="14.25" customHeight="1">
      <c r="A61" s="282" t="s">
        <v>2031</v>
      </c>
      <c r="B61" s="301" t="s">
        <v>2033</v>
      </c>
      <c r="C61" s="282" t="s">
        <v>739</v>
      </c>
      <c r="D61" s="282" t="str">
        <f t="array" ref="D61">IFERROR(INDEX(Companies!$B$5:$B$74,MATCH($C61,Companies!$A$5:$A$74,0)),"Unknown ID")</f>
        <v>Bea Mountain Mining Corporation (BMMC)</v>
      </c>
      <c r="E61" s="282" t="str">
        <f>'SRC BMMC Log'!A60</f>
        <v>Sodium Metabisuphite</v>
      </c>
      <c r="F61" s="282" t="s">
        <v>531</v>
      </c>
      <c r="G61" s="316">
        <f>'SRC BMMC Log'!B60</f>
        <v>96000</v>
      </c>
      <c r="H61" s="282" t="s">
        <v>1225</v>
      </c>
      <c r="I61" s="317">
        <f t="shared" si="1"/>
        <v>96000</v>
      </c>
      <c r="J61" s="318">
        <f t="shared" si="2"/>
        <v>96</v>
      </c>
      <c r="K61" s="282" t="str">
        <f>'SRC BMMC Log'!D60</f>
        <v>BL 267461944</v>
      </c>
      <c r="L61" s="282" t="s">
        <v>2002</v>
      </c>
      <c r="M61" s="300">
        <v>46155.0</v>
      </c>
      <c r="N61" s="282" t="s">
        <v>2008</v>
      </c>
      <c r="O61" s="282" t="s">
        <v>2050</v>
      </c>
      <c r="P61" s="282"/>
      <c r="Q61" s="301" t="str">
        <f t="array" ref="Q61">IFERROR(INDEX('Bills &amp; Invoices'!$B$5:$B$32,MATCH("*"&amp;$B61&amp;"*",'Bills &amp; Invoices'!$V$5:$V$32,0)),"")</f>
        <v/>
      </c>
      <c r="R61" s="26"/>
      <c r="S61" s="26"/>
      <c r="T61" s="26"/>
      <c r="U61" s="26"/>
      <c r="V61" s="26"/>
      <c r="W61" s="26"/>
      <c r="X61" s="26"/>
      <c r="Y61" s="26"/>
      <c r="Z61" s="26"/>
      <c r="AA61" s="26"/>
      <c r="AB61" s="26"/>
      <c r="AC61" s="26"/>
    </row>
    <row r="62" ht="14.25" customHeight="1">
      <c r="A62" s="282" t="s">
        <v>2061</v>
      </c>
      <c r="B62" s="301" t="s">
        <v>2062</v>
      </c>
      <c r="C62" s="282" t="s">
        <v>739</v>
      </c>
      <c r="D62" s="282" t="str">
        <f t="array" ref="D62">IFERROR(INDEX(Companies!$B$5:$B$74,MATCH($C62,Companies!$A$5:$A$74,0)),"Unknown ID")</f>
        <v>Bea Mountain Mining Corporation (BMMC)</v>
      </c>
      <c r="E62" s="282" t="str">
        <f>'SRC BMMC Log'!A61</f>
        <v>Activated Carbon</v>
      </c>
      <c r="F62" s="282" t="s">
        <v>539</v>
      </c>
      <c r="G62" s="316">
        <f>'SRC BMMC Log'!B61</f>
        <v>72600</v>
      </c>
      <c r="H62" s="282" t="s">
        <v>1225</v>
      </c>
      <c r="I62" s="317">
        <f t="shared" si="1"/>
        <v>72600</v>
      </c>
      <c r="J62" s="318">
        <f t="shared" si="2"/>
        <v>72.6</v>
      </c>
      <c r="K62" s="282" t="str">
        <f>'SRC BMMC Log'!D61</f>
        <v>BL AID0326419</v>
      </c>
      <c r="L62" s="282" t="s">
        <v>2002</v>
      </c>
      <c r="M62" s="300">
        <v>46155.0</v>
      </c>
      <c r="N62" s="282" t="s">
        <v>2008</v>
      </c>
      <c r="O62" s="282" t="s">
        <v>2080</v>
      </c>
      <c r="P62" s="282"/>
      <c r="Q62" s="301" t="str">
        <f t="array" ref="Q62">IFERROR(INDEX('Bills &amp; Invoices'!$B$5:$B$32,MATCH("*"&amp;$B62&amp;"*",'Bills &amp; Invoices'!$V$5:$V$32,0)),"")</f>
        <v/>
      </c>
      <c r="R62" s="26"/>
      <c r="S62" s="26"/>
      <c r="T62" s="26"/>
      <c r="U62" s="26"/>
      <c r="V62" s="26"/>
      <c r="W62" s="26"/>
      <c r="X62" s="26"/>
      <c r="Y62" s="26"/>
      <c r="Z62" s="26"/>
      <c r="AA62" s="26"/>
      <c r="AB62" s="26"/>
      <c r="AC62" s="26"/>
    </row>
    <row r="63" ht="14.25" customHeight="1">
      <c r="A63" s="282" t="s">
        <v>2085</v>
      </c>
      <c r="B63" s="301" t="s">
        <v>2087</v>
      </c>
      <c r="C63" s="282" t="s">
        <v>739</v>
      </c>
      <c r="D63" s="282" t="str">
        <f t="array" ref="D63">IFERROR(INDEX(Companies!$B$5:$B$74,MATCH($C63,Companies!$A$5:$A$74,0)),"Unknown ID")</f>
        <v>Bea Mountain Mining Corporation (BMMC)</v>
      </c>
      <c r="E63" s="282" t="str">
        <f>'SRC BMMC Log'!A62</f>
        <v>Sodium Metabisuphite</v>
      </c>
      <c r="F63" s="282" t="s">
        <v>531</v>
      </c>
      <c r="G63" s="316">
        <f>'SRC BMMC Log'!B62</f>
        <v>24000</v>
      </c>
      <c r="H63" s="282" t="s">
        <v>1225</v>
      </c>
      <c r="I63" s="317">
        <f t="shared" si="1"/>
        <v>24000</v>
      </c>
      <c r="J63" s="318">
        <f t="shared" si="2"/>
        <v>24</v>
      </c>
      <c r="K63" s="282" t="str">
        <f>'SRC BMMC Log'!D62</f>
        <v>BL 269434146</v>
      </c>
      <c r="L63" s="282" t="s">
        <v>2002</v>
      </c>
      <c r="M63" s="300">
        <v>46155.0</v>
      </c>
      <c r="N63" s="282" t="s">
        <v>2008</v>
      </c>
      <c r="O63" s="282" t="s">
        <v>2108</v>
      </c>
      <c r="P63" s="282"/>
      <c r="Q63" s="301" t="str">
        <f t="array" ref="Q63">IFERROR(INDEX('Bills &amp; Invoices'!$B$5:$B$32,MATCH("*"&amp;$B63&amp;"*",'Bills &amp; Invoices'!$V$5:$V$32,0)),"")</f>
        <v/>
      </c>
      <c r="R63" s="26"/>
      <c r="S63" s="26"/>
      <c r="T63" s="26"/>
      <c r="U63" s="26"/>
      <c r="V63" s="26"/>
      <c r="W63" s="26"/>
      <c r="X63" s="26"/>
      <c r="Y63" s="26"/>
      <c r="Z63" s="26"/>
      <c r="AA63" s="26"/>
      <c r="AB63" s="26"/>
      <c r="AC63" s="26"/>
    </row>
    <row r="64" ht="14.25" customHeight="1">
      <c r="A64" s="282" t="s">
        <v>2116</v>
      </c>
      <c r="B64" s="301" t="s">
        <v>2118</v>
      </c>
      <c r="C64" s="282" t="s">
        <v>739</v>
      </c>
      <c r="D64" s="282" t="str">
        <f t="array" ref="D64">IFERROR(INDEX(Companies!$B$5:$B$74,MATCH($C64,Companies!$A$5:$A$74,0)),"Unknown ID")</f>
        <v>Bea Mountain Mining Corporation (BMMC)</v>
      </c>
      <c r="E64" s="282" t="str">
        <f>'SRC BMMC Log'!A63</f>
        <v>Accerator Akshop 160</v>
      </c>
      <c r="F64" s="282" t="s">
        <v>530</v>
      </c>
      <c r="G64" s="316">
        <f>'SRC BMMC Log'!B63</f>
        <v>190400</v>
      </c>
      <c r="H64" s="282" t="s">
        <v>1225</v>
      </c>
      <c r="I64" s="317">
        <f t="shared" si="1"/>
        <v>190400</v>
      </c>
      <c r="J64" s="318">
        <f t="shared" si="2"/>
        <v>190.4</v>
      </c>
      <c r="K64" s="282" t="str">
        <f>'SRC BMMC Log'!D63</f>
        <v>BL 267233750</v>
      </c>
      <c r="L64" s="282" t="s">
        <v>2002</v>
      </c>
      <c r="M64" s="300">
        <v>46155.0</v>
      </c>
      <c r="N64" s="282" t="s">
        <v>2008</v>
      </c>
      <c r="O64" s="282" t="s">
        <v>2134</v>
      </c>
      <c r="P64" s="282"/>
      <c r="Q64" s="301" t="str">
        <f t="array" ref="Q64">IFERROR(INDEX('Bills &amp; Invoices'!$B$5:$B$32,MATCH("*"&amp;$B64&amp;"*",'Bills &amp; Invoices'!$V$5:$V$32,0)),"")</f>
        <v/>
      </c>
      <c r="R64" s="26"/>
      <c r="S64" s="26"/>
      <c r="T64" s="26"/>
      <c r="U64" s="26"/>
      <c r="V64" s="26"/>
      <c r="W64" s="26"/>
      <c r="X64" s="26"/>
      <c r="Y64" s="26"/>
      <c r="Z64" s="26"/>
      <c r="AA64" s="26"/>
      <c r="AB64" s="26"/>
      <c r="AC64" s="26"/>
    </row>
    <row r="65" ht="14.25" customHeight="1">
      <c r="A65" s="282" t="s">
        <v>2145</v>
      </c>
      <c r="B65" s="301" t="s">
        <v>2146</v>
      </c>
      <c r="C65" s="282" t="s">
        <v>739</v>
      </c>
      <c r="D65" s="282" t="str">
        <f t="array" ref="D65">IFERROR(INDEX(Companies!$B$5:$B$74,MATCH($C65,Companies!$A$5:$A$74,0)),"Unknown ID")</f>
        <v>Bea Mountain Mining Corporation (BMMC)</v>
      </c>
      <c r="E65" s="282" t="str">
        <f>'SRC BMMC Log'!A64</f>
        <v>Argon Gas Cylinder 99.9 purity (Refill)</v>
      </c>
      <c r="F65" s="282" t="s">
        <v>589</v>
      </c>
      <c r="G65" s="316">
        <f>'SRC BMMC Log'!B64</f>
        <v>1809</v>
      </c>
      <c r="H65" s="282" t="s">
        <v>1225</v>
      </c>
      <c r="I65" s="317">
        <f t="shared" si="1"/>
        <v>1809</v>
      </c>
      <c r="J65" s="318">
        <f t="shared" si="2"/>
        <v>1.809</v>
      </c>
      <c r="K65" s="282" t="str">
        <f>'SRC BMMC Log'!D64</f>
        <v>BL 269302888</v>
      </c>
      <c r="L65" s="282" t="s">
        <v>2002</v>
      </c>
      <c r="M65" s="300">
        <f>'SRC BMMC Log'!C64</f>
        <v>46155</v>
      </c>
      <c r="N65" s="282"/>
      <c r="O65" s="282" t="s">
        <v>2154</v>
      </c>
      <c r="P65" s="282"/>
      <c r="Q65" s="301" t="str">
        <f t="array" ref="Q65">IFERROR(INDEX('Bills &amp; Invoices'!$B$5:$B$32,MATCH("*"&amp;$B65&amp;"*",'Bills &amp; Invoices'!$V$5:$V$32,0)),"")</f>
        <v/>
      </c>
      <c r="R65" s="26"/>
      <c r="S65" s="26"/>
      <c r="T65" s="26"/>
      <c r="U65" s="26"/>
      <c r="V65" s="26"/>
      <c r="W65" s="26"/>
      <c r="X65" s="26"/>
      <c r="Y65" s="26"/>
      <c r="Z65" s="26"/>
      <c r="AA65" s="26"/>
      <c r="AB65" s="26"/>
      <c r="AC65" s="26"/>
    </row>
    <row r="66" ht="14.25" customHeight="1">
      <c r="A66" s="282" t="s">
        <v>2159</v>
      </c>
      <c r="B66" s="301" t="s">
        <v>2160</v>
      </c>
      <c r="C66" s="282" t="s">
        <v>739</v>
      </c>
      <c r="D66" s="282" t="str">
        <f t="array" ref="D66">IFERROR(INDEX(Companies!$B$5:$B$74,MATCH($C66,Companies!$A$5:$A$74,0)),"Unknown ID")</f>
        <v>Bea Mountain Mining Corporation (BMMC)</v>
      </c>
      <c r="E66" s="282" t="str">
        <f>'SRC BMMC Log'!A65</f>
        <v>Compressed Nitrogen</v>
      </c>
      <c r="F66" s="282" t="s">
        <v>598</v>
      </c>
      <c r="G66" s="316">
        <f>'SRC BMMC Log'!B65</f>
        <v>45</v>
      </c>
      <c r="H66" s="282" t="s">
        <v>1225</v>
      </c>
      <c r="I66" s="317">
        <f t="shared" si="1"/>
        <v>45</v>
      </c>
      <c r="J66" s="318">
        <f t="shared" si="2"/>
        <v>0.045</v>
      </c>
      <c r="K66" s="282" t="str">
        <f>'SRC BMMC Log'!D65</f>
        <v>BL 269008735</v>
      </c>
      <c r="L66" s="282" t="s">
        <v>2164</v>
      </c>
      <c r="M66" s="300">
        <f>'SRC BMMC Log'!C65</f>
        <v>46157</v>
      </c>
      <c r="N66" s="282"/>
      <c r="O66" s="282" t="s">
        <v>2166</v>
      </c>
      <c r="P66" s="282"/>
      <c r="Q66" s="301" t="str">
        <f t="array" ref="Q66">IFERROR(INDEX('Bills &amp; Invoices'!$B$5:$B$32,MATCH("*"&amp;$B66&amp;"*",'Bills &amp; Invoices'!$V$5:$V$32,0)),"")</f>
        <v/>
      </c>
      <c r="R66" s="26"/>
      <c r="S66" s="26"/>
      <c r="T66" s="26"/>
      <c r="U66" s="26"/>
      <c r="V66" s="26"/>
      <c r="W66" s="26"/>
      <c r="X66" s="26"/>
      <c r="Y66" s="26"/>
      <c r="Z66" s="26"/>
      <c r="AA66" s="26"/>
      <c r="AB66" s="26"/>
      <c r="AC66" s="26"/>
    </row>
    <row r="67" ht="14.25" customHeight="1">
      <c r="A67" s="282" t="s">
        <v>2167</v>
      </c>
      <c r="B67" s="301" t="s">
        <v>2168</v>
      </c>
      <c r="C67" s="282" t="s">
        <v>739</v>
      </c>
      <c r="D67" s="282" t="str">
        <f t="array" ref="D67">IFERROR(INDEX(Companies!$B$5:$B$74,MATCH($C67,Companies!$A$5:$A$74,0)),"Unknown ID")</f>
        <v>Bea Mountain Mining Corporation (BMMC)</v>
      </c>
      <c r="E67" s="282" t="str">
        <f>'SRC BMMC Log'!A66</f>
        <v>Shotcrette Fludifier Akhiralin</v>
      </c>
      <c r="F67" s="282" t="s">
        <v>544</v>
      </c>
      <c r="G67" s="316">
        <f>'SRC BMMC Log'!B66</f>
        <v>115000</v>
      </c>
      <c r="H67" s="282" t="s">
        <v>1225</v>
      </c>
      <c r="I67" s="317">
        <f t="shared" si="1"/>
        <v>115000</v>
      </c>
      <c r="J67" s="318">
        <f t="shared" si="2"/>
        <v>115</v>
      </c>
      <c r="K67" s="282" t="str">
        <f>'SRC BMMC Log'!D66</f>
        <v>BL 269008460</v>
      </c>
      <c r="L67" s="282" t="s">
        <v>2164</v>
      </c>
      <c r="M67" s="300">
        <f>'SRC BMMC Log'!C66</f>
        <v>46157</v>
      </c>
      <c r="N67" s="282"/>
      <c r="O67" s="282" t="s">
        <v>2171</v>
      </c>
      <c r="P67" s="282"/>
      <c r="Q67" s="301" t="str">
        <f t="array" ref="Q67">IFERROR(INDEX('Bills &amp; Invoices'!$B$5:$B$32,MATCH("*"&amp;$B67&amp;"*",'Bills &amp; Invoices'!$V$5:$V$32,0)),"")</f>
        <v/>
      </c>
      <c r="R67" s="26"/>
      <c r="S67" s="26"/>
      <c r="T67" s="26"/>
      <c r="U67" s="26"/>
      <c r="V67" s="26"/>
      <c r="W67" s="26"/>
      <c r="X67" s="26"/>
      <c r="Y67" s="26"/>
      <c r="Z67" s="26"/>
      <c r="AA67" s="26"/>
      <c r="AB67" s="26"/>
      <c r="AC67" s="26"/>
    </row>
    <row r="68" ht="14.25" customHeight="1">
      <c r="A68" s="282" t="s">
        <v>2172</v>
      </c>
      <c r="B68" s="301" t="s">
        <v>2173</v>
      </c>
      <c r="C68" s="282" t="s">
        <v>739</v>
      </c>
      <c r="D68" s="282" t="str">
        <f t="array" ref="D68">IFERROR(INDEX(Companies!$B$5:$B$74,MATCH($C68,Companies!$A$5:$A$74,0)),"Unknown ID")</f>
        <v>Bea Mountain Mining Corporation (BMMC)</v>
      </c>
      <c r="E68" s="282" t="str">
        <f>'SRC BMMC Log'!A67</f>
        <v>aKshop 160</v>
      </c>
      <c r="F68" s="282" t="s">
        <v>530</v>
      </c>
      <c r="G68" s="316">
        <f>'SRC BMMC Log'!B67</f>
        <v>123850</v>
      </c>
      <c r="H68" s="282" t="s">
        <v>1225</v>
      </c>
      <c r="I68" s="317">
        <f t="shared" si="1"/>
        <v>123850</v>
      </c>
      <c r="J68" s="318">
        <f t="shared" si="2"/>
        <v>123.85</v>
      </c>
      <c r="K68" s="282" t="str">
        <f>'SRC BMMC Log'!D67</f>
        <v>BL 270152046</v>
      </c>
      <c r="L68" s="282" t="s">
        <v>2176</v>
      </c>
      <c r="M68" s="300">
        <f>'SRC BMMC Log'!C67</f>
        <v>46197</v>
      </c>
      <c r="N68" s="282"/>
      <c r="O68" s="282" t="s">
        <v>2177</v>
      </c>
      <c r="P68" s="282"/>
      <c r="Q68" s="301" t="str">
        <f t="array" ref="Q68">IFERROR(INDEX('Bills &amp; Invoices'!$B$5:$B$32,MATCH("*"&amp;$B68&amp;"*",'Bills &amp; Invoices'!$V$5:$V$32,0)),"")</f>
        <v/>
      </c>
      <c r="R68" s="26"/>
      <c r="S68" s="26"/>
      <c r="T68" s="26"/>
      <c r="U68" s="26"/>
      <c r="V68" s="26"/>
      <c r="W68" s="26"/>
      <c r="X68" s="26"/>
      <c r="Y68" s="26"/>
      <c r="Z68" s="26"/>
      <c r="AA68" s="26"/>
      <c r="AB68" s="26"/>
      <c r="AC68" s="26"/>
    </row>
    <row r="69" ht="14.25" customHeight="1">
      <c r="A69" s="282" t="s">
        <v>2180</v>
      </c>
      <c r="B69" s="301" t="s">
        <v>2181</v>
      </c>
      <c r="C69" s="282" t="s">
        <v>739</v>
      </c>
      <c r="D69" s="282" t="str">
        <f t="array" ref="D69">IFERROR(INDEX(Companies!$B$5:$B$74,MATCH($C69,Companies!$A$5:$A$74,0)),"Unknown ID")</f>
        <v>Bea Mountain Mining Corporation (BMMC)</v>
      </c>
      <c r="E69" s="282" t="str">
        <f>'SRC BMMC Log'!A68</f>
        <v>SMBS</v>
      </c>
      <c r="F69" s="282" t="s">
        <v>531</v>
      </c>
      <c r="G69" s="316">
        <f>'SRC BMMC Log'!B68</f>
        <v>197760</v>
      </c>
      <c r="H69" s="282" t="s">
        <v>1225</v>
      </c>
      <c r="I69" s="317">
        <f t="shared" si="1"/>
        <v>197760</v>
      </c>
      <c r="J69" s="318">
        <f t="shared" si="2"/>
        <v>197.76</v>
      </c>
      <c r="K69" s="282" t="str">
        <f>'SRC BMMC Log'!D68</f>
        <v>BL 270298306</v>
      </c>
      <c r="L69" s="282" t="s">
        <v>2176</v>
      </c>
      <c r="M69" s="300">
        <f>'SRC BMMC Log'!C68</f>
        <v>46197</v>
      </c>
      <c r="N69" s="282"/>
      <c r="O69" s="282" t="s">
        <v>2183</v>
      </c>
      <c r="P69" s="282"/>
      <c r="Q69" s="301" t="str">
        <f t="array" ref="Q69">IFERROR(INDEX('Bills &amp; Invoices'!$B$5:$B$32,MATCH("*"&amp;$B69&amp;"*",'Bills &amp; Invoices'!$V$5:$V$32,0)),"")</f>
        <v/>
      </c>
      <c r="R69" s="26"/>
      <c r="S69" s="26"/>
      <c r="T69" s="26"/>
      <c r="U69" s="26"/>
      <c r="V69" s="26"/>
      <c r="W69" s="26"/>
      <c r="X69" s="26"/>
      <c r="Y69" s="26"/>
      <c r="Z69" s="26"/>
      <c r="AA69" s="26"/>
      <c r="AB69" s="26"/>
      <c r="AC69" s="26"/>
    </row>
    <row r="70" ht="14.25" customHeight="1">
      <c r="A70" s="282" t="s">
        <v>2185</v>
      </c>
      <c r="B70" s="301" t="s">
        <v>2186</v>
      </c>
      <c r="C70" s="282" t="s">
        <v>739</v>
      </c>
      <c r="D70" s="282" t="str">
        <f t="array" ref="D70">IFERROR(INDEX(Companies!$B$5:$B$74,MATCH($C70,Companies!$A$5:$A$74,0)),"Unknown ID")</f>
        <v>Bea Mountain Mining Corporation (BMMC)</v>
      </c>
      <c r="E70" s="282" t="str">
        <f>'SRC BMMC Log'!A69</f>
        <v>Ferric Chloride</v>
      </c>
      <c r="F70" s="282" t="s">
        <v>527</v>
      </c>
      <c r="G70" s="316">
        <f>'SRC BMMC Log'!B69</f>
        <v>353340</v>
      </c>
      <c r="H70" s="282" t="s">
        <v>1225</v>
      </c>
      <c r="I70" s="317">
        <f t="shared" si="1"/>
        <v>353340</v>
      </c>
      <c r="J70" s="318">
        <f t="shared" si="2"/>
        <v>353.34</v>
      </c>
      <c r="K70" s="282" t="str">
        <f>'SRC BMMC Log'!D69</f>
        <v>BL MEDUXW099931</v>
      </c>
      <c r="L70" s="282"/>
      <c r="M70" s="300">
        <f>'SRC BMMC Log'!C69</f>
        <v>46206</v>
      </c>
      <c r="N70" s="282"/>
      <c r="O70" s="282" t="s">
        <v>2189</v>
      </c>
      <c r="P70" s="282"/>
      <c r="Q70" s="301" t="str">
        <f t="array" ref="Q70">IFERROR(INDEX('Bills &amp; Invoices'!$B$5:$B$32,MATCH("*"&amp;$B70&amp;"*",'Bills &amp; Invoices'!$V$5:$V$32,0)),"")</f>
        <v/>
      </c>
      <c r="R70" s="26"/>
      <c r="S70" s="26"/>
      <c r="T70" s="26"/>
      <c r="U70" s="26"/>
      <c r="V70" s="26"/>
      <c r="W70" s="26"/>
      <c r="X70" s="26"/>
      <c r="Y70" s="26"/>
      <c r="Z70" s="26"/>
      <c r="AA70" s="26"/>
      <c r="AB70" s="26"/>
      <c r="AC70" s="26"/>
    </row>
    <row r="71" ht="14.25" customHeight="1">
      <c r="A71" s="282" t="s">
        <v>2190</v>
      </c>
      <c r="B71" s="301" t="s">
        <v>2191</v>
      </c>
      <c r="C71" s="282" t="s">
        <v>739</v>
      </c>
      <c r="D71" s="282" t="str">
        <f t="array" ref="D71">IFERROR(INDEX(Companies!$B$5:$B$74,MATCH($C71,Companies!$A$5:$A$74,0)),"Unknown ID")</f>
        <v>Bea Mountain Mining Corporation (BMMC)</v>
      </c>
      <c r="E71" s="282" t="str">
        <f>'SRC BMMC Log'!A70</f>
        <v>Ferric Chloride</v>
      </c>
      <c r="F71" s="282" t="s">
        <v>527</v>
      </c>
      <c r="G71" s="316">
        <f>'SRC BMMC Log'!B70</f>
        <v>434880</v>
      </c>
      <c r="H71" s="282" t="s">
        <v>1225</v>
      </c>
      <c r="I71" s="317">
        <f t="shared" si="1"/>
        <v>434880</v>
      </c>
      <c r="J71" s="318">
        <f t="shared" si="2"/>
        <v>434.88</v>
      </c>
      <c r="K71" s="282" t="str">
        <f>'SRC BMMC Log'!D70</f>
        <v>BL MEDUXW193148</v>
      </c>
      <c r="L71" s="282"/>
      <c r="M71" s="300"/>
      <c r="N71" s="282" t="s">
        <v>2008</v>
      </c>
      <c r="O71" s="282" t="s">
        <v>2195</v>
      </c>
      <c r="P71" s="282"/>
      <c r="Q71" s="301" t="str">
        <f t="array" ref="Q71">IFERROR(INDEX('Bills &amp; Invoices'!$B$5:$B$32,MATCH("*"&amp;$B71&amp;"*",'Bills &amp; Invoices'!$V$5:$V$32,0)),"")</f>
        <v/>
      </c>
      <c r="R71" s="26"/>
      <c r="S71" s="26"/>
      <c r="T71" s="26"/>
      <c r="U71" s="26"/>
      <c r="V71" s="26"/>
      <c r="W71" s="26"/>
      <c r="X71" s="26"/>
      <c r="Y71" s="26"/>
      <c r="Z71" s="26"/>
      <c r="AA71" s="26"/>
      <c r="AB71" s="26"/>
      <c r="AC71" s="26"/>
    </row>
    <row r="72" ht="14.25" customHeight="1">
      <c r="A72" s="282" t="s">
        <v>2196</v>
      </c>
      <c r="B72" s="301" t="s">
        <v>2197</v>
      </c>
      <c r="C72" s="282" t="s">
        <v>739</v>
      </c>
      <c r="D72" s="282" t="str">
        <f t="array" ref="D72">IFERROR(INDEX(Companies!$B$5:$B$74,MATCH($C72,Companies!$A$5:$A$74,0)),"Unknown ID")</f>
        <v>Bea Mountain Mining Corporation (BMMC)</v>
      </c>
      <c r="E72" s="282" t="str">
        <f>'SRC BMMC Log'!A71</f>
        <v>Flammable Liquid</v>
      </c>
      <c r="F72" s="282" t="s">
        <v>591</v>
      </c>
      <c r="G72" s="316">
        <f>'SRC BMMC Log'!B71</f>
        <v>875</v>
      </c>
      <c r="H72" s="282" t="s">
        <v>1225</v>
      </c>
      <c r="I72" s="317">
        <f t="shared" si="1"/>
        <v>875</v>
      </c>
      <c r="J72" s="318">
        <f t="shared" si="2"/>
        <v>0.875</v>
      </c>
      <c r="K72" s="282" t="str">
        <f>'SRC BMMC Log'!D71</f>
        <v>BL 270320487</v>
      </c>
      <c r="L72" s="282"/>
      <c r="M72" s="300"/>
      <c r="N72" s="282" t="s">
        <v>2008</v>
      </c>
      <c r="O72" s="282" t="s">
        <v>2200</v>
      </c>
      <c r="P72" s="282"/>
      <c r="Q72" s="301" t="str">
        <f t="array" ref="Q72">IFERROR(INDEX('Bills &amp; Invoices'!$B$5:$B$32,MATCH("*"&amp;$B72&amp;"*",'Bills &amp; Invoices'!$V$5:$V$32,0)),"")</f>
        <v/>
      </c>
      <c r="R72" s="26"/>
      <c r="S72" s="26"/>
      <c r="T72" s="26"/>
      <c r="U72" s="26"/>
      <c r="V72" s="26"/>
      <c r="W72" s="26"/>
      <c r="X72" s="26"/>
      <c r="Y72" s="26"/>
      <c r="Z72" s="26"/>
      <c r="AA72" s="26"/>
      <c r="AB72" s="26"/>
      <c r="AC72" s="26"/>
    </row>
    <row r="73" ht="14.25" customHeight="1">
      <c r="A73" s="282" t="s">
        <v>2201</v>
      </c>
      <c r="B73" s="301" t="s">
        <v>2202</v>
      </c>
      <c r="C73" s="282" t="s">
        <v>739</v>
      </c>
      <c r="D73" s="282" t="str">
        <f t="array" ref="D73">IFERROR(INDEX(Companies!$B$5:$B$74,MATCH($C73,Companies!$A$5:$A$74,0)),"Unknown ID")</f>
        <v>Bea Mountain Mining Corporation (BMMC)</v>
      </c>
      <c r="E73" s="282" t="str">
        <f>'SRC BMMC Log'!A72</f>
        <v>Flammble Liquid</v>
      </c>
      <c r="F73" s="282" t="s">
        <v>591</v>
      </c>
      <c r="G73" s="316">
        <f>'SRC BMMC Log'!B72</f>
        <v>875</v>
      </c>
      <c r="H73" s="282" t="s">
        <v>1225</v>
      </c>
      <c r="I73" s="317">
        <f t="shared" si="1"/>
        <v>875</v>
      </c>
      <c r="J73" s="318">
        <f t="shared" si="2"/>
        <v>0.875</v>
      </c>
      <c r="K73" s="282" t="str">
        <f>'SRC BMMC Log'!D72</f>
        <v>BL 271917135</v>
      </c>
      <c r="L73" s="282"/>
      <c r="M73" s="300">
        <f>'SRC BMMC Log'!C72</f>
        <v>46206</v>
      </c>
      <c r="N73" s="282"/>
      <c r="O73" s="282" t="s">
        <v>2206</v>
      </c>
      <c r="P73" s="282"/>
      <c r="Q73" s="301" t="str">
        <f t="array" ref="Q73">IFERROR(INDEX('Bills &amp; Invoices'!$B$5:$B$32,MATCH("*"&amp;$B73&amp;"*",'Bills &amp; Invoices'!$V$5:$V$32,0)),"")</f>
        <v/>
      </c>
      <c r="R73" s="26"/>
      <c r="S73" s="26"/>
      <c r="T73" s="26"/>
      <c r="U73" s="26"/>
      <c r="V73" s="26"/>
      <c r="W73" s="26"/>
      <c r="X73" s="26"/>
      <c r="Y73" s="26"/>
      <c r="Z73" s="26"/>
      <c r="AA73" s="26"/>
      <c r="AB73" s="26"/>
      <c r="AC73" s="26"/>
    </row>
    <row r="74" ht="14.25" customHeight="1">
      <c r="A74" s="282" t="s">
        <v>2209</v>
      </c>
      <c r="B74" s="301" t="s">
        <v>2210</v>
      </c>
      <c r="C74" s="282" t="s">
        <v>739</v>
      </c>
      <c r="D74" s="282" t="str">
        <f t="array" ref="D74">IFERROR(INDEX(Companies!$B$5:$B$74,MATCH($C74,Companies!$A$5:$A$74,0)),"Unknown ID")</f>
        <v>Bea Mountain Mining Corporation (BMMC)</v>
      </c>
      <c r="E74" s="282" t="str">
        <f>'SRC BMMC Log'!A73</f>
        <v>Sodium Cyanide Solid</v>
      </c>
      <c r="F74" s="282" t="s">
        <v>529</v>
      </c>
      <c r="G74" s="316">
        <f>'SRC BMMC Log'!B73</f>
        <v>592500</v>
      </c>
      <c r="H74" s="282" t="s">
        <v>1225</v>
      </c>
      <c r="I74" s="317">
        <f t="shared" si="1"/>
        <v>592500</v>
      </c>
      <c r="J74" s="318">
        <f t="shared" si="2"/>
        <v>592.5</v>
      </c>
      <c r="K74" s="282" t="str">
        <f>'SRC BMMC Log'!D73</f>
        <v>BL QGD2932233</v>
      </c>
      <c r="L74" s="282"/>
      <c r="M74" s="300"/>
      <c r="N74" s="282" t="s">
        <v>2008</v>
      </c>
      <c r="O74" s="282" t="s">
        <v>2212</v>
      </c>
      <c r="P74" s="282"/>
      <c r="Q74" s="301" t="str">
        <f t="array" ref="Q74">IFERROR(INDEX('Bills &amp; Invoices'!$B$5:$B$32,MATCH("*"&amp;$B74&amp;"*",'Bills &amp; Invoices'!$V$5:$V$32,0)),"")</f>
        <v/>
      </c>
      <c r="R74" s="26"/>
      <c r="S74" s="26"/>
      <c r="T74" s="26"/>
      <c r="U74" s="26"/>
      <c r="V74" s="26"/>
      <c r="W74" s="26"/>
      <c r="X74" s="26"/>
      <c r="Y74" s="26"/>
      <c r="Z74" s="26"/>
      <c r="AA74" s="26"/>
      <c r="AB74" s="26"/>
      <c r="AC74" s="26"/>
    </row>
    <row r="75" ht="14.25" customHeight="1">
      <c r="A75" s="282" t="s">
        <v>2213</v>
      </c>
      <c r="B75" s="301" t="s">
        <v>2214</v>
      </c>
      <c r="C75" s="282" t="s">
        <v>739</v>
      </c>
      <c r="D75" s="282" t="str">
        <f t="array" ref="D75">IFERROR(INDEX(Companies!$B$5:$B$74,MATCH($C75,Companies!$A$5:$A$74,0)),"Unknown ID")</f>
        <v>Bea Mountain Mining Corporation (BMMC)</v>
      </c>
      <c r="E75" s="282" t="str">
        <f>'SRC BMMC Log'!A74</f>
        <v>Sodium Cyanide Solid</v>
      </c>
      <c r="F75" s="282" t="s">
        <v>529</v>
      </c>
      <c r="G75" s="316">
        <f>'SRC BMMC Log'!B74</f>
        <v>592500</v>
      </c>
      <c r="H75" s="282" t="s">
        <v>1225</v>
      </c>
      <c r="I75" s="317">
        <f t="shared" si="1"/>
        <v>592500</v>
      </c>
      <c r="J75" s="318">
        <f t="shared" si="2"/>
        <v>592.5</v>
      </c>
      <c r="K75" s="282" t="str">
        <f>'SRC BMMC Log'!D74</f>
        <v>BL QGD2907380</v>
      </c>
      <c r="L75" s="282"/>
      <c r="M75" s="300"/>
      <c r="N75" s="282" t="s">
        <v>2008</v>
      </c>
      <c r="O75" s="282" t="s">
        <v>2215</v>
      </c>
      <c r="P75" s="282"/>
      <c r="Q75" s="301" t="str">
        <f t="array" ref="Q75">IFERROR(INDEX('Bills &amp; Invoices'!$B$5:$B$32,MATCH("*"&amp;$B75&amp;"*",'Bills &amp; Invoices'!$V$5:$V$32,0)),"")</f>
        <v/>
      </c>
      <c r="R75" s="26"/>
      <c r="S75" s="26"/>
      <c r="T75" s="26"/>
      <c r="U75" s="26"/>
      <c r="V75" s="26"/>
      <c r="W75" s="26"/>
      <c r="X75" s="26"/>
      <c r="Y75" s="26"/>
      <c r="Z75" s="26"/>
      <c r="AA75" s="26"/>
      <c r="AB75" s="26"/>
      <c r="AC75" s="26"/>
    </row>
    <row r="76" ht="14.25" customHeight="1">
      <c r="A76" s="282" t="s">
        <v>2217</v>
      </c>
      <c r="B76" s="301" t="s">
        <v>2218</v>
      </c>
      <c r="C76" s="282" t="s">
        <v>739</v>
      </c>
      <c r="D76" s="282" t="str">
        <f t="array" ref="D76">IFERROR(INDEX(Companies!$B$5:$B$74,MATCH($C76,Companies!$A$5:$A$74,0)),"Unknown ID")</f>
        <v>Bea Mountain Mining Corporation (BMMC)</v>
      </c>
      <c r="E76" s="282" t="str">
        <f>'SRC BMMC Log'!A75</f>
        <v>Sodium Cyanide Solid</v>
      </c>
      <c r="F76" s="282" t="s">
        <v>529</v>
      </c>
      <c r="G76" s="316">
        <f>'SRC BMMC Log'!B75</f>
        <v>592500</v>
      </c>
      <c r="H76" s="282" t="s">
        <v>1225</v>
      </c>
      <c r="I76" s="317">
        <f t="shared" si="1"/>
        <v>592500</v>
      </c>
      <c r="J76" s="318">
        <f t="shared" si="2"/>
        <v>592.5</v>
      </c>
      <c r="K76" s="282" t="str">
        <f>'SRC BMMC Log'!D75</f>
        <v>BL QGD2896367</v>
      </c>
      <c r="L76" s="282"/>
      <c r="M76" s="300"/>
      <c r="N76" s="282" t="s">
        <v>2008</v>
      </c>
      <c r="O76" s="282" t="s">
        <v>2219</v>
      </c>
      <c r="P76" s="282"/>
      <c r="Q76" s="301" t="str">
        <f t="array" ref="Q76">IFERROR(INDEX('Bills &amp; Invoices'!$B$5:$B$32,MATCH("*"&amp;$B76&amp;"*",'Bills &amp; Invoices'!$V$5:$V$32,0)),"")</f>
        <v/>
      </c>
      <c r="R76" s="26"/>
      <c r="S76" s="26"/>
      <c r="T76" s="26"/>
      <c r="U76" s="26"/>
      <c r="V76" s="26"/>
      <c r="W76" s="26"/>
      <c r="X76" s="26"/>
      <c r="Y76" s="26"/>
      <c r="Z76" s="26"/>
      <c r="AA76" s="26"/>
      <c r="AB76" s="26"/>
      <c r="AC76" s="26"/>
    </row>
    <row r="77" ht="14.25" customHeight="1">
      <c r="A77" s="282" t="s">
        <v>2223</v>
      </c>
      <c r="B77" s="301" t="s">
        <v>2224</v>
      </c>
      <c r="C77" s="282" t="s">
        <v>739</v>
      </c>
      <c r="D77" s="282" t="str">
        <f t="array" ref="D77">IFERROR(INDEX(Companies!$B$5:$B$74,MATCH($C77,Companies!$A$5:$A$74,0)),"Unknown ID")</f>
        <v>Bea Mountain Mining Corporation (BMMC)</v>
      </c>
      <c r="E77" s="282" t="str">
        <f>'SRC BMMC Log'!A76</f>
        <v>Aerosols </v>
      </c>
      <c r="F77" s="282" t="s">
        <v>599</v>
      </c>
      <c r="G77" s="316">
        <f>'SRC BMMC Log'!B76</f>
        <v>10</v>
      </c>
      <c r="H77" s="282" t="s">
        <v>1225</v>
      </c>
      <c r="I77" s="317">
        <f t="shared" si="1"/>
        <v>10</v>
      </c>
      <c r="J77" s="318">
        <f t="shared" si="2"/>
        <v>0.01</v>
      </c>
      <c r="K77" s="282" t="str">
        <f>'SRC BMMC Log'!D76</f>
        <v>BL 270474126</v>
      </c>
      <c r="L77" s="282"/>
      <c r="M77" s="300"/>
      <c r="N77" s="282" t="s">
        <v>2008</v>
      </c>
      <c r="O77" s="282" t="s">
        <v>2226</v>
      </c>
      <c r="P77" s="282"/>
      <c r="Q77" s="301" t="str">
        <f t="array" ref="Q77">IFERROR(INDEX('Bills &amp; Invoices'!$B$5:$B$32,MATCH("*"&amp;$B77&amp;"*",'Bills &amp; Invoices'!$V$5:$V$32,0)),"")</f>
        <v/>
      </c>
      <c r="R77" s="26"/>
      <c r="S77" s="26"/>
      <c r="T77" s="26"/>
      <c r="U77" s="26"/>
      <c r="V77" s="26"/>
      <c r="W77" s="26"/>
      <c r="X77" s="26"/>
      <c r="Y77" s="26"/>
      <c r="Z77" s="26"/>
      <c r="AA77" s="26"/>
      <c r="AB77" s="26"/>
      <c r="AC77" s="26"/>
    </row>
    <row r="78" ht="14.25" customHeight="1">
      <c r="A78" s="282" t="s">
        <v>2228</v>
      </c>
      <c r="B78" s="301" t="s">
        <v>2229</v>
      </c>
      <c r="C78" s="282" t="s">
        <v>739</v>
      </c>
      <c r="D78" s="282" t="str">
        <f t="array" ref="D78">IFERROR(INDEX(Companies!$B$5:$B$74,MATCH($C78,Companies!$A$5:$A$74,0)),"Unknown ID")</f>
        <v>Bea Mountain Mining Corporation (BMMC)</v>
      </c>
      <c r="E78" s="282" t="str">
        <f>'SRC BMMC Log'!A77</f>
        <v>Oxygen Compressed</v>
      </c>
      <c r="F78" s="282" t="s">
        <v>600</v>
      </c>
      <c r="G78" s="316">
        <f>'SRC BMMC Log'!B77</f>
        <v>90</v>
      </c>
      <c r="H78" s="282" t="s">
        <v>1225</v>
      </c>
      <c r="I78" s="317">
        <f t="shared" si="1"/>
        <v>90</v>
      </c>
      <c r="J78" s="318">
        <f t="shared" si="2"/>
        <v>0.09</v>
      </c>
      <c r="K78" s="282" t="str">
        <f>'SRC BMMC Log'!D77</f>
        <v>BL 265924106</v>
      </c>
      <c r="L78" s="282"/>
      <c r="M78" s="300"/>
      <c r="N78" s="282" t="s">
        <v>2008</v>
      </c>
      <c r="O78" s="282" t="s">
        <v>2238</v>
      </c>
      <c r="P78" s="282"/>
      <c r="Q78" s="301" t="str">
        <f t="array" ref="Q78">IFERROR(INDEX('Bills &amp; Invoices'!$B$5:$B$32,MATCH("*"&amp;$B78&amp;"*",'Bills &amp; Invoices'!$V$5:$V$32,0)),"")</f>
        <v/>
      </c>
      <c r="R78" s="26"/>
      <c r="S78" s="26"/>
      <c r="T78" s="26"/>
      <c r="U78" s="26"/>
      <c r="V78" s="26"/>
      <c r="W78" s="26"/>
      <c r="X78" s="26"/>
      <c r="Y78" s="26"/>
      <c r="Z78" s="26"/>
      <c r="AA78" s="26"/>
      <c r="AB78" s="26"/>
      <c r="AC78" s="26"/>
    </row>
    <row r="79" ht="14.25" customHeight="1">
      <c r="A79" s="282" t="s">
        <v>2240</v>
      </c>
      <c r="B79" s="301" t="s">
        <v>2241</v>
      </c>
      <c r="C79" s="282" t="s">
        <v>739</v>
      </c>
      <c r="D79" s="282" t="str">
        <f t="array" ref="D79">IFERROR(INDEX(Companies!$B$5:$B$74,MATCH($C79,Companies!$A$5:$A$74,0)),"Unknown ID")</f>
        <v>Bea Mountain Mining Corporation (BMMC)</v>
      </c>
      <c r="E79" s="282" t="str">
        <f>'SRC BMMC Log'!A78</f>
        <v>Oxygen Compressed</v>
      </c>
      <c r="F79" s="282" t="s">
        <v>600</v>
      </c>
      <c r="G79" s="316">
        <f>'SRC BMMC Log'!B78</f>
        <v>90</v>
      </c>
      <c r="H79" s="282" t="s">
        <v>1225</v>
      </c>
      <c r="I79" s="317">
        <f t="shared" si="1"/>
        <v>90</v>
      </c>
      <c r="J79" s="318">
        <f t="shared" si="2"/>
        <v>0.09</v>
      </c>
      <c r="K79" s="282" t="str">
        <f>'SRC BMMC Log'!D78</f>
        <v>BL 269185896</v>
      </c>
      <c r="L79" s="282"/>
      <c r="M79" s="300"/>
      <c r="N79" s="282" t="s">
        <v>2008</v>
      </c>
      <c r="O79" s="282" t="s">
        <v>2247</v>
      </c>
      <c r="P79" s="282"/>
      <c r="Q79" s="301" t="str">
        <f t="array" ref="Q79">IFERROR(INDEX('Bills &amp; Invoices'!$B$5:$B$32,MATCH("*"&amp;$B79&amp;"*",'Bills &amp; Invoices'!$V$5:$V$32,0)),"")</f>
        <v/>
      </c>
      <c r="R79" s="26"/>
      <c r="S79" s="26"/>
      <c r="T79" s="26"/>
      <c r="U79" s="26"/>
      <c r="V79" s="26"/>
      <c r="W79" s="26"/>
      <c r="X79" s="26"/>
      <c r="Y79" s="26"/>
      <c r="Z79" s="26"/>
      <c r="AA79" s="26"/>
      <c r="AB79" s="26"/>
      <c r="AC79" s="26"/>
    </row>
    <row r="80" ht="14.25" customHeight="1">
      <c r="A80" s="282" t="s">
        <v>2248</v>
      </c>
      <c r="B80" s="301" t="s">
        <v>2249</v>
      </c>
      <c r="C80" s="282" t="s">
        <v>739</v>
      </c>
      <c r="D80" s="282" t="str">
        <f t="array" ref="D80">IFERROR(INDEX(Companies!$B$5:$B$74,MATCH($C80,Companies!$A$5:$A$74,0)),"Unknown ID")</f>
        <v>Bea Mountain Mining Corporation (BMMC)</v>
      </c>
      <c r="E80" s="282" t="str">
        <f>'SRC BMMC Log'!A79</f>
        <v>Fourthane Brown Line F-1415</v>
      </c>
      <c r="F80" s="282" t="s">
        <v>536</v>
      </c>
      <c r="G80" s="316">
        <f>'SRC BMMC Log'!B79</f>
        <v>400</v>
      </c>
      <c r="H80" s="282" t="s">
        <v>1225</v>
      </c>
      <c r="I80" s="317">
        <f t="shared" si="1"/>
        <v>400</v>
      </c>
      <c r="J80" s="318">
        <f t="shared" si="2"/>
        <v>0.4</v>
      </c>
      <c r="K80" s="282" t="str">
        <f>'SRC BMMC Log'!D79</f>
        <v>BL 267462374</v>
      </c>
      <c r="L80" s="282" t="s">
        <v>2252</v>
      </c>
      <c r="M80" s="300">
        <v>46155.0</v>
      </c>
      <c r="N80" s="282" t="s">
        <v>2008</v>
      </c>
      <c r="O80" s="282" t="s">
        <v>2253</v>
      </c>
      <c r="P80" s="282"/>
      <c r="Q80" s="301" t="str">
        <f t="array" ref="Q80">IFERROR(INDEX('Bills &amp; Invoices'!$B$5:$B$32,MATCH("*"&amp;$B80&amp;"*",'Bills &amp; Invoices'!$V$5:$V$32,0)),"")</f>
        <v/>
      </c>
      <c r="R80" s="26"/>
      <c r="S80" s="26"/>
      <c r="T80" s="26"/>
      <c r="U80" s="26"/>
      <c r="V80" s="26"/>
      <c r="W80" s="26"/>
      <c r="X80" s="26"/>
      <c r="Y80" s="26"/>
      <c r="Z80" s="26"/>
      <c r="AA80" s="26"/>
      <c r="AB80" s="26"/>
      <c r="AC80" s="26"/>
    </row>
    <row r="81" ht="14.25" customHeight="1">
      <c r="A81" s="282" t="s">
        <v>2255</v>
      </c>
      <c r="B81" s="301" t="s">
        <v>2256</v>
      </c>
      <c r="C81" s="282" t="s">
        <v>739</v>
      </c>
      <c r="D81" s="282" t="str">
        <f t="array" ref="D81">IFERROR(INDEX(Companies!$B$5:$B$74,MATCH($C81,Companies!$A$5:$A$74,0)),"Unknown ID")</f>
        <v>Bea Mountain Mining Corporation (BMMC)</v>
      </c>
      <c r="E81" s="282" t="str">
        <f>'SRC BMMC Log'!A80</f>
        <v>Fourthane Brown Line F-1415</v>
      </c>
      <c r="F81" s="282" t="s">
        <v>536</v>
      </c>
      <c r="G81" s="316">
        <f>'SRC BMMC Log'!B80</f>
        <v>400</v>
      </c>
      <c r="H81" s="282" t="s">
        <v>1225</v>
      </c>
      <c r="I81" s="317">
        <f t="shared" si="1"/>
        <v>400</v>
      </c>
      <c r="J81" s="318">
        <f t="shared" si="2"/>
        <v>0.4</v>
      </c>
      <c r="K81" s="282" t="str">
        <f>'SRC BMMC Log'!D80</f>
        <v>BL 2694742580</v>
      </c>
      <c r="L81" s="282" t="s">
        <v>2252</v>
      </c>
      <c r="M81" s="300">
        <v>46155.0</v>
      </c>
      <c r="N81" s="282" t="s">
        <v>2008</v>
      </c>
      <c r="O81" s="282" t="s">
        <v>2257</v>
      </c>
      <c r="P81" s="282"/>
      <c r="Q81" s="301" t="str">
        <f t="array" ref="Q81">IFERROR(INDEX('Bills &amp; Invoices'!$B$5:$B$32,MATCH("*"&amp;$B81&amp;"*",'Bills &amp; Invoices'!$V$5:$V$32,0)),"")</f>
        <v/>
      </c>
      <c r="R81" s="26"/>
      <c r="S81" s="26"/>
      <c r="T81" s="26"/>
      <c r="U81" s="26"/>
      <c r="V81" s="26"/>
      <c r="W81" s="26"/>
      <c r="X81" s="26"/>
      <c r="Y81" s="26"/>
      <c r="Z81" s="26"/>
      <c r="AA81" s="26"/>
      <c r="AB81" s="26"/>
      <c r="AC81" s="26"/>
    </row>
    <row r="82" ht="14.25" customHeight="1">
      <c r="A82" s="282" t="s">
        <v>2258</v>
      </c>
      <c r="B82" s="301" t="s">
        <v>2259</v>
      </c>
      <c r="C82" s="282" t="s">
        <v>739</v>
      </c>
      <c r="D82" s="282" t="str">
        <f t="array" ref="D82">IFERROR(INDEX(Companies!$B$5:$B$74,MATCH($C82,Companies!$A$5:$A$74,0)),"Unknown ID")</f>
        <v>Bea Mountain Mining Corporation (BMMC)</v>
      </c>
      <c r="E82" s="282" t="str">
        <f>'SRC BMMC Log'!A81</f>
        <v>Spray Paint Flourescent </v>
      </c>
      <c r="F82" s="282" t="s">
        <v>536</v>
      </c>
      <c r="G82" s="316">
        <f>'SRC BMMC Log'!B81</f>
        <v>9656.8</v>
      </c>
      <c r="H82" s="282" t="s">
        <v>1225</v>
      </c>
      <c r="I82" s="317">
        <f t="shared" si="1"/>
        <v>9656.8</v>
      </c>
      <c r="J82" s="318">
        <f t="shared" si="2"/>
        <v>9.6568</v>
      </c>
      <c r="K82" s="282" t="str">
        <f>'SRC BMMC Log'!D81</f>
        <v>BL 267468423</v>
      </c>
      <c r="L82" s="282"/>
      <c r="M82" s="300">
        <f>'SRC BMMC Log'!C81</f>
        <v>46206</v>
      </c>
      <c r="N82" s="282"/>
      <c r="O82" s="282" t="s">
        <v>2260</v>
      </c>
      <c r="P82" s="282"/>
      <c r="Q82" s="301" t="str">
        <f t="array" ref="Q82">IFERROR(INDEX('Bills &amp; Invoices'!$B$5:$B$32,MATCH("*"&amp;$B82&amp;"*",'Bills &amp; Invoices'!$V$5:$V$32,0)),"")</f>
        <v/>
      </c>
      <c r="R82" s="26"/>
      <c r="S82" s="26"/>
      <c r="T82" s="26"/>
      <c r="U82" s="26"/>
      <c r="V82" s="26"/>
      <c r="W82" s="26"/>
      <c r="X82" s="26"/>
      <c r="Y82" s="26"/>
      <c r="Z82" s="26"/>
      <c r="AA82" s="26"/>
      <c r="AB82" s="26"/>
      <c r="AC82" s="26"/>
    </row>
    <row r="83" ht="14.25" customHeight="1">
      <c r="A83" s="282" t="s">
        <v>2261</v>
      </c>
      <c r="B83" s="301" t="s">
        <v>2262</v>
      </c>
      <c r="C83" s="282" t="s">
        <v>739</v>
      </c>
      <c r="D83" s="282" t="str">
        <f t="array" ref="D83">IFERROR(INDEX(Companies!$B$5:$B$74,MATCH($C83,Companies!$A$5:$A$74,0)),"Unknown ID")</f>
        <v>Bea Mountain Mining Corporation (BMMC)</v>
      </c>
      <c r="E83" s="282" t="str">
        <f>'SRC BMMC Log'!A82</f>
        <v>SMBS</v>
      </c>
      <c r="F83" s="282" t="s">
        <v>531</v>
      </c>
      <c r="G83" s="316">
        <f>'SRC BMMC Log'!B82</f>
        <v>24310</v>
      </c>
      <c r="H83" s="282" t="s">
        <v>1225</v>
      </c>
      <c r="I83" s="317">
        <f t="shared" si="1"/>
        <v>24310</v>
      </c>
      <c r="J83" s="318">
        <f t="shared" si="2"/>
        <v>24.31</v>
      </c>
      <c r="K83" s="282" t="str">
        <f>'SRC BMMC Log'!D82</f>
        <v>BL 272090070</v>
      </c>
      <c r="L83" s="282"/>
      <c r="M83" s="300"/>
      <c r="N83" s="282" t="s">
        <v>2008</v>
      </c>
      <c r="O83" s="282" t="s">
        <v>2263</v>
      </c>
      <c r="P83" s="282"/>
      <c r="Q83" s="301" t="str">
        <f t="array" ref="Q83">IFERROR(INDEX('Bills &amp; Invoices'!$B$5:$B$32,MATCH("*"&amp;$B83&amp;"*",'Bills &amp; Invoices'!$V$5:$V$32,0)),"")</f>
        <v/>
      </c>
      <c r="R83" s="26"/>
      <c r="S83" s="26"/>
      <c r="T83" s="26"/>
      <c r="U83" s="26"/>
      <c r="V83" s="26"/>
      <c r="W83" s="26"/>
      <c r="X83" s="26"/>
      <c r="Y83" s="26"/>
      <c r="Z83" s="26"/>
      <c r="AA83" s="26"/>
      <c r="AB83" s="26"/>
      <c r="AC83" s="26"/>
    </row>
    <row r="84" ht="14.25" customHeight="1">
      <c r="A84" s="282" t="s">
        <v>2264</v>
      </c>
      <c r="B84" s="301" t="s">
        <v>2265</v>
      </c>
      <c r="C84" s="282" t="s">
        <v>739</v>
      </c>
      <c r="D84" s="282" t="str">
        <f t="array" ref="D84">IFERROR(INDEX(Companies!$B$5:$B$74,MATCH($C84,Companies!$A$5:$A$74,0)),"Unknown ID")</f>
        <v>Bea Mountain Mining Corporation (BMMC)</v>
      </c>
      <c r="E84" s="282" t="str">
        <f>'SRC BMMC Log'!A83</f>
        <v>Fire Extinguishers (2 Fibre Board Boxes)</v>
      </c>
      <c r="F84" s="282" t="s">
        <v>608</v>
      </c>
      <c r="G84" s="316">
        <f>'SRC BMMC Log'!B83</f>
        <v>45</v>
      </c>
      <c r="H84" s="282" t="s">
        <v>1225</v>
      </c>
      <c r="I84" s="317">
        <f t="shared" si="1"/>
        <v>45</v>
      </c>
      <c r="J84" s="318">
        <f t="shared" si="2"/>
        <v>0.045</v>
      </c>
      <c r="K84" s="282" t="str">
        <f>'SRC BMMC Log'!D83</f>
        <v>BL 270937159</v>
      </c>
      <c r="L84" s="282"/>
      <c r="M84" s="300"/>
      <c r="N84" s="282" t="s">
        <v>2008</v>
      </c>
      <c r="O84" s="282" t="s">
        <v>2266</v>
      </c>
      <c r="P84" s="282"/>
      <c r="Q84" s="301" t="str">
        <f t="array" ref="Q84">IFERROR(INDEX('Bills &amp; Invoices'!$B$5:$B$32,MATCH("*"&amp;$B84&amp;"*",'Bills &amp; Invoices'!$V$5:$V$32,0)),"")</f>
        <v/>
      </c>
      <c r="R84" s="26"/>
      <c r="S84" s="26"/>
      <c r="T84" s="26"/>
      <c r="U84" s="26"/>
      <c r="V84" s="26"/>
      <c r="W84" s="26"/>
      <c r="X84" s="26"/>
      <c r="Y84" s="26"/>
      <c r="Z84" s="26"/>
      <c r="AA84" s="26"/>
      <c r="AB84" s="26"/>
      <c r="AC84" s="26"/>
    </row>
    <row r="85" ht="14.25" customHeight="1">
      <c r="A85" s="282" t="s">
        <v>2267</v>
      </c>
      <c r="B85" s="301" t="s">
        <v>2268</v>
      </c>
      <c r="C85" s="282" t="s">
        <v>739</v>
      </c>
      <c r="D85" s="282" t="str">
        <f t="array" ref="D85">IFERROR(INDEX(Companies!$B$5:$B$74,MATCH($C85,Companies!$A$5:$A$74,0)),"Unknown ID")</f>
        <v>Bea Mountain Mining Corporation (BMMC)</v>
      </c>
      <c r="E85" s="282" t="str">
        <f>'SRC BMMC Log'!A84</f>
        <v>Activated Carbon</v>
      </c>
      <c r="F85" s="282" t="s">
        <v>539</v>
      </c>
      <c r="G85" s="316">
        <f>'SRC BMMC Log'!B84</f>
        <v>75000</v>
      </c>
      <c r="H85" s="282" t="s">
        <v>1225</v>
      </c>
      <c r="I85" s="317">
        <f t="shared" si="1"/>
        <v>75000</v>
      </c>
      <c r="J85" s="318">
        <f t="shared" si="2"/>
        <v>75</v>
      </c>
      <c r="K85" s="282" t="str">
        <f>'SRC BMMC Log'!D84</f>
        <v>MEDUJ7559035</v>
      </c>
      <c r="L85" s="282"/>
      <c r="M85" s="300"/>
      <c r="N85" s="282" t="s">
        <v>2008</v>
      </c>
      <c r="O85" s="282" t="s">
        <v>2269</v>
      </c>
      <c r="P85" s="282"/>
      <c r="Q85" s="301" t="str">
        <f t="array" ref="Q85">IFERROR(INDEX('Bills &amp; Invoices'!$B$5:$B$32,MATCH("*"&amp;$B85&amp;"*",'Bills &amp; Invoices'!$V$5:$V$32,0)),"")</f>
        <v/>
      </c>
      <c r="R85" s="26"/>
      <c r="S85" s="26"/>
      <c r="T85" s="26"/>
      <c r="U85" s="26"/>
      <c r="V85" s="26"/>
      <c r="W85" s="26"/>
      <c r="X85" s="26"/>
      <c r="Y85" s="26"/>
      <c r="Z85" s="26"/>
      <c r="AA85" s="26"/>
      <c r="AB85" s="26"/>
      <c r="AC85" s="26"/>
    </row>
    <row r="86" ht="14.25" customHeight="1">
      <c r="A86" s="282" t="s">
        <v>2270</v>
      </c>
      <c r="B86" s="301" t="s">
        <v>2268</v>
      </c>
      <c r="C86" s="282" t="s">
        <v>739</v>
      </c>
      <c r="D86" s="282" t="str">
        <f t="array" ref="D86">IFERROR(INDEX(Companies!$B$5:$B$74,MATCH($C86,Companies!$A$5:$A$74,0)),"Unknown ID")</f>
        <v>Bea Mountain Mining Corporation (BMMC)</v>
      </c>
      <c r="E86" s="282" t="str">
        <f>'SRC BMMC Log'!A85</f>
        <v>Ferric Chloride</v>
      </c>
      <c r="F86" s="282" t="s">
        <v>527</v>
      </c>
      <c r="G86" s="316">
        <f>'SRC BMMC Log'!B85</f>
        <v>434880</v>
      </c>
      <c r="H86" s="282" t="s">
        <v>1225</v>
      </c>
      <c r="I86" s="317">
        <f t="shared" si="1"/>
        <v>434880</v>
      </c>
      <c r="J86" s="318">
        <f t="shared" si="2"/>
        <v>434.88</v>
      </c>
      <c r="K86" s="282" t="str">
        <f>'SRC BMMC Log'!D85</f>
        <v>MEDUJ7559035</v>
      </c>
      <c r="L86" s="282"/>
      <c r="M86" s="300"/>
      <c r="N86" s="282" t="s">
        <v>2008</v>
      </c>
      <c r="O86" s="282" t="s">
        <v>2271</v>
      </c>
      <c r="P86" s="282"/>
      <c r="Q86" s="301" t="str">
        <f t="array" ref="Q86">IFERROR(INDEX('Bills &amp; Invoices'!$B$5:$B$32,MATCH("*"&amp;$B86&amp;"*",'Bills &amp; Invoices'!$V$5:$V$32,0)),"")</f>
        <v/>
      </c>
      <c r="R86" s="26"/>
      <c r="S86" s="26"/>
      <c r="T86" s="26"/>
      <c r="U86" s="26"/>
      <c r="V86" s="26"/>
      <c r="W86" s="26"/>
      <c r="X86" s="26"/>
      <c r="Y86" s="26"/>
      <c r="Z86" s="26"/>
      <c r="AA86" s="26"/>
      <c r="AB86" s="26"/>
      <c r="AC86" s="26"/>
    </row>
    <row r="87" ht="14.25" customHeight="1">
      <c r="A87" s="282" t="s">
        <v>2272</v>
      </c>
      <c r="B87" s="301" t="s">
        <v>2273</v>
      </c>
      <c r="C87" s="282" t="s">
        <v>739</v>
      </c>
      <c r="D87" s="282" t="str">
        <f t="array" ref="D87">IFERROR(INDEX(Companies!$B$5:$B$74,MATCH($C87,Companies!$A$5:$A$74,0)),"Unknown ID")</f>
        <v>Bea Mountain Mining Corporation (BMMC)</v>
      </c>
      <c r="E87" s="282" t="str">
        <f>'SRC BMMC Log'!A86</f>
        <v>Caustic Soda </v>
      </c>
      <c r="F87" s="282" t="s">
        <v>538</v>
      </c>
      <c r="G87" s="316">
        <f>'SRC BMMC Log'!B86</f>
        <v>102800</v>
      </c>
      <c r="H87" s="282" t="s">
        <v>1225</v>
      </c>
      <c r="I87" s="317">
        <f t="shared" si="1"/>
        <v>102800</v>
      </c>
      <c r="J87" s="318">
        <f t="shared" si="2"/>
        <v>102.8</v>
      </c>
      <c r="K87" s="282" t="str">
        <f>'SRC BMMC Log'!D86</f>
        <v>BL 271704712</v>
      </c>
      <c r="L87" s="282"/>
      <c r="M87" s="300"/>
      <c r="N87" s="282" t="s">
        <v>2008</v>
      </c>
      <c r="O87" s="282" t="s">
        <v>2274</v>
      </c>
      <c r="P87" s="282"/>
      <c r="Q87" s="301" t="str">
        <f t="array" ref="Q87">IFERROR(INDEX('Bills &amp; Invoices'!$B$5:$B$32,MATCH("*"&amp;$B87&amp;"*",'Bills &amp; Invoices'!$V$5:$V$32,0)),"")</f>
        <v/>
      </c>
      <c r="R87" s="26"/>
      <c r="S87" s="26"/>
      <c r="T87" s="26"/>
      <c r="U87" s="26"/>
      <c r="V87" s="26"/>
      <c r="W87" s="26"/>
      <c r="X87" s="26"/>
      <c r="Y87" s="26"/>
      <c r="Z87" s="26"/>
      <c r="AA87" s="26"/>
      <c r="AB87" s="26"/>
      <c r="AC87" s="26"/>
    </row>
    <row r="88" ht="14.25" customHeight="1">
      <c r="A88" s="282" t="s">
        <v>2275</v>
      </c>
      <c r="B88" s="301" t="s">
        <v>2276</v>
      </c>
      <c r="C88" s="282" t="s">
        <v>739</v>
      </c>
      <c r="D88" s="282" t="str">
        <f t="array" ref="D88">IFERROR(INDEX(Companies!$B$5:$B$74,MATCH($C88,Companies!$A$5:$A$74,0)),"Unknown ID")</f>
        <v>Bea Mountain Mining Corporation (BMMC)</v>
      </c>
      <c r="E88" s="282" t="str">
        <f>'SRC BMMC Log'!A87</f>
        <v>SMBS</v>
      </c>
      <c r="F88" s="282" t="s">
        <v>531</v>
      </c>
      <c r="G88" s="316">
        <f>'SRC BMMC Log'!B87</f>
        <v>72720</v>
      </c>
      <c r="H88" s="282" t="s">
        <v>1225</v>
      </c>
      <c r="I88" s="317">
        <f t="shared" si="1"/>
        <v>72720</v>
      </c>
      <c r="J88" s="318">
        <f t="shared" si="2"/>
        <v>72.72</v>
      </c>
      <c r="K88" s="282" t="str">
        <f>'SRC BMMC Log'!D87</f>
        <v>BL 270871223</v>
      </c>
      <c r="L88" s="282"/>
      <c r="M88" s="300"/>
      <c r="N88" s="282" t="s">
        <v>2008</v>
      </c>
      <c r="O88" s="282" t="s">
        <v>2277</v>
      </c>
      <c r="P88" s="282"/>
      <c r="Q88" s="301" t="str">
        <f t="array" ref="Q88">IFERROR(INDEX('Bills &amp; Invoices'!$B$5:$B$32,MATCH("*"&amp;$B88&amp;"*",'Bills &amp; Invoices'!$V$5:$V$32,0)),"")</f>
        <v/>
      </c>
      <c r="R88" s="26"/>
      <c r="S88" s="26"/>
      <c r="T88" s="26"/>
      <c r="U88" s="26"/>
      <c r="V88" s="26"/>
      <c r="W88" s="26"/>
      <c r="X88" s="26"/>
      <c r="Y88" s="26"/>
      <c r="Z88" s="26"/>
      <c r="AA88" s="26"/>
      <c r="AB88" s="26"/>
      <c r="AC88" s="26"/>
    </row>
    <row r="89" ht="14.25" customHeight="1">
      <c r="A89" s="282" t="s">
        <v>2278</v>
      </c>
      <c r="B89" s="301" t="s">
        <v>2279</v>
      </c>
      <c r="C89" s="282" t="s">
        <v>739</v>
      </c>
      <c r="D89" s="282" t="str">
        <f t="array" ref="D89">IFERROR(INDEX(Companies!$B$5:$B$74,MATCH($C89,Companies!$A$5:$A$74,0)),"Unknown ID")</f>
        <v>Bea Mountain Mining Corporation (BMMC)</v>
      </c>
      <c r="E89" s="282" t="str">
        <f>'SRC BMMC Log'!A88</f>
        <v>SMBS</v>
      </c>
      <c r="F89" s="282" t="s">
        <v>531</v>
      </c>
      <c r="G89" s="316">
        <f>'SRC BMMC Log'!B88</f>
        <v>121980</v>
      </c>
      <c r="H89" s="282" t="s">
        <v>1225</v>
      </c>
      <c r="I89" s="317">
        <f t="shared" si="1"/>
        <v>121980</v>
      </c>
      <c r="J89" s="318">
        <f t="shared" si="2"/>
        <v>121.98</v>
      </c>
      <c r="K89" s="282" t="str">
        <f>'SRC BMMC Log'!D88</f>
        <v>BL 272209343</v>
      </c>
      <c r="L89" s="282"/>
      <c r="M89" s="300"/>
      <c r="N89" s="282" t="s">
        <v>2008</v>
      </c>
      <c r="O89" s="282" t="s">
        <v>2280</v>
      </c>
      <c r="P89" s="282"/>
      <c r="Q89" s="301" t="str">
        <f t="array" ref="Q89">IFERROR(INDEX('Bills &amp; Invoices'!$B$5:$B$32,MATCH("*"&amp;$B89&amp;"*",'Bills &amp; Invoices'!$V$5:$V$32,0)),"")</f>
        <v/>
      </c>
      <c r="R89" s="26"/>
      <c r="S89" s="26"/>
      <c r="T89" s="26"/>
      <c r="U89" s="26"/>
      <c r="V89" s="26"/>
      <c r="W89" s="26"/>
      <c r="X89" s="26"/>
      <c r="Y89" s="26"/>
      <c r="Z89" s="26"/>
      <c r="AA89" s="26"/>
      <c r="AB89" s="26"/>
      <c r="AC89" s="26"/>
    </row>
    <row r="90" ht="14.25" customHeight="1">
      <c r="A90" s="282" t="s">
        <v>2281</v>
      </c>
      <c r="B90" s="301" t="s">
        <v>2282</v>
      </c>
      <c r="C90" s="282" t="s">
        <v>739</v>
      </c>
      <c r="D90" s="282" t="str">
        <f t="array" ref="D90">IFERROR(INDEX(Companies!$B$5:$B$74,MATCH($C90,Companies!$A$5:$A$74,0)),"Unknown ID")</f>
        <v>Bea Mountain Mining Corporation (BMMC)</v>
      </c>
      <c r="E90" s="282" t="str">
        <f>'SRC BMMC Log'!A89</f>
        <v>Akshop 160</v>
      </c>
      <c r="F90" s="282" t="s">
        <v>530</v>
      </c>
      <c r="G90" s="316">
        <f>'SRC BMMC Log'!B89</f>
        <v>49950</v>
      </c>
      <c r="H90" s="282" t="s">
        <v>1225</v>
      </c>
      <c r="I90" s="317">
        <f t="shared" si="1"/>
        <v>49950</v>
      </c>
      <c r="J90" s="318">
        <f t="shared" si="2"/>
        <v>49.95</v>
      </c>
      <c r="K90" s="282" t="str">
        <f>'SRC BMMC Log'!D89</f>
        <v>BL 271717877</v>
      </c>
      <c r="L90" s="282"/>
      <c r="M90" s="300"/>
      <c r="N90" s="282" t="s">
        <v>2008</v>
      </c>
      <c r="O90" s="282" t="s">
        <v>2283</v>
      </c>
      <c r="P90" s="282"/>
      <c r="Q90" s="301" t="str">
        <f t="array" ref="Q90">IFERROR(INDEX('Bills &amp; Invoices'!$B$5:$B$32,MATCH("*"&amp;$B90&amp;"*",'Bills &amp; Invoices'!$V$5:$V$32,0)),"")</f>
        <v/>
      </c>
      <c r="R90" s="26"/>
      <c r="S90" s="26"/>
      <c r="T90" s="26"/>
      <c r="U90" s="26"/>
      <c r="V90" s="26"/>
      <c r="W90" s="26"/>
      <c r="X90" s="26"/>
      <c r="Y90" s="26"/>
      <c r="Z90" s="26"/>
      <c r="AA90" s="26"/>
      <c r="AB90" s="26"/>
      <c r="AC90" s="26"/>
    </row>
    <row r="91" ht="14.25" customHeight="1">
      <c r="A91" s="282" t="s">
        <v>2284</v>
      </c>
      <c r="B91" s="301" t="s">
        <v>2285</v>
      </c>
      <c r="C91" s="282" t="s">
        <v>739</v>
      </c>
      <c r="D91" s="282" t="str">
        <f t="array" ref="D91">IFERROR(INDEX(Companies!$B$5:$B$74,MATCH($C91,Companies!$A$5:$A$74,0)),"Unknown ID")</f>
        <v>Bea Mountain Mining Corporation (BMMC)</v>
      </c>
      <c r="E91" s="282" t="str">
        <f>'SRC BMMC Log'!A90</f>
        <v>8 Fibreboard Boxes</v>
      </c>
      <c r="F91" s="282" t="s">
        <v>581</v>
      </c>
      <c r="G91" s="316">
        <f>'SRC BMMC Log'!B90</f>
        <v>3819.161</v>
      </c>
      <c r="H91" s="282" t="s">
        <v>1225</v>
      </c>
      <c r="I91" s="317">
        <f t="shared" si="1"/>
        <v>3819.161</v>
      </c>
      <c r="J91" s="318">
        <f t="shared" si="2"/>
        <v>3.819161</v>
      </c>
      <c r="K91" s="282" t="str">
        <f>'SRC BMMC Log'!D90</f>
        <v>BL MEDUWO380473</v>
      </c>
      <c r="L91" s="282"/>
      <c r="M91" s="300">
        <f>'SRC BMMC Log'!C90</f>
        <v>46206</v>
      </c>
      <c r="N91" s="282"/>
      <c r="O91" s="282" t="s">
        <v>2286</v>
      </c>
      <c r="P91" s="282"/>
      <c r="Q91" s="301" t="str">
        <f t="array" ref="Q91">IFERROR(INDEX('Bills &amp; Invoices'!$B$5:$B$32,MATCH("*"&amp;$B91&amp;"*",'Bills &amp; Invoices'!$V$5:$V$32,0)),"")</f>
        <v/>
      </c>
      <c r="R91" s="26"/>
      <c r="S91" s="26"/>
      <c r="T91" s="26"/>
      <c r="U91" s="26"/>
      <c r="V91" s="26"/>
      <c r="W91" s="26"/>
      <c r="X91" s="26"/>
      <c r="Y91" s="26"/>
      <c r="Z91" s="26"/>
      <c r="AA91" s="26"/>
      <c r="AB91" s="26"/>
      <c r="AC91" s="26"/>
    </row>
    <row r="92" ht="14.25" customHeight="1">
      <c r="A92" s="282" t="s">
        <v>2287</v>
      </c>
      <c r="B92" s="301" t="s">
        <v>2288</v>
      </c>
      <c r="C92" s="282" t="s">
        <v>739</v>
      </c>
      <c r="D92" s="282" t="str">
        <f t="array" ref="D92">IFERROR(INDEX(Companies!$B$5:$B$74,MATCH($C92,Companies!$A$5:$A$74,0)),"Unknown ID")</f>
        <v>Bea Mountain Mining Corporation (BMMC)</v>
      </c>
      <c r="E92" s="282" t="str">
        <f>'SRC BMMC Log'!A91</f>
        <v>4 Packages Control Transformer</v>
      </c>
      <c r="F92" s="282" t="s">
        <v>581</v>
      </c>
      <c r="G92" s="316">
        <f>'SRC BMMC Log'!B91</f>
        <v>650</v>
      </c>
      <c r="H92" s="282" t="s">
        <v>1225</v>
      </c>
      <c r="I92" s="317">
        <f t="shared" si="1"/>
        <v>650</v>
      </c>
      <c r="J92" s="318">
        <f t="shared" si="2"/>
        <v>0.65</v>
      </c>
      <c r="K92" s="282" t="str">
        <f>'SRC BMMC Log'!D91</f>
        <v>BL 266777327</v>
      </c>
      <c r="L92" s="282"/>
      <c r="M92" s="300">
        <f>'SRC BMMC Log'!C91</f>
        <v>46212</v>
      </c>
      <c r="N92" s="282"/>
      <c r="O92" s="282" t="s">
        <v>2289</v>
      </c>
      <c r="P92" s="282"/>
      <c r="Q92" s="301" t="str">
        <f t="array" ref="Q92">IFERROR(INDEX('Bills &amp; Invoices'!$B$5:$B$32,MATCH("*"&amp;$B92&amp;"*",'Bills &amp; Invoices'!$V$5:$V$32,0)),"")</f>
        <v/>
      </c>
      <c r="R92" s="26"/>
      <c r="S92" s="26"/>
      <c r="T92" s="26"/>
      <c r="U92" s="26"/>
      <c r="V92" s="26"/>
      <c r="W92" s="26"/>
      <c r="X92" s="26"/>
      <c r="Y92" s="26"/>
      <c r="Z92" s="26"/>
      <c r="AA92" s="26"/>
      <c r="AB92" s="26"/>
      <c r="AC92" s="26"/>
    </row>
    <row r="93" ht="14.25" customHeight="1">
      <c r="A93" s="282" t="s">
        <v>2290</v>
      </c>
      <c r="B93" s="301" t="s">
        <v>2291</v>
      </c>
      <c r="C93" s="282" t="s">
        <v>739</v>
      </c>
      <c r="D93" s="282" t="str">
        <f t="array" ref="D93">IFERROR(INDEX(Companies!$B$5:$B$74,MATCH($C93,Companies!$A$5:$A$74,0)),"Unknown ID")</f>
        <v>Bea Mountain Mining Corporation (BMMC)</v>
      </c>
      <c r="E93" s="282" t="str">
        <f>'SRC BMMC Log'!A92</f>
        <v>35 Packages O-Ring, 07000B3050, Komatsu</v>
      </c>
      <c r="F93" s="282" t="s">
        <v>581</v>
      </c>
      <c r="G93" s="316">
        <f>'SRC BMMC Log'!B92</f>
        <v>6150</v>
      </c>
      <c r="H93" s="282" t="s">
        <v>1225</v>
      </c>
      <c r="I93" s="317">
        <f t="shared" si="1"/>
        <v>6150</v>
      </c>
      <c r="J93" s="318">
        <f t="shared" si="2"/>
        <v>6.15</v>
      </c>
      <c r="K93" s="282" t="str">
        <f>'SRC BMMC Log'!D92</f>
        <v>BL 269091004</v>
      </c>
      <c r="L93" s="282"/>
      <c r="M93" s="300">
        <f>'SRC BMMC Log'!C92</f>
        <v>46212</v>
      </c>
      <c r="N93" s="282"/>
      <c r="O93" s="282" t="s">
        <v>2292</v>
      </c>
      <c r="P93" s="282"/>
      <c r="Q93" s="301" t="str">
        <f t="array" ref="Q93">IFERROR(INDEX('Bills &amp; Invoices'!$B$5:$B$32,MATCH("*"&amp;$B93&amp;"*",'Bills &amp; Invoices'!$V$5:$V$32,0)),"")</f>
        <v/>
      </c>
      <c r="R93" s="26"/>
      <c r="S93" s="26"/>
      <c r="T93" s="26"/>
      <c r="U93" s="26"/>
      <c r="V93" s="26"/>
      <c r="W93" s="26"/>
      <c r="X93" s="26"/>
      <c r="Y93" s="26"/>
      <c r="Z93" s="26"/>
      <c r="AA93" s="26"/>
      <c r="AB93" s="26"/>
      <c r="AC93" s="26"/>
    </row>
    <row r="94" ht="14.25" customHeight="1">
      <c r="A94" s="282" t="s">
        <v>2293</v>
      </c>
      <c r="B94" s="301" t="s">
        <v>2294</v>
      </c>
      <c r="C94" s="282" t="s">
        <v>739</v>
      </c>
      <c r="D94" s="282" t="str">
        <f t="array" ref="D94">IFERROR(INDEX(Companies!$B$5:$B$74,MATCH($C94,Companies!$A$5:$A$74,0)),"Unknown ID")</f>
        <v>Bea Mountain Mining Corporation (BMMC)</v>
      </c>
      <c r="E94" s="282" t="str">
        <f>'SRC BMMC Log'!A93</f>
        <v>Explosives  (18X40Ft+5x20Ft Cont.)</v>
      </c>
      <c r="F94" s="282" t="s">
        <v>528</v>
      </c>
      <c r="G94" s="316">
        <f>'SRC BMMC Log'!B93</f>
        <v>322900</v>
      </c>
      <c r="H94" s="282" t="s">
        <v>1225</v>
      </c>
      <c r="I94" s="317">
        <f t="shared" si="1"/>
        <v>322900</v>
      </c>
      <c r="J94" s="318">
        <f t="shared" si="2"/>
        <v>322.9</v>
      </c>
      <c r="K94" s="282" t="str">
        <f>'SRC BMMC Log'!D93</f>
        <v>BL DEMON20</v>
      </c>
      <c r="L94" s="282"/>
      <c r="M94" s="300">
        <f>'SRC BMMC Log'!C93</f>
        <v>46216</v>
      </c>
      <c r="N94" s="282"/>
      <c r="O94" s="282" t="s">
        <v>2295</v>
      </c>
      <c r="P94" s="282"/>
      <c r="Q94" s="301" t="str">
        <f t="array" ref="Q94">IFERROR(INDEX('Bills &amp; Invoices'!$B$5:$B$32,MATCH("*"&amp;$B94&amp;"*",'Bills &amp; Invoices'!$V$5:$V$32,0)),"")</f>
        <v/>
      </c>
      <c r="R94" s="26"/>
      <c r="S94" s="26"/>
      <c r="T94" s="26"/>
      <c r="U94" s="26"/>
      <c r="V94" s="26"/>
      <c r="W94" s="26"/>
      <c r="X94" s="26"/>
      <c r="Y94" s="26"/>
      <c r="Z94" s="26"/>
      <c r="AA94" s="26"/>
      <c r="AB94" s="26"/>
      <c r="AC94" s="26"/>
    </row>
    <row r="95" ht="14.25" customHeight="1">
      <c r="A95" s="282" t="s">
        <v>2296</v>
      </c>
      <c r="B95" s="301" t="s">
        <v>2297</v>
      </c>
      <c r="C95" s="282" t="s">
        <v>739</v>
      </c>
      <c r="D95" s="282" t="str">
        <f t="array" ref="D95">IFERROR(INDEX(Companies!$B$5:$B$74,MATCH($C95,Companies!$A$5:$A$74,0)),"Unknown ID")</f>
        <v>Bea Mountain Mining Corporation (BMMC)</v>
      </c>
      <c r="E95" s="282" t="str">
        <f>'SRC BMMC Log'!A94</f>
        <v>Explosives  </v>
      </c>
      <c r="F95" s="282" t="s">
        <v>528</v>
      </c>
      <c r="G95" s="316">
        <f>'SRC BMMC Log'!B94</f>
        <v>205220</v>
      </c>
      <c r="H95" s="282" t="s">
        <v>1225</v>
      </c>
      <c r="I95" s="317">
        <f t="shared" si="1"/>
        <v>205220</v>
      </c>
      <c r="J95" s="318">
        <f t="shared" si="2"/>
        <v>205.22</v>
      </c>
      <c r="K95" s="282" t="str">
        <f>'SRC BMMC Log'!D94</f>
        <v>BL DEMON21</v>
      </c>
      <c r="L95" s="282"/>
      <c r="M95" s="300">
        <f>'SRC BMMC Log'!C94</f>
        <v>46216</v>
      </c>
      <c r="N95" s="282"/>
      <c r="O95" s="282" t="s">
        <v>2298</v>
      </c>
      <c r="P95" s="282"/>
      <c r="Q95" s="301" t="str">
        <f t="array" ref="Q95">IFERROR(INDEX('Bills &amp; Invoices'!$B$5:$B$32,MATCH("*"&amp;$B95&amp;"*",'Bills &amp; Invoices'!$V$5:$V$32,0)),"")</f>
        <v/>
      </c>
      <c r="R95" s="26"/>
      <c r="S95" s="26"/>
      <c r="T95" s="26"/>
      <c r="U95" s="26"/>
      <c r="V95" s="26"/>
      <c r="W95" s="26"/>
      <c r="X95" s="26"/>
      <c r="Y95" s="26"/>
      <c r="Z95" s="26"/>
      <c r="AA95" s="26"/>
      <c r="AB95" s="26"/>
      <c r="AC95" s="26"/>
    </row>
    <row r="96" ht="14.25" customHeight="1">
      <c r="A96" s="282" t="s">
        <v>2299</v>
      </c>
      <c r="B96" s="301" t="s">
        <v>2300</v>
      </c>
      <c r="C96" s="282" t="s">
        <v>739</v>
      </c>
      <c r="D96" s="282" t="str">
        <f t="array" ref="D96">IFERROR(INDEX(Companies!$B$5:$B$74,MATCH($C96,Companies!$A$5:$A$74,0)),"Unknown ID")</f>
        <v>Bea Mountain Mining Corporation (BMMC)</v>
      </c>
      <c r="E96" s="282" t="str">
        <f>'SRC BMMC Log'!A95</f>
        <v>SMBS</v>
      </c>
      <c r="F96" s="282" t="s">
        <v>531</v>
      </c>
      <c r="G96" s="316">
        <f>'SRC BMMC Log'!B95</f>
        <v>98380</v>
      </c>
      <c r="H96" s="282" t="s">
        <v>1225</v>
      </c>
      <c r="I96" s="317">
        <f t="shared" si="1"/>
        <v>98380</v>
      </c>
      <c r="J96" s="318">
        <f t="shared" si="2"/>
        <v>98.38</v>
      </c>
      <c r="K96" s="282" t="str">
        <f>'SRC BMMC Log'!D95</f>
        <v>BL 271314611</v>
      </c>
      <c r="L96" s="282"/>
      <c r="M96" s="300">
        <f>'SRC BMMC Log'!C95</f>
        <v>46223</v>
      </c>
      <c r="N96" s="282"/>
      <c r="O96" s="282" t="s">
        <v>2301</v>
      </c>
      <c r="P96" s="282"/>
      <c r="Q96" s="301" t="str">
        <f t="array" ref="Q96">IFERROR(INDEX('Bills &amp; Invoices'!$B$5:$B$32,MATCH("*"&amp;$B96&amp;"*",'Bills &amp; Invoices'!$V$5:$V$32,0)),"")</f>
        <v/>
      </c>
      <c r="R96" s="26"/>
      <c r="S96" s="26"/>
      <c r="T96" s="26"/>
      <c r="U96" s="26"/>
      <c r="V96" s="26"/>
      <c r="W96" s="26"/>
      <c r="X96" s="26"/>
      <c r="Y96" s="26"/>
      <c r="Z96" s="26"/>
      <c r="AA96" s="26"/>
      <c r="AB96" s="26"/>
      <c r="AC96" s="26"/>
    </row>
    <row r="97" ht="14.25" customHeight="1">
      <c r="A97" s="282" t="s">
        <v>2302</v>
      </c>
      <c r="B97" s="301" t="s">
        <v>2303</v>
      </c>
      <c r="C97" s="282" t="s">
        <v>739</v>
      </c>
      <c r="D97" s="282" t="str">
        <f t="array" ref="D97">IFERROR(INDEX(Companies!$B$5:$B$74,MATCH($C97,Companies!$A$5:$A$74,0)),"Unknown ID")</f>
        <v>Bea Mountain Mining Corporation (BMMC)</v>
      </c>
      <c r="E97" s="282" t="str">
        <f>'SRC BMMC Log'!A96</f>
        <v>Postforming Sprayable Adhesives</v>
      </c>
      <c r="F97" s="282" t="s">
        <v>593</v>
      </c>
      <c r="G97" s="316">
        <f>'SRC BMMC Log'!B96</f>
        <v>1534</v>
      </c>
      <c r="H97" s="282" t="s">
        <v>1225</v>
      </c>
      <c r="I97" s="317">
        <f t="shared" si="1"/>
        <v>1534</v>
      </c>
      <c r="J97" s="318">
        <f t="shared" si="2"/>
        <v>1.534</v>
      </c>
      <c r="K97" s="282" t="str">
        <f>'SRC BMMC Log'!D96</f>
        <v>BL 272933935</v>
      </c>
      <c r="L97" s="282"/>
      <c r="M97" s="300"/>
      <c r="N97" s="282" t="s">
        <v>2008</v>
      </c>
      <c r="O97" s="282" t="s">
        <v>2304</v>
      </c>
      <c r="P97" s="282"/>
      <c r="Q97" s="301" t="str">
        <f t="array" ref="Q97">IFERROR(INDEX('Bills &amp; Invoices'!$B$5:$B$32,MATCH("*"&amp;$B97&amp;"*",'Bills &amp; Invoices'!$V$5:$V$32,0)),"")</f>
        <v/>
      </c>
      <c r="R97" s="26"/>
      <c r="S97" s="26"/>
      <c r="T97" s="26"/>
      <c r="U97" s="26"/>
      <c r="V97" s="26"/>
      <c r="W97" s="26"/>
      <c r="X97" s="26"/>
      <c r="Y97" s="26"/>
      <c r="Z97" s="26"/>
      <c r="AA97" s="26"/>
      <c r="AB97" s="26"/>
      <c r="AC97" s="26"/>
    </row>
    <row r="98" ht="14.25" customHeight="1">
      <c r="A98" s="282" t="s">
        <v>2305</v>
      </c>
      <c r="B98" s="301" t="s">
        <v>2306</v>
      </c>
      <c r="C98" s="282" t="s">
        <v>739</v>
      </c>
      <c r="D98" s="282" t="str">
        <f t="array" ref="D98">IFERROR(INDEX(Companies!$B$5:$B$74,MATCH($C98,Companies!$A$5:$A$74,0)),"Unknown ID")</f>
        <v>Bea Mountain Mining Corporation (BMMC)</v>
      </c>
      <c r="E98" s="282" t="str">
        <f>'SRC BMMC Log'!A97</f>
        <v>GYPSUM</v>
      </c>
      <c r="F98" s="282" t="s">
        <v>573</v>
      </c>
      <c r="G98" s="316">
        <f>'SRC BMMC Log'!B97</f>
        <v>14850</v>
      </c>
      <c r="H98" s="282" t="s">
        <v>1225</v>
      </c>
      <c r="I98" s="317">
        <f t="shared" si="1"/>
        <v>14850</v>
      </c>
      <c r="J98" s="318">
        <f t="shared" si="2"/>
        <v>14.85</v>
      </c>
      <c r="K98" s="282" t="str">
        <f>'SRC BMMC Log'!D97</f>
        <v>1 Chartered Vessel</v>
      </c>
      <c r="L98" s="282"/>
      <c r="M98" s="300">
        <f>'SRC BMMC Log'!C97</f>
        <v>46223</v>
      </c>
      <c r="N98" s="282"/>
      <c r="O98" s="282" t="s">
        <v>2307</v>
      </c>
      <c r="P98" s="282"/>
      <c r="Q98" s="301" t="str">
        <f t="array" ref="Q98">IFERROR(INDEX('Bills &amp; Invoices'!$B$5:$B$32,MATCH("*"&amp;$B98&amp;"*",'Bills &amp; Invoices'!$V$5:$V$32,0)),"")</f>
        <v/>
      </c>
      <c r="R98" s="26"/>
      <c r="S98" s="26"/>
      <c r="T98" s="26"/>
      <c r="U98" s="26"/>
      <c r="V98" s="26"/>
      <c r="W98" s="26"/>
      <c r="X98" s="26"/>
      <c r="Y98" s="26"/>
      <c r="Z98" s="26"/>
      <c r="AA98" s="26"/>
      <c r="AB98" s="26"/>
      <c r="AC98" s="26"/>
    </row>
    <row r="99" ht="14.25" customHeight="1">
      <c r="A99" s="282" t="s">
        <v>2308</v>
      </c>
      <c r="B99" s="301" t="s">
        <v>2309</v>
      </c>
      <c r="C99" s="282" t="s">
        <v>739</v>
      </c>
      <c r="D99" s="282" t="str">
        <f t="array" ref="D99">IFERROR(INDEX(Companies!$B$5:$B$74,MATCH($C99,Companies!$A$5:$A$74,0)),"Unknown ID")</f>
        <v>Bea Mountain Mining Corporation (BMMC)</v>
      </c>
      <c r="E99" s="282" t="str">
        <f>'SRC BMMC Log'!A98</f>
        <v>Paint Futura Classic Ral (Aerosols-IMO 2.1)</v>
      </c>
      <c r="F99" s="282" t="s">
        <v>536</v>
      </c>
      <c r="G99" s="316">
        <f>'SRC BMMC Log'!B98</f>
        <v>617800</v>
      </c>
      <c r="H99" s="282" t="s">
        <v>1225</v>
      </c>
      <c r="I99" s="317">
        <f t="shared" si="1"/>
        <v>617800</v>
      </c>
      <c r="J99" s="318">
        <f t="shared" si="2"/>
        <v>617.8</v>
      </c>
      <c r="K99" s="282" t="str">
        <f>'SRC BMMC Log'!D98</f>
        <v>BL 274745540</v>
      </c>
      <c r="L99" s="282"/>
      <c r="M99" s="300">
        <f>'SRC BMMC Log'!C98</f>
        <v>46262</v>
      </c>
      <c r="N99" s="282"/>
      <c r="O99" s="282" t="s">
        <v>2310</v>
      </c>
      <c r="P99" s="282"/>
      <c r="Q99" s="301" t="str">
        <f t="array" ref="Q99">IFERROR(INDEX('Bills &amp; Invoices'!$B$5:$B$32,MATCH("*"&amp;$B99&amp;"*",'Bills &amp; Invoices'!$V$5:$V$32,0)),"")</f>
        <v/>
      </c>
      <c r="R99" s="26"/>
      <c r="S99" s="26"/>
      <c r="T99" s="26"/>
      <c r="U99" s="26"/>
      <c r="V99" s="26"/>
      <c r="W99" s="26"/>
      <c r="X99" s="26"/>
      <c r="Y99" s="26"/>
      <c r="Z99" s="26"/>
      <c r="AA99" s="26"/>
      <c r="AB99" s="26"/>
      <c r="AC99" s="26"/>
    </row>
    <row r="100" ht="14.25" customHeight="1">
      <c r="A100" s="282" t="s">
        <v>2311</v>
      </c>
      <c r="B100" s="301" t="s">
        <v>2312</v>
      </c>
      <c r="C100" s="282" t="s">
        <v>739</v>
      </c>
      <c r="D100" s="282" t="str">
        <f t="array" ref="D100">IFERROR(INDEX(Companies!$B$5:$B$74,MATCH($C100,Companies!$A$5:$A$74,0)),"Unknown ID")</f>
        <v>Bea Mountain Mining Corporation (BMMC)</v>
      </c>
      <c r="E100" s="282" t="str">
        <f>'SRC BMMC Log'!A99</f>
        <v>Alkali Curing Acelerator Askshot 160</v>
      </c>
      <c r="F100" s="282" t="s">
        <v>530</v>
      </c>
      <c r="G100" s="316">
        <f>'SRC BMMC Log'!B99</f>
        <v>148</v>
      </c>
      <c r="H100" s="282" t="s">
        <v>1225</v>
      </c>
      <c r="I100" s="317">
        <f t="shared" si="1"/>
        <v>148</v>
      </c>
      <c r="J100" s="318">
        <f t="shared" si="2"/>
        <v>0.148</v>
      </c>
      <c r="K100" s="282" t="str">
        <f>'SRC BMMC Log'!D99</f>
        <v>BL 274632709</v>
      </c>
      <c r="L100" s="282"/>
      <c r="M100" s="300">
        <f>'SRC BMMC Log'!C99</f>
        <v>46262</v>
      </c>
      <c r="N100" s="282"/>
      <c r="O100" s="282" t="s">
        <v>2313</v>
      </c>
      <c r="P100" s="282"/>
      <c r="Q100" s="301" t="str">
        <f t="array" ref="Q100">IFERROR(INDEX('Bills &amp; Invoices'!$B$5:$B$32,MATCH("*"&amp;$B100&amp;"*",'Bills &amp; Invoices'!$V$5:$V$32,0)),"")</f>
        <v/>
      </c>
      <c r="R100" s="26"/>
      <c r="S100" s="26"/>
      <c r="T100" s="26"/>
      <c r="U100" s="26"/>
      <c r="V100" s="26"/>
      <c r="W100" s="26"/>
      <c r="X100" s="26"/>
      <c r="Y100" s="26"/>
      <c r="Z100" s="26"/>
      <c r="AA100" s="26"/>
      <c r="AB100" s="26"/>
      <c r="AC100" s="26"/>
    </row>
    <row r="101" ht="14.25" customHeight="1">
      <c r="A101" s="282" t="s">
        <v>2314</v>
      </c>
      <c r="B101" s="301" t="s">
        <v>2315</v>
      </c>
      <c r="C101" s="282" t="s">
        <v>739</v>
      </c>
      <c r="D101" s="282" t="str">
        <f t="array" ref="D101">IFERROR(INDEX(Companies!$B$5:$B$74,MATCH($C101,Companies!$A$5:$A$74,0)),"Unknown ID")</f>
        <v>Bea Mountain Mining Corporation (BMMC)</v>
      </c>
      <c r="E101" s="282" t="str">
        <f>'SRC BMMC Log'!A100</f>
        <v>Alkali Curing Accelerator Askshot 160</v>
      </c>
      <c r="F101" s="282" t="s">
        <v>530</v>
      </c>
      <c r="G101" s="316">
        <f>'SRC BMMC Log'!B100</f>
        <v>146210</v>
      </c>
      <c r="H101" s="282" t="s">
        <v>1225</v>
      </c>
      <c r="I101" s="317">
        <f t="shared" si="1"/>
        <v>146210</v>
      </c>
      <c r="J101" s="318">
        <f t="shared" si="2"/>
        <v>146.21</v>
      </c>
      <c r="K101" s="282" t="str">
        <f>'SRC BMMC Log'!D100</f>
        <v>BL 274632861</v>
      </c>
      <c r="L101" s="282"/>
      <c r="M101" s="300">
        <f>'SRC BMMC Log'!C100</f>
        <v>46262</v>
      </c>
      <c r="N101" s="282"/>
      <c r="O101" s="282" t="s">
        <v>2316</v>
      </c>
      <c r="P101" s="282"/>
      <c r="Q101" s="301" t="str">
        <f t="array" ref="Q101">IFERROR(INDEX('Bills &amp; Invoices'!$B$5:$B$32,MATCH("*"&amp;$B101&amp;"*",'Bills &amp; Invoices'!$V$5:$V$32,0)),"")</f>
        <v/>
      </c>
      <c r="R101" s="26"/>
      <c r="S101" s="26"/>
      <c r="T101" s="26"/>
      <c r="U101" s="26"/>
      <c r="V101" s="26"/>
      <c r="W101" s="26"/>
      <c r="X101" s="26"/>
      <c r="Y101" s="26"/>
      <c r="Z101" s="26"/>
      <c r="AA101" s="26"/>
      <c r="AB101" s="26"/>
      <c r="AC101" s="26"/>
    </row>
    <row r="102" ht="14.25" customHeight="1">
      <c r="A102" s="282" t="s">
        <v>2317</v>
      </c>
      <c r="B102" s="301" t="s">
        <v>2318</v>
      </c>
      <c r="C102" s="282" t="s">
        <v>739</v>
      </c>
      <c r="D102" s="282" t="str">
        <f t="array" ref="D102">IFERROR(INDEX(Companies!$B$5:$B$74,MATCH($C102,Companies!$A$5:$A$74,0)),"Unknown ID")</f>
        <v>Bea Mountain Mining Corporation (BMMC)</v>
      </c>
      <c r="E102" s="282" t="str">
        <f>'SRC BMMC Log'!A101</f>
        <v>Isobutane</v>
      </c>
      <c r="F102" s="282" t="s">
        <v>623</v>
      </c>
      <c r="G102" s="316">
        <f>'SRC BMMC Log'!B101</f>
        <v>3</v>
      </c>
      <c r="H102" s="282" t="s">
        <v>1225</v>
      </c>
      <c r="I102" s="317">
        <f t="shared" si="1"/>
        <v>3</v>
      </c>
      <c r="J102" s="318">
        <f t="shared" si="2"/>
        <v>0.003</v>
      </c>
      <c r="K102" s="282" t="str">
        <f>'SRC BMMC Log'!D101</f>
        <v>BL 270297832</v>
      </c>
      <c r="L102" s="282"/>
      <c r="M102" s="300">
        <f>'SRC BMMC Log'!C101</f>
        <v>46266</v>
      </c>
      <c r="N102" s="282"/>
      <c r="O102" s="282" t="s">
        <v>2319</v>
      </c>
      <c r="P102" s="282"/>
      <c r="Q102" s="301" t="str">
        <f t="array" ref="Q102">IFERROR(INDEX('Bills &amp; Invoices'!$B$5:$B$32,MATCH("*"&amp;$B102&amp;"*",'Bills &amp; Invoices'!$V$5:$V$32,0)),"")</f>
        <v/>
      </c>
      <c r="R102" s="26"/>
      <c r="S102" s="26"/>
      <c r="T102" s="26"/>
      <c r="U102" s="26"/>
      <c r="V102" s="26"/>
      <c r="W102" s="26"/>
      <c r="X102" s="26"/>
      <c r="Y102" s="26"/>
      <c r="Z102" s="26"/>
      <c r="AA102" s="26"/>
      <c r="AB102" s="26"/>
      <c r="AC102" s="26"/>
    </row>
    <row r="103" ht="14.25" customHeight="1">
      <c r="A103" s="282" t="s">
        <v>2320</v>
      </c>
      <c r="B103" s="301" t="s">
        <v>2321</v>
      </c>
      <c r="C103" s="282" t="s">
        <v>739</v>
      </c>
      <c r="D103" s="282" t="str">
        <f t="array" ref="D103">IFERROR(INDEX(Companies!$B$5:$B$74,MATCH($C103,Companies!$A$5:$A$74,0)),"Unknown ID")</f>
        <v>Bea Mountain Mining Corporation (BMMC)</v>
      </c>
      <c r="E103" s="282" t="str">
        <f>'SRC BMMC Log'!A102</f>
        <v>Isobutane</v>
      </c>
      <c r="F103" s="282" t="s">
        <v>623</v>
      </c>
      <c r="G103" s="316">
        <f>'SRC BMMC Log'!B102</f>
        <v>3</v>
      </c>
      <c r="H103" s="282" t="s">
        <v>1225</v>
      </c>
      <c r="I103" s="317">
        <f t="shared" si="1"/>
        <v>3</v>
      </c>
      <c r="J103" s="318">
        <f t="shared" si="2"/>
        <v>0.003</v>
      </c>
      <c r="K103" s="282" t="str">
        <f>'SRC BMMC Log'!D102</f>
        <v>BL 271861684</v>
      </c>
      <c r="L103" s="282"/>
      <c r="M103" s="300">
        <f>'SRC BMMC Log'!C102</f>
        <v>46266</v>
      </c>
      <c r="N103" s="282"/>
      <c r="O103" s="282" t="s">
        <v>2322</v>
      </c>
      <c r="P103" s="282"/>
      <c r="Q103" s="301" t="str">
        <f t="array" ref="Q103">IFERROR(INDEX('Bills &amp; Invoices'!$B$5:$B$32,MATCH("*"&amp;$B103&amp;"*",'Bills &amp; Invoices'!$V$5:$V$32,0)),"")</f>
        <v/>
      </c>
      <c r="R103" s="26"/>
      <c r="S103" s="26"/>
      <c r="T103" s="26"/>
      <c r="U103" s="26"/>
      <c r="V103" s="26"/>
      <c r="W103" s="26"/>
      <c r="X103" s="26"/>
      <c r="Y103" s="26"/>
      <c r="Z103" s="26"/>
      <c r="AA103" s="26"/>
      <c r="AB103" s="26"/>
      <c r="AC103" s="26"/>
    </row>
    <row r="104" ht="14.25" customHeight="1">
      <c r="A104" s="282" t="s">
        <v>2323</v>
      </c>
      <c r="B104" s="301" t="s">
        <v>2324</v>
      </c>
      <c r="C104" s="282" t="s">
        <v>739</v>
      </c>
      <c r="D104" s="282" t="str">
        <f t="array" ref="D104">IFERROR(INDEX(Companies!$B$5:$B$74,MATCH($C104,Companies!$A$5:$A$74,0)),"Unknown ID")</f>
        <v>Bea Mountain Mining Corporation (BMMC)</v>
      </c>
      <c r="E104" s="282" t="str">
        <f>'SRC BMMC Log'!A103</f>
        <v>Isobutane</v>
      </c>
      <c r="F104" s="282" t="s">
        <v>623</v>
      </c>
      <c r="G104" s="316">
        <f>'SRC BMMC Log'!B103</f>
        <v>3</v>
      </c>
      <c r="H104" s="282" t="s">
        <v>1225</v>
      </c>
      <c r="I104" s="317">
        <f t="shared" si="1"/>
        <v>3</v>
      </c>
      <c r="J104" s="318">
        <f t="shared" si="2"/>
        <v>0.003</v>
      </c>
      <c r="K104" s="282" t="str">
        <f>'SRC BMMC Log'!D103</f>
        <v>BL 271861663</v>
      </c>
      <c r="L104" s="282"/>
      <c r="M104" s="300">
        <f>'SRC BMMC Log'!C103</f>
        <v>46266</v>
      </c>
      <c r="N104" s="282"/>
      <c r="O104" s="282" t="s">
        <v>2325</v>
      </c>
      <c r="P104" s="282"/>
      <c r="Q104" s="301" t="str">
        <f t="array" ref="Q104">IFERROR(INDEX('Bills &amp; Invoices'!$B$5:$B$32,MATCH("*"&amp;$B104&amp;"*",'Bills &amp; Invoices'!$V$5:$V$32,0)),"")</f>
        <v/>
      </c>
      <c r="R104" s="26"/>
      <c r="S104" s="26"/>
      <c r="T104" s="26"/>
      <c r="U104" s="26"/>
      <c r="V104" s="26"/>
      <c r="W104" s="26"/>
      <c r="X104" s="26"/>
      <c r="Y104" s="26"/>
      <c r="Z104" s="26"/>
      <c r="AA104" s="26"/>
      <c r="AB104" s="26"/>
      <c r="AC104" s="26"/>
    </row>
    <row r="105" ht="14.25" customHeight="1">
      <c r="A105" s="282" t="s">
        <v>2326</v>
      </c>
      <c r="B105" s="301" t="s">
        <v>2327</v>
      </c>
      <c r="C105" s="282" t="s">
        <v>739</v>
      </c>
      <c r="D105" s="282" t="str">
        <f t="array" ref="D105">IFERROR(INDEX(Companies!$B$5:$B$74,MATCH($C105,Companies!$A$5:$A$74,0)),"Unknown ID")</f>
        <v>Bea Mountain Mining Corporation (BMMC)</v>
      </c>
      <c r="E105" s="282" t="str">
        <f>'SRC BMMC Log'!A104</f>
        <v>Compressed Nitrogen</v>
      </c>
      <c r="F105" s="282" t="s">
        <v>598</v>
      </c>
      <c r="G105" s="316">
        <f>'SRC BMMC Log'!B104</f>
        <v>454</v>
      </c>
      <c r="H105" s="282" t="s">
        <v>1225</v>
      </c>
      <c r="I105" s="317">
        <f t="shared" si="1"/>
        <v>454</v>
      </c>
      <c r="J105" s="318">
        <f t="shared" si="2"/>
        <v>0.454</v>
      </c>
      <c r="K105" s="282" t="str">
        <f>'SRC BMMC Log'!D104</f>
        <v>BL 265417603</v>
      </c>
      <c r="L105" s="282"/>
      <c r="M105" s="300">
        <f>'SRC BMMC Log'!C104</f>
        <v>46266</v>
      </c>
      <c r="N105" s="282"/>
      <c r="O105" s="282" t="s">
        <v>2328</v>
      </c>
      <c r="P105" s="282"/>
      <c r="Q105" s="301" t="str">
        <f t="array" ref="Q105">IFERROR(INDEX('Bills &amp; Invoices'!$B$5:$B$32,MATCH("*"&amp;$B105&amp;"*",'Bills &amp; Invoices'!$V$5:$V$32,0)),"")</f>
        <v/>
      </c>
      <c r="R105" s="26"/>
      <c r="S105" s="26"/>
      <c r="T105" s="26"/>
      <c r="U105" s="26"/>
      <c r="V105" s="26"/>
      <c r="W105" s="26"/>
      <c r="X105" s="26"/>
      <c r="Y105" s="26"/>
      <c r="Z105" s="26"/>
      <c r="AA105" s="26"/>
      <c r="AB105" s="26"/>
      <c r="AC105" s="26"/>
    </row>
    <row r="106" ht="14.25" customHeight="1">
      <c r="A106" s="282" t="s">
        <v>2329</v>
      </c>
      <c r="B106" s="301" t="s">
        <v>2330</v>
      </c>
      <c r="C106" s="282" t="s">
        <v>739</v>
      </c>
      <c r="D106" s="282" t="str">
        <f t="array" ref="D106">IFERROR(INDEX(Companies!$B$5:$B$74,MATCH($C106,Companies!$A$5:$A$74,0)),"Unknown ID")</f>
        <v>Bea Mountain Mining Corporation (BMMC)</v>
      </c>
      <c r="E106" s="282" t="str">
        <f>'SRC BMMC Log'!A105</f>
        <v>Hydrated Lime</v>
      </c>
      <c r="F106" s="282" t="s">
        <v>540</v>
      </c>
      <c r="G106" s="316">
        <f>'SRC BMMC Log'!B105</f>
        <v>402000</v>
      </c>
      <c r="H106" s="282" t="s">
        <v>1225</v>
      </c>
      <c r="I106" s="317">
        <f t="shared" si="1"/>
        <v>402000</v>
      </c>
      <c r="J106" s="318">
        <f t="shared" si="2"/>
        <v>402</v>
      </c>
      <c r="K106" s="282" t="str">
        <f>'SRC BMMC Log'!D105</f>
        <v>BL 275584752</v>
      </c>
      <c r="L106" s="282"/>
      <c r="M106" s="300">
        <f>'SRC BMMC Log'!C105</f>
        <v>46272</v>
      </c>
      <c r="N106" s="282"/>
      <c r="O106" s="282" t="s">
        <v>2331</v>
      </c>
      <c r="P106" s="282"/>
      <c r="Q106" s="301" t="str">
        <f t="array" ref="Q106">IFERROR(INDEX('Bills &amp; Invoices'!$B$5:$B$32,MATCH("*"&amp;$B106&amp;"*",'Bills &amp; Invoices'!$V$5:$V$32,0)),"")</f>
        <v/>
      </c>
      <c r="R106" s="26"/>
      <c r="S106" s="26"/>
      <c r="T106" s="26"/>
      <c r="U106" s="26"/>
      <c r="V106" s="26"/>
      <c r="W106" s="26"/>
      <c r="X106" s="26"/>
      <c r="Y106" s="26"/>
      <c r="Z106" s="26"/>
      <c r="AA106" s="26"/>
      <c r="AB106" s="26"/>
      <c r="AC106" s="26"/>
    </row>
    <row r="107" ht="14.25" customHeight="1">
      <c r="A107" s="282" t="s">
        <v>2332</v>
      </c>
      <c r="B107" s="301" t="s">
        <v>2333</v>
      </c>
      <c r="C107" s="282" t="s">
        <v>739</v>
      </c>
      <c r="D107" s="282" t="str">
        <f t="array" ref="D107">IFERROR(INDEX(Companies!$B$5:$B$74,MATCH($C107,Companies!$A$5:$A$74,0)),"Unknown ID")</f>
        <v>Bea Mountain Mining Corporation (BMMC)</v>
      </c>
      <c r="E107" s="282" t="str">
        <f>'SRC BMMC Log'!A106</f>
        <v>Lead Nitrate</v>
      </c>
      <c r="F107" s="282" t="s">
        <v>563</v>
      </c>
      <c r="G107" s="316">
        <f>'SRC BMMC Log'!B106</f>
        <v>24587.2</v>
      </c>
      <c r="H107" s="282" t="s">
        <v>1225</v>
      </c>
      <c r="I107" s="317">
        <f t="shared" si="1"/>
        <v>24587.2</v>
      </c>
      <c r="J107" s="318">
        <f t="shared" si="2"/>
        <v>24.5872</v>
      </c>
      <c r="K107" s="282" t="str">
        <f>'SRC BMMC Log'!D106</f>
        <v>AMC2605890</v>
      </c>
      <c r="L107" s="282"/>
      <c r="M107" s="300">
        <f>'SRC BMMC Log'!C106</f>
        <v>46272</v>
      </c>
      <c r="N107" s="282"/>
      <c r="O107" s="282" t="s">
        <v>2334</v>
      </c>
      <c r="P107" s="282"/>
      <c r="Q107" s="301" t="str">
        <f t="array" ref="Q107">IFERROR(INDEX('Bills &amp; Invoices'!$B$5:$B$32,MATCH("*"&amp;$B107&amp;"*",'Bills &amp; Invoices'!$V$5:$V$32,0)),"")</f>
        <v/>
      </c>
      <c r="R107" s="26"/>
      <c r="S107" s="26"/>
      <c r="T107" s="26"/>
      <c r="U107" s="26"/>
      <c r="V107" s="26"/>
      <c r="W107" s="26"/>
      <c r="X107" s="26"/>
      <c r="Y107" s="26"/>
      <c r="Z107" s="26"/>
      <c r="AA107" s="26"/>
      <c r="AB107" s="26"/>
      <c r="AC107" s="26"/>
    </row>
    <row r="108" ht="14.25" customHeight="1">
      <c r="A108" s="282" t="s">
        <v>2335</v>
      </c>
      <c r="B108" s="301" t="s">
        <v>2336</v>
      </c>
      <c r="C108" s="282" t="s">
        <v>739</v>
      </c>
      <c r="D108" s="282" t="str">
        <f t="array" ref="D108">IFERROR(INDEX(Companies!$B$5:$B$74,MATCH($C108,Companies!$A$5:$A$74,0)),"Unknown ID")</f>
        <v>Bea Mountain Mining Corporation (BMMC)</v>
      </c>
      <c r="E108" s="282" t="str">
        <f>'SRC BMMC Log'!A107</f>
        <v>Sodium Metabisuphite</v>
      </c>
      <c r="F108" s="282" t="s">
        <v>531</v>
      </c>
      <c r="G108" s="316">
        <f>'SRC BMMC Log'!B107</f>
        <v>415650</v>
      </c>
      <c r="H108" s="282" t="s">
        <v>1225</v>
      </c>
      <c r="I108" s="317">
        <f t="shared" si="1"/>
        <v>415650</v>
      </c>
      <c r="J108" s="318">
        <f t="shared" si="2"/>
        <v>415.65</v>
      </c>
      <c r="K108" s="282" t="str">
        <f>'SRC BMMC Log'!D107</f>
        <v>JNG0340901</v>
      </c>
      <c r="L108" s="282"/>
      <c r="M108" s="300">
        <f>'SRC BMMC Log'!C107</f>
        <v>46272</v>
      </c>
      <c r="N108" s="282"/>
      <c r="O108" s="282" t="s">
        <v>2337</v>
      </c>
      <c r="P108" s="282"/>
      <c r="Q108" s="301" t="str">
        <f t="array" ref="Q108">IFERROR(INDEX('Bills &amp; Invoices'!$B$5:$B$32,MATCH("*"&amp;$B108&amp;"*",'Bills &amp; Invoices'!$V$5:$V$32,0)),"")</f>
        <v/>
      </c>
      <c r="R108" s="26"/>
      <c r="S108" s="26"/>
      <c r="T108" s="26"/>
      <c r="U108" s="26"/>
      <c r="V108" s="26"/>
      <c r="W108" s="26"/>
      <c r="X108" s="26"/>
      <c r="Y108" s="26"/>
      <c r="Z108" s="26"/>
      <c r="AA108" s="26"/>
      <c r="AB108" s="26"/>
      <c r="AC108" s="26"/>
    </row>
    <row r="109" ht="14.25" customHeight="1">
      <c r="A109" s="282" t="s">
        <v>2338</v>
      </c>
      <c r="B109" s="301" t="s">
        <v>2339</v>
      </c>
      <c r="C109" s="282" t="s">
        <v>739</v>
      </c>
      <c r="D109" s="282" t="str">
        <f t="array" ref="D109">IFERROR(INDEX(Companies!$B$5:$B$74,MATCH($C109,Companies!$A$5:$A$74,0)),"Unknown ID")</f>
        <v>Bea Mountain Mining Corporation (BMMC)</v>
      </c>
      <c r="E109" s="282" t="str">
        <f>'SRC BMMC Log'!A108</f>
        <v>Explosives</v>
      </c>
      <c r="F109" s="282" t="s">
        <v>528</v>
      </c>
      <c r="G109" s="316">
        <f>'SRC BMMC Log'!B108</f>
        <v>102578</v>
      </c>
      <c r="H109" s="282" t="s">
        <v>1225</v>
      </c>
      <c r="I109" s="317">
        <f t="shared" si="1"/>
        <v>102578</v>
      </c>
      <c r="J109" s="318">
        <f t="shared" si="2"/>
        <v>102.578</v>
      </c>
      <c r="K109" s="282" t="str">
        <f>'SRC BMMC Log'!D108</f>
        <v>DRNM0N37</v>
      </c>
      <c r="L109" s="282"/>
      <c r="M109" s="300">
        <f>'SRC BMMC Log'!C108</f>
        <v>46272</v>
      </c>
      <c r="N109" s="282"/>
      <c r="O109" s="282" t="s">
        <v>2340</v>
      </c>
      <c r="P109" s="282"/>
      <c r="Q109" s="301" t="str">
        <f t="array" ref="Q109">IFERROR(INDEX('Bills &amp; Invoices'!$B$5:$B$32,MATCH("*"&amp;$B109&amp;"*",'Bills &amp; Invoices'!$V$5:$V$32,0)),"")</f>
        <v/>
      </c>
      <c r="R109" s="26"/>
      <c r="S109" s="26"/>
      <c r="T109" s="26"/>
      <c r="U109" s="26"/>
      <c r="V109" s="26"/>
      <c r="W109" s="26"/>
      <c r="X109" s="26"/>
      <c r="Y109" s="26"/>
      <c r="Z109" s="26"/>
      <c r="AA109" s="26"/>
      <c r="AB109" s="26"/>
      <c r="AC109" s="26"/>
    </row>
    <row r="110" ht="14.25" customHeight="1">
      <c r="A110" s="282" t="s">
        <v>2341</v>
      </c>
      <c r="B110" s="301" t="s">
        <v>2342</v>
      </c>
      <c r="C110" s="282" t="s">
        <v>739</v>
      </c>
      <c r="D110" s="282" t="str">
        <f t="array" ref="D110">IFERROR(INDEX(Companies!$B$5:$B$74,MATCH($C110,Companies!$A$5:$A$74,0)),"Unknown ID")</f>
        <v>Bea Mountain Mining Corporation (BMMC)</v>
      </c>
      <c r="E110" s="282" t="str">
        <f>'SRC BMMC Log'!A109</f>
        <v>EXPLOSIVES</v>
      </c>
      <c r="F110" s="282" t="s">
        <v>528</v>
      </c>
      <c r="G110" s="316">
        <f>'SRC BMMC Log'!B109</f>
        <v>451933</v>
      </c>
      <c r="H110" s="282" t="s">
        <v>1225</v>
      </c>
      <c r="I110" s="317">
        <f t="shared" si="1"/>
        <v>451933</v>
      </c>
      <c r="J110" s="318">
        <f t="shared" si="2"/>
        <v>451.933</v>
      </c>
      <c r="K110" s="282" t="str">
        <f>'SRC BMMC Log'!D109</f>
        <v>DRNM0N38</v>
      </c>
      <c r="L110" s="282"/>
      <c r="M110" s="300">
        <f>'SRC BMMC Log'!C109</f>
        <v>46272</v>
      </c>
      <c r="N110" s="282"/>
      <c r="O110" s="282" t="s">
        <v>2343</v>
      </c>
      <c r="P110" s="282"/>
      <c r="Q110" s="301" t="str">
        <f t="array" ref="Q110">IFERROR(INDEX('Bills &amp; Invoices'!$B$5:$B$32,MATCH("*"&amp;$B110&amp;"*",'Bills &amp; Invoices'!$V$5:$V$32,0)),"")</f>
        <v/>
      </c>
      <c r="R110" s="26"/>
      <c r="S110" s="26"/>
      <c r="T110" s="26"/>
      <c r="U110" s="26"/>
      <c r="V110" s="26"/>
      <c r="W110" s="26"/>
      <c r="X110" s="26"/>
      <c r="Y110" s="26"/>
      <c r="Z110" s="26"/>
      <c r="AA110" s="26"/>
      <c r="AB110" s="26"/>
      <c r="AC110" s="26"/>
    </row>
    <row r="111" ht="14.25" customHeight="1">
      <c r="A111" s="282" t="s">
        <v>2344</v>
      </c>
      <c r="B111" s="301" t="s">
        <v>2345</v>
      </c>
      <c r="C111" s="282" t="s">
        <v>739</v>
      </c>
      <c r="D111" s="282" t="str">
        <f t="array" ref="D111">IFERROR(INDEX(Companies!$B$5:$B$74,MATCH($C111,Companies!$A$5:$A$74,0)),"Unknown ID")</f>
        <v>Bea Mountain Mining Corporation (BMMC)</v>
      </c>
      <c r="E111" s="282" t="str">
        <f>'SRC BMMC Log'!A110</f>
        <v>FERRIC CHLORIDE  SOLUTION</v>
      </c>
      <c r="F111" s="282" t="s">
        <v>527</v>
      </c>
      <c r="G111" s="316">
        <f>'SRC BMMC Log'!B110</f>
        <v>678150</v>
      </c>
      <c r="H111" s="282" t="s">
        <v>1225</v>
      </c>
      <c r="I111" s="317">
        <f t="shared" si="1"/>
        <v>678150</v>
      </c>
      <c r="J111" s="318">
        <f t="shared" si="2"/>
        <v>678.15</v>
      </c>
      <c r="K111" s="282" t="str">
        <f>'SRC BMMC Log'!D110</f>
        <v>BL 275079730</v>
      </c>
      <c r="L111" s="282"/>
      <c r="M111" s="300">
        <f>'SRC BMMC Log'!C110</f>
        <v>46272</v>
      </c>
      <c r="N111" s="282"/>
      <c r="O111" s="282" t="s">
        <v>2346</v>
      </c>
      <c r="P111" s="282"/>
      <c r="Q111" s="301" t="str">
        <f t="array" ref="Q111">IFERROR(INDEX('Bills &amp; Invoices'!$B$5:$B$32,MATCH("*"&amp;$B111&amp;"*",'Bills &amp; Invoices'!$V$5:$V$32,0)),"")</f>
        <v/>
      </c>
      <c r="R111" s="26"/>
      <c r="S111" s="26"/>
      <c r="T111" s="26"/>
      <c r="U111" s="26"/>
      <c r="V111" s="26"/>
      <c r="W111" s="26"/>
      <c r="X111" s="26"/>
      <c r="Y111" s="26"/>
      <c r="Z111" s="26"/>
      <c r="AA111" s="26"/>
      <c r="AB111" s="26"/>
      <c r="AC111" s="26"/>
    </row>
    <row r="112" ht="14.25" customHeight="1">
      <c r="A112" s="282" t="s">
        <v>2347</v>
      </c>
      <c r="B112" s="301" t="s">
        <v>2348</v>
      </c>
      <c r="C112" s="282" t="s">
        <v>739</v>
      </c>
      <c r="D112" s="282" t="str">
        <f t="array" ref="D112">IFERROR(INDEX(Companies!$B$5:$B$74,MATCH($C112,Companies!$A$5:$A$74,0)),"Unknown ID")</f>
        <v>Bea Mountain Mining Corporation (BMMC)</v>
      </c>
      <c r="E112" s="282" t="str">
        <f>'SRC BMMC Log'!A111</f>
        <v>FERRIC CHLORIDE SOLUTION</v>
      </c>
      <c r="F112" s="282" t="s">
        <v>527</v>
      </c>
      <c r="G112" s="316">
        <f>'SRC BMMC Log'!B111</f>
        <v>406890</v>
      </c>
      <c r="H112" s="282" t="s">
        <v>1225</v>
      </c>
      <c r="I112" s="317">
        <f t="shared" si="1"/>
        <v>406890</v>
      </c>
      <c r="J112" s="318">
        <f t="shared" si="2"/>
        <v>406.89</v>
      </c>
      <c r="K112" s="282" t="str">
        <f>'SRC BMMC Log'!D111</f>
        <v>BL 273958775</v>
      </c>
      <c r="L112" s="282"/>
      <c r="M112" s="300">
        <f>'SRC BMMC Log'!C111</f>
        <v>46272</v>
      </c>
      <c r="N112" s="282"/>
      <c r="O112" s="282" t="s">
        <v>2349</v>
      </c>
      <c r="P112" s="282"/>
      <c r="Q112" s="301" t="str">
        <f t="array" ref="Q112">IFERROR(INDEX('Bills &amp; Invoices'!$B$5:$B$32,MATCH("*"&amp;$B112&amp;"*",'Bills &amp; Invoices'!$V$5:$V$32,0)),"")</f>
        <v/>
      </c>
      <c r="R112" s="26"/>
      <c r="S112" s="26"/>
      <c r="T112" s="26"/>
      <c r="U112" s="26"/>
      <c r="V112" s="26"/>
      <c r="W112" s="26"/>
      <c r="X112" s="26"/>
      <c r="Y112" s="26"/>
      <c r="Z112" s="26"/>
      <c r="AA112" s="26"/>
      <c r="AB112" s="26"/>
      <c r="AC112" s="26"/>
    </row>
    <row r="113" ht="14.25" customHeight="1">
      <c r="A113" s="282" t="s">
        <v>2350</v>
      </c>
      <c r="B113" s="301" t="s">
        <v>2351</v>
      </c>
      <c r="C113" s="282" t="s">
        <v>783</v>
      </c>
      <c r="D113" s="282" t="str">
        <f t="array" ref="D113">IFERROR(INDEX(Companies!$B$5:$B$74,MATCH($C113,Companies!$A$5:$A$74,0)),"Unknown ID")</f>
        <v>DuraPlast Liberia Inc.</v>
      </c>
      <c r="E113" s="282" t="s">
        <v>1395</v>
      </c>
      <c r="F113" s="282" t="s">
        <v>539</v>
      </c>
      <c r="G113" s="316">
        <v>393568.0</v>
      </c>
      <c r="H113" s="282" t="s">
        <v>1225</v>
      </c>
      <c r="I113" s="317">
        <f t="shared" si="1"/>
        <v>393568</v>
      </c>
      <c r="J113" s="318">
        <f t="shared" si="2"/>
        <v>393.568</v>
      </c>
      <c r="K113" s="282"/>
      <c r="L113" s="282" t="s">
        <v>2352</v>
      </c>
      <c r="M113" s="300">
        <v>46028.0</v>
      </c>
      <c r="N113" s="282" t="s">
        <v>2353</v>
      </c>
      <c r="O113" s="282" t="s">
        <v>2354</v>
      </c>
      <c r="P113" s="282"/>
      <c r="Q113" s="301" t="str">
        <f t="array" ref="Q113">IFERROR(INDEX('Bills &amp; Invoices'!$B$5:$B$32,MATCH("*"&amp;$B113&amp;"*",'Bills &amp; Invoices'!$V$5:$V$32,0)),"")</f>
        <v/>
      </c>
      <c r="R113" s="26"/>
      <c r="S113" s="26"/>
      <c r="T113" s="26"/>
      <c r="U113" s="26"/>
      <c r="V113" s="26"/>
      <c r="W113" s="26"/>
      <c r="X113" s="26"/>
      <c r="Y113" s="26"/>
      <c r="Z113" s="26"/>
      <c r="AA113" s="26"/>
      <c r="AB113" s="26"/>
      <c r="AC113" s="26"/>
    </row>
    <row r="114" ht="14.25" customHeight="1">
      <c r="A114" s="282" t="s">
        <v>2355</v>
      </c>
      <c r="B114" s="301" t="s">
        <v>2121</v>
      </c>
      <c r="C114" s="282" t="s">
        <v>795</v>
      </c>
      <c r="D114" s="282" t="str">
        <f t="array" ref="D114">IFERROR(INDEX(Companies!$B$5:$B$74,MATCH($C114,Companies!$A$5:$A$74,0)),"Unknown ID")</f>
        <v>Fayad Enterprise Corporation</v>
      </c>
      <c r="E114" s="282" t="s">
        <v>2356</v>
      </c>
      <c r="F114" s="282" t="s">
        <v>538</v>
      </c>
      <c r="G114" s="316">
        <v>137500.0</v>
      </c>
      <c r="H114" s="282" t="s">
        <v>1225</v>
      </c>
      <c r="I114" s="317">
        <f t="shared" si="1"/>
        <v>137500</v>
      </c>
      <c r="J114" s="318">
        <f t="shared" si="2"/>
        <v>137.5</v>
      </c>
      <c r="K114" s="282" t="s">
        <v>2357</v>
      </c>
      <c r="L114" s="282" t="s">
        <v>2358</v>
      </c>
      <c r="M114" s="300">
        <v>46057.0</v>
      </c>
      <c r="N114" s="282"/>
      <c r="O114" s="282" t="s">
        <v>2359</v>
      </c>
      <c r="P114" s="282"/>
      <c r="Q114" s="301" t="str">
        <f t="array" ref="Q114">IFERROR(INDEX('Bills &amp; Invoices'!$B$5:$B$32,MATCH("*"&amp;$B114&amp;"*",'Bills &amp; Invoices'!$V$5:$V$32,0)),"")</f>
        <v/>
      </c>
      <c r="R114" s="26"/>
      <c r="S114" s="26"/>
      <c r="T114" s="26"/>
      <c r="U114" s="26"/>
      <c r="V114" s="26"/>
      <c r="W114" s="26"/>
      <c r="X114" s="26"/>
      <c r="Y114" s="26"/>
      <c r="Z114" s="26"/>
      <c r="AA114" s="26"/>
      <c r="AB114" s="26"/>
      <c r="AC114" s="26"/>
    </row>
    <row r="115" ht="14.25" customHeight="1">
      <c r="A115" s="282" t="s">
        <v>2360</v>
      </c>
      <c r="B115" s="301" t="s">
        <v>2114</v>
      </c>
      <c r="C115" s="282" t="s">
        <v>815</v>
      </c>
      <c r="D115" s="282" t="str">
        <f t="array" ref="D115">IFERROR(INDEX(Companies!$B$5:$B$74,MATCH($C115,Companies!$A$5:$A$74,0)),"Unknown ID")</f>
        <v>Mukesh Shopping Center</v>
      </c>
      <c r="E115" s="282" t="s">
        <v>2356</v>
      </c>
      <c r="F115" s="282" t="s">
        <v>538</v>
      </c>
      <c r="G115" s="316">
        <v>55400.0</v>
      </c>
      <c r="H115" s="282" t="s">
        <v>1225</v>
      </c>
      <c r="I115" s="317">
        <f t="shared" si="1"/>
        <v>55400</v>
      </c>
      <c r="J115" s="318">
        <f t="shared" si="2"/>
        <v>55.4</v>
      </c>
      <c r="K115" s="282" t="s">
        <v>2361</v>
      </c>
      <c r="L115" s="282" t="s">
        <v>2362</v>
      </c>
      <c r="M115" s="300">
        <v>46062.0</v>
      </c>
      <c r="N115" s="282"/>
      <c r="O115" s="282" t="s">
        <v>2363</v>
      </c>
      <c r="P115" s="282"/>
      <c r="Q115" s="301" t="str">
        <f t="array" ref="Q115">IFERROR(INDEX('Bills &amp; Invoices'!$B$5:$B$32,MATCH("*"&amp;$B115&amp;"*",'Bills &amp; Invoices'!$V$5:$V$32,0)),"")</f>
        <v/>
      </c>
      <c r="R115" s="26"/>
      <c r="S115" s="26"/>
      <c r="T115" s="26"/>
      <c r="U115" s="26"/>
      <c r="V115" s="26"/>
      <c r="W115" s="26"/>
      <c r="X115" s="26"/>
      <c r="Y115" s="26"/>
      <c r="Z115" s="26"/>
      <c r="AA115" s="26"/>
      <c r="AB115" s="26"/>
      <c r="AC115" s="26"/>
    </row>
    <row r="116" ht="14.25" customHeight="1">
      <c r="A116" s="282" t="s">
        <v>2364</v>
      </c>
      <c r="B116" s="301" t="s">
        <v>2365</v>
      </c>
      <c r="C116" s="282" t="s">
        <v>851</v>
      </c>
      <c r="D116" s="282" t="str">
        <f t="array" ref="D116">IFERROR(INDEX(Companies!$B$5:$B$74,MATCH($C116,Companies!$A$5:$A$74,0)),"Unknown ID")</f>
        <v>MAXAM Liberia JV Inc.</v>
      </c>
      <c r="E116" s="282" t="s">
        <v>2366</v>
      </c>
      <c r="F116" s="282" t="s">
        <v>559</v>
      </c>
      <c r="G116" s="316">
        <v>64800.0</v>
      </c>
      <c r="H116" s="282" t="s">
        <v>1225</v>
      </c>
      <c r="I116" s="317">
        <f t="shared" si="1"/>
        <v>64800</v>
      </c>
      <c r="J116" s="318">
        <f t="shared" si="2"/>
        <v>64.8</v>
      </c>
      <c r="K116" s="282"/>
      <c r="L116" s="282" t="s">
        <v>2367</v>
      </c>
      <c r="M116" s="300">
        <v>46063.0</v>
      </c>
      <c r="N116" s="282"/>
      <c r="O116" s="282" t="s">
        <v>2368</v>
      </c>
      <c r="P116" s="282"/>
      <c r="Q116" s="301" t="str">
        <f t="array" ref="Q116">IFERROR(INDEX('Bills &amp; Invoices'!$B$5:$B$32,MATCH("*"&amp;$B116&amp;"*",'Bills &amp; Invoices'!$V$5:$V$32,0)),"")</f>
        <v/>
      </c>
      <c r="R116" s="26"/>
      <c r="S116" s="26"/>
      <c r="T116" s="26"/>
      <c r="U116" s="26"/>
      <c r="V116" s="26"/>
      <c r="W116" s="26"/>
      <c r="X116" s="26"/>
      <c r="Y116" s="26"/>
      <c r="Z116" s="26"/>
      <c r="AA116" s="26"/>
      <c r="AB116" s="26"/>
      <c r="AC116" s="26"/>
    </row>
    <row r="117" ht="14.25" customHeight="1">
      <c r="A117" s="282" t="s">
        <v>2369</v>
      </c>
      <c r="B117" s="301" t="s">
        <v>2370</v>
      </c>
      <c r="C117" s="282" t="s">
        <v>760</v>
      </c>
      <c r="D117" s="282" t="str">
        <f t="array" ref="D117">IFERROR(INDEX(Companies!$B$5:$B$74,MATCH($C117,Companies!$A$5:$A$74,0)),"Unknown ID")</f>
        <v>Tanmay Hardware Center</v>
      </c>
      <c r="E117" s="282" t="s">
        <v>2356</v>
      </c>
      <c r="F117" s="282" t="s">
        <v>538</v>
      </c>
      <c r="G117" s="316" t="s">
        <v>2371</v>
      </c>
      <c r="H117" s="282" t="s">
        <v>1679</v>
      </c>
      <c r="I117" s="317">
        <f t="shared" si="1"/>
        <v>55000</v>
      </c>
      <c r="J117" s="318">
        <f t="shared" si="2"/>
        <v>55</v>
      </c>
      <c r="K117" s="282"/>
      <c r="L117" s="282" t="s">
        <v>2372</v>
      </c>
      <c r="M117" s="300">
        <v>46063.0</v>
      </c>
      <c r="N117" s="282"/>
      <c r="O117" s="282" t="s">
        <v>2373</v>
      </c>
      <c r="P117" s="282"/>
      <c r="Q117" s="301" t="str">
        <f t="array" ref="Q117">IFERROR(INDEX('Bills &amp; Invoices'!$B$5:$B$32,MATCH("*"&amp;$B117&amp;"*",'Bills &amp; Invoices'!$V$5:$V$32,0)),"")</f>
        <v/>
      </c>
      <c r="R117" s="26"/>
      <c r="S117" s="26"/>
      <c r="T117" s="26"/>
      <c r="U117" s="26"/>
      <c r="V117" s="26"/>
      <c r="W117" s="26"/>
      <c r="X117" s="26"/>
      <c r="Y117" s="26"/>
      <c r="Z117" s="26"/>
      <c r="AA117" s="26"/>
      <c r="AB117" s="26"/>
      <c r="AC117" s="26"/>
    </row>
    <row r="118" ht="14.25" customHeight="1">
      <c r="A118" s="282" t="s">
        <v>2374</v>
      </c>
      <c r="B118" s="301" t="s">
        <v>2375</v>
      </c>
      <c r="C118" s="282" t="s">
        <v>783</v>
      </c>
      <c r="D118" s="282" t="str">
        <f t="array" ref="D118">IFERROR(INDEX(Companies!$B$5:$B$74,MATCH($C118,Companies!$A$5:$A$74,0)),"Unknown ID")</f>
        <v>DuraPlast Liberia Inc.</v>
      </c>
      <c r="E118" s="282" t="s">
        <v>2376</v>
      </c>
      <c r="F118" s="282" t="s">
        <v>532</v>
      </c>
      <c r="G118" s="316" t="s">
        <v>2377</v>
      </c>
      <c r="H118" s="282" t="s">
        <v>1679</v>
      </c>
      <c r="I118" s="317">
        <f t="shared" si="1"/>
        <v>56000</v>
      </c>
      <c r="J118" s="318">
        <f t="shared" si="2"/>
        <v>56</v>
      </c>
      <c r="K118" s="282" t="s">
        <v>2378</v>
      </c>
      <c r="L118" s="282" t="s">
        <v>2379</v>
      </c>
      <c r="M118" s="300">
        <v>46056.0</v>
      </c>
      <c r="N118" s="282" t="s">
        <v>2380</v>
      </c>
      <c r="O118" s="282" t="s">
        <v>2381</v>
      </c>
      <c r="P118" s="282"/>
      <c r="Q118" s="301" t="str">
        <f t="array" ref="Q118">IFERROR(INDEX('Bills &amp; Invoices'!$B$5:$B$32,MATCH("*"&amp;$B118&amp;"*",'Bills &amp; Invoices'!$V$5:$V$32,0)),"")</f>
        <v/>
      </c>
      <c r="R118" s="26"/>
      <c r="S118" s="26"/>
      <c r="T118" s="26"/>
      <c r="U118" s="26"/>
      <c r="V118" s="26"/>
      <c r="W118" s="26"/>
      <c r="X118" s="26"/>
      <c r="Y118" s="26"/>
      <c r="Z118" s="26"/>
      <c r="AA118" s="26"/>
      <c r="AB118" s="26"/>
      <c r="AC118" s="26"/>
    </row>
    <row r="119" ht="14.25" customHeight="1">
      <c r="A119" s="282" t="s">
        <v>2382</v>
      </c>
      <c r="B119" s="301" t="s">
        <v>2383</v>
      </c>
      <c r="C119" s="282" t="s">
        <v>783</v>
      </c>
      <c r="D119" s="282" t="str">
        <f t="array" ref="D119">IFERROR(INDEX(Companies!$B$5:$B$74,MATCH($C119,Companies!$A$5:$A$74,0)),"Unknown ID")</f>
        <v>DuraPlast Liberia Inc.</v>
      </c>
      <c r="E119" s="282" t="s">
        <v>2384</v>
      </c>
      <c r="F119" s="282" t="s">
        <v>532</v>
      </c>
      <c r="G119" s="316" t="s">
        <v>2385</v>
      </c>
      <c r="H119" s="282" t="s">
        <v>1679</v>
      </c>
      <c r="I119" s="317">
        <f t="shared" si="1"/>
        <v>371250</v>
      </c>
      <c r="J119" s="318">
        <f t="shared" si="2"/>
        <v>371.25</v>
      </c>
      <c r="K119" s="282" t="s">
        <v>2386</v>
      </c>
      <c r="L119" s="282" t="s">
        <v>2379</v>
      </c>
      <c r="M119" s="300">
        <v>46056.0</v>
      </c>
      <c r="N119" s="282" t="s">
        <v>2380</v>
      </c>
      <c r="O119" s="282" t="s">
        <v>2387</v>
      </c>
      <c r="P119" s="282"/>
      <c r="Q119" s="301" t="str">
        <f t="array" ref="Q119">IFERROR(INDEX('Bills &amp; Invoices'!$B$5:$B$32,MATCH("*"&amp;$B119&amp;"*",'Bills &amp; Invoices'!$V$5:$V$32,0)),"")</f>
        <v/>
      </c>
      <c r="R119" s="26"/>
      <c r="S119" s="26"/>
      <c r="T119" s="26"/>
      <c r="U119" s="26"/>
      <c r="V119" s="26"/>
      <c r="W119" s="26"/>
      <c r="X119" s="26"/>
      <c r="Y119" s="26"/>
      <c r="Z119" s="26"/>
      <c r="AA119" s="26"/>
      <c r="AB119" s="26"/>
      <c r="AC119" s="26"/>
    </row>
    <row r="120" ht="14.25" customHeight="1">
      <c r="A120" s="282" t="s">
        <v>2388</v>
      </c>
      <c r="B120" s="301" t="s">
        <v>2389</v>
      </c>
      <c r="C120" s="282" t="s">
        <v>783</v>
      </c>
      <c r="D120" s="282" t="str">
        <f t="array" ref="D120">IFERROR(INDEX(Companies!$B$5:$B$74,MATCH($C120,Companies!$A$5:$A$74,0)),"Unknown ID")</f>
        <v>DuraPlast Liberia Inc.</v>
      </c>
      <c r="E120" s="282" t="s">
        <v>2390</v>
      </c>
      <c r="F120" s="282" t="s">
        <v>556</v>
      </c>
      <c r="G120" s="316" t="s">
        <v>2377</v>
      </c>
      <c r="H120" s="282" t="s">
        <v>1679</v>
      </c>
      <c r="I120" s="317">
        <f t="shared" si="1"/>
        <v>56000</v>
      </c>
      <c r="J120" s="318">
        <f t="shared" si="2"/>
        <v>56</v>
      </c>
      <c r="K120" s="282" t="s">
        <v>2391</v>
      </c>
      <c r="L120" s="282" t="s">
        <v>2379</v>
      </c>
      <c r="M120" s="300">
        <v>46056.0</v>
      </c>
      <c r="N120" s="282" t="s">
        <v>2380</v>
      </c>
      <c r="O120" s="282" t="s">
        <v>2392</v>
      </c>
      <c r="P120" s="282"/>
      <c r="Q120" s="301" t="str">
        <f t="array" ref="Q120">IFERROR(INDEX('Bills &amp; Invoices'!$B$5:$B$32,MATCH("*"&amp;$B120&amp;"*",'Bills &amp; Invoices'!$V$5:$V$32,0)),"")</f>
        <v/>
      </c>
      <c r="R120" s="26"/>
      <c r="S120" s="26"/>
      <c r="T120" s="26"/>
      <c r="U120" s="26"/>
      <c r="V120" s="26"/>
      <c r="W120" s="26"/>
      <c r="X120" s="26"/>
      <c r="Y120" s="26"/>
      <c r="Z120" s="26"/>
      <c r="AA120" s="26"/>
      <c r="AB120" s="26"/>
      <c r="AC120" s="26"/>
    </row>
    <row r="121" ht="14.25" customHeight="1">
      <c r="A121" s="282" t="s">
        <v>2393</v>
      </c>
      <c r="B121" s="301" t="s">
        <v>2394</v>
      </c>
      <c r="C121" s="282" t="s">
        <v>783</v>
      </c>
      <c r="D121" s="282" t="str">
        <f t="array" ref="D121">IFERROR(INDEX(Companies!$B$5:$B$74,MATCH($C121,Companies!$A$5:$A$74,0)),"Unknown ID")</f>
        <v>DuraPlast Liberia Inc.</v>
      </c>
      <c r="E121" s="282" t="s">
        <v>619</v>
      </c>
      <c r="F121" s="282" t="s">
        <v>619</v>
      </c>
      <c r="G121" s="316">
        <v>28.08</v>
      </c>
      <c r="H121" s="282" t="s">
        <v>1225</v>
      </c>
      <c r="I121" s="317">
        <f t="shared" si="1"/>
        <v>28.08</v>
      </c>
      <c r="J121" s="318">
        <f t="shared" si="2"/>
        <v>0.02808</v>
      </c>
      <c r="K121" s="282" t="s">
        <v>2395</v>
      </c>
      <c r="L121" s="282" t="s">
        <v>2379</v>
      </c>
      <c r="M121" s="300">
        <v>46056.0</v>
      </c>
      <c r="N121" s="282" t="s">
        <v>2396</v>
      </c>
      <c r="O121" s="282" t="s">
        <v>2397</v>
      </c>
      <c r="P121" s="282"/>
      <c r="Q121" s="301" t="str">
        <f t="array" ref="Q121">IFERROR(INDEX('Bills &amp; Invoices'!$B$5:$B$32,MATCH("*"&amp;$B121&amp;"*",'Bills &amp; Invoices'!$V$5:$V$32,0)),"")</f>
        <v/>
      </c>
      <c r="R121" s="26"/>
      <c r="S121" s="26"/>
      <c r="T121" s="26"/>
      <c r="U121" s="26"/>
      <c r="V121" s="26"/>
      <c r="W121" s="26"/>
      <c r="X121" s="26"/>
      <c r="Y121" s="26"/>
      <c r="Z121" s="26"/>
      <c r="AA121" s="26"/>
      <c r="AB121" s="26"/>
      <c r="AC121" s="26"/>
    </row>
    <row r="122" ht="14.25" customHeight="1">
      <c r="A122" s="282" t="s">
        <v>2398</v>
      </c>
      <c r="B122" s="301" t="s">
        <v>2399</v>
      </c>
      <c r="C122" s="282" t="s">
        <v>783</v>
      </c>
      <c r="D122" s="282" t="str">
        <f t="array" ref="D122">IFERROR(INDEX(Companies!$B$5:$B$74,MATCH($C122,Companies!$A$5:$A$74,0)),"Unknown ID")</f>
        <v>DuraPlast Liberia Inc.</v>
      </c>
      <c r="E122" s="282" t="s">
        <v>2400</v>
      </c>
      <c r="F122" s="282" t="s">
        <v>532</v>
      </c>
      <c r="G122" s="316" t="s">
        <v>2401</v>
      </c>
      <c r="H122" s="282" t="s">
        <v>1679</v>
      </c>
      <c r="I122" s="317">
        <f t="shared" si="1"/>
        <v>247500</v>
      </c>
      <c r="J122" s="318">
        <f t="shared" si="2"/>
        <v>247.5</v>
      </c>
      <c r="K122" s="282" t="s">
        <v>2402</v>
      </c>
      <c r="L122" s="282" t="s">
        <v>2379</v>
      </c>
      <c r="M122" s="300">
        <v>46056.0</v>
      </c>
      <c r="N122" s="282" t="s">
        <v>2380</v>
      </c>
      <c r="O122" s="282" t="s">
        <v>2403</v>
      </c>
      <c r="P122" s="282"/>
      <c r="Q122" s="301" t="str">
        <f t="array" ref="Q122">IFERROR(INDEX('Bills &amp; Invoices'!$B$5:$B$32,MATCH("*"&amp;$B122&amp;"*",'Bills &amp; Invoices'!$V$5:$V$32,0)),"")</f>
        <v/>
      </c>
      <c r="R122" s="26"/>
      <c r="S122" s="26"/>
      <c r="T122" s="26"/>
      <c r="U122" s="26"/>
      <c r="V122" s="26"/>
      <c r="W122" s="26"/>
      <c r="X122" s="26"/>
      <c r="Y122" s="26"/>
      <c r="Z122" s="26"/>
      <c r="AA122" s="26"/>
      <c r="AB122" s="26"/>
      <c r="AC122" s="26"/>
    </row>
    <row r="123" ht="14.25" customHeight="1">
      <c r="A123" s="282" t="s">
        <v>2404</v>
      </c>
      <c r="B123" s="301" t="s">
        <v>2405</v>
      </c>
      <c r="C123" s="282" t="s">
        <v>783</v>
      </c>
      <c r="D123" s="282" t="str">
        <f t="array" ref="D123">IFERROR(INDEX(Companies!$B$5:$B$74,MATCH($C123,Companies!$A$5:$A$74,0)),"Unknown ID")</f>
        <v>DuraPlast Liberia Inc.</v>
      </c>
      <c r="E123" s="282" t="s">
        <v>2406</v>
      </c>
      <c r="F123" s="282" t="s">
        <v>546</v>
      </c>
      <c r="G123" s="316">
        <v>15292.0</v>
      </c>
      <c r="H123" s="282" t="s">
        <v>1225</v>
      </c>
      <c r="I123" s="317">
        <f t="shared" si="1"/>
        <v>15292</v>
      </c>
      <c r="J123" s="318">
        <f t="shared" si="2"/>
        <v>15.292</v>
      </c>
      <c r="K123" s="282" t="s">
        <v>2407</v>
      </c>
      <c r="L123" s="282" t="s">
        <v>2379</v>
      </c>
      <c r="M123" s="300">
        <v>46056.0</v>
      </c>
      <c r="N123" s="282" t="s">
        <v>2408</v>
      </c>
      <c r="O123" s="282" t="s">
        <v>2409</v>
      </c>
      <c r="P123" s="282"/>
      <c r="Q123" s="301" t="str">
        <f t="array" ref="Q123">IFERROR(INDEX('Bills &amp; Invoices'!$B$5:$B$32,MATCH("*"&amp;$B123&amp;"*",'Bills &amp; Invoices'!$V$5:$V$32,0)),"")</f>
        <v/>
      </c>
      <c r="R123" s="26"/>
      <c r="S123" s="26"/>
      <c r="T123" s="26"/>
      <c r="U123" s="26"/>
      <c r="V123" s="26"/>
      <c r="W123" s="26"/>
      <c r="X123" s="26"/>
      <c r="Y123" s="26"/>
      <c r="Z123" s="26"/>
      <c r="AA123" s="26"/>
      <c r="AB123" s="26"/>
      <c r="AC123" s="26"/>
    </row>
    <row r="124" ht="14.25" customHeight="1">
      <c r="A124" s="282" t="s">
        <v>2410</v>
      </c>
      <c r="B124" s="301" t="s">
        <v>2411</v>
      </c>
      <c r="C124" s="282" t="s">
        <v>783</v>
      </c>
      <c r="D124" s="282" t="str">
        <f t="array" ref="D124">IFERROR(INDEX(Companies!$B$5:$B$74,MATCH($C124,Companies!$A$5:$A$74,0)),"Unknown ID")</f>
        <v>DuraPlast Liberia Inc.</v>
      </c>
      <c r="E124" s="282" t="s">
        <v>540</v>
      </c>
      <c r="F124" s="282" t="s">
        <v>540</v>
      </c>
      <c r="G124" s="316">
        <v>99960.0</v>
      </c>
      <c r="H124" s="282" t="s">
        <v>1225</v>
      </c>
      <c r="I124" s="317">
        <f t="shared" si="1"/>
        <v>99960</v>
      </c>
      <c r="J124" s="318">
        <f t="shared" si="2"/>
        <v>99.96</v>
      </c>
      <c r="K124" s="282" t="s">
        <v>2412</v>
      </c>
      <c r="L124" s="282" t="s">
        <v>2379</v>
      </c>
      <c r="M124" s="300">
        <v>46056.0</v>
      </c>
      <c r="N124" s="282" t="s">
        <v>2380</v>
      </c>
      <c r="O124" s="282" t="s">
        <v>2413</v>
      </c>
      <c r="P124" s="282"/>
      <c r="Q124" s="301" t="str">
        <f t="array" ref="Q124">IFERROR(INDEX('Bills &amp; Invoices'!$B$5:$B$32,MATCH("*"&amp;$B124&amp;"*",'Bills &amp; Invoices'!$V$5:$V$32,0)),"")</f>
        <v/>
      </c>
      <c r="R124" s="26"/>
      <c r="S124" s="26"/>
      <c r="T124" s="26"/>
      <c r="U124" s="26"/>
      <c r="V124" s="26"/>
      <c r="W124" s="26"/>
      <c r="X124" s="26"/>
      <c r="Y124" s="26"/>
      <c r="Z124" s="26"/>
      <c r="AA124" s="26"/>
      <c r="AB124" s="26"/>
      <c r="AC124" s="26"/>
    </row>
    <row r="125" ht="14.25" customHeight="1">
      <c r="A125" s="282" t="s">
        <v>2414</v>
      </c>
      <c r="B125" s="301" t="s">
        <v>2415</v>
      </c>
      <c r="C125" s="282" t="s">
        <v>783</v>
      </c>
      <c r="D125" s="282" t="str">
        <f t="array" ref="D125">IFERROR(INDEX(Companies!$B$5:$B$74,MATCH($C125,Companies!$A$5:$A$74,0)),"Unknown ID")</f>
        <v>DuraPlast Liberia Inc.</v>
      </c>
      <c r="E125" s="282" t="s">
        <v>2416</v>
      </c>
      <c r="F125" s="282" t="s">
        <v>532</v>
      </c>
      <c r="G125" s="316" t="s">
        <v>2417</v>
      </c>
      <c r="H125" s="282" t="s">
        <v>1679</v>
      </c>
      <c r="I125" s="317">
        <f t="shared" si="1"/>
        <v>51000</v>
      </c>
      <c r="J125" s="318">
        <f t="shared" si="2"/>
        <v>51</v>
      </c>
      <c r="K125" s="282" t="s">
        <v>2418</v>
      </c>
      <c r="L125" s="282" t="s">
        <v>2379</v>
      </c>
      <c r="M125" s="300">
        <v>46056.0</v>
      </c>
      <c r="N125" s="282" t="s">
        <v>2380</v>
      </c>
      <c r="O125" s="282" t="s">
        <v>2419</v>
      </c>
      <c r="P125" s="282"/>
      <c r="Q125" s="301" t="str">
        <f t="array" ref="Q125">IFERROR(INDEX('Bills &amp; Invoices'!$B$5:$B$32,MATCH("*"&amp;$B125&amp;"*",'Bills &amp; Invoices'!$V$5:$V$32,0)),"")</f>
        <v/>
      </c>
      <c r="R125" s="26"/>
      <c r="S125" s="26"/>
      <c r="T125" s="26"/>
      <c r="U125" s="26"/>
      <c r="V125" s="26"/>
      <c r="W125" s="26"/>
      <c r="X125" s="26"/>
      <c r="Y125" s="26"/>
      <c r="Z125" s="26"/>
      <c r="AA125" s="26"/>
      <c r="AB125" s="26"/>
      <c r="AC125" s="26"/>
    </row>
    <row r="126" ht="14.25" customHeight="1">
      <c r="A126" s="282" t="s">
        <v>2420</v>
      </c>
      <c r="B126" s="301" t="s">
        <v>2421</v>
      </c>
      <c r="C126" s="282" t="s">
        <v>783</v>
      </c>
      <c r="D126" s="282" t="str">
        <f t="array" ref="D126">IFERROR(INDEX(Companies!$B$5:$B$74,MATCH($C126,Companies!$A$5:$A$74,0)),"Unknown ID")</f>
        <v>DuraPlast Liberia Inc.</v>
      </c>
      <c r="E126" s="282" t="s">
        <v>2422</v>
      </c>
      <c r="F126" s="282" t="s">
        <v>565</v>
      </c>
      <c r="G126" s="316">
        <v>20000.0</v>
      </c>
      <c r="H126" s="282" t="s">
        <v>1225</v>
      </c>
      <c r="I126" s="317">
        <f t="shared" si="1"/>
        <v>20000</v>
      </c>
      <c r="J126" s="318">
        <f t="shared" si="2"/>
        <v>20</v>
      </c>
      <c r="K126" s="282" t="s">
        <v>2423</v>
      </c>
      <c r="L126" s="282" t="s">
        <v>2379</v>
      </c>
      <c r="M126" s="300">
        <v>46056.0</v>
      </c>
      <c r="N126" s="282" t="s">
        <v>2380</v>
      </c>
      <c r="O126" s="282" t="s">
        <v>2424</v>
      </c>
      <c r="P126" s="282"/>
      <c r="Q126" s="301" t="str">
        <f t="array" ref="Q126">IFERROR(INDEX('Bills &amp; Invoices'!$B$5:$B$32,MATCH("*"&amp;$B126&amp;"*",'Bills &amp; Invoices'!$V$5:$V$32,0)),"")</f>
        <v/>
      </c>
      <c r="R126" s="26"/>
      <c r="S126" s="26"/>
      <c r="T126" s="26"/>
      <c r="U126" s="26"/>
      <c r="V126" s="26"/>
      <c r="W126" s="26"/>
      <c r="X126" s="26"/>
      <c r="Y126" s="26"/>
      <c r="Z126" s="26"/>
      <c r="AA126" s="26"/>
      <c r="AB126" s="26"/>
      <c r="AC126" s="26"/>
    </row>
    <row r="127" ht="14.25" customHeight="1">
      <c r="A127" s="282" t="s">
        <v>2425</v>
      </c>
      <c r="B127" s="301" t="s">
        <v>2426</v>
      </c>
      <c r="C127" s="282" t="s">
        <v>783</v>
      </c>
      <c r="D127" s="282" t="str">
        <f t="array" ref="D127">IFERROR(INDEX(Companies!$B$5:$B$74,MATCH($C127,Companies!$A$5:$A$74,0)),"Unknown ID")</f>
        <v>DuraPlast Liberia Inc.</v>
      </c>
      <c r="E127" s="282" t="s">
        <v>2427</v>
      </c>
      <c r="F127" s="282" t="s">
        <v>546</v>
      </c>
      <c r="G127" s="316">
        <v>20506.0</v>
      </c>
      <c r="H127" s="282" t="s">
        <v>1225</v>
      </c>
      <c r="I127" s="317">
        <f t="shared" si="1"/>
        <v>20506</v>
      </c>
      <c r="J127" s="318">
        <f t="shared" si="2"/>
        <v>20.506</v>
      </c>
      <c r="K127" s="282" t="s">
        <v>2423</v>
      </c>
      <c r="L127" s="282" t="s">
        <v>2379</v>
      </c>
      <c r="M127" s="300">
        <v>46056.0</v>
      </c>
      <c r="N127" s="282" t="s">
        <v>2380</v>
      </c>
      <c r="O127" s="282" t="s">
        <v>2428</v>
      </c>
      <c r="P127" s="282"/>
      <c r="Q127" s="301" t="str">
        <f t="array" ref="Q127">IFERROR(INDEX('Bills &amp; Invoices'!$B$5:$B$32,MATCH("*"&amp;$B127&amp;"*",'Bills &amp; Invoices'!$V$5:$V$32,0)),"")</f>
        <v/>
      </c>
      <c r="R127" s="26"/>
      <c r="S127" s="26"/>
      <c r="T127" s="26"/>
      <c r="U127" s="26"/>
      <c r="V127" s="26"/>
      <c r="W127" s="26"/>
      <c r="X127" s="26"/>
      <c r="Y127" s="26"/>
      <c r="Z127" s="26"/>
      <c r="AA127" s="26"/>
      <c r="AB127" s="26"/>
      <c r="AC127" s="26"/>
    </row>
    <row r="128" ht="14.25" customHeight="1">
      <c r="A128" s="282" t="s">
        <v>2429</v>
      </c>
      <c r="B128" s="301" t="s">
        <v>2430</v>
      </c>
      <c r="C128" s="282" t="s">
        <v>783</v>
      </c>
      <c r="D128" s="282" t="str">
        <f t="array" ref="D128">IFERROR(INDEX(Companies!$B$5:$B$74,MATCH($C128,Companies!$A$5:$A$74,0)),"Unknown ID")</f>
        <v>DuraPlast Liberia Inc.</v>
      </c>
      <c r="E128" s="282" t="s">
        <v>2431</v>
      </c>
      <c r="F128" s="282" t="s">
        <v>532</v>
      </c>
      <c r="G128" s="316">
        <v>84000.0</v>
      </c>
      <c r="H128" s="282" t="s">
        <v>1225</v>
      </c>
      <c r="I128" s="317">
        <f t="shared" si="1"/>
        <v>84000</v>
      </c>
      <c r="J128" s="318">
        <f t="shared" si="2"/>
        <v>84</v>
      </c>
      <c r="K128" s="282" t="s">
        <v>2432</v>
      </c>
      <c r="L128" s="282" t="s">
        <v>2433</v>
      </c>
      <c r="M128" s="300">
        <v>46056.0</v>
      </c>
      <c r="N128" s="282"/>
      <c r="O128" s="282" t="s">
        <v>2434</v>
      </c>
      <c r="P128" s="282"/>
      <c r="Q128" s="301" t="str">
        <f t="array" ref="Q128">IFERROR(INDEX('Bills &amp; Invoices'!$B$5:$B$32,MATCH("*"&amp;$B128&amp;"*",'Bills &amp; Invoices'!$V$5:$V$32,0)),"")</f>
        <v/>
      </c>
      <c r="R128" s="26"/>
      <c r="S128" s="26"/>
      <c r="T128" s="26"/>
      <c r="U128" s="26"/>
      <c r="V128" s="26"/>
      <c r="W128" s="26"/>
      <c r="X128" s="26"/>
      <c r="Y128" s="26"/>
      <c r="Z128" s="26"/>
      <c r="AA128" s="26"/>
      <c r="AB128" s="26"/>
      <c r="AC128" s="26"/>
    </row>
    <row r="129" ht="14.25" customHeight="1">
      <c r="A129" s="282" t="s">
        <v>2435</v>
      </c>
      <c r="B129" s="301" t="s">
        <v>2436</v>
      </c>
      <c r="C129" s="282" t="s">
        <v>783</v>
      </c>
      <c r="D129" s="282" t="str">
        <f t="array" ref="D129">IFERROR(INDEX(Companies!$B$5:$B$74,MATCH($C129,Companies!$A$5:$A$74,0)),"Unknown ID")</f>
        <v>DuraPlast Liberia Inc.</v>
      </c>
      <c r="E129" s="282" t="s">
        <v>2437</v>
      </c>
      <c r="F129" s="282" t="s">
        <v>546</v>
      </c>
      <c r="G129" s="316">
        <v>36000.0</v>
      </c>
      <c r="H129" s="282" t="s">
        <v>1225</v>
      </c>
      <c r="I129" s="317">
        <f t="shared" si="1"/>
        <v>36000</v>
      </c>
      <c r="J129" s="318">
        <f t="shared" si="2"/>
        <v>36</v>
      </c>
      <c r="K129" s="282" t="s">
        <v>2438</v>
      </c>
      <c r="L129" s="282" t="s">
        <v>2433</v>
      </c>
      <c r="M129" s="300">
        <v>46056.0</v>
      </c>
      <c r="N129" s="282" t="s">
        <v>2380</v>
      </c>
      <c r="O129" s="282" t="s">
        <v>2439</v>
      </c>
      <c r="P129" s="282"/>
      <c r="Q129" s="301" t="str">
        <f t="array" ref="Q129">IFERROR(INDEX('Bills &amp; Invoices'!$B$5:$B$32,MATCH("*"&amp;$B129&amp;"*",'Bills &amp; Invoices'!$V$5:$V$32,0)),"")</f>
        <v/>
      </c>
      <c r="R129" s="26"/>
      <c r="S129" s="26"/>
      <c r="T129" s="26"/>
      <c r="U129" s="26"/>
      <c r="V129" s="26"/>
      <c r="W129" s="26"/>
      <c r="X129" s="26"/>
      <c r="Y129" s="26"/>
      <c r="Z129" s="26"/>
      <c r="AA129" s="26"/>
      <c r="AB129" s="26"/>
      <c r="AC129" s="26"/>
    </row>
    <row r="130" ht="14.25" customHeight="1">
      <c r="A130" s="282" t="s">
        <v>2440</v>
      </c>
      <c r="B130" s="301" t="s">
        <v>2441</v>
      </c>
      <c r="C130" s="282" t="s">
        <v>783</v>
      </c>
      <c r="D130" s="282" t="str">
        <f t="array" ref="D130">IFERROR(INDEX(Companies!$B$5:$B$74,MATCH($C130,Companies!$A$5:$A$74,0)),"Unknown ID")</f>
        <v>DuraPlast Liberia Inc.</v>
      </c>
      <c r="E130" s="282" t="s">
        <v>2442</v>
      </c>
      <c r="F130" s="282" t="s">
        <v>532</v>
      </c>
      <c r="G130" s="316">
        <v>101376.0</v>
      </c>
      <c r="H130" s="282" t="s">
        <v>1225</v>
      </c>
      <c r="I130" s="317">
        <f t="shared" si="1"/>
        <v>101376</v>
      </c>
      <c r="J130" s="318">
        <f t="shared" si="2"/>
        <v>101.376</v>
      </c>
      <c r="K130" s="282" t="s">
        <v>2443</v>
      </c>
      <c r="L130" s="282" t="s">
        <v>2433</v>
      </c>
      <c r="M130" s="300">
        <v>46056.0</v>
      </c>
      <c r="N130" s="282" t="s">
        <v>2380</v>
      </c>
      <c r="O130" s="282" t="s">
        <v>2444</v>
      </c>
      <c r="P130" s="282"/>
      <c r="Q130" s="301" t="str">
        <f t="array" ref="Q130">IFERROR(INDEX('Bills &amp; Invoices'!$B$5:$B$32,MATCH("*"&amp;$B130&amp;"*",'Bills &amp; Invoices'!$V$5:$V$32,0)),"")</f>
        <v/>
      </c>
      <c r="R130" s="26"/>
      <c r="S130" s="26"/>
      <c r="T130" s="26"/>
      <c r="U130" s="26"/>
      <c r="V130" s="26"/>
      <c r="W130" s="26"/>
      <c r="X130" s="26"/>
      <c r="Y130" s="26"/>
      <c r="Z130" s="26"/>
      <c r="AA130" s="26"/>
      <c r="AB130" s="26"/>
      <c r="AC130" s="26"/>
    </row>
    <row r="131" ht="14.25" customHeight="1">
      <c r="A131" s="282" t="s">
        <v>2445</v>
      </c>
      <c r="B131" s="301" t="s">
        <v>2446</v>
      </c>
      <c r="C131" s="282" t="s">
        <v>783</v>
      </c>
      <c r="D131" s="282" t="str">
        <f t="array" ref="D131">IFERROR(INDEX(Companies!$B$5:$B$74,MATCH($C131,Companies!$A$5:$A$74,0)),"Unknown ID")</f>
        <v>DuraPlast Liberia Inc.</v>
      </c>
      <c r="E131" s="282" t="s">
        <v>2447</v>
      </c>
      <c r="F131" s="282" t="s">
        <v>546</v>
      </c>
      <c r="G131" s="316">
        <v>16845.0</v>
      </c>
      <c r="H131" s="282" t="s">
        <v>1225</v>
      </c>
      <c r="I131" s="317">
        <f t="shared" si="1"/>
        <v>16845</v>
      </c>
      <c r="J131" s="318">
        <f t="shared" si="2"/>
        <v>16.845</v>
      </c>
      <c r="K131" s="282" t="s">
        <v>2448</v>
      </c>
      <c r="L131" s="282" t="s">
        <v>2433</v>
      </c>
      <c r="M131" s="300">
        <v>46056.0</v>
      </c>
      <c r="N131" s="282" t="s">
        <v>2380</v>
      </c>
      <c r="O131" s="282" t="s">
        <v>2449</v>
      </c>
      <c r="P131" s="282"/>
      <c r="Q131" s="301" t="str">
        <f t="array" ref="Q131">IFERROR(INDEX('Bills &amp; Invoices'!$B$5:$B$32,MATCH("*"&amp;$B131&amp;"*",'Bills &amp; Invoices'!$V$5:$V$32,0)),"")</f>
        <v/>
      </c>
      <c r="R131" s="26"/>
      <c r="S131" s="26"/>
      <c r="T131" s="26"/>
      <c r="U131" s="26"/>
      <c r="V131" s="26"/>
      <c r="W131" s="26"/>
      <c r="X131" s="26"/>
      <c r="Y131" s="26"/>
      <c r="Z131" s="26"/>
      <c r="AA131" s="26"/>
      <c r="AB131" s="26"/>
      <c r="AC131" s="26"/>
    </row>
    <row r="132" ht="14.25" customHeight="1">
      <c r="A132" s="282" t="s">
        <v>2450</v>
      </c>
      <c r="B132" s="301" t="s">
        <v>2451</v>
      </c>
      <c r="C132" s="282" t="s">
        <v>783</v>
      </c>
      <c r="D132" s="282" t="str">
        <f t="array" ref="D132">IFERROR(INDEX(Companies!$B$5:$B$74,MATCH($C132,Companies!$A$5:$A$74,0)),"Unknown ID")</f>
        <v>DuraPlast Liberia Inc.</v>
      </c>
      <c r="E132" s="282" t="s">
        <v>1395</v>
      </c>
      <c r="F132" s="282" t="s">
        <v>539</v>
      </c>
      <c r="G132" s="316">
        <v>27007.7</v>
      </c>
      <c r="H132" s="282" t="s">
        <v>1225</v>
      </c>
      <c r="I132" s="317">
        <f t="shared" si="1"/>
        <v>27007.7</v>
      </c>
      <c r="J132" s="318">
        <f t="shared" si="2"/>
        <v>27.0077</v>
      </c>
      <c r="K132" s="282" t="s">
        <v>2452</v>
      </c>
      <c r="L132" s="282" t="s">
        <v>2433</v>
      </c>
      <c r="M132" s="300">
        <v>46056.0</v>
      </c>
      <c r="N132" s="282" t="s">
        <v>2380</v>
      </c>
      <c r="O132" s="282" t="s">
        <v>2453</v>
      </c>
      <c r="P132" s="282"/>
      <c r="Q132" s="301" t="str">
        <f t="array" ref="Q132">IFERROR(INDEX('Bills &amp; Invoices'!$B$5:$B$32,MATCH("*"&amp;$B132&amp;"*",'Bills &amp; Invoices'!$V$5:$V$32,0)),"")</f>
        <v/>
      </c>
      <c r="R132" s="26"/>
      <c r="S132" s="26"/>
      <c r="T132" s="26"/>
      <c r="U132" s="26"/>
      <c r="V132" s="26"/>
      <c r="W132" s="26"/>
      <c r="X132" s="26"/>
      <c r="Y132" s="26"/>
      <c r="Z132" s="26"/>
      <c r="AA132" s="26"/>
      <c r="AB132" s="26"/>
      <c r="AC132" s="26"/>
    </row>
    <row r="133" ht="14.25" customHeight="1">
      <c r="A133" s="282" t="s">
        <v>2454</v>
      </c>
      <c r="B133" s="301" t="s">
        <v>2455</v>
      </c>
      <c r="C133" s="282" t="s">
        <v>783</v>
      </c>
      <c r="D133" s="282" t="str">
        <f t="array" ref="D133">IFERROR(INDEX(Companies!$B$5:$B$74,MATCH($C133,Companies!$A$5:$A$74,0)),"Unknown ID")</f>
        <v>DuraPlast Liberia Inc.</v>
      </c>
      <c r="E133" s="282" t="s">
        <v>2456</v>
      </c>
      <c r="F133" s="282" t="s">
        <v>546</v>
      </c>
      <c r="G133" s="316">
        <v>25344.0</v>
      </c>
      <c r="H133" s="282" t="s">
        <v>1225</v>
      </c>
      <c r="I133" s="317">
        <f t="shared" si="1"/>
        <v>25344</v>
      </c>
      <c r="J133" s="318">
        <f t="shared" si="2"/>
        <v>25.344</v>
      </c>
      <c r="K133" s="282" t="s">
        <v>2457</v>
      </c>
      <c r="L133" s="282" t="s">
        <v>2433</v>
      </c>
      <c r="M133" s="300">
        <v>46056.0</v>
      </c>
      <c r="N133" s="282" t="s">
        <v>2380</v>
      </c>
      <c r="O133" s="282" t="s">
        <v>2458</v>
      </c>
      <c r="P133" s="282"/>
      <c r="Q133" s="301" t="str">
        <f t="array" ref="Q133">IFERROR(INDEX('Bills &amp; Invoices'!$B$5:$B$32,MATCH("*"&amp;$B133&amp;"*",'Bills &amp; Invoices'!$V$5:$V$32,0)),"")</f>
        <v/>
      </c>
      <c r="R133" s="26"/>
      <c r="S133" s="26"/>
      <c r="T133" s="26"/>
      <c r="U133" s="26"/>
      <c r="V133" s="26"/>
      <c r="W133" s="26"/>
      <c r="X133" s="26"/>
      <c r="Y133" s="26"/>
      <c r="Z133" s="26"/>
      <c r="AA133" s="26"/>
      <c r="AB133" s="26"/>
      <c r="AC133" s="26"/>
    </row>
    <row r="134" ht="14.25" customHeight="1">
      <c r="A134" s="282" t="s">
        <v>2459</v>
      </c>
      <c r="B134" s="301" t="s">
        <v>2460</v>
      </c>
      <c r="C134" s="282" t="s">
        <v>783</v>
      </c>
      <c r="D134" s="282" t="str">
        <f t="array" ref="D134">IFERROR(INDEX(Companies!$B$5:$B$74,MATCH($C134,Companies!$A$5:$A$74,0)),"Unknown ID")</f>
        <v>DuraPlast Liberia Inc.</v>
      </c>
      <c r="E134" s="282" t="s">
        <v>2461</v>
      </c>
      <c r="F134" s="282" t="s">
        <v>532</v>
      </c>
      <c r="G134" s="316">
        <v>25317.0</v>
      </c>
      <c r="H134" s="282" t="s">
        <v>1225</v>
      </c>
      <c r="I134" s="317">
        <f t="shared" si="1"/>
        <v>25317</v>
      </c>
      <c r="J134" s="318">
        <f t="shared" si="2"/>
        <v>25.317</v>
      </c>
      <c r="K134" s="282" t="s">
        <v>2462</v>
      </c>
      <c r="L134" s="282" t="s">
        <v>2433</v>
      </c>
      <c r="M134" s="300">
        <v>46056.0</v>
      </c>
      <c r="N134" s="282" t="s">
        <v>2380</v>
      </c>
      <c r="O134" s="282" t="s">
        <v>2463</v>
      </c>
      <c r="P134" s="282"/>
      <c r="Q134" s="301" t="str">
        <f t="array" ref="Q134">IFERROR(INDEX('Bills &amp; Invoices'!$B$5:$B$32,MATCH("*"&amp;$B134&amp;"*",'Bills &amp; Invoices'!$V$5:$V$32,0)),"")</f>
        <v/>
      </c>
      <c r="R134" s="26"/>
      <c r="S134" s="26"/>
      <c r="T134" s="26"/>
      <c r="U134" s="26"/>
      <c r="V134" s="26"/>
      <c r="W134" s="26"/>
      <c r="X134" s="26"/>
      <c r="Y134" s="26"/>
      <c r="Z134" s="26"/>
      <c r="AA134" s="26"/>
      <c r="AB134" s="26"/>
      <c r="AC134" s="26"/>
    </row>
    <row r="135" ht="14.25" customHeight="1">
      <c r="A135" s="282" t="s">
        <v>2464</v>
      </c>
      <c r="B135" s="301" t="s">
        <v>2465</v>
      </c>
      <c r="C135" s="282" t="s">
        <v>783</v>
      </c>
      <c r="D135" s="282" t="str">
        <f t="array" ref="D135">IFERROR(INDEX(Companies!$B$5:$B$74,MATCH($C135,Companies!$A$5:$A$74,0)),"Unknown ID")</f>
        <v>DuraPlast Liberia Inc.</v>
      </c>
      <c r="E135" s="282" t="s">
        <v>2466</v>
      </c>
      <c r="F135" s="282" t="s">
        <v>577</v>
      </c>
      <c r="G135" s="316">
        <v>12800.0</v>
      </c>
      <c r="H135" s="282" t="s">
        <v>1225</v>
      </c>
      <c r="I135" s="317">
        <f t="shared" si="1"/>
        <v>12800</v>
      </c>
      <c r="J135" s="318">
        <f t="shared" si="2"/>
        <v>12.8</v>
      </c>
      <c r="K135" s="282" t="s">
        <v>2467</v>
      </c>
      <c r="L135" s="282" t="s">
        <v>2433</v>
      </c>
      <c r="M135" s="300">
        <v>46056.0</v>
      </c>
      <c r="N135" s="282" t="s">
        <v>2380</v>
      </c>
      <c r="O135" s="282" t="s">
        <v>2468</v>
      </c>
      <c r="P135" s="282"/>
      <c r="Q135" s="301" t="str">
        <f t="array" ref="Q135">IFERROR(INDEX('Bills &amp; Invoices'!$B$5:$B$32,MATCH("*"&amp;$B135&amp;"*",'Bills &amp; Invoices'!$V$5:$V$32,0)),"")</f>
        <v/>
      </c>
      <c r="R135" s="26"/>
      <c r="S135" s="26"/>
      <c r="T135" s="26"/>
      <c r="U135" s="26"/>
      <c r="V135" s="26"/>
      <c r="W135" s="26"/>
      <c r="X135" s="26"/>
      <c r="Y135" s="26"/>
      <c r="Z135" s="26"/>
      <c r="AA135" s="26"/>
      <c r="AB135" s="26"/>
      <c r="AC135" s="26"/>
    </row>
    <row r="136" ht="14.25" customHeight="1">
      <c r="A136" s="282" t="s">
        <v>2469</v>
      </c>
      <c r="B136" s="301" t="s">
        <v>2470</v>
      </c>
      <c r="C136" s="282" t="s">
        <v>783</v>
      </c>
      <c r="D136" s="282" t="str">
        <f t="array" ref="D136">IFERROR(INDEX(Companies!$B$5:$B$74,MATCH($C136,Companies!$A$5:$A$74,0)),"Unknown ID")</f>
        <v>DuraPlast Liberia Inc.</v>
      </c>
      <c r="E136" s="282" t="s">
        <v>2471</v>
      </c>
      <c r="F136" s="282" t="s">
        <v>546</v>
      </c>
      <c r="G136" s="316">
        <v>11520.0</v>
      </c>
      <c r="H136" s="282" t="s">
        <v>1225</v>
      </c>
      <c r="I136" s="317">
        <f t="shared" si="1"/>
        <v>11520</v>
      </c>
      <c r="J136" s="318">
        <f t="shared" si="2"/>
        <v>11.52</v>
      </c>
      <c r="K136" s="282" t="s">
        <v>2467</v>
      </c>
      <c r="L136" s="282" t="s">
        <v>2433</v>
      </c>
      <c r="M136" s="300">
        <v>46056.0</v>
      </c>
      <c r="N136" s="282" t="s">
        <v>2380</v>
      </c>
      <c r="O136" s="282" t="s">
        <v>2472</v>
      </c>
      <c r="P136" s="282"/>
      <c r="Q136" s="301" t="str">
        <f t="array" ref="Q136">IFERROR(INDEX('Bills &amp; Invoices'!$B$5:$B$32,MATCH("*"&amp;$B136&amp;"*",'Bills &amp; Invoices'!$V$5:$V$32,0)),"")</f>
        <v/>
      </c>
      <c r="R136" s="26"/>
      <c r="S136" s="26"/>
      <c r="T136" s="26"/>
      <c r="U136" s="26"/>
      <c r="V136" s="26"/>
      <c r="W136" s="26"/>
      <c r="X136" s="26"/>
      <c r="Y136" s="26"/>
      <c r="Z136" s="26"/>
      <c r="AA136" s="26"/>
      <c r="AB136" s="26"/>
      <c r="AC136" s="26"/>
    </row>
    <row r="137" ht="14.25" customHeight="1">
      <c r="A137" s="282" t="s">
        <v>2473</v>
      </c>
      <c r="B137" s="301" t="s">
        <v>2474</v>
      </c>
      <c r="C137" s="282" t="s">
        <v>783</v>
      </c>
      <c r="D137" s="282" t="str">
        <f t="array" ref="D137">IFERROR(INDEX(Companies!$B$5:$B$74,MATCH($C137,Companies!$A$5:$A$74,0)),"Unknown ID")</f>
        <v>DuraPlast Liberia Inc.</v>
      </c>
      <c r="E137" s="282" t="s">
        <v>2475</v>
      </c>
      <c r="F137" s="282" t="s">
        <v>546</v>
      </c>
      <c r="G137" s="316">
        <v>26500.0</v>
      </c>
      <c r="H137" s="282" t="s">
        <v>1225</v>
      </c>
      <c r="I137" s="317">
        <f t="shared" si="1"/>
        <v>26500</v>
      </c>
      <c r="J137" s="318">
        <f t="shared" si="2"/>
        <v>26.5</v>
      </c>
      <c r="K137" s="282" t="s">
        <v>2476</v>
      </c>
      <c r="L137" s="282" t="s">
        <v>2433</v>
      </c>
      <c r="M137" s="300">
        <v>46056.0</v>
      </c>
      <c r="N137" s="282" t="s">
        <v>2380</v>
      </c>
      <c r="O137" s="282" t="s">
        <v>2477</v>
      </c>
      <c r="P137" s="282"/>
      <c r="Q137" s="301" t="str">
        <f t="array" ref="Q137">IFERROR(INDEX('Bills &amp; Invoices'!$B$5:$B$32,MATCH("*"&amp;$B137&amp;"*",'Bills &amp; Invoices'!$V$5:$V$32,0)),"")</f>
        <v/>
      </c>
      <c r="R137" s="26"/>
      <c r="S137" s="26"/>
      <c r="T137" s="26"/>
      <c r="U137" s="26"/>
      <c r="V137" s="26"/>
      <c r="W137" s="26"/>
      <c r="X137" s="26"/>
      <c r="Y137" s="26"/>
      <c r="Z137" s="26"/>
      <c r="AA137" s="26"/>
      <c r="AB137" s="26"/>
      <c r="AC137" s="26"/>
    </row>
    <row r="138" ht="14.25" customHeight="1">
      <c r="A138" s="282" t="s">
        <v>2478</v>
      </c>
      <c r="B138" s="301" t="s">
        <v>2479</v>
      </c>
      <c r="C138" s="282" t="s">
        <v>783</v>
      </c>
      <c r="D138" s="282" t="str">
        <f t="array" ref="D138">IFERROR(INDEX(Companies!$B$5:$B$74,MATCH($C138,Companies!$A$5:$A$74,0)),"Unknown ID")</f>
        <v>DuraPlast Liberia Inc.</v>
      </c>
      <c r="E138" s="282" t="s">
        <v>2480</v>
      </c>
      <c r="F138" s="282" t="s">
        <v>546</v>
      </c>
      <c r="G138" s="316">
        <v>15292.0</v>
      </c>
      <c r="H138" s="282" t="s">
        <v>1225</v>
      </c>
      <c r="I138" s="317">
        <f t="shared" si="1"/>
        <v>15292</v>
      </c>
      <c r="J138" s="318">
        <f t="shared" si="2"/>
        <v>15.292</v>
      </c>
      <c r="K138" s="282" t="s">
        <v>2407</v>
      </c>
      <c r="L138" s="282" t="s">
        <v>2433</v>
      </c>
      <c r="M138" s="300">
        <v>46056.0</v>
      </c>
      <c r="N138" s="282" t="s">
        <v>2408</v>
      </c>
      <c r="O138" s="282" t="s">
        <v>2481</v>
      </c>
      <c r="P138" s="282"/>
      <c r="Q138" s="301" t="str">
        <f t="array" ref="Q138">IFERROR(INDEX('Bills &amp; Invoices'!$B$5:$B$32,MATCH("*"&amp;$B138&amp;"*",'Bills &amp; Invoices'!$V$5:$V$32,0)),"")</f>
        <v/>
      </c>
      <c r="R138" s="26"/>
      <c r="S138" s="26"/>
      <c r="T138" s="26"/>
      <c r="U138" s="26"/>
      <c r="V138" s="26"/>
      <c r="W138" s="26"/>
      <c r="X138" s="26"/>
      <c r="Y138" s="26"/>
      <c r="Z138" s="26"/>
      <c r="AA138" s="26"/>
      <c r="AB138" s="26"/>
      <c r="AC138" s="26"/>
    </row>
    <row r="139" ht="14.25" customHeight="1">
      <c r="A139" s="282" t="s">
        <v>2482</v>
      </c>
      <c r="B139" s="301" t="s">
        <v>2483</v>
      </c>
      <c r="C139" s="282" t="s">
        <v>783</v>
      </c>
      <c r="D139" s="282" t="str">
        <f t="array" ref="D139">IFERROR(INDEX(Companies!$B$5:$B$74,MATCH($C139,Companies!$A$5:$A$74,0)),"Unknown ID")</f>
        <v>DuraPlast Liberia Inc.</v>
      </c>
      <c r="E139" s="282" t="s">
        <v>2484</v>
      </c>
      <c r="F139" s="282" t="s">
        <v>532</v>
      </c>
      <c r="G139" s="316">
        <v>25369.0</v>
      </c>
      <c r="H139" s="282" t="s">
        <v>1225</v>
      </c>
      <c r="I139" s="317">
        <f t="shared" si="1"/>
        <v>25369</v>
      </c>
      <c r="J139" s="318">
        <f t="shared" si="2"/>
        <v>25.369</v>
      </c>
      <c r="K139" s="282" t="s">
        <v>2402</v>
      </c>
      <c r="L139" s="282" t="s">
        <v>2433</v>
      </c>
      <c r="M139" s="300">
        <v>46056.0</v>
      </c>
      <c r="N139" s="282" t="s">
        <v>2380</v>
      </c>
      <c r="O139" s="282" t="s">
        <v>2485</v>
      </c>
      <c r="P139" s="282"/>
      <c r="Q139" s="301" t="str">
        <f t="array" ref="Q139">IFERROR(INDEX('Bills &amp; Invoices'!$B$5:$B$32,MATCH("*"&amp;$B139&amp;"*",'Bills &amp; Invoices'!$V$5:$V$32,0)),"")</f>
        <v/>
      </c>
      <c r="R139" s="26"/>
      <c r="S139" s="26"/>
      <c r="T139" s="26"/>
      <c r="U139" s="26"/>
      <c r="V139" s="26"/>
      <c r="W139" s="26"/>
      <c r="X139" s="26"/>
      <c r="Y139" s="26"/>
      <c r="Z139" s="26"/>
      <c r="AA139" s="26"/>
      <c r="AB139" s="26"/>
      <c r="AC139" s="26"/>
    </row>
    <row r="140" ht="14.25" customHeight="1">
      <c r="A140" s="282" t="s">
        <v>2486</v>
      </c>
      <c r="B140" s="301" t="s">
        <v>2487</v>
      </c>
      <c r="C140" s="282" t="s">
        <v>783</v>
      </c>
      <c r="D140" s="282" t="str">
        <f t="array" ref="D140">IFERROR(INDEX(Companies!$B$5:$B$74,MATCH($C140,Companies!$A$5:$A$74,0)),"Unknown ID")</f>
        <v>DuraPlast Liberia Inc.</v>
      </c>
      <c r="E140" s="282" t="s">
        <v>2390</v>
      </c>
      <c r="F140" s="282" t="s">
        <v>556</v>
      </c>
      <c r="G140" s="316">
        <v>28040.0</v>
      </c>
      <c r="H140" s="282" t="s">
        <v>1225</v>
      </c>
      <c r="I140" s="317">
        <f t="shared" si="1"/>
        <v>28040</v>
      </c>
      <c r="J140" s="318">
        <f t="shared" si="2"/>
        <v>28.04</v>
      </c>
      <c r="K140" s="282" t="s">
        <v>2391</v>
      </c>
      <c r="L140" s="282" t="s">
        <v>2433</v>
      </c>
      <c r="M140" s="300">
        <v>46056.0</v>
      </c>
      <c r="N140" s="282" t="s">
        <v>2380</v>
      </c>
      <c r="O140" s="282" t="s">
        <v>2488</v>
      </c>
      <c r="P140" s="282"/>
      <c r="Q140" s="301" t="str">
        <f t="array" ref="Q140">IFERROR(INDEX('Bills &amp; Invoices'!$B$5:$B$32,MATCH("*"&amp;$B140&amp;"*",'Bills &amp; Invoices'!$V$5:$V$32,0)),"")</f>
        <v/>
      </c>
      <c r="R140" s="26"/>
      <c r="S140" s="26"/>
      <c r="T140" s="26"/>
      <c r="U140" s="26"/>
      <c r="V140" s="26"/>
      <c r="W140" s="26"/>
      <c r="X140" s="26"/>
      <c r="Y140" s="26"/>
      <c r="Z140" s="26"/>
      <c r="AA140" s="26"/>
      <c r="AB140" s="26"/>
      <c r="AC140" s="26"/>
    </row>
    <row r="141" ht="14.25" customHeight="1">
      <c r="A141" s="282" t="s">
        <v>2489</v>
      </c>
      <c r="B141" s="301" t="s">
        <v>2490</v>
      </c>
      <c r="C141" s="282" t="s">
        <v>783</v>
      </c>
      <c r="D141" s="282" t="str">
        <f t="array" ref="D141">IFERROR(INDEX(Companies!$B$5:$B$74,MATCH($C141,Companies!$A$5:$A$74,0)),"Unknown ID")</f>
        <v>DuraPlast Liberia Inc.</v>
      </c>
      <c r="E141" s="282" t="s">
        <v>2384</v>
      </c>
      <c r="F141" s="282" t="s">
        <v>532</v>
      </c>
      <c r="G141" s="316">
        <v>25344.0</v>
      </c>
      <c r="H141" s="282" t="s">
        <v>1225</v>
      </c>
      <c r="I141" s="317">
        <f t="shared" si="1"/>
        <v>25344</v>
      </c>
      <c r="J141" s="318">
        <f t="shared" si="2"/>
        <v>25.344</v>
      </c>
      <c r="K141" s="282" t="s">
        <v>2491</v>
      </c>
      <c r="L141" s="282" t="s">
        <v>2433</v>
      </c>
      <c r="M141" s="300">
        <v>46056.0</v>
      </c>
      <c r="N141" s="282" t="s">
        <v>2380</v>
      </c>
      <c r="O141" s="282" t="s">
        <v>2492</v>
      </c>
      <c r="P141" s="282"/>
      <c r="Q141" s="301" t="str">
        <f t="array" ref="Q141">IFERROR(INDEX('Bills &amp; Invoices'!$B$5:$B$32,MATCH("*"&amp;$B141&amp;"*",'Bills &amp; Invoices'!$V$5:$V$32,0)),"")</f>
        <v/>
      </c>
      <c r="R141" s="26"/>
      <c r="S141" s="26"/>
      <c r="T141" s="26"/>
      <c r="U141" s="26"/>
      <c r="V141" s="26"/>
      <c r="W141" s="26"/>
      <c r="X141" s="26"/>
      <c r="Y141" s="26"/>
      <c r="Z141" s="26"/>
      <c r="AA141" s="26"/>
      <c r="AB141" s="26"/>
      <c r="AC141" s="26"/>
    </row>
    <row r="142" ht="14.25" customHeight="1">
      <c r="A142" s="282" t="s">
        <v>2493</v>
      </c>
      <c r="B142" s="301" t="s">
        <v>2494</v>
      </c>
      <c r="C142" s="282" t="s">
        <v>783</v>
      </c>
      <c r="D142" s="282" t="str">
        <f t="array" ref="D142">IFERROR(INDEX(Companies!$B$5:$B$74,MATCH($C142,Companies!$A$5:$A$74,0)),"Unknown ID")</f>
        <v>DuraPlast Liberia Inc.</v>
      </c>
      <c r="E142" s="282" t="s">
        <v>2376</v>
      </c>
      <c r="F142" s="282" t="s">
        <v>532</v>
      </c>
      <c r="G142" s="316">
        <v>25993.0</v>
      </c>
      <c r="H142" s="282" t="s">
        <v>1225</v>
      </c>
      <c r="I142" s="317">
        <f t="shared" si="1"/>
        <v>25993</v>
      </c>
      <c r="J142" s="318">
        <f t="shared" si="2"/>
        <v>25.993</v>
      </c>
      <c r="K142" s="282" t="s">
        <v>2378</v>
      </c>
      <c r="L142" s="282" t="s">
        <v>2433</v>
      </c>
      <c r="M142" s="300">
        <v>46056.0</v>
      </c>
      <c r="N142" s="282"/>
      <c r="O142" s="282" t="s">
        <v>2495</v>
      </c>
      <c r="P142" s="282"/>
      <c r="Q142" s="301" t="str">
        <f t="array" ref="Q142">IFERROR(INDEX('Bills &amp; Invoices'!$B$5:$B$32,MATCH("*"&amp;$B142&amp;"*",'Bills &amp; Invoices'!$V$5:$V$32,0)),"")</f>
        <v/>
      </c>
      <c r="R142" s="26"/>
      <c r="S142" s="26"/>
      <c r="T142" s="26"/>
      <c r="U142" s="26"/>
      <c r="V142" s="26"/>
      <c r="W142" s="26"/>
      <c r="X142" s="26"/>
      <c r="Y142" s="26"/>
      <c r="Z142" s="26"/>
      <c r="AA142" s="26"/>
      <c r="AB142" s="26"/>
      <c r="AC142" s="26"/>
    </row>
    <row r="143" ht="14.25" customHeight="1">
      <c r="A143" s="282" t="s">
        <v>2496</v>
      </c>
      <c r="B143" s="301" t="s">
        <v>2127</v>
      </c>
      <c r="C143" s="282" t="s">
        <v>739</v>
      </c>
      <c r="D143" s="282" t="str">
        <f t="array" ref="D143">IFERROR(INDEX(Companies!$B$5:$B$74,MATCH($C143,Companies!$A$5:$A$74,0)),"Unknown ID")</f>
        <v>Bea Mountain Mining Corporation (BMMC)</v>
      </c>
      <c r="E143" s="282" t="s">
        <v>2497</v>
      </c>
      <c r="F143" s="282" t="s">
        <v>552</v>
      </c>
      <c r="G143" s="316">
        <v>2.0</v>
      </c>
      <c r="H143" s="282" t="s">
        <v>1225</v>
      </c>
      <c r="I143" s="317">
        <f t="shared" si="1"/>
        <v>2</v>
      </c>
      <c r="J143" s="318">
        <f t="shared" si="2"/>
        <v>0.002</v>
      </c>
      <c r="K143" s="282" t="s">
        <v>2498</v>
      </c>
      <c r="L143" s="282" t="s">
        <v>2499</v>
      </c>
      <c r="M143" s="300">
        <v>46126.0</v>
      </c>
      <c r="N143" s="282"/>
      <c r="O143" s="282" t="s">
        <v>2500</v>
      </c>
      <c r="P143" s="282"/>
      <c r="Q143" s="301" t="str">
        <f t="array" ref="Q143">IFERROR(INDEX('Bills &amp; Invoices'!$B$5:$B$32,MATCH("*"&amp;$B143&amp;"*",'Bills &amp; Invoices'!$V$5:$V$32,0)),"")</f>
        <v/>
      </c>
      <c r="R143" s="26"/>
      <c r="S143" s="26"/>
      <c r="T143" s="26"/>
      <c r="U143" s="26"/>
      <c r="V143" s="26"/>
      <c r="W143" s="26"/>
      <c r="X143" s="26"/>
      <c r="Y143" s="26"/>
      <c r="Z143" s="26"/>
      <c r="AA143" s="26"/>
      <c r="AB143" s="26"/>
    </row>
    <row r="144" ht="14.25" customHeight="1">
      <c r="A144" s="282" t="s">
        <v>2501</v>
      </c>
      <c r="B144" s="301" t="s">
        <v>2127</v>
      </c>
      <c r="C144" s="282" t="s">
        <v>739</v>
      </c>
      <c r="D144" s="282" t="str">
        <f t="array" ref="D144">IFERROR(INDEX(Companies!$B$5:$B$74,MATCH($C144,Companies!$A$5:$A$74,0)),"Unknown ID")</f>
        <v>Bea Mountain Mining Corporation (BMMC)</v>
      </c>
      <c r="E144" s="282" t="s">
        <v>2502</v>
      </c>
      <c r="F144" s="282" t="s">
        <v>603</v>
      </c>
      <c r="G144" s="316">
        <v>100.0</v>
      </c>
      <c r="H144" s="282" t="s">
        <v>1225</v>
      </c>
      <c r="I144" s="317">
        <f t="shared" si="1"/>
        <v>100</v>
      </c>
      <c r="J144" s="318">
        <f t="shared" si="2"/>
        <v>0.1</v>
      </c>
      <c r="K144" s="282" t="s">
        <v>2503</v>
      </c>
      <c r="L144" s="282" t="s">
        <v>2499</v>
      </c>
      <c r="M144" s="300">
        <v>46126.0</v>
      </c>
      <c r="N144" s="282" t="s">
        <v>2504</v>
      </c>
      <c r="O144" s="282" t="s">
        <v>2500</v>
      </c>
      <c r="P144" s="282"/>
      <c r="Q144" s="301" t="str">
        <f t="array" ref="Q144">IFERROR(INDEX('Bills &amp; Invoices'!$B$5:$B$32,MATCH("*"&amp;$B144&amp;"*",'Bills &amp; Invoices'!$V$5:$V$32,0)),"")</f>
        <v/>
      </c>
      <c r="R144" s="26"/>
      <c r="S144" s="26"/>
      <c r="T144" s="26"/>
      <c r="U144" s="26"/>
      <c r="V144" s="26"/>
      <c r="W144" s="26"/>
      <c r="X144" s="26"/>
      <c r="Y144" s="26"/>
      <c r="Z144" s="26"/>
      <c r="AA144" s="26"/>
      <c r="AB144" s="26"/>
    </row>
    <row r="145" ht="14.25" customHeight="1">
      <c r="A145" s="282" t="s">
        <v>2505</v>
      </c>
      <c r="B145" s="301" t="s">
        <v>2127</v>
      </c>
      <c r="C145" s="282" t="s">
        <v>739</v>
      </c>
      <c r="D145" s="282" t="str">
        <f t="array" ref="D145">IFERROR(INDEX(Companies!$B$5:$B$74,MATCH($C145,Companies!$A$5:$A$74,0)),"Unknown ID")</f>
        <v>Bea Mountain Mining Corporation (BMMC)</v>
      </c>
      <c r="E145" s="282" t="s">
        <v>597</v>
      </c>
      <c r="F145" s="282" t="s">
        <v>597</v>
      </c>
      <c r="G145" s="316">
        <v>500.0</v>
      </c>
      <c r="H145" s="282" t="s">
        <v>1225</v>
      </c>
      <c r="I145" s="317">
        <f t="shared" si="1"/>
        <v>500</v>
      </c>
      <c r="J145" s="318">
        <f t="shared" si="2"/>
        <v>0.5</v>
      </c>
      <c r="K145" s="282" t="s">
        <v>2503</v>
      </c>
      <c r="L145" s="282" t="s">
        <v>2499</v>
      </c>
      <c r="M145" s="300">
        <v>46126.0</v>
      </c>
      <c r="N145" s="282" t="s">
        <v>2504</v>
      </c>
      <c r="O145" s="282" t="s">
        <v>2500</v>
      </c>
      <c r="P145" s="282"/>
      <c r="Q145" s="301" t="str">
        <f t="array" ref="Q145">IFERROR(INDEX('Bills &amp; Invoices'!$B$5:$B$32,MATCH("*"&amp;$B145&amp;"*",'Bills &amp; Invoices'!$V$5:$V$32,0)),"")</f>
        <v/>
      </c>
      <c r="R145" s="26"/>
      <c r="S145" s="26"/>
      <c r="T145" s="26"/>
      <c r="U145" s="26"/>
      <c r="V145" s="26"/>
      <c r="W145" s="26"/>
      <c r="X145" s="26"/>
      <c r="Y145" s="26"/>
      <c r="Z145" s="26"/>
      <c r="AA145" s="26"/>
      <c r="AB145" s="26"/>
    </row>
    <row r="146" ht="14.25" customHeight="1">
      <c r="A146" s="282" t="s">
        <v>2506</v>
      </c>
      <c r="B146" s="301" t="s">
        <v>2127</v>
      </c>
      <c r="C146" s="282" t="s">
        <v>739</v>
      </c>
      <c r="D146" s="282" t="str">
        <f t="array" ref="D146">IFERROR(INDEX(Companies!$B$5:$B$74,MATCH($C146,Companies!$A$5:$A$74,0)),"Unknown ID")</f>
        <v>Bea Mountain Mining Corporation (BMMC)</v>
      </c>
      <c r="E146" s="282" t="s">
        <v>585</v>
      </c>
      <c r="F146" s="282" t="s">
        <v>585</v>
      </c>
      <c r="G146" s="316">
        <v>19300.0</v>
      </c>
      <c r="H146" s="282" t="s">
        <v>1225</v>
      </c>
      <c r="I146" s="317">
        <f t="shared" si="1"/>
        <v>19300</v>
      </c>
      <c r="J146" s="318">
        <f t="shared" si="2"/>
        <v>19.3</v>
      </c>
      <c r="K146" s="282" t="s">
        <v>2507</v>
      </c>
      <c r="L146" s="282" t="s">
        <v>2499</v>
      </c>
      <c r="M146" s="300">
        <v>46126.0</v>
      </c>
      <c r="N146" s="282"/>
      <c r="O146" s="282" t="s">
        <v>2500</v>
      </c>
      <c r="P146" s="282"/>
      <c r="Q146" s="301" t="str">
        <f t="array" ref="Q146">IFERROR(INDEX('Bills &amp; Invoices'!$B$5:$B$32,MATCH("*"&amp;$B146&amp;"*",'Bills &amp; Invoices'!$V$5:$V$32,0)),"")</f>
        <v/>
      </c>
      <c r="R146" s="26"/>
      <c r="S146" s="26"/>
      <c r="T146" s="26"/>
      <c r="U146" s="26"/>
      <c r="V146" s="26"/>
      <c r="W146" s="26"/>
      <c r="X146" s="26"/>
      <c r="Y146" s="26"/>
      <c r="Z146" s="26"/>
      <c r="AA146" s="26"/>
      <c r="AB146" s="26"/>
    </row>
    <row r="147" ht="14.25" customHeight="1">
      <c r="A147" s="282" t="s">
        <v>2508</v>
      </c>
      <c r="B147" s="301" t="s">
        <v>2127</v>
      </c>
      <c r="C147" s="282" t="s">
        <v>739</v>
      </c>
      <c r="D147" s="282" t="str">
        <f t="array" ref="D147">IFERROR(INDEX(Companies!$B$5:$B$74,MATCH($C147,Companies!$A$5:$A$74,0)),"Unknown ID")</f>
        <v>Bea Mountain Mining Corporation (BMMC)</v>
      </c>
      <c r="E147" s="282" t="s">
        <v>527</v>
      </c>
      <c r="F147" s="282" t="s">
        <v>527</v>
      </c>
      <c r="G147" s="316">
        <v>261000.0</v>
      </c>
      <c r="H147" s="282" t="s">
        <v>1225</v>
      </c>
      <c r="I147" s="317">
        <f t="shared" si="1"/>
        <v>261000</v>
      </c>
      <c r="J147" s="318">
        <f t="shared" si="2"/>
        <v>261</v>
      </c>
      <c r="K147" s="282" t="s">
        <v>2509</v>
      </c>
      <c r="L147" s="282" t="s">
        <v>2499</v>
      </c>
      <c r="M147" s="300">
        <v>46126.0</v>
      </c>
      <c r="N147" s="282"/>
      <c r="O147" s="282" t="s">
        <v>2500</v>
      </c>
      <c r="P147" s="282"/>
      <c r="Q147" s="301" t="str">
        <f t="array" ref="Q147">IFERROR(INDEX('Bills &amp; Invoices'!$B$5:$B$32,MATCH("*"&amp;$B147&amp;"*",'Bills &amp; Invoices'!$V$5:$V$32,0)),"")</f>
        <v/>
      </c>
      <c r="R147" s="26"/>
      <c r="S147" s="26"/>
      <c r="T147" s="26"/>
      <c r="U147" s="26"/>
      <c r="V147" s="26"/>
      <c r="W147" s="26"/>
      <c r="X147" s="26"/>
      <c r="Y147" s="26"/>
      <c r="Z147" s="26"/>
      <c r="AA147" s="26"/>
      <c r="AB147" s="26"/>
    </row>
    <row r="148" ht="14.25" customHeight="1">
      <c r="A148" s="282" t="s">
        <v>2510</v>
      </c>
      <c r="B148" s="301" t="s">
        <v>2127</v>
      </c>
      <c r="C148" s="282" t="s">
        <v>739</v>
      </c>
      <c r="D148" s="282" t="str">
        <f t="array" ref="D148">IFERROR(INDEX(Companies!$B$5:$B$74,MATCH($C148,Companies!$A$5:$A$74,0)),"Unknown ID")</f>
        <v>Bea Mountain Mining Corporation (BMMC)</v>
      </c>
      <c r="E148" s="282" t="s">
        <v>527</v>
      </c>
      <c r="F148" s="282" t="s">
        <v>527</v>
      </c>
      <c r="G148" s="316">
        <v>339300.0</v>
      </c>
      <c r="H148" s="282" t="s">
        <v>1225</v>
      </c>
      <c r="I148" s="317">
        <f t="shared" si="1"/>
        <v>339300</v>
      </c>
      <c r="J148" s="318">
        <f t="shared" si="2"/>
        <v>339.3</v>
      </c>
      <c r="K148" s="282" t="s">
        <v>2509</v>
      </c>
      <c r="L148" s="282" t="s">
        <v>2499</v>
      </c>
      <c r="M148" s="300">
        <v>46126.0</v>
      </c>
      <c r="N148" s="282"/>
      <c r="O148" s="282" t="s">
        <v>2500</v>
      </c>
      <c r="P148" s="282"/>
      <c r="Q148" s="301" t="str">
        <f t="array" ref="Q148">IFERROR(INDEX('Bills &amp; Invoices'!$B$5:$B$32,MATCH("*"&amp;$B148&amp;"*",'Bills &amp; Invoices'!$V$5:$V$32,0)),"")</f>
        <v/>
      </c>
      <c r="R148" s="26"/>
      <c r="S148" s="26"/>
      <c r="T148" s="26"/>
      <c r="U148" s="26"/>
      <c r="V148" s="26"/>
      <c r="W148" s="26"/>
      <c r="X148" s="26"/>
      <c r="Y148" s="26"/>
      <c r="Z148" s="26"/>
      <c r="AA148" s="26"/>
      <c r="AB148" s="26"/>
    </row>
    <row r="149" ht="14.25" customHeight="1">
      <c r="A149" s="282" t="s">
        <v>2511</v>
      </c>
      <c r="B149" s="301" t="s">
        <v>2512</v>
      </c>
      <c r="C149" s="282" t="s">
        <v>739</v>
      </c>
      <c r="D149" s="282" t="str">
        <f t="array" ref="D149">IFERROR(INDEX(Companies!$B$5:$B$74,MATCH($C149,Companies!$A$5:$A$74,0)),"Unknown ID")</f>
        <v>Bea Mountain Mining Corporation (BMMC)</v>
      </c>
      <c r="E149" s="282" t="s">
        <v>2513</v>
      </c>
      <c r="F149" s="282" t="s">
        <v>593</v>
      </c>
      <c r="G149" s="316">
        <v>60.0</v>
      </c>
      <c r="H149" s="282" t="s">
        <v>1225</v>
      </c>
      <c r="I149" s="317">
        <f t="shared" si="1"/>
        <v>60</v>
      </c>
      <c r="J149" s="318">
        <f t="shared" si="2"/>
        <v>0.06</v>
      </c>
      <c r="K149" s="282" t="s">
        <v>2514</v>
      </c>
      <c r="L149" s="282" t="s">
        <v>2252</v>
      </c>
      <c r="M149" s="300">
        <v>46155.0</v>
      </c>
      <c r="N149" s="282"/>
      <c r="O149" s="282" t="s">
        <v>2515</v>
      </c>
      <c r="P149" s="282"/>
      <c r="Q149" s="301" t="str">
        <f t="array" ref="Q149">IFERROR(INDEX('Bills &amp; Invoices'!$B$5:$B$32,MATCH("*"&amp;$B149&amp;"*",'Bills &amp; Invoices'!$V$5:$V$32,0)),"")</f>
        <v/>
      </c>
      <c r="R149" s="26"/>
      <c r="S149" s="26"/>
      <c r="T149" s="26"/>
      <c r="U149" s="26"/>
      <c r="V149" s="26"/>
      <c r="W149" s="26"/>
      <c r="X149" s="26"/>
      <c r="Y149" s="26"/>
      <c r="Z149" s="26"/>
      <c r="AA149" s="26"/>
      <c r="AB149" s="26"/>
    </row>
    <row r="150" ht="14.25" customHeight="1">
      <c r="A150" s="282" t="s">
        <v>2516</v>
      </c>
      <c r="B150" s="301" t="s">
        <v>2512</v>
      </c>
      <c r="C150" s="282" t="s">
        <v>739</v>
      </c>
      <c r="D150" s="282" t="str">
        <f t="array" ref="D150">IFERROR(INDEX(Companies!$B$5:$B$74,MATCH($C150,Companies!$A$5:$A$74,0)),"Unknown ID")</f>
        <v>Bea Mountain Mining Corporation (BMMC)</v>
      </c>
      <c r="E150" s="282" t="s">
        <v>598</v>
      </c>
      <c r="F150" s="282" t="s">
        <v>598</v>
      </c>
      <c r="G150" s="316">
        <v>45.0</v>
      </c>
      <c r="H150" s="282" t="s">
        <v>1225</v>
      </c>
      <c r="I150" s="317">
        <f t="shared" si="1"/>
        <v>45</v>
      </c>
      <c r="J150" s="318">
        <f t="shared" si="2"/>
        <v>0.045</v>
      </c>
      <c r="K150" s="282" t="s">
        <v>2517</v>
      </c>
      <c r="L150" s="282" t="s">
        <v>2252</v>
      </c>
      <c r="M150" s="300">
        <v>46155.0</v>
      </c>
      <c r="N150" s="282"/>
      <c r="O150" s="282" t="s">
        <v>2515</v>
      </c>
      <c r="P150" s="282"/>
      <c r="Q150" s="301" t="str">
        <f t="array" ref="Q150">IFERROR(INDEX('Bills &amp; Invoices'!$B$5:$B$32,MATCH("*"&amp;$B150&amp;"*",'Bills &amp; Invoices'!$V$5:$V$32,0)),"")</f>
        <v/>
      </c>
      <c r="R150" s="26"/>
      <c r="S150" s="26"/>
      <c r="T150" s="26"/>
      <c r="U150" s="26"/>
      <c r="V150" s="26"/>
      <c r="W150" s="26"/>
      <c r="X150" s="26"/>
      <c r="Y150" s="26"/>
      <c r="Z150" s="26"/>
      <c r="AA150" s="26"/>
      <c r="AB150" s="26"/>
    </row>
    <row r="151" ht="14.25" customHeight="1">
      <c r="A151" s="282" t="s">
        <v>2518</v>
      </c>
      <c r="B151" s="301" t="s">
        <v>2512</v>
      </c>
      <c r="C151" s="282" t="s">
        <v>739</v>
      </c>
      <c r="D151" s="282" t="str">
        <f t="array" ref="D151">IFERROR(INDEX(Companies!$B$5:$B$74,MATCH($C151,Companies!$A$5:$A$74,0)),"Unknown ID")</f>
        <v>Bea Mountain Mining Corporation (BMMC)</v>
      </c>
      <c r="E151" s="282" t="s">
        <v>598</v>
      </c>
      <c r="F151" s="282" t="s">
        <v>598</v>
      </c>
      <c r="G151" s="316">
        <v>45.0</v>
      </c>
      <c r="H151" s="282" t="s">
        <v>1225</v>
      </c>
      <c r="I151" s="317">
        <f t="shared" si="1"/>
        <v>45</v>
      </c>
      <c r="J151" s="318">
        <f t="shared" si="2"/>
        <v>0.045</v>
      </c>
      <c r="K151" s="282" t="s">
        <v>2519</v>
      </c>
      <c r="L151" s="282" t="s">
        <v>2252</v>
      </c>
      <c r="M151" s="300">
        <v>46155.0</v>
      </c>
      <c r="N151" s="282"/>
      <c r="O151" s="282" t="s">
        <v>2515</v>
      </c>
      <c r="P151" s="282"/>
      <c r="Q151" s="301" t="str">
        <f t="array" ref="Q151">IFERROR(INDEX('Bills &amp; Invoices'!$B$5:$B$32,MATCH("*"&amp;$B151&amp;"*",'Bills &amp; Invoices'!$V$5:$V$32,0)),"")</f>
        <v/>
      </c>
      <c r="R151" s="26"/>
      <c r="S151" s="26"/>
      <c r="T151" s="26"/>
      <c r="U151" s="26"/>
      <c r="V151" s="26"/>
      <c r="W151" s="26"/>
      <c r="X151" s="26"/>
      <c r="Y151" s="26"/>
      <c r="Z151" s="26"/>
      <c r="AA151" s="26"/>
      <c r="AB151" s="26"/>
    </row>
    <row r="152" ht="14.25" customHeight="1">
      <c r="A152" s="282" t="s">
        <v>2520</v>
      </c>
      <c r="B152" s="301" t="s">
        <v>2521</v>
      </c>
      <c r="C152" s="282" t="s">
        <v>1010</v>
      </c>
      <c r="D152" s="282" t="str">
        <f t="array" ref="D152">IFERROR(INDEX(Companies!$B$5:$B$74,MATCH($C152,Companies!$A$5:$A$74,0)),"Unknown ID")</f>
        <v>Cheema &amp; Chahal Incorporated</v>
      </c>
      <c r="E152" s="282" t="s">
        <v>2522</v>
      </c>
      <c r="F152" s="282" t="s">
        <v>2523</v>
      </c>
      <c r="G152" s="316">
        <v>54236.0</v>
      </c>
      <c r="H152" s="282" t="s">
        <v>1225</v>
      </c>
      <c r="I152" s="317">
        <f t="shared" si="1"/>
        <v>54236</v>
      </c>
      <c r="J152" s="318">
        <f t="shared" si="2"/>
        <v>54.236</v>
      </c>
      <c r="K152" s="282" t="s">
        <v>2524</v>
      </c>
      <c r="L152" s="282" t="s">
        <v>2525</v>
      </c>
      <c r="M152" s="300">
        <v>46128.0</v>
      </c>
      <c r="N152" s="282"/>
      <c r="O152" s="282" t="s">
        <v>2526</v>
      </c>
      <c r="P152" s="282"/>
      <c r="Q152" s="301" t="str">
        <f t="array" ref="Q152">IFERROR(INDEX('Bills &amp; Invoices'!$B$5:$B$32,MATCH("*"&amp;$B152&amp;"*",'Bills &amp; Invoices'!$V$5:$V$32,0)),"")</f>
        <v/>
      </c>
      <c r="R152" s="26"/>
      <c r="S152" s="26"/>
      <c r="T152" s="26"/>
      <c r="U152" s="26"/>
      <c r="V152" s="26"/>
      <c r="W152" s="26"/>
      <c r="X152" s="26"/>
      <c r="Y152" s="26"/>
      <c r="Z152" s="26"/>
      <c r="AA152" s="26"/>
    </row>
    <row r="153" ht="14.25" customHeight="1">
      <c r="A153" s="282" t="s">
        <v>2527</v>
      </c>
      <c r="B153" s="301" t="s">
        <v>2528</v>
      </c>
      <c r="C153" s="282" t="s">
        <v>1010</v>
      </c>
      <c r="D153" s="282" t="str">
        <f t="array" ref="D153">IFERROR(INDEX(Companies!$B$5:$B$74,MATCH($C153,Companies!$A$5:$A$74,0)),"Unknown ID")</f>
        <v>Cheema &amp; Chahal Incorporated</v>
      </c>
      <c r="E153" s="282" t="s">
        <v>2522</v>
      </c>
      <c r="F153" s="282" t="s">
        <v>2523</v>
      </c>
      <c r="G153" s="316">
        <v>81354.0</v>
      </c>
      <c r="H153" s="282" t="s">
        <v>1225</v>
      </c>
      <c r="I153" s="317">
        <f t="shared" si="1"/>
        <v>81354</v>
      </c>
      <c r="J153" s="318">
        <f t="shared" si="2"/>
        <v>81.354</v>
      </c>
      <c r="K153" s="282" t="s">
        <v>2529</v>
      </c>
      <c r="L153" s="282" t="s">
        <v>2530</v>
      </c>
      <c r="M153" s="300">
        <v>46128.0</v>
      </c>
      <c r="N153" s="282"/>
      <c r="O153" s="282" t="s">
        <v>2531</v>
      </c>
      <c r="P153" s="282"/>
      <c r="Q153" s="301" t="str">
        <f t="array" ref="Q153">IFERROR(INDEX('Bills &amp; Invoices'!$B$5:$B$32,MATCH("*"&amp;$B153&amp;"*",'Bills &amp; Invoices'!$V$5:$V$32,0)),"")</f>
        <v/>
      </c>
      <c r="R153" s="26"/>
      <c r="S153" s="26"/>
      <c r="T153" s="26"/>
      <c r="U153" s="26"/>
      <c r="V153" s="26"/>
      <c r="W153" s="26"/>
      <c r="X153" s="26"/>
      <c r="Y153" s="26"/>
      <c r="Z153" s="26"/>
      <c r="AA153" s="26"/>
    </row>
    <row r="154" ht="14.25" customHeight="1">
      <c r="A154" s="282" t="s">
        <v>2532</v>
      </c>
      <c r="B154" s="301" t="s">
        <v>2533</v>
      </c>
      <c r="C154" s="282" t="s">
        <v>783</v>
      </c>
      <c r="D154" s="282" t="str">
        <f t="array" ref="D154">IFERROR(INDEX(Companies!$B$5:$B$74,MATCH($C154,Companies!$A$5:$A$74,0)),"Unknown ID")</f>
        <v>DuraPlast Liberia Inc.</v>
      </c>
      <c r="E154" s="282" t="s">
        <v>2534</v>
      </c>
      <c r="F154" s="282" t="s">
        <v>565</v>
      </c>
      <c r="G154" s="316">
        <v>20560.0</v>
      </c>
      <c r="H154" s="282" t="s">
        <v>1225</v>
      </c>
      <c r="I154" s="317">
        <f t="shared" si="1"/>
        <v>20560</v>
      </c>
      <c r="J154" s="318">
        <f t="shared" si="2"/>
        <v>20.56</v>
      </c>
      <c r="K154" s="282" t="s">
        <v>2535</v>
      </c>
      <c r="L154" s="282" t="s">
        <v>2536</v>
      </c>
      <c r="M154" s="300">
        <v>46182.0</v>
      </c>
      <c r="N154" s="282" t="s">
        <v>2537</v>
      </c>
      <c r="O154" s="282" t="s">
        <v>2538</v>
      </c>
      <c r="P154" s="282"/>
      <c r="Q154" s="301" t="str">
        <f t="array" ref="Q154">IFERROR(INDEX('Bills &amp; Invoices'!$B$5:$B$32,MATCH("*"&amp;$B154&amp;"*",'Bills &amp; Invoices'!$V$5:$V$32,0)),"")</f>
        <v/>
      </c>
      <c r="R154" s="26"/>
      <c r="S154" s="26"/>
      <c r="T154" s="26"/>
      <c r="U154" s="26"/>
      <c r="V154" s="26"/>
      <c r="W154" s="26"/>
      <c r="X154" s="26"/>
      <c r="Y154" s="26"/>
      <c r="Z154" s="26"/>
      <c r="AA154" s="26"/>
    </row>
    <row r="155" ht="14.25" customHeight="1">
      <c r="A155" s="282" t="s">
        <v>2539</v>
      </c>
      <c r="B155" s="301" t="s">
        <v>2533</v>
      </c>
      <c r="C155" s="282" t="s">
        <v>783</v>
      </c>
      <c r="D155" s="282" t="str">
        <f t="array" ref="D155">IFERROR(INDEX(Companies!$B$5:$B$74,MATCH($C155,Companies!$A$5:$A$74,0)),"Unknown ID")</f>
        <v>DuraPlast Liberia Inc.</v>
      </c>
      <c r="E155" s="282" t="s">
        <v>2540</v>
      </c>
      <c r="F155" s="282" t="s">
        <v>2540</v>
      </c>
      <c r="G155" s="316">
        <v>2758.0</v>
      </c>
      <c r="H155" s="282" t="s">
        <v>1225</v>
      </c>
      <c r="I155" s="317">
        <f t="shared" si="1"/>
        <v>2758</v>
      </c>
      <c r="J155" s="318">
        <f t="shared" si="2"/>
        <v>2.758</v>
      </c>
      <c r="K155" s="282" t="s">
        <v>2541</v>
      </c>
      <c r="L155" s="282" t="s">
        <v>2536</v>
      </c>
      <c r="M155" s="300">
        <v>46182.0</v>
      </c>
      <c r="N155" s="282" t="s">
        <v>2542</v>
      </c>
      <c r="O155" s="282" t="s">
        <v>2538</v>
      </c>
      <c r="P155" s="282"/>
      <c r="Q155" s="301" t="str">
        <f t="array" ref="Q155">IFERROR(INDEX('Bills &amp; Invoices'!$B$5:$B$32,MATCH("*"&amp;$B155&amp;"*",'Bills &amp; Invoices'!$V$5:$V$32,0)),"")</f>
        <v/>
      </c>
      <c r="R155" s="26"/>
      <c r="S155" s="26"/>
      <c r="T155" s="26"/>
      <c r="U155" s="26"/>
      <c r="V155" s="26"/>
      <c r="W155" s="26"/>
      <c r="X155" s="26"/>
      <c r="Y155" s="26"/>
      <c r="Z155" s="26"/>
      <c r="AA155" s="26"/>
    </row>
    <row r="156" ht="14.25" customHeight="1">
      <c r="A156" s="282" t="s">
        <v>2543</v>
      </c>
      <c r="B156" s="301" t="s">
        <v>2544</v>
      </c>
      <c r="C156" s="282" t="s">
        <v>820</v>
      </c>
      <c r="D156" s="282" t="str">
        <f t="array" ref="D156">IFERROR(INDEX(Companies!$B$5:$B$74,MATCH($C156,Companies!$A$5:$A$74,0)),"Unknown ID")</f>
        <v>LIPFOCO Mattress Factory</v>
      </c>
      <c r="E156" s="282" t="s">
        <v>2545</v>
      </c>
      <c r="F156" s="282" t="s">
        <v>1514</v>
      </c>
      <c r="G156" s="316" t="s">
        <v>2546</v>
      </c>
      <c r="H156" s="282" t="s">
        <v>1679</v>
      </c>
      <c r="I156" s="317">
        <f t="shared" si="1"/>
        <v>95200</v>
      </c>
      <c r="J156" s="318">
        <f t="shared" si="2"/>
        <v>95.2</v>
      </c>
      <c r="K156" s="282" t="s">
        <v>2547</v>
      </c>
      <c r="L156" s="282" t="s">
        <v>2548</v>
      </c>
      <c r="M156" s="300">
        <v>46070.0</v>
      </c>
      <c r="N156" s="282"/>
      <c r="O156" s="282" t="s">
        <v>2549</v>
      </c>
      <c r="P156" s="282"/>
      <c r="Q156" s="301" t="str">
        <f t="array" ref="Q156">IFERROR(INDEX('Bills &amp; Invoices'!$B$5:$B$32,MATCH("*"&amp;$B156&amp;"*",'Bills &amp; Invoices'!$V$5:$V$32,0)),"")</f>
        <v/>
      </c>
      <c r="R156" s="26"/>
      <c r="S156" s="26"/>
      <c r="T156" s="26"/>
      <c r="U156" s="26"/>
      <c r="V156" s="26"/>
      <c r="W156" s="26"/>
      <c r="X156" s="26"/>
      <c r="Y156" s="26"/>
      <c r="Z156" s="26"/>
    </row>
    <row r="157" ht="14.25" customHeight="1">
      <c r="A157" s="282" t="s">
        <v>2550</v>
      </c>
      <c r="B157" s="301" t="s">
        <v>2544</v>
      </c>
      <c r="C157" s="282" t="s">
        <v>820</v>
      </c>
      <c r="D157" s="282" t="str">
        <f t="array" ref="D157">IFERROR(INDEX(Companies!$B$5:$B$74,MATCH($C157,Companies!$A$5:$A$74,0)),"Unknown ID")</f>
        <v>LIPFOCO Mattress Factory</v>
      </c>
      <c r="E157" s="282" t="s">
        <v>2551</v>
      </c>
      <c r="F157" s="282" t="s">
        <v>2552</v>
      </c>
      <c r="G157" s="316">
        <v>43880.0</v>
      </c>
      <c r="H157" s="282" t="s">
        <v>1225</v>
      </c>
      <c r="I157" s="317">
        <f t="shared" si="1"/>
        <v>43880</v>
      </c>
      <c r="J157" s="318">
        <f t="shared" si="2"/>
        <v>43.88</v>
      </c>
      <c r="K157" s="282" t="s">
        <v>2553</v>
      </c>
      <c r="L157" s="282" t="s">
        <v>2548</v>
      </c>
      <c r="M157" s="300">
        <v>46070.0</v>
      </c>
      <c r="N157" s="282"/>
      <c r="O157" s="282" t="s">
        <v>2549</v>
      </c>
      <c r="P157" s="282"/>
      <c r="Q157" s="301" t="str">
        <f t="array" ref="Q157">IFERROR(INDEX('Bills &amp; Invoices'!$B$5:$B$32,MATCH("*"&amp;$B157&amp;"*",'Bills &amp; Invoices'!$V$5:$V$32,0)),"")</f>
        <v/>
      </c>
      <c r="R157" s="26"/>
      <c r="S157" s="26"/>
      <c r="T157" s="26"/>
      <c r="U157" s="26"/>
      <c r="V157" s="26"/>
      <c r="W157" s="26"/>
      <c r="X157" s="26"/>
      <c r="Y157" s="26"/>
      <c r="Z157" s="26"/>
    </row>
    <row r="158" ht="14.25" customHeight="1">
      <c r="A158" s="282" t="s">
        <v>2554</v>
      </c>
      <c r="B158" s="301" t="s">
        <v>2555</v>
      </c>
      <c r="C158" s="282" t="s">
        <v>805</v>
      </c>
      <c r="D158" s="282" t="str">
        <f t="array" ref="D158">IFERROR(INDEX(Companies!$B$5:$B$74,MATCH($C158,Companies!$A$5:$A$74,0)),"Unknown ID")</f>
        <v>Mano Manufacturing Company (MANCO)</v>
      </c>
      <c r="E158" s="282" t="s">
        <v>2556</v>
      </c>
      <c r="F158" s="282" t="s">
        <v>538</v>
      </c>
      <c r="G158" s="316">
        <v>28112.0</v>
      </c>
      <c r="H158" s="282" t="s">
        <v>1225</v>
      </c>
      <c r="I158" s="317">
        <f t="shared" si="1"/>
        <v>28112</v>
      </c>
      <c r="J158" s="318">
        <f t="shared" si="2"/>
        <v>28.112</v>
      </c>
      <c r="K158" s="282" t="s">
        <v>2557</v>
      </c>
      <c r="L158" s="282" t="s">
        <v>2558</v>
      </c>
      <c r="M158" s="300">
        <v>46199.0</v>
      </c>
      <c r="N158" s="282"/>
      <c r="O158" s="282" t="s">
        <v>2559</v>
      </c>
      <c r="P158" s="282"/>
      <c r="Q158" s="301" t="str">
        <f t="array" ref="Q158">IFERROR(INDEX('Bills &amp; Invoices'!$B$5:$B$32,MATCH("*"&amp;$B158&amp;"*",'Bills &amp; Invoices'!$V$5:$V$32,0)),"")</f>
        <v/>
      </c>
      <c r="R158" s="26"/>
      <c r="S158" s="26"/>
      <c r="T158" s="26"/>
      <c r="U158" s="26"/>
      <c r="V158" s="26"/>
      <c r="W158" s="26"/>
      <c r="X158" s="26"/>
      <c r="Y158" s="26"/>
      <c r="Z158" s="26"/>
    </row>
    <row r="159" ht="14.25" customHeight="1">
      <c r="A159" s="282" t="s">
        <v>2560</v>
      </c>
      <c r="B159" s="301" t="s">
        <v>2555</v>
      </c>
      <c r="C159" s="282" t="s">
        <v>805</v>
      </c>
      <c r="D159" s="282" t="str">
        <f t="array" ref="D159">IFERROR(INDEX(Companies!$B$5:$B$74,MATCH($C159,Companies!$A$5:$A$74,0)),"Unknown ID")</f>
        <v>Mano Manufacturing Company (MANCO)</v>
      </c>
      <c r="E159" s="282" t="s">
        <v>2556</v>
      </c>
      <c r="F159" s="282" t="s">
        <v>538</v>
      </c>
      <c r="G159" s="316">
        <v>28224.0</v>
      </c>
      <c r="H159" s="282" t="s">
        <v>1225</v>
      </c>
      <c r="I159" s="317">
        <f t="shared" si="1"/>
        <v>28224</v>
      </c>
      <c r="J159" s="318">
        <f t="shared" si="2"/>
        <v>28.224</v>
      </c>
      <c r="K159" s="282" t="s">
        <v>2561</v>
      </c>
      <c r="L159" s="282" t="s">
        <v>2558</v>
      </c>
      <c r="M159" s="300">
        <v>46199.0</v>
      </c>
      <c r="N159" s="282"/>
      <c r="O159" s="282" t="s">
        <v>2559</v>
      </c>
      <c r="P159" s="282"/>
      <c r="Q159" s="301" t="str">
        <f t="array" ref="Q159">IFERROR(INDEX('Bills &amp; Invoices'!$B$5:$B$32,MATCH("*"&amp;$B159&amp;"*",'Bills &amp; Invoices'!$V$5:$V$32,0)),"")</f>
        <v/>
      </c>
      <c r="R159" s="26"/>
      <c r="S159" s="26"/>
      <c r="T159" s="26"/>
      <c r="U159" s="26"/>
      <c r="V159" s="26"/>
      <c r="W159" s="26"/>
      <c r="X159" s="26"/>
      <c r="Y159" s="26"/>
      <c r="Z159" s="26"/>
    </row>
    <row r="160" ht="14.25" customHeight="1">
      <c r="A160" s="282" t="s">
        <v>2562</v>
      </c>
      <c r="B160" s="301" t="s">
        <v>2563</v>
      </c>
      <c r="C160" s="282" t="s">
        <v>805</v>
      </c>
      <c r="D160" s="282" t="str">
        <f t="array" ref="D160">IFERROR(INDEX(Companies!$B$5:$B$74,MATCH($C160,Companies!$A$5:$A$74,0)),"Unknown ID")</f>
        <v>Mano Manufacturing Company (MANCO)</v>
      </c>
      <c r="E160" s="282" t="s">
        <v>2564</v>
      </c>
      <c r="F160" s="282" t="s">
        <v>538</v>
      </c>
      <c r="G160" s="316" t="s">
        <v>2377</v>
      </c>
      <c r="H160" s="282" t="s">
        <v>1679</v>
      </c>
      <c r="I160" s="317">
        <f t="shared" si="1"/>
        <v>56000</v>
      </c>
      <c r="J160" s="318">
        <f t="shared" si="2"/>
        <v>56</v>
      </c>
      <c r="K160" s="282" t="s">
        <v>2565</v>
      </c>
      <c r="L160" s="282" t="s">
        <v>2566</v>
      </c>
      <c r="M160" s="300">
        <v>46191.0</v>
      </c>
      <c r="N160" s="282"/>
      <c r="O160" s="282" t="s">
        <v>2567</v>
      </c>
      <c r="P160" s="282"/>
      <c r="Q160" s="301" t="str">
        <f t="array" ref="Q160">IFERROR(INDEX('Bills &amp; Invoices'!$B$5:$B$32,MATCH("*"&amp;$B160&amp;"*",'Bills &amp; Invoices'!$V$5:$V$32,0)),"")</f>
        <v/>
      </c>
      <c r="R160" s="26"/>
      <c r="S160" s="26"/>
      <c r="T160" s="26"/>
      <c r="U160" s="26"/>
      <c r="V160" s="26"/>
      <c r="W160" s="26"/>
      <c r="X160" s="26"/>
      <c r="Y160" s="26"/>
      <c r="Z160" s="26"/>
    </row>
    <row r="161" ht="14.25" customHeight="1">
      <c r="A161" s="282" t="s">
        <v>2568</v>
      </c>
      <c r="B161" s="301" t="s">
        <v>2569</v>
      </c>
      <c r="C161" s="282" t="s">
        <v>805</v>
      </c>
      <c r="D161" s="282" t="str">
        <f t="array" ref="D161">IFERROR(INDEX(Companies!$B$5:$B$74,MATCH($C161,Companies!$A$5:$A$74,0)),"Unknown ID")</f>
        <v>Mano Manufacturing Company (MANCO)</v>
      </c>
      <c r="E161" s="282" t="s">
        <v>2570</v>
      </c>
      <c r="F161" s="282" t="s">
        <v>2571</v>
      </c>
      <c r="G161" s="316">
        <v>13000.0</v>
      </c>
      <c r="H161" s="282" t="s">
        <v>1225</v>
      </c>
      <c r="I161" s="317">
        <f t="shared" si="1"/>
        <v>13000</v>
      </c>
      <c r="J161" s="318">
        <f t="shared" si="2"/>
        <v>13</v>
      </c>
      <c r="K161" s="282" t="s">
        <v>2572</v>
      </c>
      <c r="L161" s="282" t="s">
        <v>2573</v>
      </c>
      <c r="M161" s="300">
        <v>46163.0</v>
      </c>
      <c r="N161" s="282" t="s">
        <v>2574</v>
      </c>
      <c r="O161" s="282" t="s">
        <v>2575</v>
      </c>
      <c r="P161" s="282"/>
      <c r="Q161" s="301" t="str">
        <f t="array" ref="Q161">IFERROR(INDEX('Bills &amp; Invoices'!$B$5:$B$32,MATCH("*"&amp;$B161&amp;"*",'Bills &amp; Invoices'!$V$5:$V$32,0)),"")</f>
        <v/>
      </c>
      <c r="R161" s="26"/>
      <c r="S161" s="26"/>
      <c r="T161" s="26"/>
      <c r="U161" s="26"/>
      <c r="V161" s="26"/>
      <c r="W161" s="26"/>
      <c r="X161" s="26"/>
      <c r="Y161" s="26"/>
      <c r="Z161" s="26"/>
    </row>
    <row r="162" ht="14.25" customHeight="1">
      <c r="A162" s="282" t="s">
        <v>2576</v>
      </c>
      <c r="B162" s="301" t="s">
        <v>2577</v>
      </c>
      <c r="C162" s="282" t="s">
        <v>805</v>
      </c>
      <c r="D162" s="282" t="str">
        <f t="array" ref="D162">IFERROR(INDEX(Companies!$B$5:$B$74,MATCH($C162,Companies!$A$5:$A$74,0)),"Unknown ID")</f>
        <v>Mano Manufacturing Company (MANCO)</v>
      </c>
      <c r="E162" s="282" t="s">
        <v>2578</v>
      </c>
      <c r="F162" s="282" t="s">
        <v>2571</v>
      </c>
      <c r="G162" s="316" t="s">
        <v>2579</v>
      </c>
      <c r="H162" s="282"/>
      <c r="I162" s="317" t="str">
        <f t="shared" si="1"/>
        <v/>
      </c>
      <c r="J162" s="318" t="str">
        <f t="shared" si="2"/>
        <v/>
      </c>
      <c r="K162" s="282" t="s">
        <v>2580</v>
      </c>
      <c r="L162" s="282" t="s">
        <v>2581</v>
      </c>
      <c r="M162" s="300">
        <v>46059.0</v>
      </c>
      <c r="N162" s="282" t="s">
        <v>2582</v>
      </c>
      <c r="O162" s="282" t="s">
        <v>2583</v>
      </c>
      <c r="P162" s="282"/>
      <c r="Q162" s="301" t="str">
        <f t="array" ref="Q162">IFERROR(INDEX('Bills &amp; Invoices'!$B$5:$B$32,MATCH("*"&amp;$B162&amp;"*",'Bills &amp; Invoices'!$V$5:$V$32,0)),"")</f>
        <v/>
      </c>
      <c r="R162" s="26"/>
      <c r="S162" s="26"/>
      <c r="T162" s="26"/>
      <c r="U162" s="26"/>
      <c r="V162" s="26"/>
      <c r="W162" s="26"/>
      <c r="X162" s="26"/>
      <c r="Y162" s="26"/>
      <c r="Z162" s="26"/>
    </row>
    <row r="163" ht="14.25" customHeight="1">
      <c r="A163" s="282" t="s">
        <v>2584</v>
      </c>
      <c r="B163" s="301" t="s">
        <v>2585</v>
      </c>
      <c r="C163" s="282" t="s">
        <v>805</v>
      </c>
      <c r="D163" s="282" t="str">
        <f t="array" ref="D163">IFERROR(INDEX(Companies!$B$5:$B$74,MATCH($C163,Companies!$A$5:$A$74,0)),"Unknown ID")</f>
        <v>Mano Manufacturing Company (MANCO)</v>
      </c>
      <c r="E163" s="282" t="s">
        <v>2564</v>
      </c>
      <c r="F163" s="282" t="s">
        <v>538</v>
      </c>
      <c r="G163" s="316"/>
      <c r="H163" s="282"/>
      <c r="I163" s="317" t="str">
        <f t="shared" si="1"/>
        <v/>
      </c>
      <c r="J163" s="318" t="str">
        <f t="shared" si="2"/>
        <v/>
      </c>
      <c r="K163" s="282" t="s">
        <v>2586</v>
      </c>
      <c r="L163" s="282" t="s">
        <v>2587</v>
      </c>
      <c r="M163" s="300"/>
      <c r="N163" s="282" t="s">
        <v>2588</v>
      </c>
      <c r="O163" s="282" t="s">
        <v>2589</v>
      </c>
      <c r="P163" s="282"/>
      <c r="Q163" s="301" t="str">
        <f t="array" ref="Q163">IFERROR(INDEX('Bills &amp; Invoices'!$B$5:$B$32,MATCH("*"&amp;$B163&amp;"*",'Bills &amp; Invoices'!$V$5:$V$32,0)),"")</f>
        <v/>
      </c>
      <c r="R163" s="26"/>
      <c r="S163" s="26"/>
      <c r="T163" s="26"/>
      <c r="U163" s="26"/>
      <c r="V163" s="26"/>
      <c r="W163" s="26"/>
      <c r="X163" s="26"/>
      <c r="Y163" s="26"/>
      <c r="Z163" s="26"/>
    </row>
    <row r="164" ht="14.25" customHeight="1">
      <c r="A164" s="282" t="s">
        <v>2590</v>
      </c>
      <c r="B164" s="301" t="s">
        <v>2591</v>
      </c>
      <c r="C164" s="282" t="s">
        <v>805</v>
      </c>
      <c r="D164" s="282" t="str">
        <f t="array" ref="D164">IFERROR(INDEX(Companies!$B$5:$B$74,MATCH($C164,Companies!$A$5:$A$74,0)),"Unknown ID")</f>
        <v>Mano Manufacturing Company (MANCO)</v>
      </c>
      <c r="E164" s="282" t="s">
        <v>2571</v>
      </c>
      <c r="F164" s="282" t="s">
        <v>2571</v>
      </c>
      <c r="G164" s="316">
        <v>19808.0</v>
      </c>
      <c r="H164" s="282" t="s">
        <v>1225</v>
      </c>
      <c r="I164" s="317">
        <f t="shared" si="1"/>
        <v>19808</v>
      </c>
      <c r="J164" s="318">
        <f t="shared" si="2"/>
        <v>19.808</v>
      </c>
      <c r="K164" s="282" t="s">
        <v>2592</v>
      </c>
      <c r="L164" s="282" t="s">
        <v>2593</v>
      </c>
      <c r="M164" s="300">
        <v>46125.0</v>
      </c>
      <c r="N164" s="282"/>
      <c r="O164" s="282" t="s">
        <v>2594</v>
      </c>
      <c r="P164" s="282"/>
      <c r="Q164" s="301" t="str">
        <f t="array" ref="Q164">IFERROR(INDEX('Bills &amp; Invoices'!$B$5:$B$32,MATCH("*"&amp;$B164&amp;"*",'Bills &amp; Invoices'!$V$5:$V$32,0)),"")</f>
        <v/>
      </c>
      <c r="R164" s="26"/>
      <c r="S164" s="26"/>
      <c r="T164" s="26"/>
      <c r="U164" s="26"/>
      <c r="V164" s="26"/>
      <c r="W164" s="26"/>
      <c r="X164" s="26"/>
      <c r="Y164" s="26"/>
      <c r="Z164" s="26"/>
    </row>
    <row r="165" ht="14.25" customHeight="1">
      <c r="A165" s="282" t="s">
        <v>2595</v>
      </c>
      <c r="B165" s="301" t="s">
        <v>2596</v>
      </c>
      <c r="C165" s="282" t="s">
        <v>805</v>
      </c>
      <c r="D165" s="282" t="str">
        <f t="array" ref="D165">IFERROR(INDEX(Companies!$B$5:$B$74,MATCH($C165,Companies!$A$5:$A$74,0)),"Unknown ID")</f>
        <v>Mano Manufacturing Company (MANCO)</v>
      </c>
      <c r="E165" s="282" t="s">
        <v>2564</v>
      </c>
      <c r="F165" s="282" t="s">
        <v>538</v>
      </c>
      <c r="G165" s="316">
        <v>56224.0</v>
      </c>
      <c r="H165" s="282" t="s">
        <v>1225</v>
      </c>
      <c r="I165" s="317">
        <f t="shared" si="1"/>
        <v>56224</v>
      </c>
      <c r="J165" s="318">
        <f t="shared" si="2"/>
        <v>56.224</v>
      </c>
      <c r="K165" s="282" t="s">
        <v>2597</v>
      </c>
      <c r="L165" s="282" t="s">
        <v>2598</v>
      </c>
      <c r="M165" s="300">
        <v>46042.0</v>
      </c>
      <c r="N165" s="282"/>
      <c r="O165" s="282" t="s">
        <v>2599</v>
      </c>
      <c r="P165" s="282"/>
      <c r="Q165" s="301" t="str">
        <f t="array" ref="Q165">IFERROR(INDEX('Bills &amp; Invoices'!$B$5:$B$32,MATCH("*"&amp;$B165&amp;"*",'Bills &amp; Invoices'!$V$5:$V$32,0)),"")</f>
        <v/>
      </c>
      <c r="R165" s="26"/>
      <c r="S165" s="26"/>
      <c r="T165" s="26"/>
      <c r="U165" s="26"/>
      <c r="V165" s="26"/>
      <c r="W165" s="26"/>
      <c r="X165" s="26"/>
      <c r="Y165" s="26"/>
      <c r="Z165" s="26"/>
    </row>
    <row r="166" ht="14.25" customHeight="1">
      <c r="A166" s="282" t="s">
        <v>2600</v>
      </c>
      <c r="B166" s="301" t="s">
        <v>2596</v>
      </c>
      <c r="C166" s="282" t="s">
        <v>805</v>
      </c>
      <c r="D166" s="282" t="str">
        <f t="array" ref="D166">IFERROR(INDEX(Companies!$B$5:$B$74,MATCH($C166,Companies!$A$5:$A$74,0)),"Unknown ID")</f>
        <v>Mano Manufacturing Company (MANCO)</v>
      </c>
      <c r="E166" s="282" t="s">
        <v>2601</v>
      </c>
      <c r="F166" s="282" t="s">
        <v>2571</v>
      </c>
      <c r="G166" s="316">
        <v>19851.0</v>
      </c>
      <c r="H166" s="282" t="s">
        <v>1225</v>
      </c>
      <c r="I166" s="317">
        <f t="shared" si="1"/>
        <v>19851</v>
      </c>
      <c r="J166" s="318">
        <f t="shared" si="2"/>
        <v>19.851</v>
      </c>
      <c r="K166" s="282" t="s">
        <v>2602</v>
      </c>
      <c r="L166" s="282" t="s">
        <v>2598</v>
      </c>
      <c r="M166" s="300">
        <v>46042.0</v>
      </c>
      <c r="N166" s="282"/>
      <c r="O166" s="282" t="s">
        <v>2599</v>
      </c>
      <c r="P166" s="282"/>
      <c r="Q166" s="301" t="str">
        <f t="array" ref="Q166">IFERROR(INDEX('Bills &amp; Invoices'!$B$5:$B$32,MATCH("*"&amp;$B166&amp;"*",'Bills &amp; Invoices'!$V$5:$V$32,0)),"")</f>
        <v/>
      </c>
      <c r="R166" s="26"/>
      <c r="S166" s="26"/>
      <c r="T166" s="26"/>
      <c r="U166" s="26"/>
      <c r="V166" s="26"/>
      <c r="W166" s="26"/>
      <c r="X166" s="26"/>
      <c r="Y166" s="26"/>
      <c r="Z166" s="26"/>
    </row>
    <row r="167" ht="14.25" customHeight="1">
      <c r="A167" s="282" t="s">
        <v>2603</v>
      </c>
      <c r="B167" s="301" t="s">
        <v>2604</v>
      </c>
      <c r="C167" s="282" t="s">
        <v>745</v>
      </c>
      <c r="D167" s="282" t="str">
        <f t="array" ref="D167">IFERROR(INDEX(Companies!$B$5:$B$74,MATCH($C167,Companies!$A$5:$A$74,0)),"Unknown ID")</f>
        <v>MNG Gold Liberia Inc.</v>
      </c>
      <c r="E167" s="282" t="s">
        <v>1705</v>
      </c>
      <c r="F167" s="282" t="s">
        <v>538</v>
      </c>
      <c r="G167" s="316"/>
      <c r="H167" s="282"/>
      <c r="I167" s="317" t="str">
        <f t="shared" si="1"/>
        <v/>
      </c>
      <c r="J167" s="318" t="str">
        <f t="shared" si="2"/>
        <v/>
      </c>
      <c r="K167" s="282"/>
      <c r="L167" s="282" t="s">
        <v>2605</v>
      </c>
      <c r="M167" s="300">
        <v>46066.0</v>
      </c>
      <c r="N167" s="282" t="s">
        <v>2606</v>
      </c>
      <c r="O167" s="282" t="s">
        <v>2607</v>
      </c>
      <c r="P167" s="282"/>
      <c r="Q167" s="301" t="str">
        <f t="array" ref="Q167">IFERROR(INDEX('Bills &amp; Invoices'!$B$5:$B$32,MATCH("*"&amp;$B167&amp;"*",'Bills &amp; Invoices'!$V$5:$V$32,0)),"")</f>
        <v/>
      </c>
      <c r="R167" s="26"/>
      <c r="S167" s="26"/>
      <c r="T167" s="26"/>
      <c r="U167" s="26"/>
      <c r="V167" s="26"/>
      <c r="W167" s="26"/>
      <c r="X167" s="26"/>
      <c r="Y167" s="26"/>
      <c r="Z167" s="26"/>
    </row>
    <row r="168" ht="14.25" customHeight="1">
      <c r="A168" s="282" t="s">
        <v>2608</v>
      </c>
      <c r="B168" s="301" t="s">
        <v>2609</v>
      </c>
      <c r="C168" s="282" t="s">
        <v>245</v>
      </c>
      <c r="D168" s="282" t="str">
        <f t="array" ref="D168">IFERROR(INDEX(Companies!$B$5:$B$74,MATCH($C168,Companies!$A$5:$A$74,0)),"Unknown ID")</f>
        <v>Pee Kay Enterprises</v>
      </c>
      <c r="E168" s="282" t="s">
        <v>2610</v>
      </c>
      <c r="F168" s="282" t="s">
        <v>546</v>
      </c>
      <c r="G168" s="316"/>
      <c r="H168" s="282"/>
      <c r="I168" s="317" t="str">
        <f t="shared" si="1"/>
        <v/>
      </c>
      <c r="J168" s="318" t="str">
        <f t="shared" si="2"/>
        <v/>
      </c>
      <c r="K168" s="282" t="s">
        <v>2611</v>
      </c>
      <c r="L168" s="282" t="s">
        <v>2612</v>
      </c>
      <c r="M168" s="300">
        <v>46076.0</v>
      </c>
      <c r="N168" s="282" t="s">
        <v>2613</v>
      </c>
      <c r="O168" s="282" t="s">
        <v>2614</v>
      </c>
      <c r="P168" s="282"/>
      <c r="Q168" s="301" t="str">
        <f t="array" ref="Q168">IFERROR(INDEX('Bills &amp; Invoices'!$B$5:$B$32,MATCH("*"&amp;$B168&amp;"*",'Bills &amp; Invoices'!$V$5:$V$32,0)),"")</f>
        <v/>
      </c>
      <c r="R168" s="26"/>
      <c r="S168" s="26"/>
      <c r="T168" s="26"/>
      <c r="U168" s="26"/>
      <c r="V168" s="26"/>
      <c r="W168" s="26"/>
      <c r="X168" s="26"/>
      <c r="Y168" s="26"/>
      <c r="Z168" s="26"/>
    </row>
    <row r="169" ht="14.25" customHeight="1">
      <c r="A169" s="282" t="s">
        <v>255</v>
      </c>
      <c r="B169" s="301" t="s">
        <v>251</v>
      </c>
      <c r="C169" s="282" t="s">
        <v>857</v>
      </c>
      <c r="D169" s="282" t="str">
        <f t="array" ref="D169">IFERROR(INDEX(Companies!$B$5:$B$74,MATCH($C169,Companies!$A$5:$A$74,0)),"Unknown ID")</f>
        <v>Supreme Liberia Inc.</v>
      </c>
      <c r="E169" s="282" t="s">
        <v>2615</v>
      </c>
      <c r="F169" s="282" t="s">
        <v>2552</v>
      </c>
      <c r="G169" s="316">
        <v>43840.0</v>
      </c>
      <c r="H169" s="282" t="s">
        <v>1225</v>
      </c>
      <c r="I169" s="317">
        <f t="shared" si="1"/>
        <v>43840</v>
      </c>
      <c r="J169" s="318">
        <f t="shared" si="2"/>
        <v>43.84</v>
      </c>
      <c r="K169" s="282" t="s">
        <v>2616</v>
      </c>
      <c r="L169" s="282" t="s">
        <v>2617</v>
      </c>
      <c r="M169" s="300">
        <v>46170.0</v>
      </c>
      <c r="N169" s="282" t="s">
        <v>2618</v>
      </c>
      <c r="O169" s="282" t="s">
        <v>2619</v>
      </c>
      <c r="P169" s="282"/>
      <c r="Q169" s="301" t="str">
        <f t="array" ref="Q169">IFERROR(INDEX('Bills &amp; Invoices'!$B$5:$B$32,MATCH("*"&amp;$B169&amp;"*",'Bills &amp; Invoices'!$V$5:$V$32,0)),"")</f>
        <v/>
      </c>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C5:C169">
      <formula1>Companies!$A$5:$A$74</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14"/>
    <col customWidth="1" min="2" max="2" width="12.0"/>
    <col customWidth="1" min="3" max="3" width="38.86"/>
    <col customWidth="1" min="4" max="4" width="35.29"/>
    <col customWidth="1" min="5" max="5" width="18.57"/>
    <col customWidth="1" min="6" max="6" width="31.43"/>
    <col customWidth="1" min="7" max="7" width="46.29"/>
    <col customWidth="1" min="8" max="8" width="22.29"/>
    <col customWidth="1" min="9" max="9" width="17.57"/>
    <col customWidth="1" min="10" max="10" width="14.71"/>
    <col customWidth="1" min="11" max="12" width="18.57"/>
    <col customWidth="1" min="13" max="13" width="22.29"/>
    <col customWidth="1" min="14" max="14" width="25.86"/>
    <col customWidth="1" min="15" max="26" width="8.86"/>
    <col customWidth="1" min="27" max="34" width="8.71"/>
  </cols>
  <sheetData>
    <row r="1" ht="25.5" customHeight="1">
      <c r="A1" s="25" t="s">
        <v>1571</v>
      </c>
      <c r="B1" s="25"/>
      <c r="C1" s="25"/>
      <c r="D1" s="25"/>
      <c r="E1" s="25"/>
      <c r="F1" s="25"/>
      <c r="G1" s="25"/>
      <c r="H1" s="25"/>
      <c r="I1" s="25"/>
      <c r="J1" s="25"/>
      <c r="K1" s="25"/>
      <c r="L1" s="25"/>
      <c r="M1" s="25"/>
      <c r="N1" s="25"/>
      <c r="O1" s="26"/>
      <c r="P1" s="26"/>
      <c r="Q1" s="26"/>
      <c r="R1" s="26"/>
      <c r="S1" s="26"/>
      <c r="T1" s="26"/>
      <c r="U1" s="26"/>
      <c r="V1" s="26"/>
      <c r="W1" s="26"/>
      <c r="X1" s="26"/>
      <c r="Y1" s="26"/>
      <c r="Z1" s="26"/>
    </row>
    <row r="2" ht="14.25" customHeight="1">
      <c r="A2" s="30" t="s">
        <v>1576</v>
      </c>
      <c r="B2" s="30"/>
      <c r="C2" s="30"/>
      <c r="D2" s="30"/>
      <c r="E2" s="30"/>
      <c r="F2" s="30"/>
      <c r="G2" s="30"/>
      <c r="H2" s="30"/>
      <c r="I2" s="30"/>
      <c r="J2" s="30"/>
      <c r="K2" s="30"/>
      <c r="L2" s="30"/>
      <c r="M2" s="30"/>
      <c r="N2" s="30"/>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280" t="s">
        <v>1579</v>
      </c>
      <c r="B4" s="280" t="s">
        <v>216</v>
      </c>
      <c r="C4" s="280" t="s">
        <v>171</v>
      </c>
      <c r="D4" s="280" t="s">
        <v>736</v>
      </c>
      <c r="E4" s="280" t="s">
        <v>962</v>
      </c>
      <c r="F4" s="280" t="s">
        <v>609</v>
      </c>
      <c r="G4" s="280" t="s">
        <v>208</v>
      </c>
      <c r="H4" s="280" t="s">
        <v>1580</v>
      </c>
      <c r="I4" s="280" t="s">
        <v>1581</v>
      </c>
      <c r="J4" s="280" t="s">
        <v>175</v>
      </c>
      <c r="K4" s="280" t="s">
        <v>219</v>
      </c>
      <c r="L4" s="280" t="s">
        <v>1582</v>
      </c>
      <c r="M4" s="280" t="s">
        <v>1583</v>
      </c>
      <c r="N4" s="280" t="s">
        <v>451</v>
      </c>
      <c r="O4" s="280" t="s">
        <v>964</v>
      </c>
      <c r="P4" s="280" t="s">
        <v>602</v>
      </c>
      <c r="Q4" s="280" t="s">
        <v>604</v>
      </c>
      <c r="R4" s="280" t="s">
        <v>1584</v>
      </c>
      <c r="S4" s="280" t="s">
        <v>1585</v>
      </c>
      <c r="T4" s="280" t="s">
        <v>1586</v>
      </c>
      <c r="U4" s="280" t="s">
        <v>1587</v>
      </c>
      <c r="V4" s="280" t="s">
        <v>1588</v>
      </c>
      <c r="W4" s="281"/>
      <c r="X4" s="281"/>
      <c r="Y4" s="281"/>
      <c r="Z4" s="281"/>
      <c r="AA4" s="281"/>
      <c r="AB4" s="281"/>
      <c r="AC4" s="281"/>
      <c r="AD4" s="281"/>
      <c r="AE4" s="281"/>
      <c r="AF4" s="281"/>
      <c r="AG4" s="281"/>
      <c r="AH4" s="281"/>
    </row>
    <row r="5" ht="14.25" customHeight="1">
      <c r="A5" s="282" t="s">
        <v>1590</v>
      </c>
      <c r="B5" s="301" t="s">
        <v>1591</v>
      </c>
      <c r="C5" s="282" t="s">
        <v>767</v>
      </c>
      <c r="D5" s="282" t="str">
        <f t="array" ref="D5">IFERROR(INDEX(Companies!$B$5:$B$74,MATCH($C5,Companies!$A$5:$A$74,0)),"Unknown ID")</f>
        <v>Delta Plastics Inc.</v>
      </c>
      <c r="E5" s="282" t="s">
        <v>1595</v>
      </c>
      <c r="F5" s="282" t="s">
        <v>807</v>
      </c>
      <c r="G5" s="282" t="s">
        <v>793</v>
      </c>
      <c r="H5" s="282" t="s">
        <v>1596</v>
      </c>
      <c r="I5" s="282" t="s">
        <v>1597</v>
      </c>
      <c r="J5" s="319">
        <v>1500.0</v>
      </c>
      <c r="K5" s="300">
        <v>46030.0</v>
      </c>
      <c r="L5" s="319">
        <f t="shared" ref="L5:L32" si="1">SUMIFS($J$5:$J$32,$C$5:$C$32,$C5)</f>
        <v>1500</v>
      </c>
      <c r="M5" s="319">
        <f>SUMIFS('Payments &amp; Receipts'!$F$5:$F$58,'Payments &amp; Receipts'!$B$5:$B$58,$C5)</f>
        <v>0</v>
      </c>
      <c r="N5" s="282" t="str">
        <f t="shared" ref="N5:N32" si="2">IF($M5=0,"No payment on record",IF($M5&gt;=$L5,"Paid","Part paid"))</f>
        <v>No payment on record</v>
      </c>
      <c r="O5" s="282" t="s">
        <v>1603</v>
      </c>
      <c r="P5" s="282"/>
      <c r="Q5" s="282"/>
      <c r="R5" s="282"/>
      <c r="S5" s="282" t="s">
        <v>1604</v>
      </c>
      <c r="T5" s="319">
        <f>SUMIFS('Payments &amp; Receipts'!$F$5:$F$58,'Payments &amp; Receipts'!$L$5:$L$58,$B5)</f>
        <v>0</v>
      </c>
      <c r="U5" s="282" t="str">
        <f t="shared" ref="U5:U32" si="3">IF($T5&gt;0,IF($T5&gt;=SUMIFS($J$5:$J$32,$B$5:$B$32,$B5),"Paid","Part paid"),IF($N5="No payment on record","Unpaid",$N5&amp;" (company account)"))</f>
        <v>Unpaid</v>
      </c>
      <c r="V5" s="282"/>
      <c r="W5" s="26"/>
      <c r="X5" s="26"/>
      <c r="Y5" s="26"/>
      <c r="Z5" s="26"/>
      <c r="AA5" s="26"/>
      <c r="AB5" s="26"/>
      <c r="AC5" s="26"/>
      <c r="AD5" s="26"/>
      <c r="AE5" s="26"/>
      <c r="AF5" s="26"/>
      <c r="AG5" s="26"/>
      <c r="AH5" s="26"/>
    </row>
    <row r="6" ht="14.25" customHeight="1">
      <c r="A6" s="282" t="s">
        <v>1611</v>
      </c>
      <c r="B6" s="301" t="s">
        <v>1612</v>
      </c>
      <c r="C6" s="282" t="s">
        <v>745</v>
      </c>
      <c r="D6" s="282" t="str">
        <f t="array" ref="D6">IFERROR(INDEX(Companies!$B$5:$B$74,MATCH($C6,Companies!$A$5:$A$74,0)),"Unknown ID")</f>
        <v>MNG Gold Liberia Inc.</v>
      </c>
      <c r="E6" s="282" t="s">
        <v>1615</v>
      </c>
      <c r="F6" s="282" t="s">
        <v>741</v>
      </c>
      <c r="G6" s="282" t="s">
        <v>1616</v>
      </c>
      <c r="H6" s="282" t="s">
        <v>1617</v>
      </c>
      <c r="I6" s="282"/>
      <c r="J6" s="319">
        <v>5050.0</v>
      </c>
      <c r="K6" s="300">
        <v>46030.0</v>
      </c>
      <c r="L6" s="319">
        <f t="shared" si="1"/>
        <v>11150</v>
      </c>
      <c r="M6" s="319">
        <f>SUMIFS('Payments &amp; Receipts'!$F$5:$F$58,'Payments &amp; Receipts'!$B$5:$B$58,$C6)</f>
        <v>13675</v>
      </c>
      <c r="N6" s="282" t="str">
        <f t="shared" si="2"/>
        <v>Paid</v>
      </c>
      <c r="O6" s="282" t="s">
        <v>1620</v>
      </c>
      <c r="P6" s="282"/>
      <c r="Q6" s="282"/>
      <c r="R6" s="282"/>
      <c r="S6" s="282" t="s">
        <v>1604</v>
      </c>
      <c r="T6" s="319">
        <f>SUMIFS('Payments &amp; Receipts'!$F$5:$F$58,'Payments &amp; Receipts'!$L$5:$L$58,$B6)</f>
        <v>0</v>
      </c>
      <c r="U6" s="282" t="str">
        <f t="shared" si="3"/>
        <v>Paid (company account)</v>
      </c>
      <c r="V6" s="282"/>
      <c r="W6" s="26"/>
      <c r="X6" s="26"/>
      <c r="Y6" s="26"/>
      <c r="Z6" s="26"/>
      <c r="AA6" s="26"/>
      <c r="AB6" s="26"/>
      <c r="AC6" s="26"/>
      <c r="AD6" s="26"/>
      <c r="AE6" s="26"/>
      <c r="AF6" s="26"/>
      <c r="AG6" s="26"/>
      <c r="AH6" s="26"/>
    </row>
    <row r="7" ht="14.25" customHeight="1">
      <c r="A7" s="282" t="s">
        <v>1623</v>
      </c>
      <c r="B7" s="301" t="s">
        <v>1612</v>
      </c>
      <c r="C7" s="282" t="s">
        <v>745</v>
      </c>
      <c r="D7" s="282" t="str">
        <f t="array" ref="D7">IFERROR(INDEX(Companies!$B$5:$B$74,MATCH($C7,Companies!$A$5:$A$74,0)),"Unknown ID")</f>
        <v>MNG Gold Liberia Inc.</v>
      </c>
      <c r="E7" s="282" t="s">
        <v>1615</v>
      </c>
      <c r="F7" s="282" t="s">
        <v>741</v>
      </c>
      <c r="G7" s="282" t="s">
        <v>1616</v>
      </c>
      <c r="H7" s="282" t="s">
        <v>1625</v>
      </c>
      <c r="I7" s="282"/>
      <c r="J7" s="319">
        <v>6100.0</v>
      </c>
      <c r="K7" s="300">
        <v>46030.0</v>
      </c>
      <c r="L7" s="319">
        <f t="shared" si="1"/>
        <v>11150</v>
      </c>
      <c r="M7" s="319">
        <f>SUMIFS('Payments &amp; Receipts'!$F$5:$F$58,'Payments &amp; Receipts'!$B$5:$B$58,$C7)</f>
        <v>13675</v>
      </c>
      <c r="N7" s="282" t="str">
        <f t="shared" si="2"/>
        <v>Paid</v>
      </c>
      <c r="O7" s="282" t="s">
        <v>1627</v>
      </c>
      <c r="P7" s="282"/>
      <c r="Q7" s="282"/>
      <c r="R7" s="282"/>
      <c r="S7" s="282" t="s">
        <v>1604</v>
      </c>
      <c r="T7" s="319">
        <f>SUMIFS('Payments &amp; Receipts'!$F$5:$F$58,'Payments &amp; Receipts'!$L$5:$L$58,$B7)</f>
        <v>0</v>
      </c>
      <c r="U7" s="282" t="str">
        <f t="shared" si="3"/>
        <v>Paid (company account)</v>
      </c>
      <c r="V7" s="282"/>
      <c r="W7" s="26"/>
      <c r="X7" s="26"/>
      <c r="Y7" s="26"/>
      <c r="Z7" s="26"/>
      <c r="AA7" s="26"/>
      <c r="AB7" s="26"/>
      <c r="AC7" s="26"/>
      <c r="AD7" s="26"/>
      <c r="AE7" s="26"/>
      <c r="AF7" s="26"/>
      <c r="AG7" s="26"/>
      <c r="AH7" s="26"/>
    </row>
    <row r="8" ht="14.25" customHeight="1">
      <c r="A8" s="282" t="s">
        <v>1630</v>
      </c>
      <c r="B8" s="301" t="s">
        <v>1631</v>
      </c>
      <c r="C8" s="282" t="s">
        <v>805</v>
      </c>
      <c r="D8" s="282" t="str">
        <f t="array" ref="D8">IFERROR(INDEX(Companies!$B$5:$B$74,MATCH($C8,Companies!$A$5:$A$74,0)),"Unknown ID")</f>
        <v>Mano Manufacturing Company (MANCO)</v>
      </c>
      <c r="E8" s="282" t="s">
        <v>1633</v>
      </c>
      <c r="F8" s="282" t="s">
        <v>807</v>
      </c>
      <c r="G8" s="282" t="s">
        <v>1634</v>
      </c>
      <c r="H8" s="282" t="s">
        <v>1625</v>
      </c>
      <c r="I8" s="282"/>
      <c r="J8" s="319">
        <v>1500.0</v>
      </c>
      <c r="K8" s="300">
        <v>46030.0</v>
      </c>
      <c r="L8" s="319">
        <f t="shared" si="1"/>
        <v>1500</v>
      </c>
      <c r="M8" s="319">
        <f>SUMIFS('Payments &amp; Receipts'!$F$5:$F$58,'Payments &amp; Receipts'!$B$5:$B$58,$C8)</f>
        <v>0</v>
      </c>
      <c r="N8" s="282" t="str">
        <f t="shared" si="2"/>
        <v>No payment on record</v>
      </c>
      <c r="O8" s="282" t="s">
        <v>1637</v>
      </c>
      <c r="P8" s="282"/>
      <c r="Q8" s="282"/>
      <c r="R8" s="282"/>
      <c r="S8" s="282" t="s">
        <v>1604</v>
      </c>
      <c r="T8" s="319">
        <f>SUMIFS('Payments &amp; Receipts'!$F$5:$F$58,'Payments &amp; Receipts'!$L$5:$L$58,$B8)</f>
        <v>0</v>
      </c>
      <c r="U8" s="282" t="str">
        <f t="shared" si="3"/>
        <v>Unpaid</v>
      </c>
      <c r="V8" s="282"/>
      <c r="W8" s="26"/>
      <c r="X8" s="26"/>
      <c r="Y8" s="26"/>
      <c r="Z8" s="26"/>
      <c r="AA8" s="26"/>
      <c r="AB8" s="26"/>
      <c r="AC8" s="26"/>
      <c r="AD8" s="26"/>
      <c r="AE8" s="26"/>
      <c r="AF8" s="26"/>
      <c r="AG8" s="26"/>
      <c r="AH8" s="26"/>
    </row>
    <row r="9" ht="14.25" customHeight="1">
      <c r="A9" s="282" t="s">
        <v>1640</v>
      </c>
      <c r="B9" s="301" t="s">
        <v>1641</v>
      </c>
      <c r="C9" s="282" t="s">
        <v>863</v>
      </c>
      <c r="D9" s="282" t="str">
        <f t="array" ref="D9">IFERROR(INDEX(Companies!$B$5:$B$74,MATCH($C9,Companies!$A$5:$A$74,0)),"Unknown ID")</f>
        <v>Conquest Inc.</v>
      </c>
      <c r="E9" s="282" t="s">
        <v>1643</v>
      </c>
      <c r="F9" s="282"/>
      <c r="G9" s="282" t="s">
        <v>1644</v>
      </c>
      <c r="H9" s="282" t="s">
        <v>1645</v>
      </c>
      <c r="I9" s="282"/>
      <c r="J9" s="319">
        <v>275.0</v>
      </c>
      <c r="K9" s="300">
        <v>46043.0</v>
      </c>
      <c r="L9" s="319">
        <f t="shared" si="1"/>
        <v>275</v>
      </c>
      <c r="M9" s="319">
        <f>SUMIFS('Payments &amp; Receipts'!$F$5:$F$58,'Payments &amp; Receipts'!$B$5:$B$58,$C9)</f>
        <v>275</v>
      </c>
      <c r="N9" s="282" t="str">
        <f t="shared" si="2"/>
        <v>Paid</v>
      </c>
      <c r="O9" s="282" t="s">
        <v>1649</v>
      </c>
      <c r="P9" s="282"/>
      <c r="Q9" s="282"/>
      <c r="R9" s="282"/>
      <c r="S9" s="282" t="s">
        <v>348</v>
      </c>
      <c r="T9" s="319">
        <f>SUMIFS('Payments &amp; Receipts'!$F$5:$F$58,'Payments &amp; Receipts'!$L$5:$L$58,$B9)</f>
        <v>0</v>
      </c>
      <c r="U9" s="282" t="str">
        <f t="shared" si="3"/>
        <v>Paid (company account)</v>
      </c>
      <c r="V9" s="282"/>
      <c r="W9" s="26"/>
      <c r="X9" s="26"/>
      <c r="Y9" s="26"/>
      <c r="Z9" s="26"/>
      <c r="AA9" s="26"/>
      <c r="AB9" s="26"/>
      <c r="AC9" s="26"/>
      <c r="AD9" s="26"/>
      <c r="AE9" s="26"/>
      <c r="AF9" s="26"/>
      <c r="AG9" s="26"/>
      <c r="AH9" s="26"/>
    </row>
    <row r="10" ht="14.25" customHeight="1">
      <c r="A10" s="282" t="s">
        <v>1654</v>
      </c>
      <c r="B10" s="301" t="s">
        <v>1655</v>
      </c>
      <c r="C10" s="282" t="s">
        <v>979</v>
      </c>
      <c r="D10" s="282" t="str">
        <f t="array" ref="D10">IFERROR(INDEX(Companies!$B$5:$B$74,MATCH($C10,Companies!$A$5:$A$74,0)),"Unknown ID")</f>
        <v>Efficient Professional Services Inc.</v>
      </c>
      <c r="E10" s="282" t="s">
        <v>980</v>
      </c>
      <c r="F10" s="282"/>
      <c r="G10" s="282" t="s">
        <v>1656</v>
      </c>
      <c r="H10" s="282" t="s">
        <v>1645</v>
      </c>
      <c r="I10" s="282"/>
      <c r="J10" s="319">
        <v>275.0</v>
      </c>
      <c r="K10" s="300">
        <v>46043.0</v>
      </c>
      <c r="L10" s="319">
        <f t="shared" si="1"/>
        <v>275</v>
      </c>
      <c r="M10" s="319">
        <f>SUMIFS('Payments &amp; Receipts'!$F$5:$F$58,'Payments &amp; Receipts'!$B$5:$B$58,$C10)</f>
        <v>0</v>
      </c>
      <c r="N10" s="282" t="str">
        <f t="shared" si="2"/>
        <v>No payment on record</v>
      </c>
      <c r="O10" s="282" t="s">
        <v>1659</v>
      </c>
      <c r="P10" s="282"/>
      <c r="Q10" s="282"/>
      <c r="R10" s="282"/>
      <c r="S10" s="282" t="s">
        <v>348</v>
      </c>
      <c r="T10" s="319">
        <f>SUMIFS('Payments &amp; Receipts'!$F$5:$F$58,'Payments &amp; Receipts'!$L$5:$L$58,$B10)</f>
        <v>0</v>
      </c>
      <c r="U10" s="282" t="str">
        <f t="shared" si="3"/>
        <v>Unpaid</v>
      </c>
      <c r="V10" s="282"/>
      <c r="W10" s="26"/>
      <c r="X10" s="26"/>
      <c r="Y10" s="26"/>
      <c r="Z10" s="26"/>
      <c r="AA10" s="26"/>
      <c r="AB10" s="26"/>
      <c r="AC10" s="26"/>
      <c r="AD10" s="26"/>
      <c r="AE10" s="26"/>
      <c r="AF10" s="26"/>
      <c r="AG10" s="26"/>
      <c r="AH10" s="26"/>
    </row>
    <row r="11" ht="14.25" customHeight="1">
      <c r="A11" s="282" t="s">
        <v>1661</v>
      </c>
      <c r="B11" s="301" t="s">
        <v>1663</v>
      </c>
      <c r="C11" s="282" t="s">
        <v>883</v>
      </c>
      <c r="D11" s="282" t="str">
        <f t="array" ref="D11">IFERROR(INDEX(Companies!$B$5:$B$74,MATCH($C11,Companies!$A$5:$A$74,0)),"Unknown ID")</f>
        <v>T Waste Recycling &amp; Fumigation Inc.</v>
      </c>
      <c r="E11" s="282" t="s">
        <v>1666</v>
      </c>
      <c r="F11" s="282"/>
      <c r="G11" s="282" t="s">
        <v>1667</v>
      </c>
      <c r="H11" s="282" t="s">
        <v>1645</v>
      </c>
      <c r="I11" s="282"/>
      <c r="J11" s="319">
        <v>275.0</v>
      </c>
      <c r="K11" s="300">
        <v>46036.0</v>
      </c>
      <c r="L11" s="319">
        <f t="shared" si="1"/>
        <v>275</v>
      </c>
      <c r="M11" s="319">
        <f>SUMIFS('Payments &amp; Receipts'!$F$5:$F$58,'Payments &amp; Receipts'!$B$5:$B$58,$C11)</f>
        <v>0</v>
      </c>
      <c r="N11" s="282" t="str">
        <f t="shared" si="2"/>
        <v>No payment on record</v>
      </c>
      <c r="O11" s="282" t="s">
        <v>1668</v>
      </c>
      <c r="P11" s="282"/>
      <c r="Q11" s="282"/>
      <c r="R11" s="282"/>
      <c r="S11" s="282" t="s">
        <v>348</v>
      </c>
      <c r="T11" s="319">
        <f>SUMIFS('Payments &amp; Receipts'!$F$5:$F$58,'Payments &amp; Receipts'!$L$5:$L$58,$B11)</f>
        <v>0</v>
      </c>
      <c r="U11" s="282" t="str">
        <f t="shared" si="3"/>
        <v>Unpaid</v>
      </c>
      <c r="V11" s="282"/>
      <c r="W11" s="26"/>
      <c r="X11" s="26"/>
      <c r="Y11" s="26"/>
      <c r="Z11" s="26"/>
      <c r="AA11" s="26"/>
      <c r="AB11" s="26"/>
      <c r="AC11" s="26"/>
      <c r="AD11" s="26"/>
      <c r="AE11" s="26"/>
      <c r="AF11" s="26"/>
      <c r="AG11" s="26"/>
      <c r="AH11" s="26"/>
    </row>
    <row r="12" ht="14.25" customHeight="1">
      <c r="A12" s="282" t="s">
        <v>1672</v>
      </c>
      <c r="B12" s="301" t="s">
        <v>1673</v>
      </c>
      <c r="C12" s="282" t="s">
        <v>795</v>
      </c>
      <c r="D12" s="282" t="str">
        <f t="array" ref="D12">IFERROR(INDEX(Companies!$B$5:$B$74,MATCH($C12,Companies!$A$5:$A$74,0)),"Unknown ID")</f>
        <v>Fayad Enterprise Corporation</v>
      </c>
      <c r="E12" s="282" t="s">
        <v>796</v>
      </c>
      <c r="F12" s="282" t="s">
        <v>762</v>
      </c>
      <c r="G12" s="282" t="s">
        <v>797</v>
      </c>
      <c r="H12" s="282" t="s">
        <v>1596</v>
      </c>
      <c r="I12" s="282"/>
      <c r="J12" s="319">
        <v>1500.0</v>
      </c>
      <c r="K12" s="300">
        <v>46030.0</v>
      </c>
      <c r="L12" s="319">
        <f t="shared" si="1"/>
        <v>1500</v>
      </c>
      <c r="M12" s="319">
        <f>SUMIFS('Payments &amp; Receipts'!$F$5:$F$58,'Payments &amp; Receipts'!$B$5:$B$58,$C12)</f>
        <v>1500</v>
      </c>
      <c r="N12" s="282" t="str">
        <f t="shared" si="2"/>
        <v>Paid</v>
      </c>
      <c r="O12" s="282" t="s">
        <v>1676</v>
      </c>
      <c r="P12" s="282"/>
      <c r="Q12" s="282"/>
      <c r="R12" s="282"/>
      <c r="S12" s="282" t="s">
        <v>1604</v>
      </c>
      <c r="T12" s="319">
        <f>SUMIFS('Payments &amp; Receipts'!$F$5:$F$58,'Payments &amp; Receipts'!$L$5:$L$58,$B12)</f>
        <v>0</v>
      </c>
      <c r="U12" s="282" t="str">
        <f t="shared" si="3"/>
        <v>Paid (company account)</v>
      </c>
      <c r="V12" s="282"/>
      <c r="W12" s="26"/>
      <c r="X12" s="26"/>
      <c r="Y12" s="26"/>
      <c r="Z12" s="26"/>
      <c r="AA12" s="26"/>
      <c r="AB12" s="26"/>
      <c r="AC12" s="26"/>
      <c r="AD12" s="26"/>
      <c r="AE12" s="26"/>
      <c r="AF12" s="26"/>
      <c r="AG12" s="26"/>
      <c r="AH12" s="26"/>
    </row>
    <row r="13" ht="14.25" customHeight="1">
      <c r="A13" s="282" t="s">
        <v>1680</v>
      </c>
      <c r="B13" s="301" t="s">
        <v>1681</v>
      </c>
      <c r="C13" s="282" t="s">
        <v>739</v>
      </c>
      <c r="D13" s="282" t="str">
        <f t="array" ref="D13">IFERROR(INDEX(Companies!$B$5:$B$74,MATCH($C13,Companies!$A$5:$A$74,0)),"Unknown ID")</f>
        <v>Bea Mountain Mining Corporation (BMMC)</v>
      </c>
      <c r="E13" s="282" t="s">
        <v>1684</v>
      </c>
      <c r="F13" s="282" t="s">
        <v>741</v>
      </c>
      <c r="G13" s="282" t="s">
        <v>972</v>
      </c>
      <c r="H13" s="282" t="s">
        <v>1596</v>
      </c>
      <c r="I13" s="282" t="s">
        <v>1597</v>
      </c>
      <c r="J13" s="319">
        <v>233651.0</v>
      </c>
      <c r="K13" s="300">
        <v>46035.0</v>
      </c>
      <c r="L13" s="319">
        <f t="shared" si="1"/>
        <v>233651</v>
      </c>
      <c r="M13" s="319">
        <f>SUMIFS('Payments &amp; Receipts'!$F$5:$F$58,'Payments &amp; Receipts'!$B$5:$B$58,$C13)</f>
        <v>237167</v>
      </c>
      <c r="N13" s="282" t="str">
        <f t="shared" si="2"/>
        <v>Paid</v>
      </c>
      <c r="O13" s="282" t="s">
        <v>1687</v>
      </c>
      <c r="P13" s="282"/>
      <c r="Q13" s="282"/>
      <c r="R13" s="282"/>
      <c r="S13" s="282" t="s">
        <v>1604</v>
      </c>
      <c r="T13" s="319">
        <f>SUMIFS('Payments &amp; Receipts'!$F$5:$F$58,'Payments &amp; Receipts'!$L$5:$L$58,$B13)</f>
        <v>0</v>
      </c>
      <c r="U13" s="282" t="str">
        <f t="shared" si="3"/>
        <v>Paid (company account)</v>
      </c>
      <c r="V13" s="282"/>
      <c r="W13" s="26"/>
      <c r="X13" s="26"/>
      <c r="Y13" s="26"/>
      <c r="Z13" s="26"/>
      <c r="AA13" s="26"/>
      <c r="AB13" s="26"/>
      <c r="AC13" s="26"/>
      <c r="AD13" s="26"/>
      <c r="AE13" s="26"/>
      <c r="AF13" s="26"/>
      <c r="AG13" s="26"/>
      <c r="AH13" s="26"/>
    </row>
    <row r="14" ht="14.25" customHeight="1">
      <c r="A14" s="282" t="s">
        <v>1689</v>
      </c>
      <c r="B14" s="301" t="s">
        <v>1691</v>
      </c>
      <c r="C14" s="282" t="s">
        <v>872</v>
      </c>
      <c r="D14" s="282" t="str">
        <f t="array" ref="D14">IFERROR(INDEX(Companies!$B$5:$B$74,MATCH($C14,Companies!$A$5:$A$74,0)),"Unknown ID")</f>
        <v>Sayminee Express Services Inc.</v>
      </c>
      <c r="E14" s="282" t="s">
        <v>1695</v>
      </c>
      <c r="F14" s="282" t="s">
        <v>869</v>
      </c>
      <c r="G14" s="282" t="s">
        <v>990</v>
      </c>
      <c r="H14" s="282" t="s">
        <v>1696</v>
      </c>
      <c r="I14" s="282"/>
      <c r="J14" s="319">
        <v>2400.0</v>
      </c>
      <c r="K14" s="300">
        <v>46043.0</v>
      </c>
      <c r="L14" s="319">
        <f t="shared" si="1"/>
        <v>2400</v>
      </c>
      <c r="M14" s="319">
        <f>SUMIFS('Payments &amp; Receipts'!$F$5:$F$58,'Payments &amp; Receipts'!$B$5:$B$58,$C14)</f>
        <v>2400</v>
      </c>
      <c r="N14" s="282" t="str">
        <f t="shared" si="2"/>
        <v>Paid</v>
      </c>
      <c r="O14" s="282" t="s">
        <v>1697</v>
      </c>
      <c r="P14" s="282"/>
      <c r="Q14" s="282"/>
      <c r="R14" s="282"/>
      <c r="S14" s="282" t="s">
        <v>367</v>
      </c>
      <c r="T14" s="319">
        <f>SUMIFS('Payments &amp; Receipts'!$F$5:$F$58,'Payments &amp; Receipts'!$L$5:$L$58,$B14)</f>
        <v>0</v>
      </c>
      <c r="U14" s="282" t="str">
        <f t="shared" si="3"/>
        <v>Paid (company account)</v>
      </c>
      <c r="V14" s="282"/>
      <c r="W14" s="26"/>
      <c r="X14" s="26"/>
      <c r="Y14" s="26"/>
      <c r="Z14" s="26"/>
      <c r="AA14" s="26"/>
      <c r="AB14" s="26"/>
      <c r="AC14" s="26"/>
      <c r="AD14" s="26"/>
      <c r="AE14" s="26"/>
      <c r="AF14" s="26"/>
      <c r="AG14" s="26"/>
      <c r="AH14" s="26"/>
    </row>
    <row r="15" ht="14.25" customHeight="1">
      <c r="A15" s="282" t="s">
        <v>1701</v>
      </c>
      <c r="B15" s="301" t="s">
        <v>1702</v>
      </c>
      <c r="C15" s="282" t="s">
        <v>817</v>
      </c>
      <c r="D15" s="282" t="str">
        <f t="array" ref="D15">IFERROR(INDEX(Companies!$B$5:$B$74,MATCH($C15,Companies!$A$5:$A$74,0)),"Unknown ID")</f>
        <v>Fouani Brothers</v>
      </c>
      <c r="E15" s="282" t="s">
        <v>818</v>
      </c>
      <c r="F15" s="282" t="s">
        <v>762</v>
      </c>
      <c r="G15" s="282"/>
      <c r="H15" s="282" t="s">
        <v>1596</v>
      </c>
      <c r="I15" s="282" t="s">
        <v>1705</v>
      </c>
      <c r="J15" s="319">
        <v>1500.0</v>
      </c>
      <c r="K15" s="300">
        <v>46048.0</v>
      </c>
      <c r="L15" s="319">
        <f t="shared" si="1"/>
        <v>3000</v>
      </c>
      <c r="M15" s="319">
        <f>SUMIFS('Payments &amp; Receipts'!$F$5:$F$58,'Payments &amp; Receipts'!$B$5:$B$58,$C15)</f>
        <v>0</v>
      </c>
      <c r="N15" s="282" t="str">
        <f t="shared" si="2"/>
        <v>No payment on record</v>
      </c>
      <c r="O15" s="282" t="s">
        <v>1706</v>
      </c>
      <c r="P15" s="282"/>
      <c r="Q15" s="282"/>
      <c r="R15" s="282"/>
      <c r="S15" s="282" t="s">
        <v>1604</v>
      </c>
      <c r="T15" s="319">
        <f>SUMIFS('Payments &amp; Receipts'!$F$5:$F$58,'Payments &amp; Receipts'!$L$5:$L$58,$B15)</f>
        <v>0</v>
      </c>
      <c r="U15" s="282" t="str">
        <f t="shared" si="3"/>
        <v>Unpaid</v>
      </c>
      <c r="V15" s="282"/>
      <c r="W15" s="26"/>
      <c r="X15" s="26"/>
      <c r="Y15" s="26"/>
      <c r="Z15" s="26"/>
      <c r="AA15" s="26"/>
      <c r="AB15" s="26"/>
      <c r="AC15" s="26"/>
      <c r="AD15" s="26"/>
      <c r="AE15" s="26"/>
      <c r="AF15" s="26"/>
      <c r="AG15" s="26"/>
      <c r="AH15" s="26"/>
    </row>
    <row r="16" ht="14.25" customHeight="1">
      <c r="A16" s="282" t="s">
        <v>1710</v>
      </c>
      <c r="B16" s="301" t="s">
        <v>1702</v>
      </c>
      <c r="C16" s="282" t="s">
        <v>817</v>
      </c>
      <c r="D16" s="282" t="str">
        <f t="array" ref="D16">IFERROR(INDEX(Companies!$B$5:$B$74,MATCH($C16,Companies!$A$5:$A$74,0)),"Unknown ID")</f>
        <v>Fouani Brothers</v>
      </c>
      <c r="E16" s="282" t="s">
        <v>818</v>
      </c>
      <c r="F16" s="282" t="s">
        <v>762</v>
      </c>
      <c r="G16" s="282"/>
      <c r="H16" s="282" t="s">
        <v>1714</v>
      </c>
      <c r="I16" s="282" t="s">
        <v>1705</v>
      </c>
      <c r="J16" s="319">
        <v>1500.0</v>
      </c>
      <c r="K16" s="300">
        <v>46048.0</v>
      </c>
      <c r="L16" s="319">
        <f t="shared" si="1"/>
        <v>3000</v>
      </c>
      <c r="M16" s="319">
        <f>SUMIFS('Payments &amp; Receipts'!$F$5:$F$58,'Payments &amp; Receipts'!$B$5:$B$58,$C16)</f>
        <v>0</v>
      </c>
      <c r="N16" s="282" t="str">
        <f t="shared" si="2"/>
        <v>No payment on record</v>
      </c>
      <c r="O16" s="282" t="s">
        <v>1716</v>
      </c>
      <c r="P16" s="282"/>
      <c r="Q16" s="282"/>
      <c r="R16" s="282"/>
      <c r="S16" s="282" t="s">
        <v>1604</v>
      </c>
      <c r="T16" s="319">
        <f>SUMIFS('Payments &amp; Receipts'!$F$5:$F$58,'Payments &amp; Receipts'!$L$5:$L$58,$B16)</f>
        <v>0</v>
      </c>
      <c r="U16" s="282" t="str">
        <f t="shared" si="3"/>
        <v>Unpaid</v>
      </c>
      <c r="V16" s="282"/>
      <c r="W16" s="26"/>
      <c r="X16" s="26"/>
      <c r="Y16" s="26"/>
      <c r="Z16" s="26"/>
      <c r="AA16" s="26"/>
      <c r="AB16" s="26"/>
      <c r="AC16" s="26"/>
      <c r="AD16" s="26"/>
      <c r="AE16" s="26"/>
      <c r="AF16" s="26"/>
      <c r="AG16" s="26"/>
      <c r="AH16" s="26"/>
    </row>
    <row r="17" ht="14.25" customHeight="1">
      <c r="A17" s="282" t="s">
        <v>1718</v>
      </c>
      <c r="B17" s="301" t="s">
        <v>1719</v>
      </c>
      <c r="C17" s="282" t="s">
        <v>988</v>
      </c>
      <c r="D17" s="282" t="str">
        <f t="array" ref="D17">IFERROR(INDEX(Companies!$B$5:$B$74,MATCH($C17,Companies!$A$5:$A$74,0)),"Unknown ID")</f>
        <v>Liberia Soap and Detergent Company</v>
      </c>
      <c r="E17" s="282" t="s">
        <v>989</v>
      </c>
      <c r="F17" s="282" t="s">
        <v>807</v>
      </c>
      <c r="G17" s="282"/>
      <c r="H17" s="282" t="s">
        <v>1596</v>
      </c>
      <c r="I17" s="282" t="s">
        <v>1724</v>
      </c>
      <c r="J17" s="319">
        <v>1500.0</v>
      </c>
      <c r="K17" s="300">
        <v>46048.0</v>
      </c>
      <c r="L17" s="319">
        <f t="shared" si="1"/>
        <v>7550</v>
      </c>
      <c r="M17" s="319">
        <f>SUMIFS('Payments &amp; Receipts'!$F$5:$F$58,'Payments &amp; Receipts'!$B$5:$B$58,$C17)</f>
        <v>0</v>
      </c>
      <c r="N17" s="282" t="str">
        <f t="shared" si="2"/>
        <v>No payment on record</v>
      </c>
      <c r="O17" s="282" t="s">
        <v>1725</v>
      </c>
      <c r="P17" s="282"/>
      <c r="Q17" s="282"/>
      <c r="R17" s="282"/>
      <c r="S17" s="282" t="s">
        <v>1604</v>
      </c>
      <c r="T17" s="319">
        <f>SUMIFS('Payments &amp; Receipts'!$F$5:$F$58,'Payments &amp; Receipts'!$L$5:$L$58,$B17)</f>
        <v>0</v>
      </c>
      <c r="U17" s="282" t="str">
        <f t="shared" si="3"/>
        <v>Unpaid</v>
      </c>
      <c r="V17" s="282"/>
      <c r="W17" s="26"/>
      <c r="X17" s="26"/>
      <c r="Y17" s="26"/>
      <c r="Z17" s="26"/>
      <c r="AA17" s="26"/>
      <c r="AB17" s="26"/>
      <c r="AC17" s="26"/>
      <c r="AD17" s="26"/>
      <c r="AE17" s="26"/>
      <c r="AF17" s="26"/>
      <c r="AG17" s="26"/>
      <c r="AH17" s="26"/>
    </row>
    <row r="18" ht="14.25" customHeight="1">
      <c r="A18" s="282" t="s">
        <v>1729</v>
      </c>
      <c r="B18" s="301" t="s">
        <v>1719</v>
      </c>
      <c r="C18" s="282" t="s">
        <v>988</v>
      </c>
      <c r="D18" s="282" t="str">
        <f t="array" ref="D18">IFERROR(INDEX(Companies!$B$5:$B$74,MATCH($C18,Companies!$A$5:$A$74,0)),"Unknown ID")</f>
        <v>Liberia Soap and Detergent Company</v>
      </c>
      <c r="E18" s="282" t="s">
        <v>989</v>
      </c>
      <c r="F18" s="282" t="s">
        <v>807</v>
      </c>
      <c r="G18" s="282"/>
      <c r="H18" s="282" t="s">
        <v>1714</v>
      </c>
      <c r="I18" s="282" t="s">
        <v>1724</v>
      </c>
      <c r="J18" s="319">
        <v>3000.0</v>
      </c>
      <c r="K18" s="300">
        <v>46048.0</v>
      </c>
      <c r="L18" s="319">
        <f t="shared" si="1"/>
        <v>7550</v>
      </c>
      <c r="M18" s="319">
        <f>SUMIFS('Payments &amp; Receipts'!$F$5:$F$58,'Payments &amp; Receipts'!$B$5:$B$58,$C18)</f>
        <v>0</v>
      </c>
      <c r="N18" s="282" t="str">
        <f t="shared" si="2"/>
        <v>No payment on record</v>
      </c>
      <c r="O18" s="282" t="s">
        <v>1735</v>
      </c>
      <c r="P18" s="282"/>
      <c r="Q18" s="282"/>
      <c r="R18" s="282"/>
      <c r="S18" s="282" t="s">
        <v>1604</v>
      </c>
      <c r="T18" s="319">
        <f>SUMIFS('Payments &amp; Receipts'!$F$5:$F$58,'Payments &amp; Receipts'!$L$5:$L$58,$B18)</f>
        <v>0</v>
      </c>
      <c r="U18" s="282" t="str">
        <f t="shared" si="3"/>
        <v>Unpaid</v>
      </c>
      <c r="V18" s="282"/>
      <c r="W18" s="26"/>
      <c r="X18" s="26"/>
      <c r="Y18" s="26"/>
      <c r="Z18" s="26"/>
      <c r="AA18" s="26"/>
      <c r="AB18" s="26"/>
      <c r="AC18" s="26"/>
      <c r="AD18" s="26"/>
      <c r="AE18" s="26"/>
      <c r="AF18" s="26"/>
      <c r="AG18" s="26"/>
      <c r="AH18" s="26"/>
    </row>
    <row r="19" ht="14.25" customHeight="1">
      <c r="A19" s="282" t="s">
        <v>1736</v>
      </c>
      <c r="B19" s="301" t="s">
        <v>1719</v>
      </c>
      <c r="C19" s="282" t="s">
        <v>988</v>
      </c>
      <c r="D19" s="282" t="str">
        <f t="array" ref="D19">IFERROR(INDEX(Companies!$B$5:$B$74,MATCH($C19,Companies!$A$5:$A$74,0)),"Unknown ID")</f>
        <v>Liberia Soap and Detergent Company</v>
      </c>
      <c r="E19" s="282" t="s">
        <v>989</v>
      </c>
      <c r="F19" s="282" t="s">
        <v>807</v>
      </c>
      <c r="G19" s="282"/>
      <c r="H19" s="282" t="s">
        <v>1625</v>
      </c>
      <c r="I19" s="282"/>
      <c r="J19" s="319">
        <v>3050.0</v>
      </c>
      <c r="K19" s="300">
        <v>46048.0</v>
      </c>
      <c r="L19" s="319">
        <f t="shared" si="1"/>
        <v>7550</v>
      </c>
      <c r="M19" s="319">
        <f>SUMIFS('Payments &amp; Receipts'!$F$5:$F$58,'Payments &amp; Receipts'!$B$5:$B$58,$C19)</f>
        <v>0</v>
      </c>
      <c r="N19" s="282" t="str">
        <f t="shared" si="2"/>
        <v>No payment on record</v>
      </c>
      <c r="O19" s="282" t="s">
        <v>1742</v>
      </c>
      <c r="P19" s="282"/>
      <c r="Q19" s="282"/>
      <c r="R19" s="282"/>
      <c r="S19" s="282" t="s">
        <v>1604</v>
      </c>
      <c r="T19" s="319">
        <f>SUMIFS('Payments &amp; Receipts'!$F$5:$F$58,'Payments &amp; Receipts'!$L$5:$L$58,$B19)</f>
        <v>0</v>
      </c>
      <c r="U19" s="282" t="str">
        <f t="shared" si="3"/>
        <v>Unpaid</v>
      </c>
      <c r="V19" s="282"/>
      <c r="W19" s="26"/>
      <c r="X19" s="26"/>
      <c r="Y19" s="26"/>
      <c r="Z19" s="26"/>
      <c r="AA19" s="26"/>
      <c r="AB19" s="26"/>
      <c r="AC19" s="26"/>
      <c r="AD19" s="26"/>
      <c r="AE19" s="26"/>
      <c r="AF19" s="26"/>
      <c r="AG19" s="26"/>
      <c r="AH19" s="26"/>
    </row>
    <row r="20" ht="14.25" customHeight="1">
      <c r="A20" s="282" t="s">
        <v>1743</v>
      </c>
      <c r="B20" s="301" t="s">
        <v>1744</v>
      </c>
      <c r="C20" s="282" t="s">
        <v>815</v>
      </c>
      <c r="D20" s="282" t="str">
        <f t="array" ref="D20">IFERROR(INDEX(Companies!$B$5:$B$74,MATCH($C20,Companies!$A$5:$A$74,0)),"Unknown ID")</f>
        <v>Mukesh Shopping Center</v>
      </c>
      <c r="E20" s="282" t="s">
        <v>816</v>
      </c>
      <c r="F20" s="282" t="s">
        <v>762</v>
      </c>
      <c r="G20" s="282"/>
      <c r="H20" s="282" t="s">
        <v>1596</v>
      </c>
      <c r="I20" s="282" t="s">
        <v>1705</v>
      </c>
      <c r="J20" s="319">
        <v>1500.0</v>
      </c>
      <c r="K20" s="300">
        <v>46048.0</v>
      </c>
      <c r="L20" s="319">
        <f t="shared" si="1"/>
        <v>1800</v>
      </c>
      <c r="M20" s="319">
        <f>SUMIFS('Payments &amp; Receipts'!$F$5:$F$58,'Payments &amp; Receipts'!$B$5:$B$58,$C20)</f>
        <v>1800</v>
      </c>
      <c r="N20" s="282" t="str">
        <f t="shared" si="2"/>
        <v>Paid</v>
      </c>
      <c r="O20" s="282" t="s">
        <v>1750</v>
      </c>
      <c r="P20" s="282"/>
      <c r="Q20" s="282"/>
      <c r="R20" s="282"/>
      <c r="S20" s="282" t="s">
        <v>1604</v>
      </c>
      <c r="T20" s="319">
        <f>SUMIFS('Payments &amp; Receipts'!$F$5:$F$58,'Payments &amp; Receipts'!$L$5:$L$58,$B20)</f>
        <v>0</v>
      </c>
      <c r="U20" s="282" t="str">
        <f t="shared" si="3"/>
        <v>Paid (company account)</v>
      </c>
      <c r="V20" s="282"/>
      <c r="W20" s="26"/>
      <c r="X20" s="26"/>
      <c r="Y20" s="26"/>
      <c r="Z20" s="26"/>
      <c r="AA20" s="26"/>
      <c r="AB20" s="26"/>
      <c r="AC20" s="26"/>
      <c r="AD20" s="26"/>
      <c r="AE20" s="26"/>
      <c r="AF20" s="26"/>
      <c r="AG20" s="26"/>
      <c r="AH20" s="26"/>
    </row>
    <row r="21" ht="14.25" customHeight="1">
      <c r="A21" s="282" t="s">
        <v>1753</v>
      </c>
      <c r="B21" s="301" t="s">
        <v>1744</v>
      </c>
      <c r="C21" s="282" t="s">
        <v>815</v>
      </c>
      <c r="D21" s="282" t="str">
        <f t="array" ref="D21">IFERROR(INDEX(Companies!$B$5:$B$74,MATCH($C21,Companies!$A$5:$A$74,0)),"Unknown ID")</f>
        <v>Mukesh Shopping Center</v>
      </c>
      <c r="E21" s="282" t="s">
        <v>816</v>
      </c>
      <c r="F21" s="282" t="s">
        <v>762</v>
      </c>
      <c r="G21" s="282"/>
      <c r="H21" s="282" t="s">
        <v>1714</v>
      </c>
      <c r="I21" s="282" t="s">
        <v>1705</v>
      </c>
      <c r="J21" s="319">
        <v>300.0</v>
      </c>
      <c r="K21" s="300">
        <v>46048.0</v>
      </c>
      <c r="L21" s="319">
        <f t="shared" si="1"/>
        <v>1800</v>
      </c>
      <c r="M21" s="319">
        <f>SUMIFS('Payments &amp; Receipts'!$F$5:$F$58,'Payments &amp; Receipts'!$B$5:$B$58,$C21)</f>
        <v>1800</v>
      </c>
      <c r="N21" s="282" t="str">
        <f t="shared" si="2"/>
        <v>Paid</v>
      </c>
      <c r="O21" s="282" t="s">
        <v>1758</v>
      </c>
      <c r="P21" s="282"/>
      <c r="Q21" s="282"/>
      <c r="R21" s="282"/>
      <c r="S21" s="282" t="s">
        <v>1604</v>
      </c>
      <c r="T21" s="319">
        <f>SUMIFS('Payments &amp; Receipts'!$F$5:$F$58,'Payments &amp; Receipts'!$L$5:$L$58,$B21)</f>
        <v>0</v>
      </c>
      <c r="U21" s="282" t="str">
        <f t="shared" si="3"/>
        <v>Paid (company account)</v>
      </c>
      <c r="V21" s="282"/>
      <c r="W21" s="26"/>
      <c r="X21" s="26"/>
      <c r="Y21" s="26"/>
      <c r="Z21" s="26"/>
      <c r="AA21" s="26"/>
      <c r="AB21" s="26"/>
      <c r="AC21" s="26"/>
      <c r="AD21" s="26"/>
      <c r="AE21" s="26"/>
      <c r="AF21" s="26"/>
      <c r="AG21" s="26"/>
      <c r="AH21" s="26"/>
    </row>
    <row r="22" ht="14.25" customHeight="1">
      <c r="A22" s="282" t="s">
        <v>1759</v>
      </c>
      <c r="B22" s="301" t="s">
        <v>1760</v>
      </c>
      <c r="C22" s="282" t="s">
        <v>859</v>
      </c>
      <c r="D22" s="282" t="str">
        <f t="array" ref="D22">IFERROR(INDEX(Companies!$B$5:$B$74,MATCH($C22,Companies!$A$5:$A$74,0)),"Unknown ID")</f>
        <v>Control People Pest's Enterprise</v>
      </c>
      <c r="E22" s="282" t="s">
        <v>1764</v>
      </c>
      <c r="F22" s="282" t="s">
        <v>348</v>
      </c>
      <c r="G22" s="282" t="s">
        <v>881</v>
      </c>
      <c r="H22" s="282" t="s">
        <v>1645</v>
      </c>
      <c r="I22" s="282"/>
      <c r="J22" s="319">
        <v>275.0</v>
      </c>
      <c r="K22" s="300"/>
      <c r="L22" s="319">
        <f t="shared" si="1"/>
        <v>275</v>
      </c>
      <c r="M22" s="319">
        <f>SUMIFS('Payments &amp; Receipts'!$F$5:$F$58,'Payments &amp; Receipts'!$B$5:$B$58,$C22)</f>
        <v>275</v>
      </c>
      <c r="N22" s="282" t="str">
        <f t="shared" si="2"/>
        <v>Paid</v>
      </c>
      <c r="O22" s="282" t="s">
        <v>1767</v>
      </c>
      <c r="P22" s="282"/>
      <c r="Q22" s="282"/>
      <c r="R22" s="282"/>
      <c r="S22" s="282" t="s">
        <v>348</v>
      </c>
      <c r="T22" s="319">
        <f>SUMIFS('Payments &amp; Receipts'!$F$5:$F$58,'Payments &amp; Receipts'!$L$5:$L$58,$B22)</f>
        <v>0</v>
      </c>
      <c r="U22" s="282" t="str">
        <f t="shared" si="3"/>
        <v>Paid (company account)</v>
      </c>
      <c r="V22" s="282"/>
      <c r="W22" s="26"/>
      <c r="X22" s="26"/>
      <c r="Y22" s="26"/>
      <c r="Z22" s="26"/>
      <c r="AA22" s="26"/>
      <c r="AB22" s="26"/>
      <c r="AC22" s="26"/>
      <c r="AD22" s="26"/>
      <c r="AE22" s="26"/>
      <c r="AF22" s="26"/>
      <c r="AG22" s="26"/>
      <c r="AH22" s="26"/>
    </row>
    <row r="23" ht="14.25" customHeight="1">
      <c r="A23" s="282" t="s">
        <v>1768</v>
      </c>
      <c r="B23" s="301" t="s">
        <v>1769</v>
      </c>
      <c r="C23" s="282" t="s">
        <v>811</v>
      </c>
      <c r="D23" s="282" t="str">
        <f t="array" ref="D23">IFERROR(INDEX(Companies!$B$5:$B$74,MATCH($C23,Companies!$A$5:$A$74,0)),"Unknown ID")</f>
        <v>National Paint Industries</v>
      </c>
      <c r="E23" s="282" t="s">
        <v>812</v>
      </c>
      <c r="F23" s="282" t="s">
        <v>807</v>
      </c>
      <c r="G23" s="282" t="s">
        <v>1064</v>
      </c>
      <c r="H23" s="282" t="s">
        <v>1596</v>
      </c>
      <c r="I23" s="282"/>
      <c r="J23" s="319">
        <v>1500.0</v>
      </c>
      <c r="K23" s="300">
        <v>46052.0</v>
      </c>
      <c r="L23" s="319">
        <f t="shared" si="1"/>
        <v>2500</v>
      </c>
      <c r="M23" s="319">
        <f>SUMIFS('Payments &amp; Receipts'!$F$5:$F$58,'Payments &amp; Receipts'!$B$5:$B$58,$C23)</f>
        <v>2500</v>
      </c>
      <c r="N23" s="282" t="str">
        <f t="shared" si="2"/>
        <v>Paid</v>
      </c>
      <c r="O23" s="282" t="s">
        <v>1775</v>
      </c>
      <c r="P23" s="282"/>
      <c r="Q23" s="282"/>
      <c r="R23" s="282"/>
      <c r="S23" s="282" t="s">
        <v>1604</v>
      </c>
      <c r="T23" s="319">
        <f>SUMIFS('Payments &amp; Receipts'!$F$5:$F$58,'Payments &amp; Receipts'!$L$5:$L$58,$B23)</f>
        <v>0</v>
      </c>
      <c r="U23" s="282" t="str">
        <f t="shared" si="3"/>
        <v>Paid (company account)</v>
      </c>
      <c r="V23" s="282"/>
      <c r="W23" s="26"/>
      <c r="X23" s="26"/>
      <c r="Y23" s="26"/>
      <c r="Z23" s="26"/>
      <c r="AA23" s="26"/>
      <c r="AB23" s="26"/>
      <c r="AC23" s="26"/>
      <c r="AD23" s="26"/>
      <c r="AE23" s="26"/>
      <c r="AF23" s="26"/>
      <c r="AG23" s="26"/>
      <c r="AH23" s="26"/>
    </row>
    <row r="24" ht="14.25" customHeight="1">
      <c r="A24" s="282" t="s">
        <v>1778</v>
      </c>
      <c r="B24" s="301" t="s">
        <v>1769</v>
      </c>
      <c r="C24" s="282" t="s">
        <v>811</v>
      </c>
      <c r="D24" s="282" t="str">
        <f t="array" ref="D24">IFERROR(INDEX(Companies!$B$5:$B$74,MATCH($C24,Companies!$A$5:$A$74,0)),"Unknown ID")</f>
        <v>National Paint Industries</v>
      </c>
      <c r="E24" s="282" t="s">
        <v>812</v>
      </c>
      <c r="F24" s="282" t="s">
        <v>807</v>
      </c>
      <c r="G24" s="282" t="s">
        <v>1064</v>
      </c>
      <c r="H24" s="282" t="s">
        <v>1714</v>
      </c>
      <c r="I24" s="282"/>
      <c r="J24" s="319">
        <v>200.0</v>
      </c>
      <c r="K24" s="300">
        <v>46052.0</v>
      </c>
      <c r="L24" s="319">
        <f t="shared" si="1"/>
        <v>2500</v>
      </c>
      <c r="M24" s="319">
        <f>SUMIFS('Payments &amp; Receipts'!$F$5:$F$58,'Payments &amp; Receipts'!$B$5:$B$58,$C24)</f>
        <v>2500</v>
      </c>
      <c r="N24" s="282" t="str">
        <f t="shared" si="2"/>
        <v>Paid</v>
      </c>
      <c r="O24" s="282" t="s">
        <v>1784</v>
      </c>
      <c r="P24" s="282"/>
      <c r="Q24" s="282"/>
      <c r="R24" s="282"/>
      <c r="S24" s="282" t="s">
        <v>1604</v>
      </c>
      <c r="T24" s="319">
        <f>SUMIFS('Payments &amp; Receipts'!$F$5:$F$58,'Payments &amp; Receipts'!$L$5:$L$58,$B24)</f>
        <v>0</v>
      </c>
      <c r="U24" s="282" t="str">
        <f t="shared" si="3"/>
        <v>Paid (company account)</v>
      </c>
      <c r="V24" s="282"/>
      <c r="W24" s="26"/>
      <c r="X24" s="26"/>
      <c r="Y24" s="26"/>
      <c r="Z24" s="26"/>
      <c r="AA24" s="26"/>
      <c r="AB24" s="26"/>
      <c r="AC24" s="26"/>
      <c r="AD24" s="26"/>
      <c r="AE24" s="26"/>
      <c r="AF24" s="26"/>
      <c r="AG24" s="26"/>
      <c r="AH24" s="26"/>
    </row>
    <row r="25" ht="14.25" customHeight="1">
      <c r="A25" s="282" t="s">
        <v>1786</v>
      </c>
      <c r="B25" s="301" t="s">
        <v>1769</v>
      </c>
      <c r="C25" s="282" t="s">
        <v>811</v>
      </c>
      <c r="D25" s="282" t="str">
        <f t="array" ref="D25">IFERROR(INDEX(Companies!$B$5:$B$74,MATCH($C25,Companies!$A$5:$A$74,0)),"Unknown ID")</f>
        <v>National Paint Industries</v>
      </c>
      <c r="E25" s="282" t="s">
        <v>812</v>
      </c>
      <c r="F25" s="282" t="s">
        <v>807</v>
      </c>
      <c r="G25" s="282" t="s">
        <v>1064</v>
      </c>
      <c r="H25" s="282" t="s">
        <v>1625</v>
      </c>
      <c r="I25" s="282"/>
      <c r="J25" s="319">
        <v>800.0</v>
      </c>
      <c r="K25" s="300">
        <v>46052.0</v>
      </c>
      <c r="L25" s="319">
        <f t="shared" si="1"/>
        <v>2500</v>
      </c>
      <c r="M25" s="319">
        <f>SUMIFS('Payments &amp; Receipts'!$F$5:$F$58,'Payments &amp; Receipts'!$B$5:$B$58,$C25)</f>
        <v>2500</v>
      </c>
      <c r="N25" s="282" t="str">
        <f t="shared" si="2"/>
        <v>Paid</v>
      </c>
      <c r="O25" s="282" t="s">
        <v>1792</v>
      </c>
      <c r="P25" s="282"/>
      <c r="Q25" s="282"/>
      <c r="R25" s="282"/>
      <c r="S25" s="282" t="s">
        <v>1604</v>
      </c>
      <c r="T25" s="319">
        <f>SUMIFS('Payments &amp; Receipts'!$F$5:$F$58,'Payments &amp; Receipts'!$L$5:$L$58,$B25)</f>
        <v>0</v>
      </c>
      <c r="U25" s="282" t="str">
        <f t="shared" si="3"/>
        <v>Paid (company account)</v>
      </c>
      <c r="V25" s="282"/>
      <c r="W25" s="26"/>
      <c r="X25" s="26"/>
      <c r="Y25" s="26"/>
      <c r="Z25" s="26"/>
      <c r="AA25" s="26"/>
      <c r="AB25" s="26"/>
      <c r="AC25" s="26"/>
      <c r="AD25" s="26"/>
      <c r="AE25" s="26"/>
      <c r="AF25" s="26"/>
      <c r="AG25" s="26"/>
      <c r="AH25" s="26"/>
    </row>
    <row r="26" ht="14.25" customHeight="1">
      <c r="A26" s="282" t="s">
        <v>1795</v>
      </c>
      <c r="B26" s="301" t="s">
        <v>1796</v>
      </c>
      <c r="C26" s="282" t="s">
        <v>906</v>
      </c>
      <c r="D26" s="282" t="str">
        <f t="array" ref="D26">IFERROR(INDEX(Companies!$B$5:$B$74,MATCH($C26,Companies!$A$5:$A$74,0)),"Unknown ID")</f>
        <v>Greenfield Liberia Inc.</v>
      </c>
      <c r="E26" s="282" t="s">
        <v>909</v>
      </c>
      <c r="F26" s="282" t="s">
        <v>807</v>
      </c>
      <c r="G26" s="282" t="s">
        <v>908</v>
      </c>
      <c r="H26" s="282" t="s">
        <v>1596</v>
      </c>
      <c r="I26" s="282"/>
      <c r="J26" s="319">
        <v>500.0</v>
      </c>
      <c r="K26" s="300"/>
      <c r="L26" s="319">
        <f t="shared" si="1"/>
        <v>500</v>
      </c>
      <c r="M26" s="319">
        <f>SUMIFS('Payments &amp; Receipts'!$F$5:$F$58,'Payments &amp; Receipts'!$B$5:$B$58,$C26)</f>
        <v>500</v>
      </c>
      <c r="N26" s="282" t="str">
        <f t="shared" si="2"/>
        <v>Paid</v>
      </c>
      <c r="O26" s="282" t="s">
        <v>1801</v>
      </c>
      <c r="P26" s="282"/>
      <c r="Q26" s="282"/>
      <c r="R26" s="282"/>
      <c r="S26" s="282" t="s">
        <v>1604</v>
      </c>
      <c r="T26" s="319">
        <f>SUMIFS('Payments &amp; Receipts'!$F$5:$F$58,'Payments &amp; Receipts'!$L$5:$L$58,$B26)</f>
        <v>0</v>
      </c>
      <c r="U26" s="282" t="str">
        <f t="shared" si="3"/>
        <v>Paid (company account)</v>
      </c>
      <c r="V26" s="282"/>
      <c r="W26" s="26"/>
      <c r="X26" s="26"/>
      <c r="Y26" s="26"/>
      <c r="Z26" s="26"/>
      <c r="AA26" s="26"/>
      <c r="AB26" s="26"/>
      <c r="AC26" s="26"/>
      <c r="AD26" s="26"/>
      <c r="AE26" s="26"/>
      <c r="AF26" s="26"/>
      <c r="AG26" s="26"/>
      <c r="AH26" s="26"/>
    </row>
    <row r="27" ht="14.25" customHeight="1">
      <c r="A27" s="282" t="s">
        <v>1806</v>
      </c>
      <c r="B27" s="301" t="s">
        <v>1807</v>
      </c>
      <c r="C27" s="282" t="s">
        <v>946</v>
      </c>
      <c r="D27" s="282" t="str">
        <f t="array" ref="D27">IFERROR(INDEX(Companies!$B$5:$B$74,MATCH($C27,Companies!$A$5:$A$74,0)),"Unknown ID")</f>
        <v>Madina Rock Quarry Inc.</v>
      </c>
      <c r="E27" s="282" t="s">
        <v>1808</v>
      </c>
      <c r="F27" s="282" t="s">
        <v>948</v>
      </c>
      <c r="G27" s="282" t="s">
        <v>1809</v>
      </c>
      <c r="H27" s="282" t="s">
        <v>1596</v>
      </c>
      <c r="I27" s="282"/>
      <c r="J27" s="319">
        <v>1500.0</v>
      </c>
      <c r="K27" s="300"/>
      <c r="L27" s="319">
        <f t="shared" si="1"/>
        <v>4550</v>
      </c>
      <c r="M27" s="319">
        <f>SUMIFS('Payments &amp; Receipts'!$F$5:$F$58,'Payments &amp; Receipts'!$B$5:$B$58,$C27)</f>
        <v>2500</v>
      </c>
      <c r="N27" s="282" t="str">
        <f t="shared" si="2"/>
        <v>Part paid</v>
      </c>
      <c r="O27" s="282" t="s">
        <v>1811</v>
      </c>
      <c r="P27" s="282"/>
      <c r="Q27" s="282"/>
      <c r="R27" s="282"/>
      <c r="S27" s="282" t="s">
        <v>1604</v>
      </c>
      <c r="T27" s="319">
        <f>SUMIFS('Payments &amp; Receipts'!$F$5:$F$58,'Payments &amp; Receipts'!$L$5:$L$58,$B27)</f>
        <v>0</v>
      </c>
      <c r="U27" s="282" t="str">
        <f t="shared" si="3"/>
        <v>Part paid (company account)</v>
      </c>
      <c r="V27" s="282"/>
      <c r="W27" s="26"/>
      <c r="X27" s="26"/>
      <c r="Y27" s="26"/>
      <c r="Z27" s="26"/>
      <c r="AA27" s="26"/>
      <c r="AB27" s="26"/>
      <c r="AC27" s="26"/>
      <c r="AD27" s="26"/>
      <c r="AE27" s="26"/>
      <c r="AF27" s="26"/>
      <c r="AG27" s="26"/>
      <c r="AH27" s="26"/>
    </row>
    <row r="28" ht="14.25" customHeight="1">
      <c r="A28" s="282" t="s">
        <v>1815</v>
      </c>
      <c r="B28" s="301" t="s">
        <v>1807</v>
      </c>
      <c r="C28" s="282" t="s">
        <v>946</v>
      </c>
      <c r="D28" s="282" t="str">
        <f t="array" ref="D28">IFERROR(INDEX(Companies!$B$5:$B$74,MATCH($C28,Companies!$A$5:$A$74,0)),"Unknown ID")</f>
        <v>Madina Rock Quarry Inc.</v>
      </c>
      <c r="E28" s="282" t="s">
        <v>1808</v>
      </c>
      <c r="F28" s="282" t="s">
        <v>948</v>
      </c>
      <c r="G28" s="282" t="s">
        <v>1809</v>
      </c>
      <c r="H28" s="282" t="s">
        <v>1625</v>
      </c>
      <c r="I28" s="282"/>
      <c r="J28" s="319">
        <v>3050.0</v>
      </c>
      <c r="K28" s="300"/>
      <c r="L28" s="319">
        <f t="shared" si="1"/>
        <v>4550</v>
      </c>
      <c r="M28" s="319">
        <f>SUMIFS('Payments &amp; Receipts'!$F$5:$F$58,'Payments &amp; Receipts'!$B$5:$B$58,$C28)</f>
        <v>2500</v>
      </c>
      <c r="N28" s="282" t="str">
        <f t="shared" si="2"/>
        <v>Part paid</v>
      </c>
      <c r="O28" s="282" t="s">
        <v>1820</v>
      </c>
      <c r="P28" s="282"/>
      <c r="Q28" s="282"/>
      <c r="R28" s="282"/>
      <c r="S28" s="282" t="s">
        <v>1604</v>
      </c>
      <c r="T28" s="319">
        <f>SUMIFS('Payments &amp; Receipts'!$F$5:$F$58,'Payments &amp; Receipts'!$L$5:$L$58,$B28)</f>
        <v>0</v>
      </c>
      <c r="U28" s="282" t="str">
        <f t="shared" si="3"/>
        <v>Part paid (company account)</v>
      </c>
      <c r="V28" s="282"/>
      <c r="W28" s="26"/>
      <c r="X28" s="26"/>
      <c r="Y28" s="26"/>
      <c r="Z28" s="26"/>
      <c r="AA28" s="26"/>
      <c r="AB28" s="26"/>
      <c r="AC28" s="26"/>
      <c r="AD28" s="26"/>
      <c r="AE28" s="26"/>
      <c r="AF28" s="26"/>
      <c r="AG28" s="26"/>
      <c r="AH28" s="26"/>
    </row>
    <row r="29" ht="14.25" customHeight="1">
      <c r="A29" s="282" t="s">
        <v>1822</v>
      </c>
      <c r="B29" s="301" t="s">
        <v>1823</v>
      </c>
      <c r="C29" s="282" t="s">
        <v>993</v>
      </c>
      <c r="D29" s="282" t="str">
        <f t="array" ref="D29">IFERROR(INDEX(Companies!$B$5:$B$74,MATCH($C29,Companies!$A$5:$A$74,0)),"Unknown ID")</f>
        <v>Kwado Energy</v>
      </c>
      <c r="E29" s="282" t="s">
        <v>997</v>
      </c>
      <c r="F29" s="282"/>
      <c r="G29" s="282" t="s">
        <v>1828</v>
      </c>
      <c r="H29" s="282" t="s">
        <v>1596</v>
      </c>
      <c r="I29" s="282"/>
      <c r="J29" s="319">
        <v>1500.0</v>
      </c>
      <c r="K29" s="300">
        <v>46065.0</v>
      </c>
      <c r="L29" s="319">
        <f t="shared" si="1"/>
        <v>1500</v>
      </c>
      <c r="M29" s="319">
        <f>SUMIFS('Payments &amp; Receipts'!$F$5:$F$58,'Payments &amp; Receipts'!$B$5:$B$58,$C29)</f>
        <v>0</v>
      </c>
      <c r="N29" s="282" t="str">
        <f t="shared" si="2"/>
        <v>No payment on record</v>
      </c>
      <c r="O29" s="282" t="s">
        <v>1829</v>
      </c>
      <c r="P29" s="282"/>
      <c r="Q29" s="282"/>
      <c r="R29" s="282"/>
      <c r="S29" s="282" t="s">
        <v>1604</v>
      </c>
      <c r="T29" s="319">
        <f>SUMIFS('Payments &amp; Receipts'!$F$5:$F$58,'Payments &amp; Receipts'!$L$5:$L$58,$B29)</f>
        <v>0</v>
      </c>
      <c r="U29" s="282" t="str">
        <f t="shared" si="3"/>
        <v>Unpaid</v>
      </c>
      <c r="V29" s="282"/>
      <c r="W29" s="26"/>
      <c r="X29" s="26"/>
      <c r="Y29" s="26"/>
      <c r="Z29" s="26"/>
      <c r="AA29" s="26"/>
      <c r="AB29" s="26"/>
      <c r="AC29" s="26"/>
      <c r="AD29" s="26"/>
      <c r="AE29" s="26"/>
      <c r="AF29" s="26"/>
      <c r="AG29" s="26"/>
      <c r="AH29" s="26"/>
    </row>
    <row r="30" ht="14.25" customHeight="1">
      <c r="A30" s="282" t="s">
        <v>1834</v>
      </c>
      <c r="B30" s="301" t="s">
        <v>1835</v>
      </c>
      <c r="C30" s="282" t="s">
        <v>851</v>
      </c>
      <c r="D30" s="282" t="str">
        <f t="array" ref="D30">IFERROR(INDEX(Companies!$B$5:$B$74,MATCH($C30,Companies!$A$5:$A$74,0)),"Unknown ID")</f>
        <v>MAXAM Liberia JV Inc.</v>
      </c>
      <c r="E30" s="282" t="s">
        <v>1838</v>
      </c>
      <c r="F30" s="282"/>
      <c r="G30" s="282" t="s">
        <v>854</v>
      </c>
      <c r="H30" s="282" t="s">
        <v>1596</v>
      </c>
      <c r="I30" s="282" t="s">
        <v>1839</v>
      </c>
      <c r="J30" s="319">
        <v>1950.0</v>
      </c>
      <c r="K30" s="300">
        <v>46063.0</v>
      </c>
      <c r="L30" s="319">
        <f t="shared" si="1"/>
        <v>1950</v>
      </c>
      <c r="M30" s="319">
        <f>SUMIFS('Payments &amp; Receipts'!$F$5:$F$58,'Payments &amp; Receipts'!$B$5:$B$58,$C30)</f>
        <v>1950</v>
      </c>
      <c r="N30" s="282" t="str">
        <f t="shared" si="2"/>
        <v>Paid</v>
      </c>
      <c r="O30" s="282" t="s">
        <v>1842</v>
      </c>
      <c r="P30" s="282"/>
      <c r="Q30" s="282"/>
      <c r="R30" s="282"/>
      <c r="S30" s="282" t="s">
        <v>1604</v>
      </c>
      <c r="T30" s="319">
        <f>SUMIFS('Payments &amp; Receipts'!$F$5:$F$58,'Payments &amp; Receipts'!$L$5:$L$58,$B30)</f>
        <v>0</v>
      </c>
      <c r="U30" s="282" t="str">
        <f t="shared" si="3"/>
        <v>Paid (company account)</v>
      </c>
      <c r="V30" s="282"/>
      <c r="W30" s="26"/>
      <c r="X30" s="26"/>
      <c r="Y30" s="26"/>
      <c r="Z30" s="26"/>
      <c r="AA30" s="26"/>
      <c r="AB30" s="26"/>
      <c r="AC30" s="26"/>
      <c r="AD30" s="26"/>
      <c r="AE30" s="26"/>
      <c r="AF30" s="26"/>
      <c r="AG30" s="26"/>
      <c r="AH30" s="26"/>
    </row>
    <row r="31" ht="14.25" customHeight="1">
      <c r="A31" s="282" t="s">
        <v>1843</v>
      </c>
      <c r="B31" s="301" t="s">
        <v>1845</v>
      </c>
      <c r="C31" s="282" t="s">
        <v>1001</v>
      </c>
      <c r="D31" s="282" t="str">
        <f t="array" ref="D31">IFERROR(INDEX(Companies!$B$5:$B$74,MATCH($C31,Companies!$A$5:$A$74,0)),"Unknown ID")</f>
        <v>REAT Liberia</v>
      </c>
      <c r="E31" s="282" t="s">
        <v>1002</v>
      </c>
      <c r="F31" s="282"/>
      <c r="G31" s="282" t="s">
        <v>1846</v>
      </c>
      <c r="H31" s="282" t="s">
        <v>1596</v>
      </c>
      <c r="I31" s="282" t="s">
        <v>1597</v>
      </c>
      <c r="J31" s="319">
        <v>1500.0</v>
      </c>
      <c r="K31" s="300">
        <v>46064.0</v>
      </c>
      <c r="L31" s="319">
        <f t="shared" si="1"/>
        <v>1500</v>
      </c>
      <c r="M31" s="319">
        <f>SUMIFS('Payments &amp; Receipts'!$F$5:$F$58,'Payments &amp; Receipts'!$B$5:$B$58,$C31)</f>
        <v>0</v>
      </c>
      <c r="N31" s="282" t="str">
        <f t="shared" si="2"/>
        <v>No payment on record</v>
      </c>
      <c r="O31" s="282" t="s">
        <v>1850</v>
      </c>
      <c r="P31" s="282"/>
      <c r="Q31" s="282"/>
      <c r="R31" s="282"/>
      <c r="S31" s="282" t="s">
        <v>1604</v>
      </c>
      <c r="T31" s="319">
        <f>SUMIFS('Payments &amp; Receipts'!$F$5:$F$58,'Payments &amp; Receipts'!$L$5:$L$58,$B31)</f>
        <v>0</v>
      </c>
      <c r="U31" s="282" t="str">
        <f t="shared" si="3"/>
        <v>Unpaid</v>
      </c>
      <c r="V31" s="282"/>
      <c r="W31" s="26"/>
      <c r="X31" s="26"/>
      <c r="Y31" s="26"/>
      <c r="Z31" s="26"/>
      <c r="AA31" s="26"/>
      <c r="AB31" s="26"/>
      <c r="AC31" s="26"/>
      <c r="AD31" s="26"/>
      <c r="AE31" s="26"/>
      <c r="AF31" s="26"/>
      <c r="AG31" s="26"/>
      <c r="AH31" s="26"/>
    </row>
    <row r="32" ht="14.25" customHeight="1">
      <c r="A32" s="282" t="s">
        <v>263</v>
      </c>
      <c r="B32" s="301" t="s">
        <v>259</v>
      </c>
      <c r="C32" s="282" t="s">
        <v>928</v>
      </c>
      <c r="D32" s="282" t="str">
        <f t="array" ref="D32">IFERROR(INDEX(Companies!$B$5:$B$74,MATCH($C32,Companies!$A$5:$A$74,0)),"Unknown ID")</f>
        <v>Liberia Agriculture Company (LAC)</v>
      </c>
      <c r="E32" s="282" t="s">
        <v>1854</v>
      </c>
      <c r="F32" s="282"/>
      <c r="G32" s="282" t="s">
        <v>990</v>
      </c>
      <c r="H32" s="282" t="s">
        <v>1596</v>
      </c>
      <c r="I32" s="282"/>
      <c r="J32" s="319">
        <v>1500.0</v>
      </c>
      <c r="K32" s="300">
        <v>46065.0</v>
      </c>
      <c r="L32" s="319">
        <f t="shared" si="1"/>
        <v>1500</v>
      </c>
      <c r="M32" s="319">
        <f>SUMIFS('Payments &amp; Receipts'!$F$5:$F$58,'Payments &amp; Receipts'!$B$5:$B$58,$C32)</f>
        <v>1500</v>
      </c>
      <c r="N32" s="282" t="str">
        <f t="shared" si="2"/>
        <v>Paid</v>
      </c>
      <c r="O32" s="282" t="s">
        <v>1858</v>
      </c>
      <c r="P32" s="282"/>
      <c r="Q32" s="282"/>
      <c r="R32" s="282"/>
      <c r="S32" s="282" t="s">
        <v>1604</v>
      </c>
      <c r="T32" s="319">
        <f>SUMIFS('Payments &amp; Receipts'!$F$5:$F$58,'Payments &amp; Receipts'!$L$5:$L$58,$B32)</f>
        <v>0</v>
      </c>
      <c r="U32" s="282" t="str">
        <f t="shared" si="3"/>
        <v>Paid (company account)</v>
      </c>
      <c r="V32" s="282"/>
      <c r="W32" s="26"/>
      <c r="X32" s="26"/>
      <c r="Y32" s="26"/>
      <c r="Z32" s="26"/>
      <c r="AA32" s="26"/>
      <c r="AB32" s="26"/>
      <c r="AC32" s="26"/>
      <c r="AD32" s="26"/>
      <c r="AE32" s="26"/>
      <c r="AF32" s="26"/>
      <c r="AG32" s="26"/>
      <c r="AH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C5:C32">
      <formula1>Companies!$A$5:$A$74</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14"/>
    <col customWidth="1" min="2" max="2" width="12.0"/>
    <col customWidth="1" min="3" max="3" width="38.86"/>
    <col customWidth="1" min="4" max="4" width="35.29"/>
    <col customWidth="1" min="5" max="5" width="40.71"/>
    <col customWidth="1" min="6" max="6" width="17.57"/>
    <col customWidth="1" min="7" max="8" width="14.71"/>
    <col customWidth="1" min="9" max="9" width="22.29"/>
    <col customWidth="1" min="10" max="10" width="51.86"/>
    <col customWidth="1" min="11" max="11" width="29.71"/>
    <col customWidth="1" min="12" max="26" width="8.86"/>
    <col customWidth="1" min="27" max="27" width="8.71"/>
  </cols>
  <sheetData>
    <row r="1" ht="25.5" customHeight="1">
      <c r="A1" s="25" t="s">
        <v>1851</v>
      </c>
      <c r="B1" s="25"/>
      <c r="C1" s="25"/>
      <c r="D1" s="25"/>
      <c r="E1" s="25"/>
      <c r="F1" s="25"/>
      <c r="G1" s="25"/>
      <c r="H1" s="25"/>
      <c r="I1" s="25"/>
      <c r="J1" s="25"/>
      <c r="K1" s="25"/>
      <c r="L1" s="26"/>
      <c r="M1" s="26"/>
      <c r="N1" s="26"/>
      <c r="O1" s="26"/>
      <c r="P1" s="26"/>
      <c r="Q1" s="26"/>
      <c r="R1" s="26"/>
      <c r="S1" s="26"/>
      <c r="T1" s="26"/>
      <c r="U1" s="26"/>
      <c r="V1" s="26"/>
      <c r="W1" s="26"/>
      <c r="X1" s="26"/>
      <c r="Y1" s="26"/>
      <c r="Z1" s="26"/>
    </row>
    <row r="2" ht="14.25" customHeight="1">
      <c r="A2" s="30" t="s">
        <v>1857</v>
      </c>
      <c r="B2" s="30"/>
      <c r="C2" s="30"/>
      <c r="D2" s="30"/>
      <c r="E2" s="30"/>
      <c r="F2" s="30"/>
      <c r="G2" s="30"/>
      <c r="H2" s="30"/>
      <c r="I2" s="30"/>
      <c r="J2" s="30"/>
      <c r="K2" s="30"/>
      <c r="L2" s="26"/>
      <c r="M2" s="26"/>
      <c r="N2" s="26"/>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30.0" customHeight="1">
      <c r="A4" s="280" t="s">
        <v>294</v>
      </c>
      <c r="B4" s="280" t="s">
        <v>171</v>
      </c>
      <c r="C4" s="280" t="s">
        <v>736</v>
      </c>
      <c r="D4" s="280" t="s">
        <v>962</v>
      </c>
      <c r="E4" s="280" t="s">
        <v>1862</v>
      </c>
      <c r="F4" s="280" t="s">
        <v>1863</v>
      </c>
      <c r="G4" s="280" t="s">
        <v>1864</v>
      </c>
      <c r="H4" s="280" t="s">
        <v>553</v>
      </c>
      <c r="I4" s="280" t="s">
        <v>1865</v>
      </c>
      <c r="J4" s="280" t="s">
        <v>349</v>
      </c>
      <c r="K4" s="280" t="s">
        <v>964</v>
      </c>
      <c r="L4" s="280" t="s">
        <v>216</v>
      </c>
      <c r="M4" s="281"/>
      <c r="N4" s="281"/>
      <c r="O4" s="281"/>
      <c r="P4" s="281"/>
      <c r="Q4" s="281"/>
      <c r="R4" s="281"/>
      <c r="S4" s="281"/>
      <c r="T4" s="281"/>
      <c r="U4" s="281"/>
      <c r="V4" s="281"/>
      <c r="W4" s="281"/>
      <c r="X4" s="281"/>
      <c r="Y4" s="281"/>
      <c r="Z4" s="281"/>
      <c r="AA4" s="281"/>
    </row>
    <row r="5" ht="14.25" customHeight="1">
      <c r="A5" s="282" t="s">
        <v>1866</v>
      </c>
      <c r="B5" s="282" t="s">
        <v>739</v>
      </c>
      <c r="C5" s="282" t="str">
        <f t="array" ref="C5">IFERROR(INDEX(Companies!$B$5:$B$74,MATCH($B5,Companies!$A$5:$A$74,0)),"Unknown ID")</f>
        <v>Bea Mountain Mining Corporation (BMMC)</v>
      </c>
      <c r="D5" s="282" t="str">
        <f>'SRC CMU Receipts'!A3</f>
        <v>BMMC</v>
      </c>
      <c r="E5" s="282" t="str">
        <f>'SRC CMU Receipts'!C3</f>
        <v>CRL &amp; CIL</v>
      </c>
      <c r="F5" s="319">
        <f>'SRC CMU Receipts'!B3</f>
        <v>233651</v>
      </c>
      <c r="G5" s="300">
        <f>'SRC CMU Receipts'!D3</f>
        <v>46036</v>
      </c>
      <c r="H5" s="310">
        <f>'SRC CMU Receipts'!E3</f>
        <v>4065</v>
      </c>
      <c r="I5" s="282" t="s">
        <v>1877</v>
      </c>
      <c r="J5" s="282" t="s">
        <v>1878</v>
      </c>
      <c r="K5" s="282" t="s">
        <v>1880</v>
      </c>
      <c r="L5" s="282"/>
      <c r="M5" s="26"/>
      <c r="N5" s="26"/>
      <c r="O5" s="26"/>
      <c r="P5" s="26"/>
      <c r="Q5" s="26"/>
      <c r="R5" s="26"/>
      <c r="S5" s="26"/>
      <c r="T5" s="26"/>
      <c r="U5" s="26"/>
      <c r="V5" s="26"/>
      <c r="W5" s="26"/>
      <c r="X5" s="26"/>
      <c r="Y5" s="26"/>
      <c r="Z5" s="26"/>
      <c r="AA5" s="26"/>
    </row>
    <row r="6" ht="14.25" customHeight="1">
      <c r="A6" s="282" t="s">
        <v>1881</v>
      </c>
      <c r="B6" s="282" t="s">
        <v>745</v>
      </c>
      <c r="C6" s="282" t="str">
        <f t="array" ref="C6">IFERROR(INDEX(Companies!$B$5:$B$74,MATCH($B6,Companies!$A$5:$A$74,0)),"Unknown ID")</f>
        <v>MNG Gold Liberia Inc.</v>
      </c>
      <c r="D6" s="282" t="str">
        <f>'SRC CMU Receipts'!A4</f>
        <v>MNG</v>
      </c>
      <c r="E6" s="282" t="str">
        <f>'SRC CMU Receipts'!C4</f>
        <v>EDL</v>
      </c>
      <c r="F6" s="319">
        <f>'SRC CMU Receipts'!B4</f>
        <v>6100</v>
      </c>
      <c r="G6" s="300">
        <f>'SRC CMU Receipts'!D4</f>
        <v>46042</v>
      </c>
      <c r="H6" s="310">
        <f>'SRC CMU Receipts'!E4</f>
        <v>4079</v>
      </c>
      <c r="I6" s="282" t="s">
        <v>1877</v>
      </c>
      <c r="J6" s="282" t="s">
        <v>1885</v>
      </c>
      <c r="K6" s="282" t="s">
        <v>1886</v>
      </c>
      <c r="L6" s="282"/>
      <c r="M6" s="26"/>
      <c r="N6" s="26"/>
      <c r="O6" s="26"/>
      <c r="P6" s="26"/>
      <c r="Q6" s="26"/>
      <c r="R6" s="26"/>
      <c r="S6" s="26"/>
      <c r="T6" s="26"/>
      <c r="U6" s="26"/>
      <c r="V6" s="26"/>
      <c r="W6" s="26"/>
      <c r="X6" s="26"/>
      <c r="Y6" s="26"/>
      <c r="Z6" s="26"/>
      <c r="AA6" s="26"/>
    </row>
    <row r="7" ht="14.25" customHeight="1">
      <c r="A7" s="282" t="s">
        <v>1887</v>
      </c>
      <c r="B7" s="282" t="s">
        <v>745</v>
      </c>
      <c r="C7" s="282" t="str">
        <f t="array" ref="C7">IFERROR(INDEX(Companies!$B$5:$B$74,MATCH($B7,Companies!$A$5:$A$74,0)),"Unknown ID")</f>
        <v>MNG Gold Liberia Inc.</v>
      </c>
      <c r="D7" s="282" t="str">
        <f>'SRC CMU Receipts'!A5</f>
        <v>MNG</v>
      </c>
      <c r="E7" s="282" t="str">
        <f>'SRC CMU Receipts'!C5</f>
        <v>Dewatering &amp; Construction of Retention</v>
      </c>
      <c r="F7" s="319">
        <f>'SRC CMU Receipts'!B5</f>
        <v>5050</v>
      </c>
      <c r="G7" s="300">
        <f>'SRC CMU Receipts'!D5</f>
        <v>46037</v>
      </c>
      <c r="H7" s="310">
        <f>'SRC CMU Receipts'!E5</f>
        <v>4066</v>
      </c>
      <c r="I7" s="282" t="s">
        <v>1877</v>
      </c>
      <c r="J7" s="282" t="s">
        <v>1890</v>
      </c>
      <c r="K7" s="282" t="s">
        <v>1891</v>
      </c>
      <c r="L7" s="282"/>
      <c r="M7" s="26"/>
      <c r="N7" s="26"/>
      <c r="O7" s="26"/>
      <c r="P7" s="26"/>
      <c r="Q7" s="26"/>
      <c r="R7" s="26"/>
      <c r="S7" s="26"/>
      <c r="T7" s="26"/>
      <c r="U7" s="26"/>
      <c r="V7" s="26"/>
      <c r="W7" s="26"/>
      <c r="X7" s="26"/>
      <c r="Y7" s="26"/>
      <c r="Z7" s="26"/>
      <c r="AA7" s="26"/>
    </row>
    <row r="8" ht="14.25" customHeight="1">
      <c r="A8" s="282" t="s">
        <v>1892</v>
      </c>
      <c r="B8" s="282" t="s">
        <v>739</v>
      </c>
      <c r="C8" s="282" t="str">
        <f t="array" ref="C8">IFERROR(INDEX(Companies!$B$5:$B$74,MATCH($B8,Companies!$A$5:$A$74,0)),"Unknown ID")</f>
        <v>Bea Mountain Mining Corporation (BMMC)</v>
      </c>
      <c r="D8" s="282" t="str">
        <f>'SRC CMU Receipts'!A6</f>
        <v>BMMC</v>
      </c>
      <c r="E8" s="282" t="str">
        <f>'SRC CMU Receipts'!C6</f>
        <v>Open Pit EDL</v>
      </c>
      <c r="F8" s="319">
        <f>'SRC CMU Receipts'!B6</f>
        <v>3050</v>
      </c>
      <c r="G8" s="300">
        <f>'SRC CMU Receipts'!D6</f>
        <v>46217</v>
      </c>
      <c r="H8" s="310">
        <f>'SRC CMU Receipts'!E6</f>
        <v>4685</v>
      </c>
      <c r="I8" s="282" t="s">
        <v>1877</v>
      </c>
      <c r="J8" s="282"/>
      <c r="K8" s="282" t="s">
        <v>1896</v>
      </c>
      <c r="L8" s="282"/>
      <c r="M8" s="26"/>
      <c r="N8" s="26"/>
      <c r="O8" s="26"/>
      <c r="P8" s="26"/>
      <c r="Q8" s="26"/>
      <c r="R8" s="26"/>
      <c r="S8" s="26"/>
      <c r="T8" s="26"/>
      <c r="U8" s="26"/>
      <c r="V8" s="26"/>
      <c r="W8" s="26"/>
      <c r="X8" s="26"/>
      <c r="Y8" s="26"/>
      <c r="Z8" s="26"/>
      <c r="AA8" s="26"/>
    </row>
    <row r="9" ht="14.25" customHeight="1">
      <c r="A9" s="282" t="s">
        <v>1897</v>
      </c>
      <c r="B9" s="282" t="s">
        <v>749</v>
      </c>
      <c r="C9" s="282" t="str">
        <f t="array" ref="C9">IFERROR(INDEX(Companies!$B$5:$B$74,MATCH($B9,Companies!$A$5:$A$74,0)),"Unknown ID")</f>
        <v>Firestone Liberia</v>
      </c>
      <c r="D9" s="282" t="str">
        <f>'SRC CMU Receipts'!A7</f>
        <v>Firestone</v>
      </c>
      <c r="E9" s="282" t="str">
        <f>'SRC CMU Receipts'!C7</f>
        <v>CIL</v>
      </c>
      <c r="F9" s="319">
        <f>'SRC CMU Receipts'!B7</f>
        <v>4360</v>
      </c>
      <c r="G9" s="300">
        <f>'SRC CMU Receipts'!D7</f>
        <v>46233</v>
      </c>
      <c r="H9" s="310">
        <f>'SRC CMU Receipts'!E7</f>
        <v>4708</v>
      </c>
      <c r="I9" s="282" t="s">
        <v>1877</v>
      </c>
      <c r="J9" s="282"/>
      <c r="K9" s="282" t="s">
        <v>1901</v>
      </c>
      <c r="L9" s="282"/>
      <c r="M9" s="26"/>
      <c r="N9" s="26"/>
      <c r="O9" s="26"/>
      <c r="P9" s="26"/>
      <c r="Q9" s="26"/>
      <c r="R9" s="26"/>
      <c r="S9" s="26"/>
      <c r="T9" s="26"/>
      <c r="U9" s="26"/>
      <c r="V9" s="26"/>
      <c r="W9" s="26"/>
      <c r="X9" s="26"/>
      <c r="Y9" s="26"/>
      <c r="Z9" s="26"/>
      <c r="AA9" s="26"/>
    </row>
    <row r="10" ht="14.25" customHeight="1">
      <c r="A10" s="282" t="s">
        <v>1902</v>
      </c>
      <c r="B10" s="282" t="s">
        <v>879</v>
      </c>
      <c r="C10" s="282" t="str">
        <f t="array" ref="C10">IFERROR(INDEX(Companies!$B$5:$B$74,MATCH($B10,Companies!$A$5:$A$74,0)),"Unknown ID")</f>
        <v>City Builders Inc.</v>
      </c>
      <c r="D10" s="282" t="str">
        <f>'SRC CMU Receipts'!A9</f>
        <v>City Builders Inc.</v>
      </c>
      <c r="E10" s="282" t="str">
        <f>'SRC CMU Receipts'!C9</f>
        <v>CRL &amp; CIL</v>
      </c>
      <c r="F10" s="319">
        <f>'SRC CMU Receipts'!B9</f>
        <v>1500</v>
      </c>
      <c r="G10" s="300">
        <f>'SRC CMU Receipts'!D9</f>
        <v>46036</v>
      </c>
      <c r="H10" s="310">
        <f>'SRC CMU Receipts'!E9</f>
        <v>4061</v>
      </c>
      <c r="I10" s="282" t="s">
        <v>1877</v>
      </c>
      <c r="J10" s="282" t="s">
        <v>1905</v>
      </c>
      <c r="K10" s="282" t="s">
        <v>1906</v>
      </c>
      <c r="L10" s="282"/>
      <c r="M10" s="26"/>
      <c r="N10" s="26"/>
      <c r="O10" s="26"/>
      <c r="P10" s="26"/>
      <c r="Q10" s="26"/>
      <c r="R10" s="26"/>
      <c r="S10" s="26"/>
      <c r="T10" s="26"/>
      <c r="U10" s="26"/>
      <c r="V10" s="26"/>
      <c r="W10" s="26"/>
      <c r="X10" s="26"/>
      <c r="Y10" s="26"/>
      <c r="Z10" s="26"/>
      <c r="AA10" s="26"/>
    </row>
    <row r="11" ht="14.25" customHeight="1">
      <c r="A11" s="282" t="s">
        <v>1909</v>
      </c>
      <c r="B11" s="282" t="s">
        <v>891</v>
      </c>
      <c r="C11" s="282" t="str">
        <f t="array" ref="C11">IFERROR(INDEX(Companies!$B$5:$B$74,MATCH($B11,Companies!$A$5:$A$74,0)),"Unknown ID")</f>
        <v>AMASCO</v>
      </c>
      <c r="D11" s="282" t="str">
        <f>'SRC CMU Receipts'!A10</f>
        <v>AMASCO</v>
      </c>
      <c r="E11" s="282" t="str">
        <f>'SRC CMU Receipts'!C10</f>
        <v>Chemical Transportation License</v>
      </c>
      <c r="F11" s="319">
        <f>'SRC CMU Receipts'!B10</f>
        <v>2000</v>
      </c>
      <c r="G11" s="300">
        <f>'SRC CMU Receipts'!D10</f>
        <v>46143</v>
      </c>
      <c r="H11" s="310">
        <f>'SRC CMU Receipts'!E10</f>
        <v>4546</v>
      </c>
      <c r="I11" s="282" t="s">
        <v>1877</v>
      </c>
      <c r="J11" s="282"/>
      <c r="K11" s="282" t="s">
        <v>1912</v>
      </c>
      <c r="L11" s="282"/>
      <c r="M11" s="26"/>
      <c r="N11" s="26"/>
      <c r="O11" s="26"/>
      <c r="P11" s="26"/>
      <c r="Q11" s="26"/>
      <c r="R11" s="26"/>
      <c r="S11" s="26"/>
      <c r="T11" s="26"/>
      <c r="U11" s="26"/>
      <c r="V11" s="26"/>
      <c r="W11" s="26"/>
      <c r="X11" s="26"/>
      <c r="Y11" s="26"/>
      <c r="Z11" s="26"/>
      <c r="AA11" s="26"/>
    </row>
    <row r="12" ht="14.25" customHeight="1">
      <c r="A12" s="282" t="s">
        <v>1913</v>
      </c>
      <c r="B12" s="282" t="s">
        <v>895</v>
      </c>
      <c r="C12" s="282" t="str">
        <f t="array" ref="C12">IFERROR(INDEX(Companies!$B$5:$B$74,MATCH($B12,Companies!$A$5:$A$74,0)),"Unknown ID")</f>
        <v>CGGC</v>
      </c>
      <c r="D12" s="282" t="str">
        <f>'SRC CMU Receipts'!A11</f>
        <v>CGGC</v>
      </c>
      <c r="E12" s="282" t="str">
        <f>'SRC CMU Receipts'!C11</f>
        <v>CRL &amp; EDL</v>
      </c>
      <c r="F12" s="319">
        <f>'SRC CMU Receipts'!B11</f>
        <v>4550</v>
      </c>
      <c r="G12" s="300">
        <f>'SRC CMU Receipts'!D11</f>
        <v>46150</v>
      </c>
      <c r="H12" s="310">
        <f>'SRC CMU Receipts'!E11</f>
        <v>4463</v>
      </c>
      <c r="I12" s="282" t="s">
        <v>1877</v>
      </c>
      <c r="J12" s="282"/>
      <c r="K12" s="282" t="s">
        <v>1917</v>
      </c>
      <c r="L12" s="282"/>
      <c r="M12" s="26"/>
      <c r="N12" s="26"/>
      <c r="O12" s="26"/>
      <c r="P12" s="26"/>
      <c r="Q12" s="26"/>
      <c r="R12" s="26"/>
      <c r="S12" s="26"/>
      <c r="T12" s="26"/>
      <c r="U12" s="26"/>
      <c r="V12" s="26"/>
      <c r="W12" s="26"/>
      <c r="X12" s="26"/>
      <c r="Y12" s="26"/>
      <c r="Z12" s="26"/>
      <c r="AA12" s="26"/>
    </row>
    <row r="13" ht="14.25" customHeight="1">
      <c r="A13" s="282" t="s">
        <v>1919</v>
      </c>
      <c r="B13" s="282" t="s">
        <v>898</v>
      </c>
      <c r="C13" s="282" t="str">
        <f t="array" ref="C13">IFERROR(INDEX(Companies!$B$5:$B$74,MATCH($B13,Companies!$A$5:$A$74,0)),"Unknown ID")</f>
        <v>Arkay Hardware Center</v>
      </c>
      <c r="D13" s="282" t="str">
        <f>'SRC CMU Receipts'!A12</f>
        <v>Arkay Hardware center</v>
      </c>
      <c r="E13" s="282" t="str">
        <f>'SRC CMU Receipts'!C12</f>
        <v>CRL</v>
      </c>
      <c r="F13" s="319">
        <f>'SRC CMU Receipts'!B12</f>
        <v>1500</v>
      </c>
      <c r="G13" s="300">
        <f>'SRC CMU Receipts'!D12</f>
        <v>46052</v>
      </c>
      <c r="H13" s="310">
        <f>'SRC CMU Receipts'!E12</f>
        <v>4054</v>
      </c>
      <c r="I13" s="282" t="s">
        <v>1877</v>
      </c>
      <c r="J13" s="282"/>
      <c r="K13" s="282" t="s">
        <v>1924</v>
      </c>
      <c r="L13" s="282"/>
      <c r="M13" s="26"/>
      <c r="N13" s="26"/>
      <c r="O13" s="26"/>
      <c r="P13" s="26"/>
      <c r="Q13" s="26"/>
      <c r="R13" s="26"/>
      <c r="S13" s="26"/>
      <c r="T13" s="26"/>
      <c r="U13" s="26"/>
      <c r="V13" s="26"/>
      <c r="W13" s="26"/>
      <c r="X13" s="26"/>
      <c r="Y13" s="26"/>
      <c r="Z13" s="26"/>
      <c r="AA13" s="26"/>
    </row>
    <row r="14" ht="14.25" customHeight="1">
      <c r="A14" s="282" t="s">
        <v>1925</v>
      </c>
      <c r="B14" s="282" t="s">
        <v>902</v>
      </c>
      <c r="C14" s="282" t="str">
        <f t="array" ref="C14">IFERROR(INDEX(Companies!$B$5:$B$74,MATCH($B14,Companies!$A$5:$A$74,0)),"Unknown ID")</f>
        <v>Agri Commodity Trading Company</v>
      </c>
      <c r="D14" s="282" t="str">
        <f>'SRC CMU Receipts'!A13</f>
        <v>Agri Commodity Trading Comp.</v>
      </c>
      <c r="E14" s="282" t="str">
        <f>'SRC CMU Receipts'!C13</f>
        <v>CIL</v>
      </c>
      <c r="F14" s="319">
        <f>'SRC CMU Receipts'!B13</f>
        <v>1500</v>
      </c>
      <c r="G14" s="300">
        <f>'SRC CMU Receipts'!D13</f>
        <v>46105</v>
      </c>
      <c r="H14" s="310">
        <f>'SRC CMU Receipts'!E13</f>
        <v>4290</v>
      </c>
      <c r="I14" s="282" t="s">
        <v>1877</v>
      </c>
      <c r="J14" s="282"/>
      <c r="K14" s="282" t="s">
        <v>1929</v>
      </c>
      <c r="L14" s="282"/>
      <c r="M14" s="26"/>
      <c r="N14" s="26"/>
      <c r="O14" s="26"/>
      <c r="P14" s="26"/>
      <c r="Q14" s="26"/>
      <c r="R14" s="26"/>
      <c r="S14" s="26"/>
      <c r="T14" s="26"/>
      <c r="U14" s="26"/>
      <c r="V14" s="26"/>
      <c r="W14" s="26"/>
      <c r="X14" s="26"/>
      <c r="Y14" s="26"/>
      <c r="Z14" s="26"/>
      <c r="AA14" s="26"/>
    </row>
    <row r="15" ht="14.25" customHeight="1">
      <c r="A15" s="282" t="s">
        <v>1930</v>
      </c>
      <c r="B15" s="282" t="s">
        <v>859</v>
      </c>
      <c r="C15" s="282" t="str">
        <f t="array" ref="C15">IFERROR(INDEX(Companies!$B$5:$B$74,MATCH($B15,Companies!$A$5:$A$74,0)),"Unknown ID")</f>
        <v>Control People Pest's Enterprise</v>
      </c>
      <c r="D15" s="282" t="str">
        <f>'SRC CMU Receipts'!A14</f>
        <v>Control People Pest's Ent.</v>
      </c>
      <c r="E15" s="282" t="str">
        <f>'SRC CMU Receipts'!C14</f>
        <v>Fumigation Certificate</v>
      </c>
      <c r="F15" s="319">
        <f>'SRC CMU Receipts'!B14</f>
        <v>275</v>
      </c>
      <c r="G15" s="300">
        <f>'SRC CMU Receipts'!D14</f>
        <v>46056</v>
      </c>
      <c r="H15" s="310">
        <f>'SRC CMU Receipts'!E14</f>
        <v>4175</v>
      </c>
      <c r="I15" s="282" t="s">
        <v>1877</v>
      </c>
      <c r="J15" s="282"/>
      <c r="K15" s="282" t="s">
        <v>1932</v>
      </c>
      <c r="L15" s="282"/>
      <c r="M15" s="26"/>
      <c r="N15" s="26"/>
      <c r="O15" s="26"/>
      <c r="P15" s="26"/>
      <c r="Q15" s="26"/>
      <c r="R15" s="26"/>
      <c r="S15" s="26"/>
      <c r="T15" s="26"/>
      <c r="U15" s="26"/>
      <c r="V15" s="26"/>
      <c r="W15" s="26"/>
      <c r="X15" s="26"/>
      <c r="Y15" s="26"/>
      <c r="Z15" s="26"/>
      <c r="AA15" s="26"/>
    </row>
    <row r="16" ht="14.25" customHeight="1">
      <c r="A16" s="282" t="s">
        <v>1933</v>
      </c>
      <c r="B16" s="282" t="s">
        <v>863</v>
      </c>
      <c r="C16" s="282" t="str">
        <f t="array" ref="C16">IFERROR(INDEX(Companies!$B$5:$B$74,MATCH($B16,Companies!$A$5:$A$74,0)),"Unknown ID")</f>
        <v>Conquest Inc.</v>
      </c>
      <c r="D16" s="282" t="str">
        <f>'SRC CMU Receipts'!A15</f>
        <v>Conqust Inc.</v>
      </c>
      <c r="E16" s="282" t="str">
        <f>'SRC CMU Receipts'!C15</f>
        <v>Fumigation Certificate</v>
      </c>
      <c r="F16" s="319">
        <f>'SRC CMU Receipts'!B15</f>
        <v>275</v>
      </c>
      <c r="G16" s="300">
        <f>'SRC CMU Receipts'!D15</f>
        <v>46048</v>
      </c>
      <c r="H16" s="310">
        <f>'SRC CMU Receipts'!E15</f>
        <v>4096</v>
      </c>
      <c r="I16" s="282" t="s">
        <v>1877</v>
      </c>
      <c r="J16" s="282"/>
      <c r="K16" s="282" t="s">
        <v>1936</v>
      </c>
      <c r="L16" s="282"/>
      <c r="M16" s="26"/>
      <c r="N16" s="26"/>
      <c r="O16" s="26"/>
      <c r="P16" s="26"/>
      <c r="Q16" s="26"/>
      <c r="R16" s="26"/>
      <c r="S16" s="26"/>
      <c r="T16" s="26"/>
      <c r="U16" s="26"/>
      <c r="V16" s="26"/>
      <c r="W16" s="26"/>
      <c r="X16" s="26"/>
      <c r="Y16" s="26"/>
      <c r="Z16" s="26"/>
      <c r="AA16" s="26"/>
    </row>
    <row r="17" ht="14.25" customHeight="1">
      <c r="A17" s="282" t="s">
        <v>1937</v>
      </c>
      <c r="B17" s="282" t="s">
        <v>795</v>
      </c>
      <c r="C17" s="282" t="str">
        <f t="array" ref="C17">IFERROR(INDEX(Companies!$B$5:$B$74,MATCH($B17,Companies!$A$5:$A$74,0)),"Unknown ID")</f>
        <v>Fayad Enterprise Corporation</v>
      </c>
      <c r="D17" s="282" t="str">
        <f>'SRC CMU Receipts'!A16</f>
        <v>Fayad Enterprise Corporation</v>
      </c>
      <c r="E17" s="282" t="str">
        <f>'SRC CMU Receipts'!C16</f>
        <v>CRL</v>
      </c>
      <c r="F17" s="319">
        <f>'SRC CMU Receipts'!B16</f>
        <v>1500</v>
      </c>
      <c r="G17" s="300">
        <f>'SRC CMU Receipts'!D16</f>
        <v>46065</v>
      </c>
      <c r="H17" s="310">
        <f>'SRC CMU Receipts'!E16</f>
        <v>4210</v>
      </c>
      <c r="I17" s="282" t="s">
        <v>1877</v>
      </c>
      <c r="J17" s="282"/>
      <c r="K17" s="282" t="s">
        <v>1941</v>
      </c>
      <c r="L17" s="282"/>
      <c r="M17" s="26"/>
      <c r="N17" s="26"/>
      <c r="O17" s="26"/>
      <c r="P17" s="26"/>
      <c r="Q17" s="26"/>
      <c r="R17" s="26"/>
      <c r="S17" s="26"/>
      <c r="T17" s="26"/>
      <c r="U17" s="26"/>
      <c r="V17" s="26"/>
      <c r="W17" s="26"/>
      <c r="X17" s="26"/>
      <c r="Y17" s="26"/>
      <c r="Z17" s="26"/>
      <c r="AA17" s="26"/>
    </row>
    <row r="18" ht="14.25" customHeight="1">
      <c r="A18" s="282" t="s">
        <v>1942</v>
      </c>
      <c r="B18" s="282" t="s">
        <v>906</v>
      </c>
      <c r="C18" s="282" t="str">
        <f t="array" ref="C18">IFERROR(INDEX(Companies!$B$5:$B$74,MATCH($B18,Companies!$A$5:$A$74,0)),"Unknown ID")</f>
        <v>Greenfield Liberia Inc.</v>
      </c>
      <c r="D18" s="282" t="str">
        <f>'SRC CMU Receipts'!A17</f>
        <v>Greenfield Liberia Inc.</v>
      </c>
      <c r="E18" s="282" t="str">
        <f>'SRC CMU Receipts'!C17</f>
        <v>CRL</v>
      </c>
      <c r="F18" s="319">
        <f>'SRC CMU Receipts'!B17</f>
        <v>500</v>
      </c>
      <c r="G18" s="300">
        <f>'SRC CMU Receipts'!D17</f>
        <v>46056</v>
      </c>
      <c r="H18" s="310">
        <f>'SRC CMU Receipts'!E17</f>
        <v>4173</v>
      </c>
      <c r="I18" s="282" t="s">
        <v>1877</v>
      </c>
      <c r="J18" s="282"/>
      <c r="K18" s="282" t="s">
        <v>1947</v>
      </c>
      <c r="L18" s="282"/>
      <c r="M18" s="26"/>
      <c r="N18" s="26"/>
      <c r="O18" s="26"/>
      <c r="P18" s="26"/>
      <c r="Q18" s="26"/>
      <c r="R18" s="26"/>
      <c r="S18" s="26"/>
      <c r="T18" s="26"/>
      <c r="U18" s="26"/>
      <c r="V18" s="26"/>
      <c r="W18" s="26"/>
      <c r="X18" s="26"/>
      <c r="Y18" s="26"/>
      <c r="Z18" s="26"/>
      <c r="AA18" s="26"/>
    </row>
    <row r="19" ht="14.25" customHeight="1">
      <c r="A19" s="282" t="s">
        <v>1948</v>
      </c>
      <c r="B19" s="282" t="s">
        <v>912</v>
      </c>
      <c r="C19" s="282" t="str">
        <f t="array" ref="C19">IFERROR(INDEX(Companies!$B$5:$B$74,MATCH($B19,Companies!$A$5:$A$74,0)),"Unknown ID")</f>
        <v>G5+ Breweries</v>
      </c>
      <c r="D19" s="282" t="str">
        <f>'SRC CMU Receipts'!A18</f>
        <v>G 5+ Breweries</v>
      </c>
      <c r="E19" s="282" t="str">
        <f>'SRC CMU Receipts'!C18</f>
        <v>CRL &amp; EDL</v>
      </c>
      <c r="F19" s="319">
        <f>'SRC CMU Receipts'!B18</f>
        <v>4550</v>
      </c>
      <c r="G19" s="300">
        <f>'SRC CMU Receipts'!D18</f>
        <v>46112</v>
      </c>
      <c r="H19" s="310">
        <f>'SRC CMU Receipts'!E18</f>
        <v>4297</v>
      </c>
      <c r="I19" s="282" t="s">
        <v>1877</v>
      </c>
      <c r="J19" s="282"/>
      <c r="K19" s="282" t="s">
        <v>1950</v>
      </c>
      <c r="L19" s="282"/>
      <c r="M19" s="26"/>
      <c r="N19" s="26"/>
      <c r="O19" s="26"/>
      <c r="P19" s="26"/>
      <c r="Q19" s="26"/>
      <c r="R19" s="26"/>
      <c r="S19" s="26"/>
      <c r="T19" s="26"/>
      <c r="U19" s="26"/>
      <c r="V19" s="26"/>
      <c r="W19" s="26"/>
      <c r="X19" s="26"/>
      <c r="Y19" s="26"/>
      <c r="Z19" s="26"/>
      <c r="AA19" s="26"/>
    </row>
    <row r="20" ht="14.25" customHeight="1">
      <c r="A20" s="282" t="s">
        <v>1951</v>
      </c>
      <c r="B20" s="282" t="s">
        <v>917</v>
      </c>
      <c r="C20" s="282" t="str">
        <f t="array" ref="C20">IFERROR(INDEX(Companies!$B$5:$B$74,MATCH($B20,Companies!$A$5:$A$74,0)),"Unknown ID")</f>
        <v>Huiren Mining Inc.</v>
      </c>
      <c r="D20" s="282" t="str">
        <f>'SRC CMU Receipts'!A19</f>
        <v>Huiren Mining Inc.</v>
      </c>
      <c r="E20" s="282" t="str">
        <f>'SRC CMU Receipts'!C19</f>
        <v>CIL &amp; Chemical Reagent (class B)</v>
      </c>
      <c r="F20" s="319">
        <f>'SRC CMU Receipts'!B19</f>
        <v>8500</v>
      </c>
      <c r="G20" s="300">
        <f>'SRC CMU Receipts'!D19</f>
        <v>46175</v>
      </c>
      <c r="H20" s="310">
        <f>'SRC CMU Receipts'!E19</f>
        <v>4565</v>
      </c>
      <c r="I20" s="282" t="s">
        <v>1877</v>
      </c>
      <c r="J20" s="282"/>
      <c r="K20" s="282" t="s">
        <v>1954</v>
      </c>
      <c r="L20" s="282"/>
      <c r="M20" s="26"/>
      <c r="N20" s="26"/>
      <c r="O20" s="26"/>
      <c r="P20" s="26"/>
      <c r="Q20" s="26"/>
      <c r="R20" s="26"/>
      <c r="S20" s="26"/>
      <c r="T20" s="26"/>
      <c r="U20" s="26"/>
      <c r="V20" s="26"/>
      <c r="W20" s="26"/>
      <c r="X20" s="26"/>
      <c r="Y20" s="26"/>
      <c r="Z20" s="26"/>
      <c r="AA20" s="26"/>
    </row>
    <row r="21" ht="14.25" customHeight="1">
      <c r="A21" s="282" t="s">
        <v>1956</v>
      </c>
      <c r="B21" s="282" t="s">
        <v>920</v>
      </c>
      <c r="C21" s="282" t="str">
        <f t="array" ref="C21">IFERROR(INDEX(Companies!$B$5:$B$74,MATCH($B21,Companies!$A$5:$A$74,0)),"Unknown ID")</f>
        <v>Salala Rubber Corporation</v>
      </c>
      <c r="D21" s="282" t="str">
        <f>'SRC CMU Receipts'!A20</f>
        <v>Salala Rubber Corporation</v>
      </c>
      <c r="E21" s="282" t="str">
        <f>'SRC CMU Receipts'!C20</f>
        <v>CRL</v>
      </c>
      <c r="F21" s="319">
        <f>'SRC CMU Receipts'!B20</f>
        <v>1500</v>
      </c>
      <c r="G21" s="300">
        <f>'SRC CMU Receipts'!D20</f>
        <v>46199</v>
      </c>
      <c r="H21" s="310">
        <f>'SRC CMU Receipts'!E20</f>
        <v>4635</v>
      </c>
      <c r="I21" s="282" t="s">
        <v>1877</v>
      </c>
      <c r="J21" s="282"/>
      <c r="K21" s="282" t="s">
        <v>1959</v>
      </c>
      <c r="L21" s="282"/>
      <c r="M21" s="26"/>
      <c r="N21" s="26"/>
      <c r="O21" s="26"/>
      <c r="P21" s="26"/>
      <c r="Q21" s="26"/>
      <c r="R21" s="26"/>
      <c r="S21" s="26"/>
      <c r="T21" s="26"/>
      <c r="U21" s="26"/>
      <c r="V21" s="26"/>
      <c r="W21" s="26"/>
      <c r="X21" s="26"/>
      <c r="Y21" s="26"/>
      <c r="Z21" s="26"/>
      <c r="AA21" s="26"/>
    </row>
    <row r="22" ht="14.25" customHeight="1">
      <c r="A22" s="282" t="s">
        <v>1960</v>
      </c>
      <c r="B22" s="282" t="s">
        <v>923</v>
      </c>
      <c r="C22" s="282" t="str">
        <f t="array" ref="C22">IFERROR(INDEX(Companies!$B$5:$B$74,MATCH($B22,Companies!$A$5:$A$74,0)),"Unknown ID")</f>
        <v>IBI</v>
      </c>
      <c r="D22" s="282" t="str">
        <f>'SRC CMU Receipts'!A21</f>
        <v>IBI</v>
      </c>
      <c r="E22" s="282" t="str">
        <f>'SRC CMU Receipts'!C21</f>
        <v>CRL, CIL &amp; EDL</v>
      </c>
      <c r="F22" s="319">
        <f>'SRC CMU Receipts'!B21</f>
        <v>6000</v>
      </c>
      <c r="G22" s="300"/>
      <c r="H22" s="310">
        <f>'SRC CMU Receipts'!E21</f>
        <v>4216</v>
      </c>
      <c r="I22" s="282" t="s">
        <v>1877</v>
      </c>
      <c r="J22" s="282" t="s">
        <v>1965</v>
      </c>
      <c r="K22" s="282" t="s">
        <v>1966</v>
      </c>
      <c r="L22" s="282"/>
      <c r="M22" s="26"/>
      <c r="N22" s="26"/>
      <c r="O22" s="26"/>
      <c r="P22" s="26"/>
      <c r="Q22" s="26"/>
      <c r="R22" s="26"/>
      <c r="S22" s="26"/>
      <c r="T22" s="26"/>
      <c r="U22" s="26"/>
      <c r="V22" s="26"/>
      <c r="W22" s="26"/>
      <c r="X22" s="26"/>
      <c r="Y22" s="26"/>
      <c r="Z22" s="26"/>
      <c r="AA22" s="26"/>
    </row>
    <row r="23" ht="14.25" customHeight="1">
      <c r="A23" s="282" t="s">
        <v>1967</v>
      </c>
      <c r="B23" s="282" t="s">
        <v>923</v>
      </c>
      <c r="C23" s="282" t="str">
        <f t="array" ref="C23">IFERROR(INDEX(Companies!$B$5:$B$74,MATCH($B23,Companies!$A$5:$A$74,0)),"Unknown ID")</f>
        <v>IBI</v>
      </c>
      <c r="D23" s="282" t="str">
        <f>'SRC CMU Receipts'!A22</f>
        <v>IBI</v>
      </c>
      <c r="E23" s="282" t="str">
        <f>'SRC CMU Receipts'!C22</f>
        <v>CRL, CIL &amp; EDL</v>
      </c>
      <c r="F23" s="319">
        <f>'SRC CMU Receipts'!B22</f>
        <v>6150</v>
      </c>
      <c r="G23" s="300"/>
      <c r="H23" s="310">
        <f>'SRC CMU Receipts'!E22</f>
        <v>4127</v>
      </c>
      <c r="I23" s="282" t="s">
        <v>1877</v>
      </c>
      <c r="J23" s="282" t="s">
        <v>1970</v>
      </c>
      <c r="K23" s="282" t="s">
        <v>1971</v>
      </c>
      <c r="L23" s="282"/>
      <c r="M23" s="26"/>
      <c r="N23" s="26"/>
      <c r="O23" s="26"/>
      <c r="P23" s="26"/>
      <c r="Q23" s="26"/>
      <c r="R23" s="26"/>
      <c r="S23" s="26"/>
      <c r="T23" s="26"/>
      <c r="U23" s="26"/>
      <c r="V23" s="26"/>
      <c r="W23" s="26"/>
      <c r="X23" s="26"/>
      <c r="Y23" s="26"/>
      <c r="Z23" s="26"/>
      <c r="AA23" s="26"/>
    </row>
    <row r="24" ht="14.25" customHeight="1">
      <c r="A24" s="282" t="s">
        <v>1972</v>
      </c>
      <c r="B24" s="282" t="s">
        <v>833</v>
      </c>
      <c r="C24" s="282" t="str">
        <f t="array" ref="C24">IFERROR(INDEX(Companies!$B$5:$B$74,MATCH($B24,Companies!$A$5:$A$74,0)),"Unknown ID")</f>
        <v>LR &amp; Sons Distillery Inc.</v>
      </c>
      <c r="D24" s="282" t="str">
        <f>'SRC CMU Receipts'!A23</f>
        <v>LR &amp; Son Distillery Inc.</v>
      </c>
      <c r="E24" s="282" t="str">
        <f>'SRC CMU Receipts'!C23</f>
        <v>CRL &amp; EDL</v>
      </c>
      <c r="F24" s="319">
        <f>'SRC CMU Receipts'!B23</f>
        <v>4550</v>
      </c>
      <c r="G24" s="300">
        <f>'SRC CMU Receipts'!D23</f>
        <v>46065</v>
      </c>
      <c r="H24" s="310">
        <f>'SRC CMU Receipts'!E23</f>
        <v>4209</v>
      </c>
      <c r="I24" s="282" t="s">
        <v>1877</v>
      </c>
      <c r="J24" s="282"/>
      <c r="K24" s="282" t="s">
        <v>1974</v>
      </c>
      <c r="L24" s="282"/>
      <c r="M24" s="26"/>
      <c r="N24" s="26"/>
      <c r="O24" s="26"/>
      <c r="P24" s="26"/>
      <c r="Q24" s="26"/>
      <c r="R24" s="26"/>
      <c r="S24" s="26"/>
      <c r="T24" s="26"/>
      <c r="U24" s="26"/>
      <c r="V24" s="26"/>
      <c r="W24" s="26"/>
      <c r="X24" s="26"/>
      <c r="Y24" s="26"/>
      <c r="Z24" s="26"/>
      <c r="AA24" s="26"/>
    </row>
    <row r="25" ht="14.25" customHeight="1">
      <c r="A25" s="282" t="s">
        <v>1975</v>
      </c>
      <c r="B25" s="282" t="s">
        <v>925</v>
      </c>
      <c r="C25" s="282" t="str">
        <f t="array" ref="C25">IFERROR(INDEX(Companies!$B$5:$B$74,MATCH($B25,Companies!$A$5:$A$74,0)),"Unknown ID")</f>
        <v>LIBINC Oil Palm Inc.</v>
      </c>
      <c r="D25" s="282" t="str">
        <f>'SRC CMU Receipts'!A24</f>
        <v>LIBINC OIL PALM INC</v>
      </c>
      <c r="E25" s="282" t="str">
        <f>'SRC CMU Receipts'!C24</f>
        <v>CRL &amp; EDL</v>
      </c>
      <c r="F25" s="319">
        <f>'SRC CMU Receipts'!B24</f>
        <v>2500</v>
      </c>
      <c r="G25" s="300">
        <f>'SRC CMU Receipts'!D24</f>
        <v>46150</v>
      </c>
      <c r="H25" s="310">
        <f>'SRC CMU Receipts'!E24</f>
        <v>4459</v>
      </c>
      <c r="I25" s="282" t="s">
        <v>1877</v>
      </c>
      <c r="J25" s="282"/>
      <c r="K25" s="282" t="s">
        <v>1978</v>
      </c>
      <c r="L25" s="282"/>
      <c r="M25" s="26"/>
      <c r="N25" s="26"/>
      <c r="O25" s="26"/>
      <c r="P25" s="26"/>
      <c r="Q25" s="26"/>
      <c r="R25" s="26"/>
      <c r="S25" s="26"/>
      <c r="T25" s="26"/>
      <c r="U25" s="26"/>
      <c r="V25" s="26"/>
      <c r="W25" s="26"/>
      <c r="X25" s="26"/>
      <c r="Y25" s="26"/>
      <c r="Z25" s="26"/>
      <c r="AA25" s="26"/>
    </row>
    <row r="26" ht="14.25" customHeight="1">
      <c r="A26" s="282" t="s">
        <v>1979</v>
      </c>
      <c r="B26" s="282" t="s">
        <v>928</v>
      </c>
      <c r="C26" s="282" t="str">
        <f t="array" ref="C26">IFERROR(INDEX(Companies!$B$5:$B$74,MATCH($B26,Companies!$A$5:$A$74,0)),"Unknown ID")</f>
        <v>Liberia Agriculture Company (LAC)</v>
      </c>
      <c r="D26" s="282" t="str">
        <f>'SRC CMU Receipts'!A25</f>
        <v>LAC</v>
      </c>
      <c r="E26" s="282" t="str">
        <f>'SRC CMU Receipts'!C25</f>
        <v>CRL</v>
      </c>
      <c r="F26" s="319">
        <f>'SRC CMU Receipts'!B25</f>
        <v>1500</v>
      </c>
      <c r="G26" s="300">
        <f>'SRC CMU Receipts'!D25</f>
        <v>46099</v>
      </c>
      <c r="H26" s="310">
        <f>'SRC CMU Receipts'!E25</f>
        <v>4281</v>
      </c>
      <c r="I26" s="282" t="s">
        <v>1877</v>
      </c>
      <c r="J26" s="282"/>
      <c r="K26" s="282" t="s">
        <v>1983</v>
      </c>
      <c r="L26" s="282"/>
      <c r="M26" s="26"/>
      <c r="N26" s="26"/>
      <c r="O26" s="26"/>
      <c r="P26" s="26"/>
      <c r="Q26" s="26"/>
      <c r="R26" s="26"/>
      <c r="S26" s="26"/>
      <c r="T26" s="26"/>
      <c r="U26" s="26"/>
      <c r="V26" s="26"/>
      <c r="W26" s="26"/>
      <c r="X26" s="26"/>
      <c r="Y26" s="26"/>
      <c r="Z26" s="26"/>
      <c r="AA26" s="26"/>
    </row>
    <row r="27" ht="14.25" customHeight="1">
      <c r="A27" s="282" t="s">
        <v>1984</v>
      </c>
      <c r="B27" s="282" t="s">
        <v>931</v>
      </c>
      <c r="C27" s="282" t="str">
        <f t="array" ref="C27">IFERROR(INDEX(Companies!$B$5:$B$74,MATCH($B27,Companies!$A$5:$A$74,0)),"Unknown ID")</f>
        <v>Liberty Investment Limited Inc.</v>
      </c>
      <c r="D27" s="282" t="str">
        <f>'SRC CMU Receipts'!A26</f>
        <v>Liberty Investment Limited Inc.</v>
      </c>
      <c r="E27" s="282" t="str">
        <f>'SRC CMU Receipts'!C26</f>
        <v>EDL</v>
      </c>
      <c r="F27" s="319">
        <f>'SRC CMU Receipts'!B26</f>
        <v>3050</v>
      </c>
      <c r="G27" s="300">
        <f>'SRC CMU Receipts'!D26</f>
        <v>46094</v>
      </c>
      <c r="H27" s="310">
        <f>'SRC CMU Receipts'!E26</f>
        <v>4273</v>
      </c>
      <c r="I27" s="282" t="s">
        <v>1877</v>
      </c>
      <c r="J27" s="282"/>
      <c r="K27" s="282" t="s">
        <v>1986</v>
      </c>
      <c r="L27" s="282"/>
      <c r="M27" s="26"/>
      <c r="N27" s="26"/>
      <c r="O27" s="26"/>
      <c r="P27" s="26"/>
      <c r="Q27" s="26"/>
      <c r="R27" s="26"/>
      <c r="S27" s="26"/>
      <c r="T27" s="26"/>
      <c r="U27" s="26"/>
      <c r="V27" s="26"/>
      <c r="W27" s="26"/>
      <c r="X27" s="26"/>
      <c r="Y27" s="26"/>
      <c r="Z27" s="26"/>
      <c r="AA27" s="26"/>
    </row>
    <row r="28" ht="14.25" customHeight="1">
      <c r="A28" s="282" t="s">
        <v>1988</v>
      </c>
      <c r="B28" s="282" t="s">
        <v>934</v>
      </c>
      <c r="C28" s="282" t="str">
        <f t="array" ref="C28">IFERROR(INDEX(Companies!$B$5:$B$74,MATCH($B28,Companies!$A$5:$A$74,0)),"Unknown ID")</f>
        <v>Mr. Salas</v>
      </c>
      <c r="D28" s="282" t="str">
        <f>'SRC CMU Receipts'!A28</f>
        <v>Mr. Salas</v>
      </c>
      <c r="E28" s="282" t="str">
        <f>'SRC CMU Receipts'!C28</f>
        <v>CRL</v>
      </c>
      <c r="F28" s="319">
        <f>'SRC CMU Receipts'!B28</f>
        <v>200</v>
      </c>
      <c r="G28" s="300">
        <f>'SRC CMU Receipts'!D28</f>
        <v>46114</v>
      </c>
      <c r="H28" s="310">
        <f>'SRC CMU Receipts'!E28</f>
        <v>4107</v>
      </c>
      <c r="I28" s="282" t="s">
        <v>1877</v>
      </c>
      <c r="J28" s="282"/>
      <c r="K28" s="282" t="s">
        <v>1990</v>
      </c>
      <c r="L28" s="282"/>
      <c r="M28" s="26"/>
      <c r="N28" s="26"/>
      <c r="O28" s="26"/>
      <c r="P28" s="26"/>
      <c r="Q28" s="26"/>
      <c r="R28" s="26"/>
      <c r="S28" s="26"/>
      <c r="T28" s="26"/>
      <c r="U28" s="26"/>
      <c r="V28" s="26"/>
      <c r="W28" s="26"/>
      <c r="X28" s="26"/>
      <c r="Y28" s="26"/>
      <c r="Z28" s="26"/>
      <c r="AA28" s="26"/>
    </row>
    <row r="29" ht="14.25" customHeight="1">
      <c r="A29" s="282" t="s">
        <v>1991</v>
      </c>
      <c r="B29" s="282" t="s">
        <v>938</v>
      </c>
      <c r="C29" s="282" t="str">
        <f t="array" ref="C29">IFERROR(INDEX(Companies!$B$5:$B$74,MATCH($B29,Companies!$A$5:$A$74,0)),"Unknown ID")</f>
        <v>Ma Bendu Farms</v>
      </c>
      <c r="D29" s="282" t="str">
        <f>'SRC CMU Receipts'!A29</f>
        <v>Ma Bendu Farms</v>
      </c>
      <c r="E29" s="282" t="str">
        <f>'SRC CMU Receipts'!C29</f>
        <v>CRL &amp; CIL</v>
      </c>
      <c r="F29" s="319">
        <f>'SRC CMU Receipts'!B29</f>
        <v>2760</v>
      </c>
      <c r="G29" s="300">
        <f>'SRC CMU Receipts'!D29</f>
        <v>46112</v>
      </c>
      <c r="H29" s="310">
        <f>'SRC CMU Receipts'!E29</f>
        <v>4295</v>
      </c>
      <c r="I29" s="282" t="s">
        <v>1877</v>
      </c>
      <c r="J29" s="282"/>
      <c r="K29" s="282" t="s">
        <v>1995</v>
      </c>
      <c r="L29" s="282"/>
      <c r="M29" s="26"/>
      <c r="N29" s="26"/>
      <c r="O29" s="26"/>
      <c r="P29" s="26"/>
      <c r="Q29" s="26"/>
      <c r="R29" s="26"/>
      <c r="S29" s="26"/>
      <c r="T29" s="26"/>
      <c r="U29" s="26"/>
      <c r="V29" s="26"/>
      <c r="W29" s="26"/>
      <c r="X29" s="26"/>
      <c r="Y29" s="26"/>
      <c r="Z29" s="26"/>
      <c r="AA29" s="26"/>
    </row>
    <row r="30" ht="14.25" customHeight="1">
      <c r="A30" s="282" t="s">
        <v>1997</v>
      </c>
      <c r="B30" s="282" t="s">
        <v>851</v>
      </c>
      <c r="C30" s="282" t="str">
        <f t="array" ref="C30">IFERROR(INDEX(Companies!$B$5:$B$74,MATCH($B30,Companies!$A$5:$A$74,0)),"Unknown ID")</f>
        <v>MAXAM Liberia JV Inc.</v>
      </c>
      <c r="D30" s="282" t="str">
        <f>'SRC CMU Receipts'!A30</f>
        <v>Maxam Liberia JV Inc.</v>
      </c>
      <c r="E30" s="282" t="str">
        <f>'SRC CMU Receipts'!C30</f>
        <v>CRL &amp; Chemical Clearance</v>
      </c>
      <c r="F30" s="319">
        <f>'SRC CMU Receipts'!B30</f>
        <v>1950</v>
      </c>
      <c r="G30" s="300">
        <f>'SRC CMU Receipts'!D30</f>
        <v>46134</v>
      </c>
      <c r="H30" s="310">
        <f>'SRC CMU Receipts'!E30</f>
        <v>4501</v>
      </c>
      <c r="I30" s="282" t="s">
        <v>1877</v>
      </c>
      <c r="J30" s="282"/>
      <c r="K30" s="282" t="s">
        <v>2000</v>
      </c>
      <c r="L30" s="282"/>
      <c r="M30" s="26"/>
      <c r="N30" s="26"/>
      <c r="O30" s="26"/>
      <c r="P30" s="26"/>
      <c r="Q30" s="26"/>
      <c r="R30" s="26"/>
      <c r="S30" s="26"/>
      <c r="T30" s="26"/>
      <c r="U30" s="26"/>
      <c r="V30" s="26"/>
      <c r="W30" s="26"/>
      <c r="X30" s="26"/>
      <c r="Y30" s="26"/>
      <c r="Z30" s="26"/>
      <c r="AA30" s="26"/>
    </row>
    <row r="31" ht="14.25" customHeight="1">
      <c r="A31" s="282" t="s">
        <v>2001</v>
      </c>
      <c r="B31" s="282" t="s">
        <v>941</v>
      </c>
      <c r="C31" s="282" t="str">
        <f t="array" ref="C31">IFERROR(INDEX(Companies!$B$5:$B$74,MATCH($B31,Companies!$A$5:$A$74,0)),"Unknown ID")</f>
        <v>Ma Bendu Investment Group</v>
      </c>
      <c r="D31" s="282" t="str">
        <f>'SRC CMU Receipts'!A31</f>
        <v>Ma Bendu Investment Group</v>
      </c>
      <c r="E31" s="282" t="str">
        <f>'SRC CMU Receipts'!C31</f>
        <v>CRL</v>
      </c>
      <c r="F31" s="319">
        <f>'SRC CMU Receipts'!B31</f>
        <v>1500</v>
      </c>
      <c r="G31" s="300">
        <f>'SRC CMU Receipts'!D31</f>
        <v>46163</v>
      </c>
      <c r="H31" s="310">
        <f>'SRC CMU Receipts'!E31</f>
        <v>4488</v>
      </c>
      <c r="I31" s="282" t="s">
        <v>1877</v>
      </c>
      <c r="J31" s="282"/>
      <c r="K31" s="282" t="s">
        <v>2006</v>
      </c>
      <c r="L31" s="282"/>
      <c r="M31" s="26"/>
      <c r="N31" s="26"/>
      <c r="O31" s="26"/>
      <c r="P31" s="26"/>
      <c r="Q31" s="26"/>
      <c r="R31" s="26"/>
      <c r="S31" s="26"/>
      <c r="T31" s="26"/>
      <c r="U31" s="26"/>
      <c r="V31" s="26"/>
      <c r="W31" s="26"/>
      <c r="X31" s="26"/>
      <c r="Y31" s="26"/>
      <c r="Z31" s="26"/>
      <c r="AA31" s="26"/>
    </row>
    <row r="32" ht="14.25" customHeight="1">
      <c r="A32" s="282" t="s">
        <v>2007</v>
      </c>
      <c r="B32" s="282" t="s">
        <v>943</v>
      </c>
      <c r="C32" s="282" t="str">
        <f t="array" ref="C32">IFERROR(INDEX(Companies!$B$5:$B$74,MATCH($B32,Companies!$A$5:$A$74,0)),"Unknown ID")</f>
        <v>Impact Group of Companies</v>
      </c>
      <c r="D32" s="282" t="str">
        <f>'SRC CMU Receipts'!A32</f>
        <v>Impact Group of Companies</v>
      </c>
      <c r="E32" s="282" t="str">
        <f>'SRC CMU Receipts'!C32</f>
        <v>Fumigation Certificate</v>
      </c>
      <c r="F32" s="319">
        <f>'SRC CMU Receipts'!B32</f>
        <v>275</v>
      </c>
      <c r="G32" s="300">
        <f>'SRC CMU Receipts'!D32</f>
        <v>46116</v>
      </c>
      <c r="H32" s="310" t="str">
        <f>'SRC CMU Receipts'!E32</f>
        <v>SMTELRDTZ19RGEX9</v>
      </c>
      <c r="I32" s="282" t="s">
        <v>1877</v>
      </c>
      <c r="J32" s="282"/>
      <c r="K32" s="282" t="s">
        <v>2012</v>
      </c>
      <c r="L32" s="282"/>
      <c r="M32" s="26"/>
      <c r="N32" s="26"/>
      <c r="O32" s="26"/>
      <c r="P32" s="26"/>
      <c r="Q32" s="26"/>
      <c r="R32" s="26"/>
      <c r="S32" s="26"/>
      <c r="T32" s="26"/>
      <c r="U32" s="26"/>
      <c r="V32" s="26"/>
      <c r="W32" s="26"/>
      <c r="X32" s="26"/>
      <c r="Y32" s="26"/>
      <c r="Z32" s="26"/>
      <c r="AA32" s="26"/>
    </row>
    <row r="33" ht="14.25" customHeight="1">
      <c r="A33" s="282" t="s">
        <v>2013</v>
      </c>
      <c r="B33" s="282" t="s">
        <v>946</v>
      </c>
      <c r="C33" s="282" t="str">
        <f t="array" ref="C33">IFERROR(INDEX(Companies!$B$5:$B$74,MATCH($B33,Companies!$A$5:$A$74,0)),"Unknown ID")</f>
        <v>Madina Rock Quarry Inc.</v>
      </c>
      <c r="D33" s="282" t="str">
        <f>'SRC CMU Receipts'!A33</f>
        <v>Madina Rock Quarry, Inc.</v>
      </c>
      <c r="E33" s="282" t="str">
        <f>'SRC CMU Receipts'!C33</f>
        <v>CRL &amp; EDL</v>
      </c>
      <c r="F33" s="319">
        <f>'SRC CMU Receipts'!B33</f>
        <v>2500</v>
      </c>
      <c r="G33" s="300">
        <f>'SRC CMU Receipts'!D33</f>
        <v>46125</v>
      </c>
      <c r="H33" s="310">
        <f>'SRC CMU Receipts'!E33</f>
        <v>4513</v>
      </c>
      <c r="I33" s="282" t="s">
        <v>1877</v>
      </c>
      <c r="J33" s="282"/>
      <c r="K33" s="282" t="s">
        <v>2016</v>
      </c>
      <c r="L33" s="282"/>
      <c r="M33" s="26"/>
      <c r="N33" s="26"/>
      <c r="O33" s="26"/>
      <c r="P33" s="26"/>
      <c r="Q33" s="26"/>
      <c r="R33" s="26"/>
      <c r="S33" s="26"/>
      <c r="T33" s="26"/>
      <c r="U33" s="26"/>
      <c r="V33" s="26"/>
      <c r="W33" s="26"/>
      <c r="X33" s="26"/>
      <c r="Y33" s="26"/>
      <c r="Z33" s="26"/>
      <c r="AA33" s="26"/>
    </row>
    <row r="34" ht="14.25" customHeight="1">
      <c r="A34" s="282" t="s">
        <v>2018</v>
      </c>
      <c r="B34" s="282" t="s">
        <v>815</v>
      </c>
      <c r="C34" s="282" t="str">
        <f t="array" ref="C34">IFERROR(INDEX(Companies!$B$5:$B$74,MATCH($B34,Companies!$A$5:$A$74,0)),"Unknown ID")</f>
        <v>Mukesh Shopping Center</v>
      </c>
      <c r="D34" s="282" t="str">
        <f>'SRC CMU Receipts'!A34</f>
        <v>Mukesh Shopping Center</v>
      </c>
      <c r="E34" s="282" t="str">
        <f>'SRC CMU Receipts'!C34</f>
        <v>CRL &amp; CIL</v>
      </c>
      <c r="F34" s="319">
        <f>'SRC CMU Receipts'!B34</f>
        <v>1800</v>
      </c>
      <c r="G34" s="300">
        <f>'SRC CMU Receipts'!D34</f>
        <v>46048</v>
      </c>
      <c r="H34" s="310">
        <f>'SRC CMU Receipts'!E34</f>
        <v>4185</v>
      </c>
      <c r="I34" s="282" t="s">
        <v>1877</v>
      </c>
      <c r="J34" s="282"/>
      <c r="K34" s="282" t="s">
        <v>2028</v>
      </c>
      <c r="L34" s="282"/>
      <c r="M34" s="26"/>
      <c r="N34" s="26"/>
      <c r="O34" s="26"/>
      <c r="P34" s="26"/>
      <c r="Q34" s="26"/>
      <c r="R34" s="26"/>
      <c r="S34" s="26"/>
      <c r="T34" s="26"/>
      <c r="U34" s="26"/>
      <c r="V34" s="26"/>
      <c r="W34" s="26"/>
      <c r="X34" s="26"/>
      <c r="Y34" s="26"/>
      <c r="Z34" s="26"/>
      <c r="AA34" s="26"/>
    </row>
    <row r="35" ht="14.25" customHeight="1">
      <c r="A35" s="282" t="s">
        <v>2030</v>
      </c>
      <c r="B35" s="282" t="s">
        <v>825</v>
      </c>
      <c r="C35" s="282" t="str">
        <f t="array" ref="C35">IFERROR(INDEX(Companies!$B$5:$B$74,MATCH($B35,Companies!$A$5:$A$74,0)),"Unknown ID")</f>
        <v>Mano Palm Oil Plantation (MPOP)</v>
      </c>
      <c r="D35" s="282" t="str">
        <f>'SRC CMU Receipts'!A35</f>
        <v>Mano Palm Oil Plantation (MPOP)</v>
      </c>
      <c r="E35" s="282" t="str">
        <f>'SRC CMU Receipts'!C35</f>
        <v>CRL &amp; CIL</v>
      </c>
      <c r="F35" s="319">
        <f>'SRC CMU Receipts'!B35</f>
        <v>2500</v>
      </c>
      <c r="G35" s="300">
        <f>'SRC CMU Receipts'!D35</f>
        <v>46099</v>
      </c>
      <c r="H35" s="310">
        <f>'SRC CMU Receipts'!E35</f>
        <v>4280</v>
      </c>
      <c r="I35" s="282" t="s">
        <v>1877</v>
      </c>
      <c r="J35" s="282"/>
      <c r="K35" s="282" t="s">
        <v>2048</v>
      </c>
      <c r="L35" s="282"/>
      <c r="M35" s="26"/>
      <c r="N35" s="26"/>
      <c r="O35" s="26"/>
      <c r="P35" s="26"/>
      <c r="Q35" s="26"/>
      <c r="R35" s="26"/>
      <c r="S35" s="26"/>
      <c r="T35" s="26"/>
      <c r="U35" s="26"/>
      <c r="V35" s="26"/>
      <c r="W35" s="26"/>
      <c r="X35" s="26"/>
      <c r="Y35" s="26"/>
      <c r="Z35" s="26"/>
      <c r="AA35" s="26"/>
    </row>
    <row r="36" ht="14.25" customHeight="1">
      <c r="A36" s="282" t="s">
        <v>2054</v>
      </c>
      <c r="B36" s="282" t="s">
        <v>867</v>
      </c>
      <c r="C36" s="282" t="str">
        <f t="array" ref="C36">IFERROR(INDEX(Companies!$B$5:$B$74,MATCH($B36,Companies!$A$5:$A$74,0)),"Unknown ID")</f>
        <v>Everette Transport Corporation</v>
      </c>
      <c r="D36" s="282" t="str">
        <f>'SRC CMU Receipts'!A36</f>
        <v>Everette Transport Corporation</v>
      </c>
      <c r="E36" s="282" t="str">
        <f>'SRC CMU Receipts'!C36</f>
        <v>Chemical Transportation License</v>
      </c>
      <c r="F36" s="319">
        <f>'SRC CMU Receipts'!B36</f>
        <v>750</v>
      </c>
      <c r="G36" s="300">
        <f>'SRC CMU Receipts'!D36</f>
        <v>46226</v>
      </c>
      <c r="H36" s="310" t="str">
        <f>'SRC CMU Receipts'!E36</f>
        <v>26072315Z30H</v>
      </c>
      <c r="I36" s="282" t="s">
        <v>1877</v>
      </c>
      <c r="J36" s="282"/>
      <c r="K36" s="282" t="s">
        <v>2073</v>
      </c>
      <c r="L36" s="282"/>
      <c r="M36" s="26"/>
      <c r="N36" s="26"/>
      <c r="O36" s="26"/>
      <c r="P36" s="26"/>
      <c r="Q36" s="26"/>
      <c r="R36" s="26"/>
      <c r="S36" s="26"/>
      <c r="T36" s="26"/>
      <c r="U36" s="26"/>
      <c r="V36" s="26"/>
      <c r="W36" s="26"/>
      <c r="X36" s="26"/>
      <c r="Y36" s="26"/>
      <c r="Z36" s="26"/>
      <c r="AA36" s="26"/>
    </row>
    <row r="37" ht="14.25" customHeight="1">
      <c r="A37" s="282" t="s">
        <v>2079</v>
      </c>
      <c r="B37" s="282" t="s">
        <v>811</v>
      </c>
      <c r="C37" s="282" t="str">
        <f t="array" ref="C37">IFERROR(INDEX(Companies!$B$5:$B$74,MATCH($B37,Companies!$A$5:$A$74,0)),"Unknown ID")</f>
        <v>National Paint Industries</v>
      </c>
      <c r="D37" s="282" t="str">
        <f>'SRC CMU Receipts'!A37</f>
        <v>National Paint Industries</v>
      </c>
      <c r="E37" s="282" t="str">
        <f>'SRC CMU Receipts'!C37</f>
        <v>CRL, CIL &amp; EDL</v>
      </c>
      <c r="F37" s="319">
        <f>'SRC CMU Receipts'!B37</f>
        <v>2500</v>
      </c>
      <c r="G37" s="300">
        <f>'SRC CMU Receipts'!D37</f>
        <v>46076</v>
      </c>
      <c r="H37" s="310">
        <f>'SRC CMU Receipts'!E37</f>
        <v>4234</v>
      </c>
      <c r="I37" s="282" t="s">
        <v>1877</v>
      </c>
      <c r="J37" s="282"/>
      <c r="K37" s="282" t="s">
        <v>2095</v>
      </c>
      <c r="L37" s="282"/>
      <c r="M37" s="26"/>
      <c r="N37" s="26"/>
      <c r="O37" s="26"/>
      <c r="P37" s="26"/>
      <c r="Q37" s="26"/>
      <c r="R37" s="26"/>
      <c r="S37" s="26"/>
      <c r="T37" s="26"/>
      <c r="U37" s="26"/>
      <c r="V37" s="26"/>
      <c r="W37" s="26"/>
      <c r="X37" s="26"/>
      <c r="Y37" s="26"/>
      <c r="Z37" s="26"/>
      <c r="AA37" s="26"/>
    </row>
    <row r="38" ht="14.25" customHeight="1">
      <c r="A38" s="282" t="s">
        <v>2099</v>
      </c>
      <c r="B38" s="282" t="s">
        <v>951</v>
      </c>
      <c r="C38" s="282" t="str">
        <f t="array" ref="C38">IFERROR(INDEX(Companies!$B$5:$B$74,MATCH($B38,Companies!$A$5:$A$74,0)),"Unknown ID")</f>
        <v>New Green World Fumigation Service Inc.</v>
      </c>
      <c r="D38" s="282" t="str">
        <f>'SRC CMU Receipts'!A38</f>
        <v>New Green World Fumigation Service Inc.</v>
      </c>
      <c r="E38" s="282" t="str">
        <f>'SRC CMU Receipts'!C38</f>
        <v>fumigation Certificate</v>
      </c>
      <c r="F38" s="319">
        <f>'SRC CMU Receipts'!B38</f>
        <v>275</v>
      </c>
      <c r="G38" s="300">
        <f>'SRC CMU Receipts'!D38</f>
        <v>46209</v>
      </c>
      <c r="H38" s="310">
        <f>'SRC CMU Receipts'!E38</f>
        <v>4662</v>
      </c>
      <c r="I38" s="282" t="s">
        <v>1877</v>
      </c>
      <c r="J38" s="282"/>
      <c r="K38" s="282" t="s">
        <v>2119</v>
      </c>
      <c r="L38" s="282"/>
      <c r="M38" s="26"/>
      <c r="N38" s="26"/>
      <c r="O38" s="26"/>
      <c r="P38" s="26"/>
      <c r="Q38" s="26"/>
      <c r="R38" s="26"/>
      <c r="S38" s="26"/>
      <c r="T38" s="26"/>
      <c r="U38" s="26"/>
      <c r="V38" s="26"/>
      <c r="W38" s="26"/>
      <c r="X38" s="26"/>
      <c r="Y38" s="26"/>
      <c r="Z38" s="26"/>
      <c r="AA38" s="26"/>
    </row>
    <row r="39" ht="14.25" customHeight="1">
      <c r="A39" s="282" t="s">
        <v>2125</v>
      </c>
      <c r="B39" s="282" t="s">
        <v>844</v>
      </c>
      <c r="C39" s="282" t="str">
        <f t="array" ref="C39">IFERROR(INDEX(Companies!$B$5:$B$74,MATCH($B39,Companies!$A$5:$A$74,0)),"Unknown ID")</f>
        <v>Optimum Solution Liberia</v>
      </c>
      <c r="D39" s="282" t="str">
        <f>'SRC CMU Receipts'!A39</f>
        <v>Optimum Solution Liberia</v>
      </c>
      <c r="E39" s="282" t="str">
        <f>'SRC CMU Receipts'!C39</f>
        <v>CRL, CIL &amp; Fumigation Certificate</v>
      </c>
      <c r="F39" s="319">
        <f>'SRC CMU Receipts'!B39</f>
        <v>2775</v>
      </c>
      <c r="G39" s="300">
        <f>'SRC CMU Receipts'!D39</f>
        <v>46062</v>
      </c>
      <c r="H39" s="310">
        <f>'SRC CMU Receipts'!E39</f>
        <v>4191</v>
      </c>
      <c r="I39" s="282" t="s">
        <v>1877</v>
      </c>
      <c r="J39" s="282"/>
      <c r="K39" s="282" t="s">
        <v>2147</v>
      </c>
      <c r="L39" s="282"/>
      <c r="M39" s="26"/>
      <c r="N39" s="26"/>
      <c r="O39" s="26"/>
      <c r="P39" s="26"/>
      <c r="Q39" s="26"/>
      <c r="R39" s="26"/>
      <c r="S39" s="26"/>
      <c r="T39" s="26"/>
      <c r="U39" s="26"/>
      <c r="V39" s="26"/>
      <c r="W39" s="26"/>
      <c r="X39" s="26"/>
      <c r="Y39" s="26"/>
      <c r="Z39" s="26"/>
      <c r="AA39" s="26"/>
    </row>
    <row r="40" ht="14.25" customHeight="1">
      <c r="A40" s="282" t="s">
        <v>2149</v>
      </c>
      <c r="B40" s="282" t="s">
        <v>849</v>
      </c>
      <c r="C40" s="282" t="str">
        <f t="array" ref="C40">IFERROR(INDEX(Companies!$B$5:$B$74,MATCH($B40,Companies!$A$5:$A$74,0)),"Unknown ID")</f>
        <v>Platinum Liberia Limited</v>
      </c>
      <c r="D40" s="282" t="str">
        <f>'SRC CMU Receipts'!A40</f>
        <v>Platinum Liberia Limited</v>
      </c>
      <c r="E40" s="282" t="str">
        <f>'SRC CMU Receipts'!C40</f>
        <v>CRL &amp; CIL</v>
      </c>
      <c r="F40" s="319">
        <f>'SRC CMU Receipts'!B40</f>
        <v>1500</v>
      </c>
      <c r="G40" s="300">
        <f>'SRC CMU Receipts'!D40</f>
        <v>46106</v>
      </c>
      <c r="H40" s="310">
        <f>'SRC CMU Receipts'!E40</f>
        <v>4291</v>
      </c>
      <c r="I40" s="282" t="s">
        <v>1877</v>
      </c>
      <c r="J40" s="282"/>
      <c r="K40" s="282" t="s">
        <v>2155</v>
      </c>
      <c r="L40" s="282"/>
      <c r="M40" s="26"/>
      <c r="N40" s="26"/>
      <c r="O40" s="26"/>
      <c r="P40" s="26"/>
      <c r="Q40" s="26"/>
      <c r="R40" s="26"/>
      <c r="S40" s="26"/>
      <c r="T40" s="26"/>
      <c r="U40" s="26"/>
      <c r="V40" s="26"/>
      <c r="W40" s="26"/>
      <c r="X40" s="26"/>
      <c r="Y40" s="26"/>
      <c r="Z40" s="26"/>
      <c r="AA40" s="26"/>
    </row>
    <row r="41" ht="14.25" customHeight="1">
      <c r="A41" s="282" t="s">
        <v>2157</v>
      </c>
      <c r="B41" s="282" t="s">
        <v>953</v>
      </c>
      <c r="C41" s="282" t="str">
        <f t="array" ref="C41">IFERROR(INDEX(Companies!$B$5:$B$74,MATCH($B41,Companies!$A$5:$A$74,0)),"Unknown ID")</f>
        <v>Rainbow Paint Factory</v>
      </c>
      <c r="D41" s="282" t="str">
        <f>'SRC CMU Receipts'!A41</f>
        <v>Rainbow Paint Factory</v>
      </c>
      <c r="E41" s="282" t="str">
        <f>'SRC CMU Receipts'!C41</f>
        <v>CRL, CIL &amp; EDL</v>
      </c>
      <c r="F41" s="319">
        <f>'SRC CMU Receipts'!B41</f>
        <v>2500</v>
      </c>
      <c r="G41" s="300">
        <f>'SRC CMU Receipts'!D41</f>
        <v>46143</v>
      </c>
      <c r="H41" s="310">
        <f>'SRC CMU Receipts'!E41</f>
        <v>4544</v>
      </c>
      <c r="I41" s="282" t="s">
        <v>1877</v>
      </c>
      <c r="J41" s="282"/>
      <c r="K41" s="282" t="s">
        <v>2161</v>
      </c>
      <c r="L41" s="282"/>
      <c r="M41" s="26"/>
      <c r="N41" s="26"/>
      <c r="O41" s="26"/>
      <c r="P41" s="26"/>
      <c r="Q41" s="26"/>
      <c r="R41" s="26"/>
      <c r="S41" s="26"/>
      <c r="T41" s="26"/>
      <c r="U41" s="26"/>
      <c r="V41" s="26"/>
      <c r="W41" s="26"/>
      <c r="X41" s="26"/>
      <c r="Y41" s="26"/>
      <c r="Z41" s="26"/>
      <c r="AA41" s="26"/>
    </row>
    <row r="42" ht="14.25" customHeight="1">
      <c r="A42" s="282" t="s">
        <v>2163</v>
      </c>
      <c r="B42" s="282" t="s">
        <v>955</v>
      </c>
      <c r="C42" s="282" t="str">
        <f t="array" ref="C42">IFERROR(INDEX(Companies!$B$5:$B$74,MATCH($B42,Companies!$A$5:$A$74,0)),"Unknown ID")</f>
        <v>ROSCAR Ltd.</v>
      </c>
      <c r="D42" s="282" t="str">
        <f>'SRC CMU Receipts'!A42</f>
        <v>ROSCAR, Ltd.</v>
      </c>
      <c r="E42" s="282" t="str">
        <f>'SRC CMU Receipts'!C42</f>
        <v>Fumigation Certificate</v>
      </c>
      <c r="F42" s="319">
        <f>'SRC CMU Receipts'!B42</f>
        <v>275</v>
      </c>
      <c r="G42" s="300">
        <f>'SRC CMU Receipts'!D42</f>
        <v>46188</v>
      </c>
      <c r="H42" s="310">
        <f>'SRC CMU Receipts'!E42</f>
        <v>4595</v>
      </c>
      <c r="I42" s="282" t="s">
        <v>1877</v>
      </c>
      <c r="J42" s="282"/>
      <c r="K42" s="282" t="s">
        <v>2169</v>
      </c>
      <c r="L42" s="282"/>
      <c r="M42" s="26"/>
      <c r="N42" s="26"/>
      <c r="O42" s="26"/>
      <c r="P42" s="26"/>
      <c r="Q42" s="26"/>
      <c r="R42" s="26"/>
      <c r="S42" s="26"/>
      <c r="T42" s="26"/>
      <c r="U42" s="26"/>
      <c r="V42" s="26"/>
      <c r="W42" s="26"/>
      <c r="X42" s="26"/>
      <c r="Y42" s="26"/>
      <c r="Z42" s="26"/>
      <c r="AA42" s="26"/>
    </row>
    <row r="43" ht="14.25" customHeight="1">
      <c r="A43" s="282" t="s">
        <v>2170</v>
      </c>
      <c r="B43" s="282" t="s">
        <v>872</v>
      </c>
      <c r="C43" s="282" t="str">
        <f t="array" ref="C43">IFERROR(INDEX(Companies!$B$5:$B$74,MATCH($B43,Companies!$A$5:$A$74,0)),"Unknown ID")</f>
        <v>Sayminee Express Services Inc.</v>
      </c>
      <c r="D43" s="282" t="str">
        <f>'SRC CMU Receipts'!A43</f>
        <v>Sayminee Express Services Inc.</v>
      </c>
      <c r="E43" s="282" t="str">
        <f>'SRC CMU Receipts'!C43</f>
        <v>Chemical Transportation License</v>
      </c>
      <c r="F43" s="319">
        <f>'SRC CMU Receipts'!B43</f>
        <v>2400</v>
      </c>
      <c r="G43" s="300">
        <f>'SRC CMU Receipts'!D43</f>
        <v>46045</v>
      </c>
      <c r="H43" s="310">
        <f>'SRC CMU Receipts'!E43</f>
        <v>4094</v>
      </c>
      <c r="I43" s="282" t="s">
        <v>1877</v>
      </c>
      <c r="J43" s="282"/>
      <c r="K43" s="282" t="s">
        <v>2174</v>
      </c>
      <c r="L43" s="282"/>
      <c r="M43" s="26"/>
      <c r="N43" s="26"/>
      <c r="O43" s="26"/>
      <c r="P43" s="26"/>
      <c r="Q43" s="26"/>
      <c r="R43" s="26"/>
      <c r="S43" s="26"/>
      <c r="T43" s="26"/>
      <c r="U43" s="26"/>
      <c r="V43" s="26"/>
      <c r="W43" s="26"/>
      <c r="X43" s="26"/>
      <c r="Y43" s="26"/>
      <c r="Z43" s="26"/>
      <c r="AA43" s="26"/>
    </row>
    <row r="44" ht="14.25" customHeight="1">
      <c r="A44" s="282" t="s">
        <v>2175</v>
      </c>
      <c r="B44" s="282" t="s">
        <v>840</v>
      </c>
      <c r="C44" s="282" t="str">
        <f t="array" ref="C44">IFERROR(INDEX(Companies!$B$5:$B$74,MATCH($B44,Companies!$A$5:$A$74,0)),"Unknown ID")</f>
        <v>National Beverages Inc.</v>
      </c>
      <c r="D44" s="282" t="str">
        <f>'SRC CMU Receipts'!A44</f>
        <v>National Beverages Inc.</v>
      </c>
      <c r="E44" s="282" t="str">
        <f>'SRC CMU Receipts'!C44</f>
        <v>CRL, CIL &amp; EDL</v>
      </c>
      <c r="F44" s="319">
        <f>'SRC CMU Receipts'!B44</f>
        <v>8550</v>
      </c>
      <c r="G44" s="300">
        <f>'SRC CMU Receipts'!D44</f>
        <v>46056</v>
      </c>
      <c r="H44" s="310">
        <f>'SRC CMU Receipts'!E44</f>
        <v>4164</v>
      </c>
      <c r="I44" s="282" t="s">
        <v>1877</v>
      </c>
      <c r="J44" s="282"/>
      <c r="K44" s="282" t="s">
        <v>2178</v>
      </c>
      <c r="L44" s="282"/>
      <c r="M44" s="26"/>
      <c r="N44" s="26"/>
      <c r="O44" s="26"/>
      <c r="P44" s="26"/>
      <c r="Q44" s="26"/>
      <c r="R44" s="26"/>
      <c r="S44" s="26"/>
      <c r="T44" s="26"/>
      <c r="U44" s="26"/>
      <c r="V44" s="26"/>
      <c r="W44" s="26"/>
      <c r="X44" s="26"/>
      <c r="Y44" s="26"/>
      <c r="Z44" s="26"/>
      <c r="AA44" s="26"/>
    </row>
    <row r="45" ht="14.25" customHeight="1">
      <c r="A45" s="282" t="s">
        <v>2179</v>
      </c>
      <c r="B45" s="282" t="s">
        <v>959</v>
      </c>
      <c r="C45" s="282" t="str">
        <f t="array" ref="C45">IFERROR(INDEX(Companies!$B$5:$B$74,MATCH($B45,Companies!$A$5:$A$74,0)),"Unknown ID")</f>
        <v>TESA Safeguard</v>
      </c>
      <c r="D45" s="282" t="str">
        <f>'SRC CMU Receipts'!A45</f>
        <v>TESA Safeguard</v>
      </c>
      <c r="E45" s="282" t="str">
        <f>'SRC CMU Receipts'!C45</f>
        <v>Fumigation Certificate</v>
      </c>
      <c r="F45" s="319">
        <f>'SRC CMU Receipts'!B45</f>
        <v>275</v>
      </c>
      <c r="G45" s="300">
        <f>'SRC CMU Receipts'!D45</f>
        <v>46155</v>
      </c>
      <c r="H45" s="310">
        <f>'SRC CMU Receipts'!E45</f>
        <v>4475</v>
      </c>
      <c r="I45" s="282" t="s">
        <v>1877</v>
      </c>
      <c r="J45" s="282"/>
      <c r="K45" s="282" t="s">
        <v>2182</v>
      </c>
      <c r="L45" s="282"/>
      <c r="M45" s="26"/>
      <c r="N45" s="26"/>
      <c r="O45" s="26"/>
      <c r="P45" s="26"/>
      <c r="Q45" s="26"/>
      <c r="R45" s="26"/>
      <c r="S45" s="26"/>
      <c r="T45" s="26"/>
      <c r="U45" s="26"/>
      <c r="V45" s="26"/>
      <c r="W45" s="26"/>
      <c r="X45" s="26"/>
      <c r="Y45" s="26"/>
      <c r="Z45" s="26"/>
      <c r="AA45" s="26"/>
    </row>
    <row r="46" ht="14.25" customHeight="1">
      <c r="A46" s="282" t="s">
        <v>2184</v>
      </c>
      <c r="B46" s="282" t="s">
        <v>966</v>
      </c>
      <c r="C46" s="282" t="str">
        <f t="array" ref="C46">IFERROR(INDEX(Companies!$B$5:$B$74,MATCH($B46,Companies!$A$5:$A$74,0)),"Unknown ID")</f>
        <v>Golden Veroleum Liberia (GVL)</v>
      </c>
      <c r="D46" s="282" t="str">
        <f>'SRC CMU Receipts'!A46</f>
        <v>GVL</v>
      </c>
      <c r="E46" s="282" t="str">
        <f>'SRC CMU Receipts'!C46</f>
        <v>Chemical registration &amp; import Licenses</v>
      </c>
      <c r="F46" s="319">
        <f>'SRC CMU Receipts'!B46</f>
        <v>68140</v>
      </c>
      <c r="G46" s="300">
        <f>'SRC CMU Receipts'!D46</f>
        <v>46065</v>
      </c>
      <c r="H46" s="310">
        <f>'SRC CMU Receipts'!E46</f>
        <v>4208</v>
      </c>
      <c r="I46" s="282" t="s">
        <v>1877</v>
      </c>
      <c r="J46" s="282"/>
      <c r="K46" s="282" t="s">
        <v>2187</v>
      </c>
      <c r="L46" s="282"/>
      <c r="M46" s="26"/>
      <c r="N46" s="26"/>
      <c r="O46" s="26"/>
      <c r="P46" s="26"/>
      <c r="Q46" s="26"/>
      <c r="R46" s="26"/>
      <c r="S46" s="26"/>
      <c r="T46" s="26"/>
      <c r="U46" s="26"/>
      <c r="V46" s="26"/>
      <c r="W46" s="26"/>
      <c r="X46" s="26"/>
      <c r="Y46" s="26"/>
      <c r="Z46" s="26"/>
      <c r="AA46" s="26"/>
    </row>
    <row r="47" ht="14.25" customHeight="1">
      <c r="A47" s="282" t="s">
        <v>2188</v>
      </c>
      <c r="B47" s="282" t="s">
        <v>966</v>
      </c>
      <c r="C47" s="282" t="str">
        <f t="array" ref="C47">IFERROR(INDEX(Companies!$B$5:$B$74,MATCH($B47,Companies!$A$5:$A$74,0)),"Unknown ID")</f>
        <v>Golden Veroleum Liberia (GVL)</v>
      </c>
      <c r="D47" s="282" t="str">
        <f>'SRC CMU Receipts'!A47</f>
        <v>Golden Veroleum Liberia</v>
      </c>
      <c r="E47" s="282" t="str">
        <f>'SRC CMU Receipts'!C47</f>
        <v/>
      </c>
      <c r="F47" s="319">
        <f>'SRC CMU Receipts'!B47</f>
        <v>4951</v>
      </c>
      <c r="G47" s="300">
        <f>'SRC CMU Receipts'!D47</f>
        <v>46094</v>
      </c>
      <c r="H47" s="310">
        <f>'SRC CMU Receipts'!E47</f>
        <v>4274</v>
      </c>
      <c r="I47" s="282" t="s">
        <v>1877</v>
      </c>
      <c r="J47" s="282" t="s">
        <v>2192</v>
      </c>
      <c r="K47" s="282" t="s">
        <v>2193</v>
      </c>
      <c r="L47" s="282"/>
      <c r="M47" s="26"/>
      <c r="N47" s="26"/>
      <c r="O47" s="26"/>
      <c r="P47" s="26"/>
      <c r="Q47" s="26"/>
      <c r="R47" s="26"/>
      <c r="S47" s="26"/>
      <c r="T47" s="26"/>
      <c r="U47" s="26"/>
      <c r="V47" s="26"/>
      <c r="W47" s="26"/>
      <c r="X47" s="26"/>
      <c r="Y47" s="26"/>
      <c r="Z47" s="26"/>
      <c r="AA47" s="26"/>
    </row>
    <row r="48" ht="14.25" customHeight="1">
      <c r="A48" s="282" t="s">
        <v>2194</v>
      </c>
      <c r="B48" s="282" t="s">
        <v>830</v>
      </c>
      <c r="C48" s="282" t="str">
        <f t="array" ref="C48">IFERROR(INDEX(Companies!$B$5:$B$74,MATCH($B48,Companies!$A$5:$A$74,0)),"Unknown ID")</f>
        <v>Quality Industries Limited</v>
      </c>
      <c r="D48" s="282" t="str">
        <f>'SRC CMU Receipts'!A48</f>
        <v>Quality Industry Limited</v>
      </c>
      <c r="E48" s="282" t="str">
        <f>'SRC CMU Receipts'!C48</f>
        <v>CRL &amp; EDL</v>
      </c>
      <c r="F48" s="319">
        <f>'SRC CMU Receipts'!B48</f>
        <v>2500</v>
      </c>
      <c r="G48" s="300">
        <f>'SRC CMU Receipts'!D48</f>
        <v>46044</v>
      </c>
      <c r="H48" s="310">
        <f>'SRC CMU Receipts'!E48</f>
        <v>4089</v>
      </c>
      <c r="I48" s="282" t="s">
        <v>1877</v>
      </c>
      <c r="J48" s="282"/>
      <c r="K48" s="282" t="s">
        <v>2198</v>
      </c>
      <c r="L48" s="282"/>
      <c r="M48" s="26"/>
      <c r="N48" s="26"/>
      <c r="O48" s="26"/>
      <c r="P48" s="26"/>
      <c r="Q48" s="26"/>
      <c r="R48" s="26"/>
      <c r="S48" s="26"/>
      <c r="T48" s="26"/>
      <c r="U48" s="26"/>
      <c r="V48" s="26"/>
      <c r="W48" s="26"/>
      <c r="X48" s="26"/>
      <c r="Y48" s="26"/>
      <c r="Z48" s="26"/>
      <c r="AA48" s="26"/>
    </row>
    <row r="49" ht="14.25" customHeight="1">
      <c r="A49" s="282" t="s">
        <v>2199</v>
      </c>
      <c r="B49" s="282" t="s">
        <v>749</v>
      </c>
      <c r="C49" s="282" t="str">
        <f t="array" ref="C49">IFERROR(INDEX(Companies!$B$5:$B$74,MATCH($B49,Companies!$A$5:$A$74,0)),"Unknown ID")</f>
        <v>Firestone Liberia</v>
      </c>
      <c r="D49" s="282" t="str">
        <f>'SRC CMU Receipts'!A53</f>
        <v>Firestone Liberia Harbel</v>
      </c>
      <c r="E49" s="282" t="str">
        <f>'SRC CMU Receipts'!C53</f>
        <v>CIL</v>
      </c>
      <c r="F49" s="319">
        <f>'SRC CMU Receipts'!B53</f>
        <v>9455</v>
      </c>
      <c r="G49" s="300">
        <f>'SRC CMU Receipts'!D53</f>
        <v>46255</v>
      </c>
      <c r="H49" s="310">
        <f>'SRC CMU Receipts'!E53</f>
        <v>4759</v>
      </c>
      <c r="I49" s="282" t="s">
        <v>2203</v>
      </c>
      <c r="J49" s="282"/>
      <c r="K49" s="282" t="s">
        <v>2204</v>
      </c>
      <c r="L49" s="282"/>
      <c r="M49" s="26"/>
      <c r="N49" s="26"/>
      <c r="O49" s="26"/>
      <c r="P49" s="26"/>
      <c r="Q49" s="26"/>
      <c r="R49" s="26"/>
      <c r="S49" s="26"/>
      <c r="T49" s="26"/>
      <c r="U49" s="26"/>
      <c r="V49" s="26"/>
      <c r="W49" s="26"/>
      <c r="X49" s="26"/>
      <c r="Y49" s="26"/>
      <c r="Z49" s="26"/>
      <c r="AA49" s="26"/>
    </row>
    <row r="50" ht="14.25" customHeight="1">
      <c r="A50" s="282" t="s">
        <v>2205</v>
      </c>
      <c r="B50" s="282" t="s">
        <v>974</v>
      </c>
      <c r="C50" s="282" t="str">
        <f t="array" ref="C50">IFERROR(INDEX(Companies!$B$5:$B$74,MATCH($B50,Companies!$A$5:$A$74,0)),"Unknown ID")</f>
        <v>Capital Link Corporation</v>
      </c>
      <c r="D50" s="282" t="str">
        <f>'SRC CMU Receipts'!A54</f>
        <v>Capital Link corporation</v>
      </c>
      <c r="E50" s="282" t="str">
        <f>'SRC CMU Receipts'!C54</f>
        <v>CRL &amp; EDL</v>
      </c>
      <c r="F50" s="319">
        <f>'SRC CMU Receipts'!B54</f>
        <v>3000</v>
      </c>
      <c r="G50" s="300">
        <f>'SRC CMU Receipts'!D54</f>
        <v>46251</v>
      </c>
      <c r="H50" s="310">
        <f>'SRC CMU Receipts'!E54</f>
        <v>4746</v>
      </c>
      <c r="I50" s="282" t="s">
        <v>2203</v>
      </c>
      <c r="J50" s="282"/>
      <c r="K50" s="282" t="s">
        <v>2207</v>
      </c>
      <c r="L50" s="282"/>
      <c r="M50" s="26"/>
      <c r="N50" s="26"/>
      <c r="O50" s="26"/>
      <c r="P50" s="26"/>
      <c r="Q50" s="26"/>
      <c r="R50" s="26"/>
      <c r="S50" s="26"/>
      <c r="T50" s="26"/>
      <c r="U50" s="26"/>
      <c r="V50" s="26"/>
      <c r="W50" s="26"/>
      <c r="X50" s="26"/>
      <c r="Y50" s="26"/>
      <c r="Z50" s="26"/>
      <c r="AA50" s="26"/>
    </row>
    <row r="51" ht="14.25" customHeight="1">
      <c r="A51" s="282" t="s">
        <v>2208</v>
      </c>
      <c r="B51" s="282" t="s">
        <v>745</v>
      </c>
      <c r="C51" s="282" t="str">
        <f t="array" ref="C51">IFERROR(INDEX(Companies!$B$5:$B$74,MATCH($B51,Companies!$A$5:$A$74,0)),"Unknown ID")</f>
        <v>MNG Gold Liberia Inc.</v>
      </c>
      <c r="D51" s="282" t="str">
        <f>'SRC CMU Receipts'!A55</f>
        <v>MNG Gold</v>
      </c>
      <c r="E51" s="282" t="str">
        <f>'SRC CMU Receipts'!C55</f>
        <v>CIL</v>
      </c>
      <c r="F51" s="319">
        <f>'SRC CMU Receipts'!B55</f>
        <v>2525</v>
      </c>
      <c r="G51" s="300">
        <f>'SRC CMU Receipts'!D55</f>
        <v>46268</v>
      </c>
      <c r="H51" s="310">
        <f>'SRC CMU Receipts'!E55</f>
        <v>4778</v>
      </c>
      <c r="I51" s="282" t="s">
        <v>2203</v>
      </c>
      <c r="J51" s="282"/>
      <c r="K51" s="282" t="s">
        <v>2211</v>
      </c>
      <c r="L51" s="282"/>
      <c r="M51" s="26"/>
      <c r="N51" s="26"/>
      <c r="O51" s="26"/>
      <c r="P51" s="26"/>
      <c r="Q51" s="26"/>
      <c r="R51" s="26"/>
      <c r="S51" s="26"/>
      <c r="T51" s="26"/>
      <c r="U51" s="26"/>
      <c r="V51" s="26"/>
      <c r="W51" s="26"/>
      <c r="X51" s="26"/>
      <c r="Y51" s="26"/>
      <c r="Z51" s="26"/>
      <c r="AA51" s="26"/>
    </row>
    <row r="52" ht="14.25" customHeight="1">
      <c r="A52" s="282" t="s">
        <v>2216</v>
      </c>
      <c r="B52" s="282" t="s">
        <v>825</v>
      </c>
      <c r="C52" s="282" t="str">
        <f t="array" ref="C52">IFERROR(INDEX(Companies!$B$5:$B$74,MATCH($B52,Companies!$A$5:$A$74,0)),"Unknown ID")</f>
        <v>Mano Palm Oil Plantation (MPOP)</v>
      </c>
      <c r="D52" s="282" t="str">
        <f>'SRC CMU Receipts'!A56</f>
        <v>MOPP</v>
      </c>
      <c r="E52" s="282" t="str">
        <f>'SRC CMU Receipts'!C56</f>
        <v>CRL &amp; EDL</v>
      </c>
      <c r="F52" s="319">
        <f>'SRC CMU Receipts'!B56</f>
        <v>4550</v>
      </c>
      <c r="G52" s="300">
        <f>'SRC CMU Receipts'!D56</f>
        <v>46279</v>
      </c>
      <c r="H52" s="310">
        <f>'SRC CMU Receipts'!E56</f>
        <v>4861</v>
      </c>
      <c r="I52" s="282" t="s">
        <v>2203</v>
      </c>
      <c r="J52" s="282" t="s">
        <v>2220</v>
      </c>
      <c r="K52" s="282" t="s">
        <v>2221</v>
      </c>
      <c r="L52" s="282"/>
      <c r="M52" s="26"/>
      <c r="N52" s="26"/>
      <c r="O52" s="26"/>
      <c r="P52" s="26"/>
      <c r="Q52" s="26"/>
      <c r="R52" s="26"/>
      <c r="S52" s="26"/>
      <c r="T52" s="26"/>
      <c r="U52" s="26"/>
      <c r="V52" s="26"/>
      <c r="W52" s="26"/>
      <c r="X52" s="26"/>
      <c r="Y52" s="26"/>
      <c r="Z52" s="26"/>
      <c r="AA52" s="26"/>
    </row>
    <row r="53" ht="14.25" customHeight="1">
      <c r="A53" s="282" t="s">
        <v>2222</v>
      </c>
      <c r="B53" s="282" t="s">
        <v>739</v>
      </c>
      <c r="C53" s="282" t="str">
        <f t="array" ref="C53">IFERROR(INDEX(Companies!$B$5:$B$74,MATCH($B53,Companies!$A$5:$A$74,0)),"Unknown ID")</f>
        <v>Bea Mountain Mining Corporation (BMMC)</v>
      </c>
      <c r="D53" s="282" t="str">
        <f>'SRC CMU Receipts'!A57</f>
        <v>BMMC</v>
      </c>
      <c r="E53" s="282" t="str">
        <f>'SRC CMU Receipts'!C57</f>
        <v>CIL (Suit of Chemicals)</v>
      </c>
      <c r="F53" s="319">
        <f>'SRC CMU Receipts'!B57</f>
        <v>466</v>
      </c>
      <c r="G53" s="300">
        <f>'SRC CMU Receipts'!D57</f>
        <v>46287</v>
      </c>
      <c r="H53" s="310">
        <f>'SRC CMU Receipts'!E57</f>
        <v>4889</v>
      </c>
      <c r="I53" s="282" t="s">
        <v>2203</v>
      </c>
      <c r="J53" s="282"/>
      <c r="K53" s="282" t="s">
        <v>2225</v>
      </c>
      <c r="L53" s="282"/>
      <c r="M53" s="26"/>
      <c r="N53" s="26"/>
      <c r="O53" s="26"/>
      <c r="P53" s="26"/>
      <c r="Q53" s="26"/>
      <c r="R53" s="26"/>
      <c r="S53" s="26"/>
      <c r="T53" s="26"/>
      <c r="U53" s="26"/>
      <c r="V53" s="26"/>
      <c r="W53" s="26"/>
      <c r="X53" s="26"/>
      <c r="Y53" s="26"/>
      <c r="Z53" s="26"/>
      <c r="AA53" s="26"/>
    </row>
    <row r="54" ht="14.25" customHeight="1">
      <c r="A54" s="282" t="s">
        <v>2227</v>
      </c>
      <c r="B54" s="282" t="s">
        <v>773</v>
      </c>
      <c r="C54" s="282" t="str">
        <f t="array" ref="C54">IFERROR(INDEX(Companies!$B$5:$B$74,MATCH($B54,Companies!$A$5:$A$74,0)),"Unknown ID")</f>
        <v>Golden Sifca Inc.</v>
      </c>
      <c r="D54" s="282" t="s">
        <v>774</v>
      </c>
      <c r="E54" s="282" t="s">
        <v>757</v>
      </c>
      <c r="F54" s="319"/>
      <c r="G54" s="300">
        <v>46036.0</v>
      </c>
      <c r="H54" s="310">
        <v>4058.0</v>
      </c>
      <c r="I54" s="282" t="s">
        <v>2230</v>
      </c>
      <c r="J54" s="282" t="s">
        <v>2231</v>
      </c>
      <c r="K54" s="282" t="s">
        <v>2232</v>
      </c>
      <c r="L54" s="282"/>
      <c r="M54" s="26"/>
      <c r="N54" s="26"/>
      <c r="O54" s="26"/>
      <c r="P54" s="26"/>
      <c r="Q54" s="26"/>
      <c r="R54" s="26"/>
      <c r="S54" s="26"/>
      <c r="T54" s="26"/>
      <c r="U54" s="26"/>
      <c r="V54" s="26"/>
      <c r="W54" s="26"/>
      <c r="X54" s="26"/>
      <c r="Y54" s="26"/>
      <c r="Z54" s="26"/>
      <c r="AA54" s="26"/>
    </row>
    <row r="55" ht="14.25" customHeight="1">
      <c r="A55" s="282" t="s">
        <v>2233</v>
      </c>
      <c r="B55" s="282" t="s">
        <v>883</v>
      </c>
      <c r="C55" s="282" t="str">
        <f t="array" ref="C55">IFERROR(INDEX(Companies!$B$5:$B$74,MATCH($B55,Companies!$A$5:$A$74,0)),"Unknown ID")</f>
        <v>T Waste Recycling &amp; Fumigation Inc.</v>
      </c>
      <c r="D55" s="282" t="s">
        <v>2234</v>
      </c>
      <c r="E55" s="282" t="s">
        <v>2235</v>
      </c>
      <c r="F55" s="319"/>
      <c r="G55" s="300">
        <v>46036.0</v>
      </c>
      <c r="H55" s="310"/>
      <c r="I55" s="282" t="s">
        <v>2230</v>
      </c>
      <c r="J55" s="282" t="s">
        <v>2236</v>
      </c>
      <c r="K55" s="282" t="s">
        <v>2237</v>
      </c>
      <c r="L55" s="282"/>
      <c r="M55" s="26"/>
      <c r="N55" s="26"/>
      <c r="O55" s="26"/>
      <c r="P55" s="26"/>
      <c r="Q55" s="26"/>
      <c r="R55" s="26"/>
      <c r="S55" s="26"/>
      <c r="T55" s="26"/>
      <c r="U55" s="26"/>
      <c r="V55" s="26"/>
      <c r="W55" s="26"/>
      <c r="X55" s="26"/>
      <c r="Y55" s="26"/>
      <c r="Z55" s="26"/>
      <c r="AA55" s="26"/>
    </row>
    <row r="56" ht="14.25" customHeight="1">
      <c r="A56" s="282" t="s">
        <v>2239</v>
      </c>
      <c r="B56" s="282" t="s">
        <v>739</v>
      </c>
      <c r="C56" s="282" t="str">
        <f t="array" ref="C56">IFERROR(INDEX(Companies!$B$5:$B$74,MATCH($B56,Companies!$A$5:$A$74,0)),"Unknown ID")</f>
        <v>Bea Mountain Mining Corporation (BMMC)</v>
      </c>
      <c r="D56" s="282" t="s">
        <v>2242</v>
      </c>
      <c r="E56" s="282" t="s">
        <v>2243</v>
      </c>
      <c r="F56" s="319"/>
      <c r="G56" s="300">
        <v>46038.0</v>
      </c>
      <c r="H56" s="310">
        <v>4064.0</v>
      </c>
      <c r="I56" s="282" t="s">
        <v>2230</v>
      </c>
      <c r="J56" s="282" t="s">
        <v>2231</v>
      </c>
      <c r="K56" s="282" t="s">
        <v>2244</v>
      </c>
      <c r="L56" s="282"/>
      <c r="M56" s="26"/>
      <c r="N56" s="26"/>
      <c r="O56" s="26"/>
      <c r="P56" s="26"/>
      <c r="Q56" s="26"/>
      <c r="R56" s="26"/>
      <c r="S56" s="26"/>
      <c r="T56" s="26"/>
      <c r="U56" s="26"/>
      <c r="V56" s="26"/>
      <c r="W56" s="26"/>
      <c r="X56" s="26"/>
      <c r="Y56" s="26"/>
      <c r="Z56" s="26"/>
      <c r="AA56" s="26"/>
    </row>
    <row r="57" ht="14.25" customHeight="1">
      <c r="A57" s="282" t="s">
        <v>2245</v>
      </c>
      <c r="B57" s="282" t="s">
        <v>887</v>
      </c>
      <c r="C57" s="282" t="str">
        <f t="array" ref="C57">IFERROR(INDEX(Companies!$B$5:$B$74,MATCH($B57,Companies!$A$5:$A$74,0)),"Unknown ID")</f>
        <v>GLC Inc.</v>
      </c>
      <c r="D57" s="282" t="s">
        <v>888</v>
      </c>
      <c r="E57" s="282" t="s">
        <v>889</v>
      </c>
      <c r="F57" s="319"/>
      <c r="G57" s="300">
        <v>46038.0</v>
      </c>
      <c r="H57" s="310">
        <v>4063.0</v>
      </c>
      <c r="I57" s="282" t="s">
        <v>2230</v>
      </c>
      <c r="J57" s="282" t="s">
        <v>2231</v>
      </c>
      <c r="K57" s="282" t="s">
        <v>2246</v>
      </c>
      <c r="L57" s="282"/>
      <c r="M57" s="26"/>
      <c r="N57" s="26"/>
      <c r="O57" s="26"/>
      <c r="P57" s="26"/>
      <c r="Q57" s="26"/>
      <c r="R57" s="26"/>
      <c r="S57" s="26"/>
      <c r="T57" s="26"/>
      <c r="U57" s="26"/>
      <c r="V57" s="26"/>
      <c r="W57" s="26"/>
      <c r="X57" s="26"/>
      <c r="Y57" s="26"/>
      <c r="Z57" s="26"/>
      <c r="AA57" s="26"/>
    </row>
    <row r="58" ht="14.25" customHeight="1">
      <c r="A58" s="282" t="s">
        <v>266</v>
      </c>
      <c r="B58" s="282" t="s">
        <v>857</v>
      </c>
      <c r="C58" s="282" t="str">
        <f t="array" ref="C58">IFERROR(INDEX(Companies!$B$5:$B$74,MATCH($B58,Companies!$A$5:$A$74,0)),"Unknown ID")</f>
        <v>Supreme Liberia Inc.</v>
      </c>
      <c r="D58" s="282" t="s">
        <v>858</v>
      </c>
      <c r="E58" s="282" t="s">
        <v>2250</v>
      </c>
      <c r="F58" s="319"/>
      <c r="G58" s="300">
        <v>46042.0</v>
      </c>
      <c r="H58" s="310">
        <v>4082.0</v>
      </c>
      <c r="I58" s="282" t="s">
        <v>2230</v>
      </c>
      <c r="J58" s="282" t="s">
        <v>2231</v>
      </c>
      <c r="K58" s="282" t="s">
        <v>2251</v>
      </c>
      <c r="L58" s="282"/>
      <c r="M58" s="26"/>
      <c r="N58" s="26"/>
      <c r="O58" s="26"/>
      <c r="P58" s="26"/>
      <c r="Q58" s="26"/>
      <c r="R58" s="26"/>
      <c r="S58" s="26"/>
      <c r="T58" s="26"/>
      <c r="U58" s="26"/>
      <c r="V58" s="26"/>
      <c r="W58" s="26"/>
      <c r="X58" s="26"/>
      <c r="Y58" s="26"/>
      <c r="Z58" s="26"/>
      <c r="AA58" s="26"/>
    </row>
    <row r="59" ht="14.25" customHeight="1">
      <c r="A59" s="303" t="s">
        <v>385</v>
      </c>
      <c r="B59" s="303"/>
      <c r="C59" s="303"/>
      <c r="D59" s="303"/>
      <c r="E59" s="303"/>
      <c r="F59" s="305">
        <f>SUBTOTAL(109,$F$5:$F$58)</f>
        <v>434983</v>
      </c>
      <c r="G59" s="303"/>
      <c r="H59" s="303"/>
      <c r="I59" s="303" t="s">
        <v>2254</v>
      </c>
      <c r="J59" s="303">
        <f>SUBTOTAL(103,$A$5:$A$58)</f>
        <v>54</v>
      </c>
      <c r="K59" s="303"/>
      <c r="L59" s="303"/>
      <c r="M59" s="26"/>
      <c r="N59" s="26"/>
      <c r="O59" s="26"/>
      <c r="P59" s="26"/>
      <c r="Q59" s="26"/>
      <c r="R59" s="26"/>
      <c r="S59" s="26"/>
      <c r="T59" s="26"/>
      <c r="U59" s="26"/>
      <c r="V59" s="26"/>
      <c r="W59" s="26"/>
      <c r="X59" s="26"/>
      <c r="Y59" s="26"/>
      <c r="Z59" s="26"/>
      <c r="AA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B5:B58">
      <formula1>Companies!$A$5:$A$74</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4"/>
  <legacyDrawing r:id="rId5"/>
  <tableParts count="1">
    <tablePart r:id="rId7"/>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14"/>
    <col customWidth="1" min="2" max="2" width="16.71"/>
    <col customWidth="1" min="3" max="3" width="42.57"/>
    <col customWidth="1" min="4" max="4" width="46.29"/>
    <col customWidth="1" min="5" max="6" width="55.57"/>
    <col customWidth="1" min="7" max="7" width="16.71"/>
    <col customWidth="1" min="8" max="9" width="9.86"/>
    <col customWidth="1" min="10" max="26" width="8.86"/>
  </cols>
  <sheetData>
    <row r="1" ht="25.5" customHeight="1">
      <c r="A1" s="25" t="s">
        <v>2010</v>
      </c>
      <c r="B1" s="25"/>
      <c r="C1" s="320"/>
      <c r="D1" s="320"/>
      <c r="E1" s="320"/>
      <c r="F1" s="320"/>
      <c r="G1" s="25"/>
      <c r="H1" s="26"/>
      <c r="I1" s="26"/>
      <c r="J1" s="26"/>
      <c r="K1" s="26"/>
      <c r="L1" s="26"/>
      <c r="M1" s="26"/>
      <c r="N1" s="26"/>
      <c r="O1" s="26"/>
      <c r="P1" s="26"/>
      <c r="Q1" s="26"/>
      <c r="R1" s="26"/>
      <c r="S1" s="26"/>
      <c r="T1" s="26"/>
      <c r="U1" s="26"/>
      <c r="V1" s="26"/>
      <c r="W1" s="26"/>
      <c r="X1" s="26"/>
      <c r="Y1" s="26"/>
      <c r="Z1" s="26"/>
    </row>
    <row r="2" ht="14.25" customHeight="1">
      <c r="A2" s="30" t="s">
        <v>2014</v>
      </c>
      <c r="B2" s="30"/>
      <c r="C2" s="321"/>
      <c r="D2" s="321"/>
      <c r="E2" s="321"/>
      <c r="F2" s="321"/>
      <c r="G2" s="30"/>
      <c r="H2" s="26"/>
      <c r="I2" s="26"/>
      <c r="J2" s="26"/>
      <c r="K2" s="26"/>
      <c r="L2" s="26"/>
      <c r="M2" s="26"/>
      <c r="N2" s="26"/>
      <c r="O2" s="26"/>
      <c r="P2" s="26"/>
      <c r="Q2" s="26"/>
      <c r="R2" s="26"/>
      <c r="S2" s="26"/>
      <c r="T2" s="26"/>
      <c r="U2" s="26"/>
      <c r="V2" s="26"/>
      <c r="W2" s="26"/>
      <c r="X2" s="26"/>
      <c r="Y2" s="26"/>
      <c r="Z2" s="26"/>
    </row>
    <row r="3" ht="14.25" customHeight="1">
      <c r="A3" s="26"/>
      <c r="B3" s="26"/>
      <c r="C3" s="322"/>
      <c r="D3" s="322"/>
      <c r="E3" s="322"/>
      <c r="F3" s="322"/>
      <c r="G3" s="26"/>
      <c r="H3" s="26"/>
      <c r="I3" s="26"/>
      <c r="J3" s="26"/>
      <c r="K3" s="26"/>
      <c r="L3" s="26"/>
      <c r="M3" s="26"/>
      <c r="N3" s="26"/>
      <c r="O3" s="26"/>
      <c r="P3" s="26"/>
      <c r="Q3" s="26"/>
      <c r="R3" s="26"/>
      <c r="S3" s="26"/>
      <c r="T3" s="26"/>
      <c r="U3" s="26"/>
      <c r="V3" s="26"/>
      <c r="W3" s="26"/>
      <c r="X3" s="26"/>
      <c r="Y3" s="26"/>
      <c r="Z3" s="26"/>
    </row>
    <row r="4" ht="30.0" customHeight="1">
      <c r="A4" s="280" t="s">
        <v>2019</v>
      </c>
      <c r="B4" s="280" t="s">
        <v>395</v>
      </c>
      <c r="C4" s="280" t="s">
        <v>241</v>
      </c>
      <c r="D4" s="280" t="s">
        <v>964</v>
      </c>
      <c r="E4" s="280" t="s">
        <v>2020</v>
      </c>
      <c r="F4" s="280" t="s">
        <v>2021</v>
      </c>
      <c r="G4" s="280" t="s">
        <v>2022</v>
      </c>
      <c r="H4" s="281"/>
      <c r="I4" s="281"/>
      <c r="J4" s="281"/>
      <c r="K4" s="281"/>
      <c r="L4" s="281"/>
      <c r="M4" s="281"/>
      <c r="N4" s="281"/>
      <c r="O4" s="281"/>
      <c r="P4" s="281"/>
      <c r="Q4" s="281"/>
      <c r="R4" s="281"/>
      <c r="S4" s="281"/>
      <c r="T4" s="281"/>
      <c r="U4" s="281"/>
      <c r="V4" s="281"/>
      <c r="W4" s="281"/>
      <c r="X4" s="281"/>
      <c r="Y4" s="281"/>
      <c r="Z4" s="281"/>
    </row>
    <row r="5" ht="14.25" customHeight="1">
      <c r="A5" s="282" t="s">
        <v>2023</v>
      </c>
      <c r="B5" s="282" t="s">
        <v>40</v>
      </c>
      <c r="C5" s="323" t="s">
        <v>1113</v>
      </c>
      <c r="D5" s="323" t="s">
        <v>2024</v>
      </c>
      <c r="E5" s="323" t="s">
        <v>2025</v>
      </c>
      <c r="F5" s="323" t="s">
        <v>2026</v>
      </c>
      <c r="G5" s="282" t="s">
        <v>2029</v>
      </c>
      <c r="H5" s="26"/>
      <c r="I5" s="26"/>
      <c r="J5" s="26"/>
      <c r="K5" s="26"/>
      <c r="L5" s="26"/>
      <c r="M5" s="26"/>
      <c r="N5" s="26"/>
      <c r="O5" s="26"/>
      <c r="P5" s="26"/>
      <c r="Q5" s="26"/>
      <c r="R5" s="26"/>
      <c r="S5" s="26"/>
      <c r="T5" s="26"/>
      <c r="U5" s="26"/>
      <c r="V5" s="26"/>
      <c r="W5" s="26"/>
      <c r="X5" s="26"/>
      <c r="Y5" s="26"/>
      <c r="Z5" s="26"/>
    </row>
    <row r="6" ht="14.25" customHeight="1">
      <c r="A6" s="282" t="s">
        <v>2032</v>
      </c>
      <c r="B6" s="282" t="s">
        <v>40</v>
      </c>
      <c r="C6" s="323" t="s">
        <v>1116</v>
      </c>
      <c r="D6" s="323" t="s">
        <v>2034</v>
      </c>
      <c r="E6" s="323" t="s">
        <v>2035</v>
      </c>
      <c r="F6" s="323" t="s">
        <v>2036</v>
      </c>
      <c r="G6" s="282" t="s">
        <v>2037</v>
      </c>
      <c r="H6" s="26"/>
      <c r="I6" s="26"/>
      <c r="J6" s="26"/>
      <c r="K6" s="26"/>
      <c r="L6" s="26"/>
      <c r="M6" s="26"/>
      <c r="N6" s="26"/>
      <c r="O6" s="26"/>
      <c r="P6" s="26"/>
      <c r="Q6" s="26"/>
      <c r="R6" s="26"/>
      <c r="S6" s="26"/>
      <c r="T6" s="26"/>
      <c r="U6" s="26"/>
      <c r="V6" s="26"/>
      <c r="W6" s="26"/>
      <c r="X6" s="26"/>
      <c r="Y6" s="26"/>
      <c r="Z6" s="26"/>
    </row>
    <row r="7" ht="14.25" customHeight="1">
      <c r="A7" s="282" t="s">
        <v>2038</v>
      </c>
      <c r="B7" s="282" t="s">
        <v>40</v>
      </c>
      <c r="C7" s="323" t="s">
        <v>1119</v>
      </c>
      <c r="D7" s="323" t="s">
        <v>2039</v>
      </c>
      <c r="E7" s="323" t="s">
        <v>2040</v>
      </c>
      <c r="F7" s="323" t="s">
        <v>2041</v>
      </c>
      <c r="G7" s="282" t="s">
        <v>2042</v>
      </c>
      <c r="H7" s="26"/>
      <c r="I7" s="26"/>
      <c r="J7" s="26"/>
      <c r="K7" s="26"/>
      <c r="L7" s="26"/>
      <c r="M7" s="26"/>
      <c r="N7" s="26"/>
      <c r="O7" s="26"/>
      <c r="P7" s="26"/>
      <c r="Q7" s="26"/>
      <c r="R7" s="26"/>
      <c r="S7" s="26"/>
      <c r="T7" s="26"/>
      <c r="U7" s="26"/>
      <c r="V7" s="26"/>
      <c r="W7" s="26"/>
      <c r="X7" s="26"/>
      <c r="Y7" s="26"/>
      <c r="Z7" s="26"/>
    </row>
    <row r="8" ht="14.25" customHeight="1">
      <c r="A8" s="282" t="s">
        <v>2043</v>
      </c>
      <c r="B8" s="282" t="s">
        <v>40</v>
      </c>
      <c r="C8" s="323" t="s">
        <v>1275</v>
      </c>
      <c r="D8" s="323" t="s">
        <v>2044</v>
      </c>
      <c r="E8" s="323" t="s">
        <v>2045</v>
      </c>
      <c r="F8" s="323" t="s">
        <v>2046</v>
      </c>
      <c r="G8" s="282" t="s">
        <v>2047</v>
      </c>
      <c r="H8" s="26"/>
      <c r="I8" s="26"/>
      <c r="J8" s="26"/>
      <c r="K8" s="26"/>
      <c r="L8" s="26"/>
      <c r="M8" s="26"/>
      <c r="N8" s="26"/>
      <c r="O8" s="26"/>
      <c r="P8" s="26"/>
      <c r="Q8" s="26"/>
      <c r="R8" s="26"/>
      <c r="S8" s="26"/>
      <c r="T8" s="26"/>
      <c r="U8" s="26"/>
      <c r="V8" s="26"/>
      <c r="W8" s="26"/>
      <c r="X8" s="26"/>
      <c r="Y8" s="26"/>
      <c r="Z8" s="26"/>
    </row>
    <row r="9" ht="14.25" customHeight="1">
      <c r="A9" s="282" t="s">
        <v>2049</v>
      </c>
      <c r="B9" s="282" t="s">
        <v>40</v>
      </c>
      <c r="C9" s="323" t="s">
        <v>1237</v>
      </c>
      <c r="D9" s="323" t="s">
        <v>2051</v>
      </c>
      <c r="E9" s="323" t="s">
        <v>2052</v>
      </c>
      <c r="F9" s="323" t="s">
        <v>2053</v>
      </c>
      <c r="G9" s="282" t="s">
        <v>2055</v>
      </c>
      <c r="H9" s="26"/>
      <c r="I9" s="26"/>
      <c r="J9" s="26"/>
      <c r="K9" s="26"/>
      <c r="L9" s="26"/>
      <c r="M9" s="26"/>
      <c r="N9" s="26"/>
      <c r="O9" s="26"/>
      <c r="P9" s="26"/>
      <c r="Q9" s="26"/>
      <c r="R9" s="26"/>
      <c r="S9" s="26"/>
      <c r="T9" s="26"/>
      <c r="U9" s="26"/>
      <c r="V9" s="26"/>
      <c r="W9" s="26"/>
      <c r="X9" s="26"/>
      <c r="Y9" s="26"/>
      <c r="Z9" s="26"/>
    </row>
    <row r="10" ht="14.25" customHeight="1">
      <c r="A10" s="282" t="s">
        <v>2056</v>
      </c>
      <c r="B10" s="282" t="s">
        <v>41</v>
      </c>
      <c r="C10" s="323" t="s">
        <v>41</v>
      </c>
      <c r="D10" s="323" t="s">
        <v>2057</v>
      </c>
      <c r="E10" s="323" t="s">
        <v>2058</v>
      </c>
      <c r="F10" s="323" t="s">
        <v>2059</v>
      </c>
      <c r="G10" s="282" t="s">
        <v>2060</v>
      </c>
      <c r="H10" s="26"/>
      <c r="I10" s="26"/>
      <c r="J10" s="26"/>
      <c r="K10" s="26"/>
      <c r="L10" s="26"/>
      <c r="M10" s="26"/>
      <c r="N10" s="26"/>
      <c r="O10" s="26"/>
      <c r="P10" s="26"/>
      <c r="Q10" s="26"/>
      <c r="R10" s="26"/>
      <c r="S10" s="26"/>
      <c r="T10" s="26"/>
      <c r="U10" s="26"/>
      <c r="V10" s="26"/>
      <c r="W10" s="26"/>
      <c r="X10" s="26"/>
      <c r="Y10" s="26"/>
      <c r="Z10" s="26"/>
    </row>
    <row r="11" ht="14.25" customHeight="1">
      <c r="A11" s="282" t="s">
        <v>2063</v>
      </c>
      <c r="B11" s="282" t="s">
        <v>40</v>
      </c>
      <c r="C11" s="323" t="s">
        <v>1243</v>
      </c>
      <c r="D11" s="323" t="s">
        <v>2064</v>
      </c>
      <c r="E11" s="323" t="s">
        <v>2065</v>
      </c>
      <c r="F11" s="323" t="s">
        <v>2066</v>
      </c>
      <c r="G11" s="282" t="s">
        <v>2055</v>
      </c>
      <c r="H11" s="26"/>
      <c r="I11" s="26"/>
      <c r="J11" s="26"/>
      <c r="K11" s="26"/>
      <c r="L11" s="26"/>
      <c r="M11" s="26"/>
      <c r="N11" s="26"/>
      <c r="O11" s="26"/>
      <c r="P11" s="26"/>
      <c r="Q11" s="26"/>
      <c r="R11" s="26"/>
      <c r="S11" s="26"/>
      <c r="T11" s="26"/>
      <c r="U11" s="26"/>
      <c r="V11" s="26"/>
      <c r="W11" s="26"/>
      <c r="X11" s="26"/>
      <c r="Y11" s="26"/>
      <c r="Z11" s="26"/>
    </row>
    <row r="12" ht="14.25" customHeight="1">
      <c r="A12" s="282" t="s">
        <v>2067</v>
      </c>
      <c r="B12" s="282" t="s">
        <v>40</v>
      </c>
      <c r="C12" s="323" t="s">
        <v>2068</v>
      </c>
      <c r="D12" s="323" t="s">
        <v>2069</v>
      </c>
      <c r="E12" s="323" t="s">
        <v>2070</v>
      </c>
      <c r="F12" s="323" t="s">
        <v>2071</v>
      </c>
      <c r="G12" s="282" t="s">
        <v>2037</v>
      </c>
      <c r="H12" s="26"/>
      <c r="I12" s="26"/>
      <c r="J12" s="26"/>
      <c r="K12" s="26"/>
      <c r="L12" s="26"/>
      <c r="M12" s="26"/>
      <c r="N12" s="26"/>
      <c r="O12" s="26"/>
      <c r="P12" s="26"/>
      <c r="Q12" s="26"/>
      <c r="R12" s="26"/>
      <c r="S12" s="26"/>
      <c r="T12" s="26"/>
      <c r="U12" s="26"/>
      <c r="V12" s="26"/>
      <c r="W12" s="26"/>
      <c r="X12" s="26"/>
      <c r="Y12" s="26"/>
      <c r="Z12" s="26"/>
    </row>
    <row r="13" ht="14.25" customHeight="1">
      <c r="A13" s="282" t="s">
        <v>2072</v>
      </c>
      <c r="B13" s="282" t="s">
        <v>40</v>
      </c>
      <c r="C13" s="323" t="s">
        <v>2074</v>
      </c>
      <c r="D13" s="323" t="s">
        <v>2075</v>
      </c>
      <c r="E13" s="323" t="s">
        <v>2076</v>
      </c>
      <c r="F13" s="323" t="s">
        <v>2077</v>
      </c>
      <c r="G13" s="282" t="s">
        <v>2078</v>
      </c>
      <c r="H13" s="26"/>
      <c r="I13" s="26"/>
      <c r="J13" s="26"/>
      <c r="K13" s="26"/>
      <c r="L13" s="26"/>
      <c r="M13" s="26"/>
      <c r="N13" s="26"/>
      <c r="O13" s="26"/>
      <c r="P13" s="26"/>
      <c r="Q13" s="26"/>
      <c r="R13" s="26"/>
      <c r="S13" s="26"/>
      <c r="T13" s="26"/>
      <c r="U13" s="26"/>
      <c r="V13" s="26"/>
      <c r="W13" s="26"/>
      <c r="X13" s="26"/>
      <c r="Y13" s="26"/>
      <c r="Z13" s="26"/>
    </row>
    <row r="14" ht="14.25" customHeight="1">
      <c r="A14" s="282" t="s">
        <v>2081</v>
      </c>
      <c r="B14" s="282" t="s">
        <v>40</v>
      </c>
      <c r="C14" s="323" t="s">
        <v>1196</v>
      </c>
      <c r="D14" s="323" t="s">
        <v>2082</v>
      </c>
      <c r="E14" s="323" t="s">
        <v>2083</v>
      </c>
      <c r="F14" s="323" t="s">
        <v>2071</v>
      </c>
      <c r="G14" s="282" t="s">
        <v>2047</v>
      </c>
      <c r="H14" s="26"/>
      <c r="I14" s="26"/>
      <c r="J14" s="26"/>
      <c r="K14" s="26"/>
      <c r="L14" s="26"/>
      <c r="M14" s="26"/>
      <c r="N14" s="26"/>
      <c r="O14" s="26"/>
      <c r="P14" s="26"/>
      <c r="Q14" s="26"/>
      <c r="R14" s="26"/>
      <c r="S14" s="26"/>
      <c r="T14" s="26"/>
      <c r="U14" s="26"/>
      <c r="V14" s="26"/>
      <c r="W14" s="26"/>
      <c r="X14" s="26"/>
      <c r="Y14" s="26"/>
      <c r="Z14" s="26"/>
    </row>
    <row r="15" ht="14.25" customHeight="1">
      <c r="A15" s="282" t="s">
        <v>2084</v>
      </c>
      <c r="B15" s="282" t="s">
        <v>40</v>
      </c>
      <c r="C15" s="323" t="s">
        <v>1201</v>
      </c>
      <c r="D15" s="323" t="s">
        <v>2086</v>
      </c>
      <c r="E15" s="323" t="s">
        <v>2088</v>
      </c>
      <c r="F15" s="323" t="s">
        <v>2089</v>
      </c>
      <c r="G15" s="282" t="s">
        <v>2055</v>
      </c>
      <c r="H15" s="26"/>
      <c r="I15" s="26"/>
      <c r="J15" s="26"/>
      <c r="K15" s="26"/>
      <c r="L15" s="26"/>
      <c r="M15" s="26"/>
      <c r="N15" s="26"/>
      <c r="O15" s="26"/>
      <c r="P15" s="26"/>
      <c r="Q15" s="26"/>
      <c r="R15" s="26"/>
      <c r="S15" s="26"/>
      <c r="T15" s="26"/>
      <c r="U15" s="26"/>
      <c r="V15" s="26"/>
      <c r="W15" s="26"/>
      <c r="X15" s="26"/>
      <c r="Y15" s="26"/>
      <c r="Z15" s="26"/>
    </row>
    <row r="16" ht="14.25" customHeight="1">
      <c r="A16" s="282" t="s">
        <v>2090</v>
      </c>
      <c r="B16" s="282" t="s">
        <v>40</v>
      </c>
      <c r="C16" s="323" t="s">
        <v>2091</v>
      </c>
      <c r="D16" s="323" t="s">
        <v>2092</v>
      </c>
      <c r="E16" s="323" t="s">
        <v>2093</v>
      </c>
      <c r="F16" s="323" t="s">
        <v>2094</v>
      </c>
      <c r="G16" s="282" t="s">
        <v>2060</v>
      </c>
      <c r="H16" s="26"/>
      <c r="I16" s="26"/>
      <c r="J16" s="26"/>
      <c r="K16" s="26"/>
      <c r="L16" s="26"/>
      <c r="M16" s="26"/>
      <c r="N16" s="26"/>
      <c r="O16" s="26"/>
      <c r="P16" s="26"/>
      <c r="Q16" s="26"/>
      <c r="R16" s="26"/>
      <c r="S16" s="26"/>
      <c r="T16" s="26"/>
      <c r="U16" s="26"/>
      <c r="V16" s="26"/>
      <c r="W16" s="26"/>
      <c r="X16" s="26"/>
      <c r="Y16" s="26"/>
      <c r="Z16" s="26"/>
    </row>
    <row r="17" ht="14.25" customHeight="1">
      <c r="A17" s="282" t="s">
        <v>2096</v>
      </c>
      <c r="B17" s="282" t="s">
        <v>42</v>
      </c>
      <c r="C17" s="323" t="s">
        <v>42</v>
      </c>
      <c r="D17" s="323" t="s">
        <v>2097</v>
      </c>
      <c r="E17" s="323" t="s">
        <v>2098</v>
      </c>
      <c r="F17" s="323" t="s">
        <v>2100</v>
      </c>
      <c r="G17" s="282" t="s">
        <v>2101</v>
      </c>
      <c r="H17" s="26"/>
      <c r="I17" s="26"/>
      <c r="J17" s="26"/>
      <c r="K17" s="26"/>
      <c r="L17" s="26"/>
      <c r="M17" s="26"/>
      <c r="N17" s="26"/>
      <c r="O17" s="26"/>
      <c r="P17" s="26"/>
      <c r="Q17" s="26"/>
      <c r="R17" s="26"/>
      <c r="S17" s="26"/>
      <c r="T17" s="26"/>
      <c r="U17" s="26"/>
      <c r="V17" s="26"/>
      <c r="W17" s="26"/>
      <c r="X17" s="26"/>
      <c r="Y17" s="26"/>
      <c r="Z17" s="26"/>
    </row>
    <row r="18" ht="14.25" customHeight="1">
      <c r="A18" s="282" t="s">
        <v>2102</v>
      </c>
      <c r="B18" s="282" t="s">
        <v>44</v>
      </c>
      <c r="C18" s="323" t="s">
        <v>2103</v>
      </c>
      <c r="D18" s="323" t="s">
        <v>2104</v>
      </c>
      <c r="E18" s="323" t="s">
        <v>2105</v>
      </c>
      <c r="F18" s="323" t="s">
        <v>2106</v>
      </c>
      <c r="G18" s="282" t="s">
        <v>2107</v>
      </c>
      <c r="H18" s="26"/>
      <c r="I18" s="26"/>
      <c r="J18" s="26"/>
      <c r="K18" s="26"/>
      <c r="L18" s="26"/>
      <c r="M18" s="26"/>
      <c r="N18" s="26"/>
      <c r="O18" s="26"/>
      <c r="P18" s="26"/>
      <c r="Q18" s="26"/>
      <c r="R18" s="26"/>
      <c r="S18" s="26"/>
      <c r="T18" s="26"/>
      <c r="U18" s="26"/>
      <c r="V18" s="26"/>
      <c r="W18" s="26"/>
      <c r="X18" s="26"/>
      <c r="Y18" s="26"/>
      <c r="Z18" s="26"/>
    </row>
    <row r="19" ht="14.25" customHeight="1">
      <c r="A19" s="282" t="s">
        <v>2109</v>
      </c>
      <c r="B19" s="282" t="s">
        <v>44</v>
      </c>
      <c r="C19" s="323" t="s">
        <v>1993</v>
      </c>
      <c r="D19" s="323" t="s">
        <v>2110</v>
      </c>
      <c r="E19" s="323" t="s">
        <v>2111</v>
      </c>
      <c r="F19" s="323" t="s">
        <v>2112</v>
      </c>
      <c r="G19" s="282" t="s">
        <v>2107</v>
      </c>
      <c r="H19" s="26"/>
      <c r="I19" s="26"/>
      <c r="J19" s="26"/>
      <c r="K19" s="26"/>
      <c r="L19" s="26"/>
      <c r="M19" s="26"/>
      <c r="N19" s="26"/>
      <c r="O19" s="26"/>
      <c r="P19" s="26"/>
      <c r="Q19" s="26"/>
      <c r="R19" s="26"/>
      <c r="S19" s="26"/>
      <c r="T19" s="26"/>
      <c r="U19" s="26"/>
      <c r="V19" s="26"/>
      <c r="W19" s="26"/>
      <c r="X19" s="26"/>
      <c r="Y19" s="26"/>
      <c r="Z19" s="26"/>
    </row>
    <row r="20" ht="14.25" customHeight="1">
      <c r="A20" s="282" t="s">
        <v>2113</v>
      </c>
      <c r="B20" s="282" t="s">
        <v>44</v>
      </c>
      <c r="C20" s="323" t="s">
        <v>2114</v>
      </c>
      <c r="D20" s="323" t="s">
        <v>2115</v>
      </c>
      <c r="E20" s="323" t="s">
        <v>2117</v>
      </c>
      <c r="F20" s="323" t="s">
        <v>2112</v>
      </c>
      <c r="G20" s="282" t="s">
        <v>2107</v>
      </c>
      <c r="H20" s="26"/>
      <c r="I20" s="26"/>
      <c r="J20" s="26"/>
      <c r="K20" s="26"/>
      <c r="L20" s="26"/>
      <c r="M20" s="26"/>
      <c r="N20" s="26"/>
      <c r="O20" s="26"/>
      <c r="P20" s="26"/>
      <c r="Q20" s="26"/>
      <c r="R20" s="26"/>
      <c r="S20" s="26"/>
      <c r="T20" s="26"/>
      <c r="U20" s="26"/>
      <c r="V20" s="26"/>
      <c r="W20" s="26"/>
      <c r="X20" s="26"/>
      <c r="Y20" s="26"/>
      <c r="Z20" s="26"/>
    </row>
    <row r="21" ht="14.25" customHeight="1">
      <c r="A21" s="282" t="s">
        <v>2120</v>
      </c>
      <c r="B21" s="282" t="s">
        <v>44</v>
      </c>
      <c r="C21" s="323" t="s">
        <v>2121</v>
      </c>
      <c r="D21" s="323" t="s">
        <v>2122</v>
      </c>
      <c r="E21" s="323" t="s">
        <v>2123</v>
      </c>
      <c r="F21" s="323" t="s">
        <v>2124</v>
      </c>
      <c r="G21" s="282" t="s">
        <v>2107</v>
      </c>
      <c r="H21" s="26"/>
      <c r="I21" s="26"/>
      <c r="J21" s="26"/>
      <c r="K21" s="26"/>
      <c r="L21" s="26"/>
      <c r="M21" s="26"/>
      <c r="N21" s="26"/>
      <c r="O21" s="26"/>
      <c r="P21" s="26"/>
      <c r="Q21" s="26"/>
      <c r="R21" s="26"/>
      <c r="S21" s="26"/>
      <c r="T21" s="26"/>
      <c r="U21" s="26"/>
      <c r="V21" s="26"/>
      <c r="W21" s="26"/>
      <c r="X21" s="26"/>
      <c r="Y21" s="26"/>
      <c r="Z21" s="26"/>
    </row>
    <row r="22" ht="14.25" customHeight="1">
      <c r="A22" s="282" t="s">
        <v>2126</v>
      </c>
      <c r="B22" s="282" t="s">
        <v>44</v>
      </c>
      <c r="C22" s="323" t="s">
        <v>2127</v>
      </c>
      <c r="D22" s="323" t="s">
        <v>2128</v>
      </c>
      <c r="E22" s="323" t="s">
        <v>2129</v>
      </c>
      <c r="F22" s="323" t="s">
        <v>2130</v>
      </c>
      <c r="G22" s="282" t="s">
        <v>2107</v>
      </c>
      <c r="H22" s="26"/>
      <c r="I22" s="26"/>
      <c r="J22" s="26"/>
      <c r="K22" s="26"/>
      <c r="L22" s="26"/>
      <c r="M22" s="26"/>
      <c r="N22" s="26"/>
      <c r="O22" s="26"/>
      <c r="P22" s="26"/>
      <c r="Q22" s="26"/>
      <c r="R22" s="26"/>
      <c r="S22" s="26"/>
      <c r="T22" s="26"/>
      <c r="U22" s="26"/>
      <c r="V22" s="26"/>
      <c r="W22" s="26"/>
      <c r="X22" s="26"/>
      <c r="Y22" s="26"/>
      <c r="Z22" s="26"/>
    </row>
    <row r="23" ht="14.25" customHeight="1">
      <c r="A23" s="282" t="s">
        <v>2131</v>
      </c>
      <c r="B23" s="282" t="s">
        <v>44</v>
      </c>
      <c r="C23" s="323" t="s">
        <v>1722</v>
      </c>
      <c r="D23" s="323" t="s">
        <v>2132</v>
      </c>
      <c r="E23" s="323" t="s">
        <v>2133</v>
      </c>
      <c r="F23" s="323" t="s">
        <v>2112</v>
      </c>
      <c r="G23" s="282" t="s">
        <v>2107</v>
      </c>
      <c r="H23" s="26"/>
      <c r="I23" s="26"/>
      <c r="J23" s="26"/>
      <c r="K23" s="26"/>
      <c r="L23" s="26"/>
      <c r="M23" s="26"/>
      <c r="N23" s="26"/>
      <c r="O23" s="26"/>
      <c r="P23" s="26"/>
      <c r="Q23" s="26"/>
      <c r="R23" s="26"/>
      <c r="S23" s="26"/>
      <c r="T23" s="26"/>
      <c r="U23" s="26"/>
      <c r="V23" s="26"/>
      <c r="W23" s="26"/>
      <c r="X23" s="26"/>
      <c r="Y23" s="26"/>
      <c r="Z23" s="26"/>
    </row>
    <row r="24" ht="14.25" customHeight="1">
      <c r="A24" s="282" t="s">
        <v>2135</v>
      </c>
      <c r="B24" s="282" t="s">
        <v>44</v>
      </c>
      <c r="C24" s="323" t="s">
        <v>2136</v>
      </c>
      <c r="D24" s="323" t="s">
        <v>2137</v>
      </c>
      <c r="E24" s="323" t="s">
        <v>2138</v>
      </c>
      <c r="F24" s="323" t="s">
        <v>2139</v>
      </c>
      <c r="G24" s="282" t="s">
        <v>2037</v>
      </c>
      <c r="H24" s="26"/>
      <c r="I24" s="26"/>
      <c r="J24" s="26"/>
      <c r="K24" s="26"/>
      <c r="L24" s="26"/>
      <c r="M24" s="26"/>
      <c r="N24" s="26"/>
      <c r="O24" s="26"/>
      <c r="P24" s="26"/>
      <c r="Q24" s="26"/>
      <c r="R24" s="26"/>
      <c r="S24" s="26"/>
      <c r="T24" s="26"/>
      <c r="U24" s="26"/>
      <c r="V24" s="26"/>
      <c r="W24" s="26"/>
      <c r="X24" s="26"/>
      <c r="Y24" s="26"/>
      <c r="Z24" s="26"/>
    </row>
    <row r="25" ht="14.25" customHeight="1">
      <c r="A25" s="282" t="s">
        <v>2140</v>
      </c>
      <c r="B25" s="282" t="s">
        <v>44</v>
      </c>
      <c r="C25" s="323" t="s">
        <v>2141</v>
      </c>
      <c r="D25" s="323" t="s">
        <v>2142</v>
      </c>
      <c r="E25" s="323" t="s">
        <v>2143</v>
      </c>
      <c r="F25" s="323" t="s">
        <v>2144</v>
      </c>
      <c r="G25" s="282" t="s">
        <v>2107</v>
      </c>
      <c r="H25" s="26"/>
      <c r="I25" s="26"/>
      <c r="J25" s="26"/>
      <c r="K25" s="26"/>
      <c r="L25" s="26"/>
      <c r="M25" s="26"/>
      <c r="N25" s="26"/>
      <c r="O25" s="26"/>
      <c r="P25" s="26"/>
      <c r="Q25" s="26"/>
      <c r="R25" s="26"/>
      <c r="S25" s="26"/>
      <c r="T25" s="26"/>
      <c r="U25" s="26"/>
      <c r="V25" s="26"/>
      <c r="W25" s="26"/>
      <c r="X25" s="26"/>
      <c r="Y25" s="26"/>
      <c r="Z25" s="26"/>
    </row>
    <row r="26" ht="14.25" customHeight="1">
      <c r="A26" s="282" t="s">
        <v>270</v>
      </c>
      <c r="B26" s="282" t="s">
        <v>44</v>
      </c>
      <c r="C26" s="323" t="s">
        <v>2148</v>
      </c>
      <c r="D26" s="323" t="s">
        <v>2150</v>
      </c>
      <c r="E26" s="323" t="s">
        <v>2151</v>
      </c>
      <c r="F26" s="323" t="s">
        <v>2152</v>
      </c>
      <c r="G26" s="282" t="s">
        <v>2107</v>
      </c>
      <c r="H26" s="26"/>
      <c r="I26" s="26"/>
      <c r="J26" s="26"/>
      <c r="K26" s="26"/>
      <c r="L26" s="26"/>
      <c r="M26" s="26"/>
      <c r="N26" s="26"/>
      <c r="O26" s="26"/>
      <c r="P26" s="26"/>
      <c r="Q26" s="26"/>
      <c r="R26" s="26"/>
      <c r="S26" s="26"/>
      <c r="T26" s="26"/>
      <c r="U26" s="26"/>
      <c r="V26" s="26"/>
      <c r="W26" s="26"/>
      <c r="X26" s="26"/>
      <c r="Y26" s="26"/>
      <c r="Z26" s="26"/>
    </row>
    <row r="27" ht="14.25" customHeight="1">
      <c r="A27" s="26"/>
      <c r="B27" s="26"/>
      <c r="C27" s="322"/>
      <c r="D27" s="322"/>
      <c r="E27" s="322"/>
      <c r="F27" s="322"/>
      <c r="G27" s="26"/>
      <c r="H27" s="26"/>
      <c r="I27" s="26"/>
      <c r="J27" s="26"/>
      <c r="K27" s="26"/>
      <c r="L27" s="26"/>
      <c r="M27" s="26"/>
      <c r="N27" s="26"/>
      <c r="O27" s="26"/>
      <c r="P27" s="26"/>
      <c r="Q27" s="26"/>
      <c r="R27" s="26"/>
      <c r="S27" s="26"/>
      <c r="T27" s="26"/>
      <c r="U27" s="26"/>
      <c r="V27" s="26"/>
      <c r="W27" s="26"/>
      <c r="X27" s="26"/>
      <c r="Y27" s="26"/>
      <c r="Z27" s="26"/>
    </row>
    <row r="28" ht="14.25" customHeight="1">
      <c r="A28" s="26"/>
      <c r="B28" s="26"/>
      <c r="C28" s="322"/>
      <c r="D28" s="322"/>
      <c r="E28" s="322"/>
      <c r="F28" s="322"/>
      <c r="G28" s="26"/>
      <c r="H28" s="26"/>
      <c r="I28" s="26"/>
      <c r="J28" s="26"/>
      <c r="K28" s="26"/>
      <c r="L28" s="26"/>
      <c r="M28" s="26"/>
      <c r="N28" s="26"/>
      <c r="O28" s="26"/>
      <c r="P28" s="26"/>
      <c r="Q28" s="26"/>
      <c r="R28" s="26"/>
      <c r="S28" s="26"/>
      <c r="T28" s="26"/>
      <c r="U28" s="26"/>
      <c r="V28" s="26"/>
      <c r="W28" s="26"/>
      <c r="X28" s="26"/>
      <c r="Y28" s="26"/>
      <c r="Z28" s="26"/>
    </row>
    <row r="29" ht="14.25" customHeight="1">
      <c r="A29" s="21" t="s">
        <v>2153</v>
      </c>
      <c r="B29" s="26"/>
      <c r="C29" s="322"/>
      <c r="D29" s="322"/>
      <c r="E29" s="322"/>
      <c r="F29" s="322"/>
      <c r="G29" s="26"/>
      <c r="H29" s="26"/>
      <c r="I29" s="26"/>
      <c r="J29" s="26"/>
      <c r="K29" s="26"/>
      <c r="L29" s="26"/>
      <c r="M29" s="26"/>
      <c r="N29" s="26"/>
      <c r="O29" s="26"/>
      <c r="P29" s="26"/>
      <c r="Q29" s="26"/>
      <c r="R29" s="26"/>
      <c r="S29" s="26"/>
      <c r="T29" s="26"/>
      <c r="U29" s="26"/>
      <c r="V29" s="26"/>
      <c r="W29" s="26"/>
      <c r="X29" s="26"/>
      <c r="Y29" s="26"/>
      <c r="Z29" s="26"/>
    </row>
    <row r="30" ht="14.25" customHeight="1">
      <c r="A30" s="309" t="s">
        <v>294</v>
      </c>
      <c r="B30" s="309" t="s">
        <v>171</v>
      </c>
      <c r="C30" s="280" t="s">
        <v>736</v>
      </c>
      <c r="D30" s="280" t="s">
        <v>962</v>
      </c>
      <c r="E30" s="280" t="s">
        <v>355</v>
      </c>
      <c r="F30" s="280" t="s">
        <v>609</v>
      </c>
      <c r="G30" s="309" t="s">
        <v>693</v>
      </c>
      <c r="H30" s="309" t="s">
        <v>2156</v>
      </c>
      <c r="I30" s="309" t="s">
        <v>343</v>
      </c>
      <c r="J30" s="26"/>
      <c r="K30" s="26"/>
      <c r="L30" s="26"/>
      <c r="M30" s="26"/>
      <c r="N30" s="26"/>
      <c r="O30" s="26"/>
      <c r="P30" s="26"/>
      <c r="Q30" s="26"/>
      <c r="R30" s="26"/>
      <c r="S30" s="26"/>
      <c r="T30" s="26"/>
      <c r="U30" s="26"/>
      <c r="V30" s="26"/>
      <c r="W30" s="26"/>
      <c r="X30" s="26"/>
      <c r="Y30" s="26"/>
      <c r="Z30" s="26"/>
    </row>
    <row r="31" ht="14.25" customHeight="1">
      <c r="A31" s="282" t="s">
        <v>2158</v>
      </c>
      <c r="B31" s="282" t="s">
        <v>739</v>
      </c>
      <c r="C31" s="323" t="str">
        <f t="array" ref="C31">IFERROR(INDEX(Companies!$B$5:$B$74,MATCH($B31,Companies!$A$5:$A$74,0)),"Unknown ID")</f>
        <v>Bea Mountain Mining Corporation (BMMC)</v>
      </c>
      <c r="D31" s="323" t="s">
        <v>970</v>
      </c>
      <c r="E31" s="323" t="s">
        <v>2162</v>
      </c>
      <c r="F31" s="323" t="s">
        <v>869</v>
      </c>
      <c r="G31" s="282" t="s">
        <v>2165</v>
      </c>
      <c r="H31" s="282"/>
      <c r="I31" s="300"/>
      <c r="J31" s="26"/>
      <c r="K31" s="26"/>
      <c r="L31" s="26"/>
      <c r="M31" s="26"/>
      <c r="N31" s="26"/>
      <c r="O31" s="26"/>
      <c r="P31" s="26"/>
      <c r="Q31" s="26"/>
      <c r="R31" s="26"/>
      <c r="S31" s="26"/>
      <c r="T31" s="26"/>
      <c r="U31" s="26"/>
      <c r="V31" s="26"/>
      <c r="W31" s="26"/>
      <c r="X31" s="26"/>
      <c r="Y31" s="26"/>
      <c r="Z31" s="26"/>
    </row>
    <row r="32" ht="14.25" customHeight="1">
      <c r="A32" s="26"/>
      <c r="B32" s="26"/>
      <c r="C32" s="322"/>
      <c r="D32" s="322"/>
      <c r="E32" s="322"/>
      <c r="F32" s="322"/>
      <c r="G32" s="26"/>
      <c r="H32" s="26"/>
      <c r="I32" s="26"/>
      <c r="J32" s="26"/>
      <c r="K32" s="26"/>
      <c r="L32" s="26"/>
      <c r="M32" s="26"/>
      <c r="N32" s="26"/>
      <c r="O32" s="26"/>
      <c r="P32" s="26"/>
      <c r="Q32" s="26"/>
      <c r="R32" s="26"/>
      <c r="S32" s="26"/>
      <c r="T32" s="26"/>
      <c r="U32" s="26"/>
      <c r="V32" s="26"/>
      <c r="W32" s="26"/>
      <c r="X32" s="26"/>
      <c r="Y32" s="26"/>
      <c r="Z32" s="26"/>
    </row>
    <row r="33" ht="14.25" customHeight="1">
      <c r="A33" s="26"/>
      <c r="B33" s="26"/>
      <c r="C33" s="322"/>
      <c r="D33" s="322"/>
      <c r="E33" s="322"/>
      <c r="F33" s="322"/>
      <c r="G33" s="26"/>
      <c r="H33" s="26"/>
      <c r="I33" s="26"/>
      <c r="J33" s="26"/>
      <c r="K33" s="26"/>
      <c r="L33" s="26"/>
      <c r="M33" s="26"/>
      <c r="N33" s="26"/>
      <c r="O33" s="26"/>
      <c r="P33" s="26"/>
      <c r="Q33" s="26"/>
      <c r="R33" s="26"/>
      <c r="S33" s="26"/>
      <c r="T33" s="26"/>
      <c r="U33" s="26"/>
      <c r="V33" s="26"/>
      <c r="W33" s="26"/>
      <c r="X33" s="26"/>
      <c r="Y33" s="26"/>
      <c r="Z33" s="26"/>
    </row>
    <row r="34" ht="14.25" customHeight="1">
      <c r="A34" s="26"/>
      <c r="B34" s="26"/>
      <c r="C34" s="322"/>
      <c r="D34" s="322"/>
      <c r="E34" s="322"/>
      <c r="F34" s="322"/>
      <c r="G34" s="26"/>
      <c r="H34" s="26"/>
      <c r="I34" s="26"/>
      <c r="J34" s="26"/>
      <c r="K34" s="26"/>
      <c r="L34" s="26"/>
      <c r="M34" s="26"/>
      <c r="N34" s="26"/>
      <c r="O34" s="26"/>
      <c r="P34" s="26"/>
      <c r="Q34" s="26"/>
      <c r="R34" s="26"/>
      <c r="S34" s="26"/>
      <c r="T34" s="26"/>
      <c r="U34" s="26"/>
      <c r="V34" s="26"/>
      <c r="W34" s="26"/>
      <c r="X34" s="26"/>
      <c r="Y34" s="26"/>
      <c r="Z34" s="26"/>
    </row>
    <row r="35" ht="14.25" customHeight="1">
      <c r="A35" s="26"/>
      <c r="B35" s="26"/>
      <c r="C35" s="322"/>
      <c r="D35" s="322"/>
      <c r="E35" s="322"/>
      <c r="F35" s="322"/>
      <c r="G35" s="26"/>
      <c r="H35" s="26"/>
      <c r="I35" s="26"/>
      <c r="J35" s="26"/>
      <c r="K35" s="26"/>
      <c r="L35" s="26"/>
      <c r="M35" s="26"/>
      <c r="N35" s="26"/>
      <c r="O35" s="26"/>
      <c r="P35" s="26"/>
      <c r="Q35" s="26"/>
      <c r="R35" s="26"/>
      <c r="S35" s="26"/>
      <c r="T35" s="26"/>
      <c r="U35" s="26"/>
      <c r="V35" s="26"/>
      <c r="W35" s="26"/>
      <c r="X35" s="26"/>
      <c r="Y35" s="26"/>
      <c r="Z35" s="26"/>
    </row>
    <row r="36" ht="14.25" customHeight="1">
      <c r="A36" s="26"/>
      <c r="B36" s="26"/>
      <c r="C36" s="322"/>
      <c r="D36" s="322"/>
      <c r="E36" s="322"/>
      <c r="F36" s="322"/>
      <c r="G36" s="26"/>
      <c r="H36" s="26"/>
      <c r="I36" s="26"/>
      <c r="J36" s="26"/>
      <c r="K36" s="26"/>
      <c r="L36" s="26"/>
      <c r="M36" s="26"/>
      <c r="N36" s="26"/>
      <c r="O36" s="26"/>
      <c r="P36" s="26"/>
      <c r="Q36" s="26"/>
      <c r="R36" s="26"/>
      <c r="S36" s="26"/>
      <c r="T36" s="26"/>
      <c r="U36" s="26"/>
      <c r="V36" s="26"/>
      <c r="W36" s="26"/>
      <c r="X36" s="26"/>
      <c r="Y36" s="26"/>
      <c r="Z36" s="26"/>
    </row>
    <row r="37" ht="14.25" customHeight="1">
      <c r="A37" s="26"/>
      <c r="B37" s="26"/>
      <c r="C37" s="322"/>
      <c r="D37" s="322"/>
      <c r="E37" s="322"/>
      <c r="F37" s="322"/>
      <c r="G37" s="26"/>
      <c r="H37" s="26"/>
      <c r="I37" s="26"/>
      <c r="J37" s="26"/>
      <c r="K37" s="26"/>
      <c r="L37" s="26"/>
      <c r="M37" s="26"/>
      <c r="N37" s="26"/>
      <c r="O37" s="26"/>
      <c r="P37" s="26"/>
      <c r="Q37" s="26"/>
      <c r="R37" s="26"/>
      <c r="S37" s="26"/>
      <c r="T37" s="26"/>
      <c r="U37" s="26"/>
      <c r="V37" s="26"/>
      <c r="W37" s="26"/>
      <c r="X37" s="26"/>
      <c r="Y37" s="26"/>
      <c r="Z37" s="26"/>
    </row>
    <row r="38" ht="14.25" customHeight="1">
      <c r="A38" s="26"/>
      <c r="B38" s="26"/>
      <c r="C38" s="322"/>
      <c r="D38" s="322"/>
      <c r="E38" s="322"/>
      <c r="F38" s="322"/>
      <c r="G38" s="26"/>
      <c r="H38" s="26"/>
      <c r="I38" s="26"/>
      <c r="J38" s="26"/>
      <c r="K38" s="26"/>
      <c r="L38" s="26"/>
      <c r="M38" s="26"/>
      <c r="N38" s="26"/>
      <c r="O38" s="26"/>
      <c r="P38" s="26"/>
      <c r="Q38" s="26"/>
      <c r="R38" s="26"/>
      <c r="S38" s="26"/>
      <c r="T38" s="26"/>
      <c r="U38" s="26"/>
      <c r="V38" s="26"/>
      <c r="W38" s="26"/>
      <c r="X38" s="26"/>
      <c r="Y38" s="26"/>
      <c r="Z38" s="26"/>
    </row>
    <row r="39" ht="14.25" customHeight="1">
      <c r="A39" s="26"/>
      <c r="B39" s="26"/>
      <c r="C39" s="322"/>
      <c r="D39" s="322"/>
      <c r="E39" s="322"/>
      <c r="F39" s="322"/>
      <c r="G39" s="26"/>
      <c r="H39" s="26"/>
      <c r="I39" s="26"/>
      <c r="J39" s="26"/>
      <c r="K39" s="26"/>
      <c r="L39" s="26"/>
      <c r="M39" s="26"/>
      <c r="N39" s="26"/>
      <c r="O39" s="26"/>
      <c r="P39" s="26"/>
      <c r="Q39" s="26"/>
      <c r="R39" s="26"/>
      <c r="S39" s="26"/>
      <c r="T39" s="26"/>
      <c r="U39" s="26"/>
      <c r="V39" s="26"/>
      <c r="W39" s="26"/>
      <c r="X39" s="26"/>
      <c r="Y39" s="26"/>
      <c r="Z39" s="26"/>
    </row>
    <row r="40" ht="14.25" customHeight="1">
      <c r="A40" s="26"/>
      <c r="B40" s="26"/>
      <c r="C40" s="322"/>
      <c r="D40" s="322"/>
      <c r="E40" s="322"/>
      <c r="F40" s="322"/>
      <c r="G40" s="26"/>
      <c r="H40" s="26"/>
      <c r="I40" s="26"/>
      <c r="J40" s="26"/>
      <c r="K40" s="26"/>
      <c r="L40" s="26"/>
      <c r="M40" s="26"/>
      <c r="N40" s="26"/>
      <c r="O40" s="26"/>
      <c r="P40" s="26"/>
      <c r="Q40" s="26"/>
      <c r="R40" s="26"/>
      <c r="S40" s="26"/>
      <c r="T40" s="26"/>
      <c r="U40" s="26"/>
      <c r="V40" s="26"/>
      <c r="W40" s="26"/>
      <c r="X40" s="26"/>
      <c r="Y40" s="26"/>
      <c r="Z40" s="26"/>
    </row>
    <row r="41" ht="14.25" customHeight="1">
      <c r="A41" s="26"/>
      <c r="B41" s="26"/>
      <c r="C41" s="322"/>
      <c r="D41" s="322"/>
      <c r="E41" s="322"/>
      <c r="F41" s="322"/>
      <c r="G41" s="26"/>
      <c r="H41" s="26"/>
      <c r="I41" s="26"/>
      <c r="J41" s="26"/>
      <c r="K41" s="26"/>
      <c r="L41" s="26"/>
      <c r="M41" s="26"/>
      <c r="N41" s="26"/>
      <c r="O41" s="26"/>
      <c r="P41" s="26"/>
      <c r="Q41" s="26"/>
      <c r="R41" s="26"/>
      <c r="S41" s="26"/>
      <c r="T41" s="26"/>
      <c r="U41" s="26"/>
      <c r="V41" s="26"/>
      <c r="W41" s="26"/>
      <c r="X41" s="26"/>
      <c r="Y41" s="26"/>
      <c r="Z41" s="26"/>
    </row>
    <row r="42" ht="14.25" customHeight="1">
      <c r="A42" s="26"/>
      <c r="B42" s="26"/>
      <c r="C42" s="322"/>
      <c r="D42" s="322"/>
      <c r="E42" s="322"/>
      <c r="F42" s="322"/>
      <c r="G42" s="26"/>
      <c r="H42" s="26"/>
      <c r="I42" s="26"/>
      <c r="J42" s="26"/>
      <c r="K42" s="26"/>
      <c r="L42" s="26"/>
      <c r="M42" s="26"/>
      <c r="N42" s="26"/>
      <c r="O42" s="26"/>
      <c r="P42" s="26"/>
      <c r="Q42" s="26"/>
      <c r="R42" s="26"/>
      <c r="S42" s="26"/>
      <c r="T42" s="26"/>
      <c r="U42" s="26"/>
      <c r="V42" s="26"/>
      <c r="W42" s="26"/>
      <c r="X42" s="26"/>
      <c r="Y42" s="26"/>
      <c r="Z42" s="26"/>
    </row>
    <row r="43" ht="14.25" customHeight="1">
      <c r="A43" s="26"/>
      <c r="B43" s="26"/>
      <c r="C43" s="322"/>
      <c r="D43" s="322"/>
      <c r="E43" s="322"/>
      <c r="F43" s="322"/>
      <c r="G43" s="26"/>
      <c r="H43" s="26"/>
      <c r="I43" s="26"/>
      <c r="J43" s="26"/>
      <c r="K43" s="26"/>
      <c r="L43" s="26"/>
      <c r="M43" s="26"/>
      <c r="N43" s="26"/>
      <c r="O43" s="26"/>
      <c r="P43" s="26"/>
      <c r="Q43" s="26"/>
      <c r="R43" s="26"/>
      <c r="S43" s="26"/>
      <c r="T43" s="26"/>
      <c r="U43" s="26"/>
      <c r="V43" s="26"/>
      <c r="W43" s="26"/>
      <c r="X43" s="26"/>
      <c r="Y43" s="26"/>
      <c r="Z43" s="26"/>
    </row>
    <row r="44" ht="14.25" customHeight="1">
      <c r="A44" s="26"/>
      <c r="B44" s="26"/>
      <c r="C44" s="322"/>
      <c r="D44" s="322"/>
      <c r="E44" s="322"/>
      <c r="F44" s="322"/>
      <c r="G44" s="26"/>
      <c r="H44" s="26"/>
      <c r="I44" s="26"/>
      <c r="J44" s="26"/>
      <c r="K44" s="26"/>
      <c r="L44" s="26"/>
      <c r="M44" s="26"/>
      <c r="N44" s="26"/>
      <c r="O44" s="26"/>
      <c r="P44" s="26"/>
      <c r="Q44" s="26"/>
      <c r="R44" s="26"/>
      <c r="S44" s="26"/>
      <c r="T44" s="26"/>
      <c r="U44" s="26"/>
      <c r="V44" s="26"/>
      <c r="W44" s="26"/>
      <c r="X44" s="26"/>
      <c r="Y44" s="26"/>
      <c r="Z44" s="26"/>
    </row>
    <row r="45" ht="14.25" customHeight="1">
      <c r="A45" s="26"/>
      <c r="B45" s="26"/>
      <c r="C45" s="322"/>
      <c r="D45" s="322"/>
      <c r="E45" s="322"/>
      <c r="F45" s="322"/>
      <c r="G45" s="26"/>
      <c r="H45" s="26"/>
      <c r="I45" s="26"/>
      <c r="J45" s="26"/>
      <c r="K45" s="26"/>
      <c r="L45" s="26"/>
      <c r="M45" s="26"/>
      <c r="N45" s="26"/>
      <c r="O45" s="26"/>
      <c r="P45" s="26"/>
      <c r="Q45" s="26"/>
      <c r="R45" s="26"/>
      <c r="S45" s="26"/>
      <c r="T45" s="26"/>
      <c r="U45" s="26"/>
      <c r="V45" s="26"/>
      <c r="W45" s="26"/>
      <c r="X45" s="26"/>
      <c r="Y45" s="26"/>
      <c r="Z45" s="26"/>
    </row>
    <row r="46" ht="14.25" customHeight="1">
      <c r="A46" s="26"/>
      <c r="B46" s="26"/>
      <c r="C46" s="322"/>
      <c r="D46" s="322"/>
      <c r="E46" s="322"/>
      <c r="F46" s="322"/>
      <c r="G46" s="26"/>
      <c r="H46" s="26"/>
      <c r="I46" s="26"/>
      <c r="J46" s="26"/>
      <c r="K46" s="26"/>
      <c r="L46" s="26"/>
      <c r="M46" s="26"/>
      <c r="N46" s="26"/>
      <c r="O46" s="26"/>
      <c r="P46" s="26"/>
      <c r="Q46" s="26"/>
      <c r="R46" s="26"/>
      <c r="S46" s="26"/>
      <c r="T46" s="26"/>
      <c r="U46" s="26"/>
      <c r="V46" s="26"/>
      <c r="W46" s="26"/>
      <c r="X46" s="26"/>
      <c r="Y46" s="26"/>
      <c r="Z46" s="26"/>
    </row>
    <row r="47" ht="14.25" customHeight="1">
      <c r="A47" s="26"/>
      <c r="B47" s="26"/>
      <c r="C47" s="322"/>
      <c r="D47" s="322"/>
      <c r="E47" s="322"/>
      <c r="F47" s="322"/>
      <c r="G47" s="26"/>
      <c r="H47" s="26"/>
      <c r="I47" s="26"/>
      <c r="J47" s="26"/>
      <c r="K47" s="26"/>
      <c r="L47" s="26"/>
      <c r="M47" s="26"/>
      <c r="N47" s="26"/>
      <c r="O47" s="26"/>
      <c r="P47" s="26"/>
      <c r="Q47" s="26"/>
      <c r="R47" s="26"/>
      <c r="S47" s="26"/>
      <c r="T47" s="26"/>
      <c r="U47" s="26"/>
      <c r="V47" s="26"/>
      <c r="W47" s="26"/>
      <c r="X47" s="26"/>
      <c r="Y47" s="26"/>
      <c r="Z47" s="26"/>
    </row>
    <row r="48" ht="14.25" customHeight="1">
      <c r="A48" s="26"/>
      <c r="B48" s="26"/>
      <c r="C48" s="322"/>
      <c r="D48" s="322"/>
      <c r="E48" s="322"/>
      <c r="F48" s="322"/>
      <c r="G48" s="26"/>
      <c r="H48" s="26"/>
      <c r="I48" s="26"/>
      <c r="J48" s="26"/>
      <c r="K48" s="26"/>
      <c r="L48" s="26"/>
      <c r="M48" s="26"/>
      <c r="N48" s="26"/>
      <c r="O48" s="26"/>
      <c r="P48" s="26"/>
      <c r="Q48" s="26"/>
      <c r="R48" s="26"/>
      <c r="S48" s="26"/>
      <c r="T48" s="26"/>
      <c r="U48" s="26"/>
      <c r="V48" s="26"/>
      <c r="W48" s="26"/>
      <c r="X48" s="26"/>
      <c r="Y48" s="26"/>
      <c r="Z48" s="26"/>
    </row>
    <row r="49" ht="14.25" customHeight="1">
      <c r="A49" s="26"/>
      <c r="B49" s="26"/>
      <c r="C49" s="322"/>
      <c r="D49" s="322"/>
      <c r="E49" s="322"/>
      <c r="F49" s="322"/>
      <c r="G49" s="26"/>
      <c r="H49" s="26"/>
      <c r="I49" s="26"/>
      <c r="J49" s="26"/>
      <c r="K49" s="26"/>
      <c r="L49" s="26"/>
      <c r="M49" s="26"/>
      <c r="N49" s="26"/>
      <c r="O49" s="26"/>
      <c r="P49" s="26"/>
      <c r="Q49" s="26"/>
      <c r="R49" s="26"/>
      <c r="S49" s="26"/>
      <c r="T49" s="26"/>
      <c r="U49" s="26"/>
      <c r="V49" s="26"/>
      <c r="W49" s="26"/>
      <c r="X49" s="26"/>
      <c r="Y49" s="26"/>
      <c r="Z49" s="26"/>
    </row>
    <row r="50" ht="14.25" customHeight="1">
      <c r="A50" s="26"/>
      <c r="B50" s="26"/>
      <c r="C50" s="322"/>
      <c r="D50" s="322"/>
      <c r="E50" s="322"/>
      <c r="F50" s="322"/>
      <c r="G50" s="26"/>
      <c r="H50" s="26"/>
      <c r="I50" s="26"/>
      <c r="J50" s="26"/>
      <c r="K50" s="26"/>
      <c r="L50" s="26"/>
      <c r="M50" s="26"/>
      <c r="N50" s="26"/>
      <c r="O50" s="26"/>
      <c r="P50" s="26"/>
      <c r="Q50" s="26"/>
      <c r="R50" s="26"/>
      <c r="S50" s="26"/>
      <c r="T50" s="26"/>
      <c r="U50" s="26"/>
      <c r="V50" s="26"/>
      <c r="W50" s="26"/>
      <c r="X50" s="26"/>
      <c r="Y50" s="26"/>
      <c r="Z50" s="26"/>
    </row>
    <row r="51" ht="14.25" customHeight="1">
      <c r="A51" s="26"/>
      <c r="B51" s="26"/>
      <c r="C51" s="322"/>
      <c r="D51" s="322"/>
      <c r="E51" s="322"/>
      <c r="F51" s="322"/>
      <c r="G51" s="26"/>
      <c r="H51" s="26"/>
      <c r="I51" s="26"/>
      <c r="J51" s="26"/>
      <c r="K51" s="26"/>
      <c r="L51" s="26"/>
      <c r="M51" s="26"/>
      <c r="N51" s="26"/>
      <c r="O51" s="26"/>
      <c r="P51" s="26"/>
      <c r="Q51" s="26"/>
      <c r="R51" s="26"/>
      <c r="S51" s="26"/>
      <c r="T51" s="26"/>
      <c r="U51" s="26"/>
      <c r="V51" s="26"/>
      <c r="W51" s="26"/>
      <c r="X51" s="26"/>
      <c r="Y51" s="26"/>
      <c r="Z51" s="26"/>
    </row>
    <row r="52" ht="14.25" customHeight="1">
      <c r="A52" s="26"/>
      <c r="B52" s="26"/>
      <c r="C52" s="322"/>
      <c r="D52" s="322"/>
      <c r="E52" s="322"/>
      <c r="F52" s="322"/>
      <c r="G52" s="26"/>
      <c r="H52" s="26"/>
      <c r="I52" s="26"/>
      <c r="J52" s="26"/>
      <c r="K52" s="26"/>
      <c r="L52" s="26"/>
      <c r="M52" s="26"/>
      <c r="N52" s="26"/>
      <c r="O52" s="26"/>
      <c r="P52" s="26"/>
      <c r="Q52" s="26"/>
      <c r="R52" s="26"/>
      <c r="S52" s="26"/>
      <c r="T52" s="26"/>
      <c r="U52" s="26"/>
      <c r="V52" s="26"/>
      <c r="W52" s="26"/>
      <c r="X52" s="26"/>
      <c r="Y52" s="26"/>
      <c r="Z52" s="26"/>
    </row>
    <row r="53" ht="14.25" customHeight="1">
      <c r="A53" s="26"/>
      <c r="B53" s="26"/>
      <c r="C53" s="322"/>
      <c r="D53" s="322"/>
      <c r="E53" s="322"/>
      <c r="F53" s="322"/>
      <c r="G53" s="26"/>
      <c r="H53" s="26"/>
      <c r="I53" s="26"/>
      <c r="J53" s="26"/>
      <c r="K53" s="26"/>
      <c r="L53" s="26"/>
      <c r="M53" s="26"/>
      <c r="N53" s="26"/>
      <c r="O53" s="26"/>
      <c r="P53" s="26"/>
      <c r="Q53" s="26"/>
      <c r="R53" s="26"/>
      <c r="S53" s="26"/>
      <c r="T53" s="26"/>
      <c r="U53" s="26"/>
      <c r="V53" s="26"/>
      <c r="W53" s="26"/>
      <c r="X53" s="26"/>
      <c r="Y53" s="26"/>
      <c r="Z53" s="26"/>
    </row>
    <row r="54" ht="14.25" customHeight="1">
      <c r="A54" s="26"/>
      <c r="B54" s="26"/>
      <c r="C54" s="322"/>
      <c r="D54" s="322"/>
      <c r="E54" s="322"/>
      <c r="F54" s="322"/>
      <c r="G54" s="26"/>
      <c r="H54" s="26"/>
      <c r="I54" s="26"/>
      <c r="J54" s="26"/>
      <c r="K54" s="26"/>
      <c r="L54" s="26"/>
      <c r="M54" s="26"/>
      <c r="N54" s="26"/>
      <c r="O54" s="26"/>
      <c r="P54" s="26"/>
      <c r="Q54" s="26"/>
      <c r="R54" s="26"/>
      <c r="S54" s="26"/>
      <c r="T54" s="26"/>
      <c r="U54" s="26"/>
      <c r="V54" s="26"/>
      <c r="W54" s="26"/>
      <c r="X54" s="26"/>
      <c r="Y54" s="26"/>
      <c r="Z54" s="26"/>
    </row>
    <row r="55" ht="14.25" customHeight="1">
      <c r="A55" s="26"/>
      <c r="B55" s="26"/>
      <c r="C55" s="322"/>
      <c r="D55" s="322"/>
      <c r="E55" s="322"/>
      <c r="F55" s="322"/>
      <c r="G55" s="26"/>
      <c r="H55" s="26"/>
      <c r="I55" s="26"/>
      <c r="J55" s="26"/>
      <c r="K55" s="26"/>
      <c r="L55" s="26"/>
      <c r="M55" s="26"/>
      <c r="N55" s="26"/>
      <c r="O55" s="26"/>
      <c r="P55" s="26"/>
      <c r="Q55" s="26"/>
      <c r="R55" s="26"/>
      <c r="S55" s="26"/>
      <c r="T55" s="26"/>
      <c r="U55" s="26"/>
      <c r="V55" s="26"/>
      <c r="W55" s="26"/>
      <c r="X55" s="26"/>
      <c r="Y55" s="26"/>
      <c r="Z55" s="26"/>
    </row>
    <row r="56" ht="14.25" customHeight="1">
      <c r="A56" s="26"/>
      <c r="B56" s="26"/>
      <c r="C56" s="322"/>
      <c r="D56" s="322"/>
      <c r="E56" s="322"/>
      <c r="F56" s="322"/>
      <c r="G56" s="26"/>
      <c r="H56" s="26"/>
      <c r="I56" s="26"/>
      <c r="J56" s="26"/>
      <c r="K56" s="26"/>
      <c r="L56" s="26"/>
      <c r="M56" s="26"/>
      <c r="N56" s="26"/>
      <c r="O56" s="26"/>
      <c r="P56" s="26"/>
      <c r="Q56" s="26"/>
      <c r="R56" s="26"/>
      <c r="S56" s="26"/>
      <c r="T56" s="26"/>
      <c r="U56" s="26"/>
      <c r="V56" s="26"/>
      <c r="W56" s="26"/>
      <c r="X56" s="26"/>
      <c r="Y56" s="26"/>
      <c r="Z56" s="26"/>
    </row>
    <row r="57" ht="14.25" customHeight="1">
      <c r="A57" s="26"/>
      <c r="B57" s="26"/>
      <c r="C57" s="322"/>
      <c r="D57" s="322"/>
      <c r="E57" s="322"/>
      <c r="F57" s="322"/>
      <c r="G57" s="26"/>
      <c r="H57" s="26"/>
      <c r="I57" s="26"/>
      <c r="J57" s="26"/>
      <c r="K57" s="26"/>
      <c r="L57" s="26"/>
      <c r="M57" s="26"/>
      <c r="N57" s="26"/>
      <c r="O57" s="26"/>
      <c r="P57" s="26"/>
      <c r="Q57" s="26"/>
      <c r="R57" s="26"/>
      <c r="S57" s="26"/>
      <c r="T57" s="26"/>
      <c r="U57" s="26"/>
      <c r="V57" s="26"/>
      <c r="W57" s="26"/>
      <c r="X57" s="26"/>
      <c r="Y57" s="26"/>
      <c r="Z57" s="26"/>
    </row>
    <row r="58" ht="14.25" customHeight="1">
      <c r="A58" s="26"/>
      <c r="B58" s="26"/>
      <c r="C58" s="322"/>
      <c r="D58" s="322"/>
      <c r="E58" s="322"/>
      <c r="F58" s="322"/>
      <c r="G58" s="26"/>
      <c r="H58" s="26"/>
      <c r="I58" s="26"/>
      <c r="J58" s="26"/>
      <c r="K58" s="26"/>
      <c r="L58" s="26"/>
      <c r="M58" s="26"/>
      <c r="N58" s="26"/>
      <c r="O58" s="26"/>
      <c r="P58" s="26"/>
      <c r="Q58" s="26"/>
      <c r="R58" s="26"/>
      <c r="S58" s="26"/>
      <c r="T58" s="26"/>
      <c r="U58" s="26"/>
      <c r="V58" s="26"/>
      <c r="W58" s="26"/>
      <c r="X58" s="26"/>
      <c r="Y58" s="26"/>
      <c r="Z58" s="26"/>
    </row>
    <row r="59" ht="14.25" customHeight="1">
      <c r="A59" s="26"/>
      <c r="B59" s="26"/>
      <c r="C59" s="322"/>
      <c r="D59" s="322"/>
      <c r="E59" s="322"/>
      <c r="F59" s="322"/>
      <c r="G59" s="26"/>
      <c r="H59" s="26"/>
      <c r="I59" s="26"/>
      <c r="J59" s="26"/>
      <c r="K59" s="26"/>
      <c r="L59" s="26"/>
      <c r="M59" s="26"/>
      <c r="N59" s="26"/>
      <c r="O59" s="26"/>
      <c r="P59" s="26"/>
      <c r="Q59" s="26"/>
      <c r="R59" s="26"/>
      <c r="S59" s="26"/>
      <c r="T59" s="26"/>
      <c r="U59" s="26"/>
      <c r="V59" s="26"/>
      <c r="W59" s="26"/>
      <c r="X59" s="26"/>
      <c r="Y59" s="26"/>
      <c r="Z59" s="26"/>
    </row>
    <row r="60" ht="14.25" customHeight="1">
      <c r="A60" s="26"/>
      <c r="B60" s="26"/>
      <c r="C60" s="322"/>
      <c r="D60" s="322"/>
      <c r="E60" s="322"/>
      <c r="F60" s="322"/>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322"/>
      <c r="D61" s="322"/>
      <c r="E61" s="322"/>
      <c r="F61" s="322"/>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322"/>
      <c r="D62" s="322"/>
      <c r="E62" s="322"/>
      <c r="F62" s="322"/>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322"/>
      <c r="D63" s="322"/>
      <c r="E63" s="322"/>
      <c r="F63" s="322"/>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322"/>
      <c r="D64" s="322"/>
      <c r="E64" s="322"/>
      <c r="F64" s="322"/>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322"/>
      <c r="D65" s="322"/>
      <c r="E65" s="322"/>
      <c r="F65" s="322"/>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322"/>
      <c r="D66" s="322"/>
      <c r="E66" s="322"/>
      <c r="F66" s="322"/>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322"/>
      <c r="D67" s="322"/>
      <c r="E67" s="322"/>
      <c r="F67" s="322"/>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322"/>
      <c r="D68" s="322"/>
      <c r="E68" s="322"/>
      <c r="F68" s="322"/>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322"/>
      <c r="D69" s="322"/>
      <c r="E69" s="322"/>
      <c r="F69" s="322"/>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322"/>
      <c r="D70" s="322"/>
      <c r="E70" s="322"/>
      <c r="F70" s="322"/>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322"/>
      <c r="D71" s="322"/>
      <c r="E71" s="322"/>
      <c r="F71" s="322"/>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322"/>
      <c r="D72" s="322"/>
      <c r="E72" s="322"/>
      <c r="F72" s="322"/>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322"/>
      <c r="D73" s="322"/>
      <c r="E73" s="322"/>
      <c r="F73" s="322"/>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322"/>
      <c r="D74" s="322"/>
      <c r="E74" s="322"/>
      <c r="F74" s="322"/>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322"/>
      <c r="D75" s="322"/>
      <c r="E75" s="322"/>
      <c r="F75" s="322"/>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322"/>
      <c r="D76" s="322"/>
      <c r="E76" s="322"/>
      <c r="F76" s="322"/>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322"/>
      <c r="D77" s="322"/>
      <c r="E77" s="322"/>
      <c r="F77" s="322"/>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322"/>
      <c r="D78" s="322"/>
      <c r="E78" s="322"/>
      <c r="F78" s="322"/>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322"/>
      <c r="D79" s="322"/>
      <c r="E79" s="322"/>
      <c r="F79" s="322"/>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322"/>
      <c r="D80" s="322"/>
      <c r="E80" s="322"/>
      <c r="F80" s="322"/>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322"/>
      <c r="D81" s="322"/>
      <c r="E81" s="322"/>
      <c r="F81" s="322"/>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322"/>
      <c r="D82" s="322"/>
      <c r="E82" s="322"/>
      <c r="F82" s="322"/>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322"/>
      <c r="D83" s="322"/>
      <c r="E83" s="322"/>
      <c r="F83" s="322"/>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322"/>
      <c r="D84" s="322"/>
      <c r="E84" s="322"/>
      <c r="F84" s="322"/>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322"/>
      <c r="D85" s="322"/>
      <c r="E85" s="322"/>
      <c r="F85" s="322"/>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322"/>
      <c r="D86" s="322"/>
      <c r="E86" s="322"/>
      <c r="F86" s="322"/>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322"/>
      <c r="D87" s="322"/>
      <c r="E87" s="322"/>
      <c r="F87" s="322"/>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322"/>
      <c r="D88" s="322"/>
      <c r="E88" s="322"/>
      <c r="F88" s="322"/>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322"/>
      <c r="D89" s="322"/>
      <c r="E89" s="322"/>
      <c r="F89" s="322"/>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322"/>
      <c r="D90" s="322"/>
      <c r="E90" s="322"/>
      <c r="F90" s="322"/>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322"/>
      <c r="D91" s="322"/>
      <c r="E91" s="322"/>
      <c r="F91" s="322"/>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322"/>
      <c r="D92" s="322"/>
      <c r="E92" s="322"/>
      <c r="F92" s="322"/>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322"/>
      <c r="D93" s="322"/>
      <c r="E93" s="322"/>
      <c r="F93" s="322"/>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322"/>
      <c r="D94" s="322"/>
      <c r="E94" s="322"/>
      <c r="F94" s="322"/>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322"/>
      <c r="D95" s="322"/>
      <c r="E95" s="322"/>
      <c r="F95" s="322"/>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322"/>
      <c r="D96" s="322"/>
      <c r="E96" s="322"/>
      <c r="F96" s="322"/>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322"/>
      <c r="D97" s="322"/>
      <c r="E97" s="322"/>
      <c r="F97" s="322"/>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322"/>
      <c r="D98" s="322"/>
      <c r="E98" s="322"/>
      <c r="F98" s="322"/>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322"/>
      <c r="D99" s="322"/>
      <c r="E99" s="322"/>
      <c r="F99" s="322"/>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322"/>
      <c r="D100" s="322"/>
      <c r="E100" s="322"/>
      <c r="F100" s="322"/>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322"/>
      <c r="D101" s="322"/>
      <c r="E101" s="322"/>
      <c r="F101" s="322"/>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322"/>
      <c r="D102" s="322"/>
      <c r="E102" s="322"/>
      <c r="F102" s="322"/>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322"/>
      <c r="D103" s="322"/>
      <c r="E103" s="322"/>
      <c r="F103" s="322"/>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322"/>
      <c r="D104" s="322"/>
      <c r="E104" s="322"/>
      <c r="F104" s="322"/>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322"/>
      <c r="D105" s="322"/>
      <c r="E105" s="322"/>
      <c r="F105" s="322"/>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322"/>
      <c r="D106" s="322"/>
      <c r="E106" s="322"/>
      <c r="F106" s="322"/>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322"/>
      <c r="D107" s="322"/>
      <c r="E107" s="322"/>
      <c r="F107" s="322"/>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322"/>
      <c r="D108" s="322"/>
      <c r="E108" s="322"/>
      <c r="F108" s="322"/>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322"/>
      <c r="D109" s="322"/>
      <c r="E109" s="322"/>
      <c r="F109" s="322"/>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322"/>
      <c r="D110" s="322"/>
      <c r="E110" s="322"/>
      <c r="F110" s="322"/>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322"/>
      <c r="D111" s="322"/>
      <c r="E111" s="322"/>
      <c r="F111" s="322"/>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322"/>
      <c r="D112" s="322"/>
      <c r="E112" s="322"/>
      <c r="F112" s="322"/>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322"/>
      <c r="D113" s="322"/>
      <c r="E113" s="322"/>
      <c r="F113" s="322"/>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322"/>
      <c r="D114" s="322"/>
      <c r="E114" s="322"/>
      <c r="F114" s="322"/>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322"/>
      <c r="D115" s="322"/>
      <c r="E115" s="322"/>
      <c r="F115" s="322"/>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322"/>
      <c r="D116" s="322"/>
      <c r="E116" s="322"/>
      <c r="F116" s="322"/>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322"/>
      <c r="D117" s="322"/>
      <c r="E117" s="322"/>
      <c r="F117" s="322"/>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322"/>
      <c r="D118" s="322"/>
      <c r="E118" s="322"/>
      <c r="F118" s="322"/>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322"/>
      <c r="D119" s="322"/>
      <c r="E119" s="322"/>
      <c r="F119" s="322"/>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322"/>
      <c r="D120" s="322"/>
      <c r="E120" s="322"/>
      <c r="F120" s="322"/>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322"/>
      <c r="D121" s="322"/>
      <c r="E121" s="322"/>
      <c r="F121" s="322"/>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322"/>
      <c r="D122" s="322"/>
      <c r="E122" s="322"/>
      <c r="F122" s="322"/>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322"/>
      <c r="D123" s="322"/>
      <c r="E123" s="322"/>
      <c r="F123" s="322"/>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322"/>
      <c r="D124" s="322"/>
      <c r="E124" s="322"/>
      <c r="F124" s="322"/>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322"/>
      <c r="D125" s="322"/>
      <c r="E125" s="322"/>
      <c r="F125" s="322"/>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322"/>
      <c r="D126" s="322"/>
      <c r="E126" s="322"/>
      <c r="F126" s="322"/>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322"/>
      <c r="D127" s="322"/>
      <c r="E127" s="322"/>
      <c r="F127" s="322"/>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322"/>
      <c r="D128" s="322"/>
      <c r="E128" s="322"/>
      <c r="F128" s="322"/>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322"/>
      <c r="D129" s="322"/>
      <c r="E129" s="322"/>
      <c r="F129" s="322"/>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322"/>
      <c r="D130" s="322"/>
      <c r="E130" s="322"/>
      <c r="F130" s="322"/>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322"/>
      <c r="D131" s="322"/>
      <c r="E131" s="322"/>
      <c r="F131" s="322"/>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322"/>
      <c r="D132" s="322"/>
      <c r="E132" s="322"/>
      <c r="F132" s="322"/>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322"/>
      <c r="D133" s="322"/>
      <c r="E133" s="322"/>
      <c r="F133" s="322"/>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322"/>
      <c r="D134" s="322"/>
      <c r="E134" s="322"/>
      <c r="F134" s="322"/>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322"/>
      <c r="D135" s="322"/>
      <c r="E135" s="322"/>
      <c r="F135" s="322"/>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322"/>
      <c r="D136" s="322"/>
      <c r="E136" s="322"/>
      <c r="F136" s="322"/>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322"/>
      <c r="D137" s="322"/>
      <c r="E137" s="322"/>
      <c r="F137" s="322"/>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322"/>
      <c r="D138" s="322"/>
      <c r="E138" s="322"/>
      <c r="F138" s="322"/>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322"/>
      <c r="D139" s="322"/>
      <c r="E139" s="322"/>
      <c r="F139" s="322"/>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322"/>
      <c r="D140" s="322"/>
      <c r="E140" s="322"/>
      <c r="F140" s="322"/>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322"/>
      <c r="D141" s="322"/>
      <c r="E141" s="322"/>
      <c r="F141" s="322"/>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322"/>
      <c r="D142" s="322"/>
      <c r="E142" s="322"/>
      <c r="F142" s="322"/>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322"/>
      <c r="D143" s="322"/>
      <c r="E143" s="322"/>
      <c r="F143" s="322"/>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322"/>
      <c r="D144" s="322"/>
      <c r="E144" s="322"/>
      <c r="F144" s="322"/>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322"/>
      <c r="D145" s="322"/>
      <c r="E145" s="322"/>
      <c r="F145" s="322"/>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322"/>
      <c r="D146" s="322"/>
      <c r="E146" s="322"/>
      <c r="F146" s="322"/>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322"/>
      <c r="D147" s="322"/>
      <c r="E147" s="322"/>
      <c r="F147" s="322"/>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322"/>
      <c r="D148" s="322"/>
      <c r="E148" s="322"/>
      <c r="F148" s="322"/>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322"/>
      <c r="D149" s="322"/>
      <c r="E149" s="322"/>
      <c r="F149" s="322"/>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322"/>
      <c r="D150" s="322"/>
      <c r="E150" s="322"/>
      <c r="F150" s="322"/>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322"/>
      <c r="D151" s="322"/>
      <c r="E151" s="322"/>
      <c r="F151" s="322"/>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322"/>
      <c r="D152" s="322"/>
      <c r="E152" s="322"/>
      <c r="F152" s="322"/>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322"/>
      <c r="D153" s="322"/>
      <c r="E153" s="322"/>
      <c r="F153" s="322"/>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322"/>
      <c r="D154" s="322"/>
      <c r="E154" s="322"/>
      <c r="F154" s="322"/>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322"/>
      <c r="D155" s="322"/>
      <c r="E155" s="322"/>
      <c r="F155" s="322"/>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322"/>
      <c r="D156" s="322"/>
      <c r="E156" s="322"/>
      <c r="F156" s="322"/>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322"/>
      <c r="D157" s="322"/>
      <c r="E157" s="322"/>
      <c r="F157" s="322"/>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322"/>
      <c r="D158" s="322"/>
      <c r="E158" s="322"/>
      <c r="F158" s="322"/>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322"/>
      <c r="D159" s="322"/>
      <c r="E159" s="322"/>
      <c r="F159" s="322"/>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322"/>
      <c r="D160" s="322"/>
      <c r="E160" s="322"/>
      <c r="F160" s="322"/>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322"/>
      <c r="D161" s="322"/>
      <c r="E161" s="322"/>
      <c r="F161" s="322"/>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322"/>
      <c r="D162" s="322"/>
      <c r="E162" s="322"/>
      <c r="F162" s="322"/>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322"/>
      <c r="D163" s="322"/>
      <c r="E163" s="322"/>
      <c r="F163" s="322"/>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322"/>
      <c r="D164" s="322"/>
      <c r="E164" s="322"/>
      <c r="F164" s="322"/>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322"/>
      <c r="D165" s="322"/>
      <c r="E165" s="322"/>
      <c r="F165" s="322"/>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322"/>
      <c r="D166" s="322"/>
      <c r="E166" s="322"/>
      <c r="F166" s="322"/>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322"/>
      <c r="D167" s="322"/>
      <c r="E167" s="322"/>
      <c r="F167" s="322"/>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322"/>
      <c r="D168" s="322"/>
      <c r="E168" s="322"/>
      <c r="F168" s="322"/>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322"/>
      <c r="D169" s="322"/>
      <c r="E169" s="322"/>
      <c r="F169" s="322"/>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322"/>
      <c r="D170" s="322"/>
      <c r="E170" s="322"/>
      <c r="F170" s="322"/>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322"/>
      <c r="D171" s="322"/>
      <c r="E171" s="322"/>
      <c r="F171" s="322"/>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322"/>
      <c r="D172" s="322"/>
      <c r="E172" s="322"/>
      <c r="F172" s="322"/>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322"/>
      <c r="D173" s="322"/>
      <c r="E173" s="322"/>
      <c r="F173" s="322"/>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322"/>
      <c r="D174" s="322"/>
      <c r="E174" s="322"/>
      <c r="F174" s="322"/>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322"/>
      <c r="D175" s="322"/>
      <c r="E175" s="322"/>
      <c r="F175" s="322"/>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322"/>
      <c r="D176" s="322"/>
      <c r="E176" s="322"/>
      <c r="F176" s="322"/>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322"/>
      <c r="D177" s="322"/>
      <c r="E177" s="322"/>
      <c r="F177" s="322"/>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322"/>
      <c r="D178" s="322"/>
      <c r="E178" s="322"/>
      <c r="F178" s="322"/>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322"/>
      <c r="D179" s="322"/>
      <c r="E179" s="322"/>
      <c r="F179" s="322"/>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322"/>
      <c r="D180" s="322"/>
      <c r="E180" s="322"/>
      <c r="F180" s="322"/>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322"/>
      <c r="D181" s="322"/>
      <c r="E181" s="322"/>
      <c r="F181" s="322"/>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322"/>
      <c r="D182" s="322"/>
      <c r="E182" s="322"/>
      <c r="F182" s="322"/>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322"/>
      <c r="D183" s="322"/>
      <c r="E183" s="322"/>
      <c r="F183" s="322"/>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322"/>
      <c r="D184" s="322"/>
      <c r="E184" s="322"/>
      <c r="F184" s="322"/>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322"/>
      <c r="D185" s="322"/>
      <c r="E185" s="322"/>
      <c r="F185" s="322"/>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322"/>
      <c r="D186" s="322"/>
      <c r="E186" s="322"/>
      <c r="F186" s="322"/>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322"/>
      <c r="D187" s="322"/>
      <c r="E187" s="322"/>
      <c r="F187" s="322"/>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322"/>
      <c r="D188" s="322"/>
      <c r="E188" s="322"/>
      <c r="F188" s="322"/>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322"/>
      <c r="D189" s="322"/>
      <c r="E189" s="322"/>
      <c r="F189" s="322"/>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322"/>
      <c r="D190" s="322"/>
      <c r="E190" s="322"/>
      <c r="F190" s="322"/>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322"/>
      <c r="D191" s="322"/>
      <c r="E191" s="322"/>
      <c r="F191" s="322"/>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322"/>
      <c r="D192" s="322"/>
      <c r="E192" s="322"/>
      <c r="F192" s="322"/>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322"/>
      <c r="D193" s="322"/>
      <c r="E193" s="322"/>
      <c r="F193" s="322"/>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322"/>
      <c r="D194" s="322"/>
      <c r="E194" s="322"/>
      <c r="F194" s="322"/>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322"/>
      <c r="D195" s="322"/>
      <c r="E195" s="322"/>
      <c r="F195" s="322"/>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322"/>
      <c r="D196" s="322"/>
      <c r="E196" s="322"/>
      <c r="F196" s="322"/>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322"/>
      <c r="D197" s="322"/>
      <c r="E197" s="322"/>
      <c r="F197" s="322"/>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322"/>
      <c r="D198" s="322"/>
      <c r="E198" s="322"/>
      <c r="F198" s="322"/>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322"/>
      <c r="D199" s="322"/>
      <c r="E199" s="322"/>
      <c r="F199" s="322"/>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322"/>
      <c r="D200" s="322"/>
      <c r="E200" s="322"/>
      <c r="F200" s="322"/>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322"/>
      <c r="D201" s="322"/>
      <c r="E201" s="322"/>
      <c r="F201" s="322"/>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322"/>
      <c r="D202" s="322"/>
      <c r="E202" s="322"/>
      <c r="F202" s="322"/>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322"/>
      <c r="D203" s="322"/>
      <c r="E203" s="322"/>
      <c r="F203" s="322"/>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322"/>
      <c r="D204" s="322"/>
      <c r="E204" s="322"/>
      <c r="F204" s="322"/>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322"/>
      <c r="D205" s="322"/>
      <c r="E205" s="322"/>
      <c r="F205" s="322"/>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322"/>
      <c r="D206" s="322"/>
      <c r="E206" s="322"/>
      <c r="F206" s="322"/>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322"/>
      <c r="D207" s="322"/>
      <c r="E207" s="322"/>
      <c r="F207" s="322"/>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322"/>
      <c r="D208" s="322"/>
      <c r="E208" s="322"/>
      <c r="F208" s="322"/>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322"/>
      <c r="D209" s="322"/>
      <c r="E209" s="322"/>
      <c r="F209" s="322"/>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322"/>
      <c r="D210" s="322"/>
      <c r="E210" s="322"/>
      <c r="F210" s="322"/>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322"/>
      <c r="D211" s="322"/>
      <c r="E211" s="322"/>
      <c r="F211" s="322"/>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322"/>
      <c r="D212" s="322"/>
      <c r="E212" s="322"/>
      <c r="F212" s="322"/>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322"/>
      <c r="D213" s="322"/>
      <c r="E213" s="322"/>
      <c r="F213" s="322"/>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322"/>
      <c r="D214" s="322"/>
      <c r="E214" s="322"/>
      <c r="F214" s="322"/>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322"/>
      <c r="D215" s="322"/>
      <c r="E215" s="322"/>
      <c r="F215" s="322"/>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322"/>
      <c r="D216" s="322"/>
      <c r="E216" s="322"/>
      <c r="F216" s="322"/>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322"/>
      <c r="D217" s="322"/>
      <c r="E217" s="322"/>
      <c r="F217" s="322"/>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322"/>
      <c r="D218" s="322"/>
      <c r="E218" s="322"/>
      <c r="F218" s="322"/>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322"/>
      <c r="D219" s="322"/>
      <c r="E219" s="322"/>
      <c r="F219" s="322"/>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322"/>
      <c r="D220" s="322"/>
      <c r="E220" s="322"/>
      <c r="F220" s="322"/>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322"/>
      <c r="D221" s="322"/>
      <c r="E221" s="322"/>
      <c r="F221" s="322"/>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322"/>
      <c r="D222" s="322"/>
      <c r="E222" s="322"/>
      <c r="F222" s="322"/>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322"/>
      <c r="D223" s="322"/>
      <c r="E223" s="322"/>
      <c r="F223" s="322"/>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322"/>
      <c r="D224" s="322"/>
      <c r="E224" s="322"/>
      <c r="F224" s="322"/>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322"/>
      <c r="D225" s="322"/>
      <c r="E225" s="322"/>
      <c r="F225" s="322"/>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322"/>
      <c r="D226" s="322"/>
      <c r="E226" s="322"/>
      <c r="F226" s="322"/>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322"/>
      <c r="D227" s="322"/>
      <c r="E227" s="322"/>
      <c r="F227" s="322"/>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322"/>
      <c r="D228" s="322"/>
      <c r="E228" s="322"/>
      <c r="F228" s="322"/>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322"/>
      <c r="D229" s="322"/>
      <c r="E229" s="322"/>
      <c r="F229" s="322"/>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322"/>
      <c r="D230" s="322"/>
      <c r="E230" s="322"/>
      <c r="F230" s="322"/>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322"/>
      <c r="D231" s="322"/>
      <c r="E231" s="322"/>
      <c r="F231" s="322"/>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322"/>
      <c r="D232" s="322"/>
      <c r="E232" s="322"/>
      <c r="F232" s="322"/>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322"/>
      <c r="D233" s="322"/>
      <c r="E233" s="322"/>
      <c r="F233" s="322"/>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322"/>
      <c r="D234" s="322"/>
      <c r="E234" s="322"/>
      <c r="F234" s="322"/>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322"/>
      <c r="D235" s="322"/>
      <c r="E235" s="322"/>
      <c r="F235" s="322"/>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322"/>
      <c r="D236" s="322"/>
      <c r="E236" s="322"/>
      <c r="F236" s="322"/>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322"/>
      <c r="D237" s="322"/>
      <c r="E237" s="322"/>
      <c r="F237" s="322"/>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322"/>
      <c r="D238" s="322"/>
      <c r="E238" s="322"/>
      <c r="F238" s="322"/>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322"/>
      <c r="D239" s="322"/>
      <c r="E239" s="322"/>
      <c r="F239" s="322"/>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322"/>
      <c r="D240" s="322"/>
      <c r="E240" s="322"/>
      <c r="F240" s="322"/>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322"/>
      <c r="D241" s="322"/>
      <c r="E241" s="322"/>
      <c r="F241" s="322"/>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322"/>
      <c r="D242" s="322"/>
      <c r="E242" s="322"/>
      <c r="F242" s="322"/>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322"/>
      <c r="D243" s="322"/>
      <c r="E243" s="322"/>
      <c r="F243" s="322"/>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322"/>
      <c r="D244" s="322"/>
      <c r="E244" s="322"/>
      <c r="F244" s="322"/>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322"/>
      <c r="D245" s="322"/>
      <c r="E245" s="322"/>
      <c r="F245" s="322"/>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322"/>
      <c r="D246" s="322"/>
      <c r="E246" s="322"/>
      <c r="F246" s="322"/>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322"/>
      <c r="D247" s="322"/>
      <c r="E247" s="322"/>
      <c r="F247" s="322"/>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322"/>
      <c r="D248" s="322"/>
      <c r="E248" s="322"/>
      <c r="F248" s="322"/>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322"/>
      <c r="D249" s="322"/>
      <c r="E249" s="322"/>
      <c r="F249" s="322"/>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322"/>
      <c r="D250" s="322"/>
      <c r="E250" s="322"/>
      <c r="F250" s="322"/>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322"/>
      <c r="D251" s="322"/>
      <c r="E251" s="322"/>
      <c r="F251" s="322"/>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322"/>
      <c r="D252" s="322"/>
      <c r="E252" s="322"/>
      <c r="F252" s="322"/>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322"/>
      <c r="D253" s="322"/>
      <c r="E253" s="322"/>
      <c r="F253" s="322"/>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322"/>
      <c r="D254" s="322"/>
      <c r="E254" s="322"/>
      <c r="F254" s="322"/>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322"/>
      <c r="D255" s="322"/>
      <c r="E255" s="322"/>
      <c r="F255" s="322"/>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322"/>
      <c r="D256" s="322"/>
      <c r="E256" s="322"/>
      <c r="F256" s="322"/>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322"/>
      <c r="D257" s="322"/>
      <c r="E257" s="322"/>
      <c r="F257" s="322"/>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322"/>
      <c r="D258" s="322"/>
      <c r="E258" s="322"/>
      <c r="F258" s="322"/>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322"/>
      <c r="D259" s="322"/>
      <c r="E259" s="322"/>
      <c r="F259" s="322"/>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322"/>
      <c r="D260" s="322"/>
      <c r="E260" s="322"/>
      <c r="F260" s="322"/>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322"/>
      <c r="D261" s="322"/>
      <c r="E261" s="322"/>
      <c r="F261" s="322"/>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322"/>
      <c r="D262" s="322"/>
      <c r="E262" s="322"/>
      <c r="F262" s="322"/>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322"/>
      <c r="D263" s="322"/>
      <c r="E263" s="322"/>
      <c r="F263" s="322"/>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322"/>
      <c r="D264" s="322"/>
      <c r="E264" s="322"/>
      <c r="F264" s="322"/>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322"/>
      <c r="D265" s="322"/>
      <c r="E265" s="322"/>
      <c r="F265" s="322"/>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322"/>
      <c r="D266" s="322"/>
      <c r="E266" s="322"/>
      <c r="F266" s="322"/>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322"/>
      <c r="D267" s="322"/>
      <c r="E267" s="322"/>
      <c r="F267" s="322"/>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322"/>
      <c r="D268" s="322"/>
      <c r="E268" s="322"/>
      <c r="F268" s="322"/>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322"/>
      <c r="D269" s="322"/>
      <c r="E269" s="322"/>
      <c r="F269" s="322"/>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322"/>
      <c r="D270" s="322"/>
      <c r="E270" s="322"/>
      <c r="F270" s="322"/>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322"/>
      <c r="D271" s="322"/>
      <c r="E271" s="322"/>
      <c r="F271" s="322"/>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322"/>
      <c r="D272" s="322"/>
      <c r="E272" s="322"/>
      <c r="F272" s="322"/>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322"/>
      <c r="D273" s="322"/>
      <c r="E273" s="322"/>
      <c r="F273" s="322"/>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322"/>
      <c r="D274" s="322"/>
      <c r="E274" s="322"/>
      <c r="F274" s="322"/>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322"/>
      <c r="D275" s="322"/>
      <c r="E275" s="322"/>
      <c r="F275" s="322"/>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322"/>
      <c r="D276" s="322"/>
      <c r="E276" s="322"/>
      <c r="F276" s="322"/>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322"/>
      <c r="D277" s="322"/>
      <c r="E277" s="322"/>
      <c r="F277" s="322"/>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322"/>
      <c r="D278" s="322"/>
      <c r="E278" s="322"/>
      <c r="F278" s="322"/>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322"/>
      <c r="D279" s="322"/>
      <c r="E279" s="322"/>
      <c r="F279" s="322"/>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322"/>
      <c r="D280" s="322"/>
      <c r="E280" s="322"/>
      <c r="F280" s="322"/>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322"/>
      <c r="D281" s="322"/>
      <c r="E281" s="322"/>
      <c r="F281" s="322"/>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322"/>
      <c r="D282" s="322"/>
      <c r="E282" s="322"/>
      <c r="F282" s="322"/>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322"/>
      <c r="D283" s="322"/>
      <c r="E283" s="322"/>
      <c r="F283" s="322"/>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322"/>
      <c r="D284" s="322"/>
      <c r="E284" s="322"/>
      <c r="F284" s="322"/>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322"/>
      <c r="D285" s="322"/>
      <c r="E285" s="322"/>
      <c r="F285" s="322"/>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322"/>
      <c r="D286" s="322"/>
      <c r="E286" s="322"/>
      <c r="F286" s="322"/>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322"/>
      <c r="D287" s="322"/>
      <c r="E287" s="322"/>
      <c r="F287" s="322"/>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322"/>
      <c r="D288" s="322"/>
      <c r="E288" s="322"/>
      <c r="F288" s="322"/>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322"/>
      <c r="D289" s="322"/>
      <c r="E289" s="322"/>
      <c r="F289" s="322"/>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322"/>
      <c r="D290" s="322"/>
      <c r="E290" s="322"/>
      <c r="F290" s="322"/>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322"/>
      <c r="D291" s="322"/>
      <c r="E291" s="322"/>
      <c r="F291" s="322"/>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322"/>
      <c r="D292" s="322"/>
      <c r="E292" s="322"/>
      <c r="F292" s="322"/>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322"/>
      <c r="D293" s="322"/>
      <c r="E293" s="322"/>
      <c r="F293" s="322"/>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322"/>
      <c r="D294" s="322"/>
      <c r="E294" s="322"/>
      <c r="F294" s="322"/>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322"/>
      <c r="D295" s="322"/>
      <c r="E295" s="322"/>
      <c r="F295" s="322"/>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322"/>
      <c r="D296" s="322"/>
      <c r="E296" s="322"/>
      <c r="F296" s="322"/>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322"/>
      <c r="D297" s="322"/>
      <c r="E297" s="322"/>
      <c r="F297" s="322"/>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322"/>
      <c r="D298" s="322"/>
      <c r="E298" s="322"/>
      <c r="F298" s="322"/>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322"/>
      <c r="D299" s="322"/>
      <c r="E299" s="322"/>
      <c r="F299" s="322"/>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322"/>
      <c r="D300" s="322"/>
      <c r="E300" s="322"/>
      <c r="F300" s="322"/>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322"/>
      <c r="D301" s="322"/>
      <c r="E301" s="322"/>
      <c r="F301" s="322"/>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322"/>
      <c r="D302" s="322"/>
      <c r="E302" s="322"/>
      <c r="F302" s="322"/>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322"/>
      <c r="D303" s="322"/>
      <c r="E303" s="322"/>
      <c r="F303" s="322"/>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322"/>
      <c r="D304" s="322"/>
      <c r="E304" s="322"/>
      <c r="F304" s="322"/>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322"/>
      <c r="D305" s="322"/>
      <c r="E305" s="322"/>
      <c r="F305" s="322"/>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322"/>
      <c r="D306" s="322"/>
      <c r="E306" s="322"/>
      <c r="F306" s="322"/>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322"/>
      <c r="D307" s="322"/>
      <c r="E307" s="322"/>
      <c r="F307" s="322"/>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322"/>
      <c r="D308" s="322"/>
      <c r="E308" s="322"/>
      <c r="F308" s="322"/>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322"/>
      <c r="D309" s="322"/>
      <c r="E309" s="322"/>
      <c r="F309" s="322"/>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322"/>
      <c r="D310" s="322"/>
      <c r="E310" s="322"/>
      <c r="F310" s="322"/>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322"/>
      <c r="D311" s="322"/>
      <c r="E311" s="322"/>
      <c r="F311" s="322"/>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322"/>
      <c r="D312" s="322"/>
      <c r="E312" s="322"/>
      <c r="F312" s="322"/>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322"/>
      <c r="D313" s="322"/>
      <c r="E313" s="322"/>
      <c r="F313" s="322"/>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322"/>
      <c r="D314" s="322"/>
      <c r="E314" s="322"/>
      <c r="F314" s="322"/>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322"/>
      <c r="D315" s="322"/>
      <c r="E315" s="322"/>
      <c r="F315" s="322"/>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322"/>
      <c r="D316" s="322"/>
      <c r="E316" s="322"/>
      <c r="F316" s="322"/>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322"/>
      <c r="D317" s="322"/>
      <c r="E317" s="322"/>
      <c r="F317" s="322"/>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322"/>
      <c r="D318" s="322"/>
      <c r="E318" s="322"/>
      <c r="F318" s="322"/>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322"/>
      <c r="D319" s="322"/>
      <c r="E319" s="322"/>
      <c r="F319" s="322"/>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322"/>
      <c r="D320" s="322"/>
      <c r="E320" s="322"/>
      <c r="F320" s="322"/>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322"/>
      <c r="D321" s="322"/>
      <c r="E321" s="322"/>
      <c r="F321" s="322"/>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322"/>
      <c r="D322" s="322"/>
      <c r="E322" s="322"/>
      <c r="F322" s="322"/>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322"/>
      <c r="D323" s="322"/>
      <c r="E323" s="322"/>
      <c r="F323" s="322"/>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322"/>
      <c r="D324" s="322"/>
      <c r="E324" s="322"/>
      <c r="F324" s="322"/>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322"/>
      <c r="D325" s="322"/>
      <c r="E325" s="322"/>
      <c r="F325" s="322"/>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322"/>
      <c r="D326" s="322"/>
      <c r="E326" s="322"/>
      <c r="F326" s="322"/>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322"/>
      <c r="D327" s="322"/>
      <c r="E327" s="322"/>
      <c r="F327" s="322"/>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322"/>
      <c r="D328" s="322"/>
      <c r="E328" s="322"/>
      <c r="F328" s="322"/>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322"/>
      <c r="D329" s="322"/>
      <c r="E329" s="322"/>
      <c r="F329" s="322"/>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322"/>
      <c r="D330" s="322"/>
      <c r="E330" s="322"/>
      <c r="F330" s="322"/>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322"/>
      <c r="D331" s="322"/>
      <c r="E331" s="322"/>
      <c r="F331" s="322"/>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322"/>
      <c r="D332" s="322"/>
      <c r="E332" s="322"/>
      <c r="F332" s="322"/>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322"/>
      <c r="D333" s="322"/>
      <c r="E333" s="322"/>
      <c r="F333" s="322"/>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322"/>
      <c r="D334" s="322"/>
      <c r="E334" s="322"/>
      <c r="F334" s="322"/>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322"/>
      <c r="D335" s="322"/>
      <c r="E335" s="322"/>
      <c r="F335" s="322"/>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322"/>
      <c r="D336" s="322"/>
      <c r="E336" s="322"/>
      <c r="F336" s="322"/>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322"/>
      <c r="D337" s="322"/>
      <c r="E337" s="322"/>
      <c r="F337" s="322"/>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322"/>
      <c r="D338" s="322"/>
      <c r="E338" s="322"/>
      <c r="F338" s="322"/>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322"/>
      <c r="D339" s="322"/>
      <c r="E339" s="322"/>
      <c r="F339" s="322"/>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322"/>
      <c r="D340" s="322"/>
      <c r="E340" s="322"/>
      <c r="F340" s="322"/>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322"/>
      <c r="D341" s="322"/>
      <c r="E341" s="322"/>
      <c r="F341" s="322"/>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322"/>
      <c r="D342" s="322"/>
      <c r="E342" s="322"/>
      <c r="F342" s="322"/>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322"/>
      <c r="D343" s="322"/>
      <c r="E343" s="322"/>
      <c r="F343" s="322"/>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322"/>
      <c r="D344" s="322"/>
      <c r="E344" s="322"/>
      <c r="F344" s="322"/>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322"/>
      <c r="D345" s="322"/>
      <c r="E345" s="322"/>
      <c r="F345" s="322"/>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322"/>
      <c r="D346" s="322"/>
      <c r="E346" s="322"/>
      <c r="F346" s="322"/>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322"/>
      <c r="D347" s="322"/>
      <c r="E347" s="322"/>
      <c r="F347" s="322"/>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322"/>
      <c r="D348" s="322"/>
      <c r="E348" s="322"/>
      <c r="F348" s="322"/>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322"/>
      <c r="D349" s="322"/>
      <c r="E349" s="322"/>
      <c r="F349" s="322"/>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322"/>
      <c r="D350" s="322"/>
      <c r="E350" s="322"/>
      <c r="F350" s="322"/>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322"/>
      <c r="D351" s="322"/>
      <c r="E351" s="322"/>
      <c r="F351" s="322"/>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322"/>
      <c r="D352" s="322"/>
      <c r="E352" s="322"/>
      <c r="F352" s="322"/>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322"/>
      <c r="D353" s="322"/>
      <c r="E353" s="322"/>
      <c r="F353" s="322"/>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322"/>
      <c r="D354" s="322"/>
      <c r="E354" s="322"/>
      <c r="F354" s="322"/>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322"/>
      <c r="D355" s="322"/>
      <c r="E355" s="322"/>
      <c r="F355" s="322"/>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322"/>
      <c r="D356" s="322"/>
      <c r="E356" s="322"/>
      <c r="F356" s="322"/>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322"/>
      <c r="D357" s="322"/>
      <c r="E357" s="322"/>
      <c r="F357" s="322"/>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322"/>
      <c r="D358" s="322"/>
      <c r="E358" s="322"/>
      <c r="F358" s="322"/>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322"/>
      <c r="D359" s="322"/>
      <c r="E359" s="322"/>
      <c r="F359" s="322"/>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322"/>
      <c r="D360" s="322"/>
      <c r="E360" s="322"/>
      <c r="F360" s="322"/>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322"/>
      <c r="D361" s="322"/>
      <c r="E361" s="322"/>
      <c r="F361" s="322"/>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322"/>
      <c r="D362" s="322"/>
      <c r="E362" s="322"/>
      <c r="F362" s="322"/>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322"/>
      <c r="D363" s="322"/>
      <c r="E363" s="322"/>
      <c r="F363" s="322"/>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322"/>
      <c r="D364" s="322"/>
      <c r="E364" s="322"/>
      <c r="F364" s="322"/>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322"/>
      <c r="D365" s="322"/>
      <c r="E365" s="322"/>
      <c r="F365" s="322"/>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322"/>
      <c r="D366" s="322"/>
      <c r="E366" s="322"/>
      <c r="F366" s="322"/>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322"/>
      <c r="D367" s="322"/>
      <c r="E367" s="322"/>
      <c r="F367" s="322"/>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322"/>
      <c r="D368" s="322"/>
      <c r="E368" s="322"/>
      <c r="F368" s="322"/>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322"/>
      <c r="D369" s="322"/>
      <c r="E369" s="322"/>
      <c r="F369" s="322"/>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322"/>
      <c r="D370" s="322"/>
      <c r="E370" s="322"/>
      <c r="F370" s="322"/>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322"/>
      <c r="D371" s="322"/>
      <c r="E371" s="322"/>
      <c r="F371" s="322"/>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322"/>
      <c r="D372" s="322"/>
      <c r="E372" s="322"/>
      <c r="F372" s="322"/>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322"/>
      <c r="D373" s="322"/>
      <c r="E373" s="322"/>
      <c r="F373" s="322"/>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322"/>
      <c r="D374" s="322"/>
      <c r="E374" s="322"/>
      <c r="F374" s="322"/>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322"/>
      <c r="D375" s="322"/>
      <c r="E375" s="322"/>
      <c r="F375" s="322"/>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322"/>
      <c r="D376" s="322"/>
      <c r="E376" s="322"/>
      <c r="F376" s="322"/>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322"/>
      <c r="D377" s="322"/>
      <c r="E377" s="322"/>
      <c r="F377" s="322"/>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322"/>
      <c r="D378" s="322"/>
      <c r="E378" s="322"/>
      <c r="F378" s="322"/>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322"/>
      <c r="D379" s="322"/>
      <c r="E379" s="322"/>
      <c r="F379" s="322"/>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322"/>
      <c r="D380" s="322"/>
      <c r="E380" s="322"/>
      <c r="F380" s="322"/>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322"/>
      <c r="D381" s="322"/>
      <c r="E381" s="322"/>
      <c r="F381" s="322"/>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322"/>
      <c r="D382" s="322"/>
      <c r="E382" s="322"/>
      <c r="F382" s="322"/>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322"/>
      <c r="D383" s="322"/>
      <c r="E383" s="322"/>
      <c r="F383" s="322"/>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322"/>
      <c r="D384" s="322"/>
      <c r="E384" s="322"/>
      <c r="F384" s="322"/>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322"/>
      <c r="D385" s="322"/>
      <c r="E385" s="322"/>
      <c r="F385" s="322"/>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322"/>
      <c r="D386" s="322"/>
      <c r="E386" s="322"/>
      <c r="F386" s="322"/>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322"/>
      <c r="D387" s="322"/>
      <c r="E387" s="322"/>
      <c r="F387" s="322"/>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322"/>
      <c r="D388" s="322"/>
      <c r="E388" s="322"/>
      <c r="F388" s="322"/>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322"/>
      <c r="D389" s="322"/>
      <c r="E389" s="322"/>
      <c r="F389" s="322"/>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322"/>
      <c r="D390" s="322"/>
      <c r="E390" s="322"/>
      <c r="F390" s="322"/>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322"/>
      <c r="D391" s="322"/>
      <c r="E391" s="322"/>
      <c r="F391" s="322"/>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322"/>
      <c r="D392" s="322"/>
      <c r="E392" s="322"/>
      <c r="F392" s="322"/>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322"/>
      <c r="D393" s="322"/>
      <c r="E393" s="322"/>
      <c r="F393" s="322"/>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322"/>
      <c r="D394" s="322"/>
      <c r="E394" s="322"/>
      <c r="F394" s="322"/>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322"/>
      <c r="D395" s="322"/>
      <c r="E395" s="322"/>
      <c r="F395" s="322"/>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322"/>
      <c r="D396" s="322"/>
      <c r="E396" s="322"/>
      <c r="F396" s="322"/>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322"/>
      <c r="D397" s="322"/>
      <c r="E397" s="322"/>
      <c r="F397" s="322"/>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322"/>
      <c r="D398" s="322"/>
      <c r="E398" s="322"/>
      <c r="F398" s="322"/>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322"/>
      <c r="D399" s="322"/>
      <c r="E399" s="322"/>
      <c r="F399" s="322"/>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322"/>
      <c r="D400" s="322"/>
      <c r="E400" s="322"/>
      <c r="F400" s="322"/>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322"/>
      <c r="D401" s="322"/>
      <c r="E401" s="322"/>
      <c r="F401" s="322"/>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322"/>
      <c r="D402" s="322"/>
      <c r="E402" s="322"/>
      <c r="F402" s="322"/>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322"/>
      <c r="D403" s="322"/>
      <c r="E403" s="322"/>
      <c r="F403" s="322"/>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322"/>
      <c r="D404" s="322"/>
      <c r="E404" s="322"/>
      <c r="F404" s="322"/>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322"/>
      <c r="D405" s="322"/>
      <c r="E405" s="322"/>
      <c r="F405" s="322"/>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322"/>
      <c r="D406" s="322"/>
      <c r="E406" s="322"/>
      <c r="F406" s="322"/>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322"/>
      <c r="D407" s="322"/>
      <c r="E407" s="322"/>
      <c r="F407" s="322"/>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322"/>
      <c r="D408" s="322"/>
      <c r="E408" s="322"/>
      <c r="F408" s="322"/>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322"/>
      <c r="D409" s="322"/>
      <c r="E409" s="322"/>
      <c r="F409" s="322"/>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322"/>
      <c r="D410" s="322"/>
      <c r="E410" s="322"/>
      <c r="F410" s="322"/>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322"/>
      <c r="D411" s="322"/>
      <c r="E411" s="322"/>
      <c r="F411" s="322"/>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322"/>
      <c r="D412" s="322"/>
      <c r="E412" s="322"/>
      <c r="F412" s="322"/>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322"/>
      <c r="D413" s="322"/>
      <c r="E413" s="322"/>
      <c r="F413" s="322"/>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322"/>
      <c r="D414" s="322"/>
      <c r="E414" s="322"/>
      <c r="F414" s="322"/>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322"/>
      <c r="D415" s="322"/>
      <c r="E415" s="322"/>
      <c r="F415" s="322"/>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322"/>
      <c r="D416" s="322"/>
      <c r="E416" s="322"/>
      <c r="F416" s="322"/>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322"/>
      <c r="D417" s="322"/>
      <c r="E417" s="322"/>
      <c r="F417" s="322"/>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322"/>
      <c r="D418" s="322"/>
      <c r="E418" s="322"/>
      <c r="F418" s="322"/>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322"/>
      <c r="D419" s="322"/>
      <c r="E419" s="322"/>
      <c r="F419" s="322"/>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322"/>
      <c r="D420" s="322"/>
      <c r="E420" s="322"/>
      <c r="F420" s="322"/>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322"/>
      <c r="D421" s="322"/>
      <c r="E421" s="322"/>
      <c r="F421" s="322"/>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322"/>
      <c r="D422" s="322"/>
      <c r="E422" s="322"/>
      <c r="F422" s="322"/>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322"/>
      <c r="D423" s="322"/>
      <c r="E423" s="322"/>
      <c r="F423" s="322"/>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322"/>
      <c r="D424" s="322"/>
      <c r="E424" s="322"/>
      <c r="F424" s="322"/>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322"/>
      <c r="D425" s="322"/>
      <c r="E425" s="322"/>
      <c r="F425" s="322"/>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322"/>
      <c r="D426" s="322"/>
      <c r="E426" s="322"/>
      <c r="F426" s="322"/>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322"/>
      <c r="D427" s="322"/>
      <c r="E427" s="322"/>
      <c r="F427" s="322"/>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322"/>
      <c r="D428" s="322"/>
      <c r="E428" s="322"/>
      <c r="F428" s="322"/>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322"/>
      <c r="D429" s="322"/>
      <c r="E429" s="322"/>
      <c r="F429" s="322"/>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322"/>
      <c r="D430" s="322"/>
      <c r="E430" s="322"/>
      <c r="F430" s="322"/>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322"/>
      <c r="D431" s="322"/>
      <c r="E431" s="322"/>
      <c r="F431" s="322"/>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322"/>
      <c r="D432" s="322"/>
      <c r="E432" s="322"/>
      <c r="F432" s="322"/>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322"/>
      <c r="D433" s="322"/>
      <c r="E433" s="322"/>
      <c r="F433" s="322"/>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322"/>
      <c r="D434" s="322"/>
      <c r="E434" s="322"/>
      <c r="F434" s="322"/>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322"/>
      <c r="D435" s="322"/>
      <c r="E435" s="322"/>
      <c r="F435" s="322"/>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322"/>
      <c r="D436" s="322"/>
      <c r="E436" s="322"/>
      <c r="F436" s="322"/>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322"/>
      <c r="D437" s="322"/>
      <c r="E437" s="322"/>
      <c r="F437" s="322"/>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322"/>
      <c r="D438" s="322"/>
      <c r="E438" s="322"/>
      <c r="F438" s="322"/>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322"/>
      <c r="D439" s="322"/>
      <c r="E439" s="322"/>
      <c r="F439" s="322"/>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322"/>
      <c r="D440" s="322"/>
      <c r="E440" s="322"/>
      <c r="F440" s="322"/>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322"/>
      <c r="D441" s="322"/>
      <c r="E441" s="322"/>
      <c r="F441" s="322"/>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322"/>
      <c r="D442" s="322"/>
      <c r="E442" s="322"/>
      <c r="F442" s="322"/>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322"/>
      <c r="D443" s="322"/>
      <c r="E443" s="322"/>
      <c r="F443" s="322"/>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322"/>
      <c r="D444" s="322"/>
      <c r="E444" s="322"/>
      <c r="F444" s="322"/>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322"/>
      <c r="D445" s="322"/>
      <c r="E445" s="322"/>
      <c r="F445" s="322"/>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322"/>
      <c r="D446" s="322"/>
      <c r="E446" s="322"/>
      <c r="F446" s="322"/>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322"/>
      <c r="D447" s="322"/>
      <c r="E447" s="322"/>
      <c r="F447" s="322"/>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322"/>
      <c r="D448" s="322"/>
      <c r="E448" s="322"/>
      <c r="F448" s="322"/>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322"/>
      <c r="D449" s="322"/>
      <c r="E449" s="322"/>
      <c r="F449" s="322"/>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322"/>
      <c r="D450" s="322"/>
      <c r="E450" s="322"/>
      <c r="F450" s="322"/>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322"/>
      <c r="D451" s="322"/>
      <c r="E451" s="322"/>
      <c r="F451" s="322"/>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322"/>
      <c r="D452" s="322"/>
      <c r="E452" s="322"/>
      <c r="F452" s="322"/>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322"/>
      <c r="D453" s="322"/>
      <c r="E453" s="322"/>
      <c r="F453" s="322"/>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322"/>
      <c r="D454" s="322"/>
      <c r="E454" s="322"/>
      <c r="F454" s="322"/>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322"/>
      <c r="D455" s="322"/>
      <c r="E455" s="322"/>
      <c r="F455" s="322"/>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322"/>
      <c r="D456" s="322"/>
      <c r="E456" s="322"/>
      <c r="F456" s="322"/>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322"/>
      <c r="D457" s="322"/>
      <c r="E457" s="322"/>
      <c r="F457" s="322"/>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322"/>
      <c r="D458" s="322"/>
      <c r="E458" s="322"/>
      <c r="F458" s="322"/>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322"/>
      <c r="D459" s="322"/>
      <c r="E459" s="322"/>
      <c r="F459" s="322"/>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322"/>
      <c r="D460" s="322"/>
      <c r="E460" s="322"/>
      <c r="F460" s="322"/>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322"/>
      <c r="D461" s="322"/>
      <c r="E461" s="322"/>
      <c r="F461" s="322"/>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322"/>
      <c r="D462" s="322"/>
      <c r="E462" s="322"/>
      <c r="F462" s="322"/>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322"/>
      <c r="D463" s="322"/>
      <c r="E463" s="322"/>
      <c r="F463" s="322"/>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322"/>
      <c r="D464" s="322"/>
      <c r="E464" s="322"/>
      <c r="F464" s="322"/>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322"/>
      <c r="D465" s="322"/>
      <c r="E465" s="322"/>
      <c r="F465" s="322"/>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322"/>
      <c r="D466" s="322"/>
      <c r="E466" s="322"/>
      <c r="F466" s="322"/>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322"/>
      <c r="D467" s="322"/>
      <c r="E467" s="322"/>
      <c r="F467" s="322"/>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322"/>
      <c r="D468" s="322"/>
      <c r="E468" s="322"/>
      <c r="F468" s="322"/>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322"/>
      <c r="D469" s="322"/>
      <c r="E469" s="322"/>
      <c r="F469" s="322"/>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322"/>
      <c r="D470" s="322"/>
      <c r="E470" s="322"/>
      <c r="F470" s="322"/>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322"/>
      <c r="D471" s="322"/>
      <c r="E471" s="322"/>
      <c r="F471" s="322"/>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322"/>
      <c r="D472" s="322"/>
      <c r="E472" s="322"/>
      <c r="F472" s="322"/>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322"/>
      <c r="D473" s="322"/>
      <c r="E473" s="322"/>
      <c r="F473" s="322"/>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322"/>
      <c r="D474" s="322"/>
      <c r="E474" s="322"/>
      <c r="F474" s="322"/>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322"/>
      <c r="D475" s="322"/>
      <c r="E475" s="322"/>
      <c r="F475" s="322"/>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322"/>
      <c r="D476" s="322"/>
      <c r="E476" s="322"/>
      <c r="F476" s="322"/>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322"/>
      <c r="D477" s="322"/>
      <c r="E477" s="322"/>
      <c r="F477" s="322"/>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322"/>
      <c r="D478" s="322"/>
      <c r="E478" s="322"/>
      <c r="F478" s="322"/>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322"/>
      <c r="D479" s="322"/>
      <c r="E479" s="322"/>
      <c r="F479" s="322"/>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322"/>
      <c r="D480" s="322"/>
      <c r="E480" s="322"/>
      <c r="F480" s="322"/>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322"/>
      <c r="D481" s="322"/>
      <c r="E481" s="322"/>
      <c r="F481" s="322"/>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322"/>
      <c r="D482" s="322"/>
      <c r="E482" s="322"/>
      <c r="F482" s="322"/>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322"/>
      <c r="D483" s="322"/>
      <c r="E483" s="322"/>
      <c r="F483" s="322"/>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322"/>
      <c r="D484" s="322"/>
      <c r="E484" s="322"/>
      <c r="F484" s="322"/>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322"/>
      <c r="D485" s="322"/>
      <c r="E485" s="322"/>
      <c r="F485" s="322"/>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322"/>
      <c r="D486" s="322"/>
      <c r="E486" s="322"/>
      <c r="F486" s="322"/>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322"/>
      <c r="D487" s="322"/>
      <c r="E487" s="322"/>
      <c r="F487" s="322"/>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322"/>
      <c r="D488" s="322"/>
      <c r="E488" s="322"/>
      <c r="F488" s="322"/>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322"/>
      <c r="D489" s="322"/>
      <c r="E489" s="322"/>
      <c r="F489" s="322"/>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322"/>
      <c r="D490" s="322"/>
      <c r="E490" s="322"/>
      <c r="F490" s="322"/>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322"/>
      <c r="D491" s="322"/>
      <c r="E491" s="322"/>
      <c r="F491" s="322"/>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322"/>
      <c r="D492" s="322"/>
      <c r="E492" s="322"/>
      <c r="F492" s="322"/>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322"/>
      <c r="D493" s="322"/>
      <c r="E493" s="322"/>
      <c r="F493" s="322"/>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322"/>
      <c r="D494" s="322"/>
      <c r="E494" s="322"/>
      <c r="F494" s="322"/>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322"/>
      <c r="D495" s="322"/>
      <c r="E495" s="322"/>
      <c r="F495" s="322"/>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322"/>
      <c r="D496" s="322"/>
      <c r="E496" s="322"/>
      <c r="F496" s="322"/>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322"/>
      <c r="D497" s="322"/>
      <c r="E497" s="322"/>
      <c r="F497" s="322"/>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322"/>
      <c r="D498" s="322"/>
      <c r="E498" s="322"/>
      <c r="F498" s="322"/>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322"/>
      <c r="D499" s="322"/>
      <c r="E499" s="322"/>
      <c r="F499" s="322"/>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322"/>
      <c r="D500" s="322"/>
      <c r="E500" s="322"/>
      <c r="F500" s="322"/>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322"/>
      <c r="D501" s="322"/>
      <c r="E501" s="322"/>
      <c r="F501" s="322"/>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322"/>
      <c r="D502" s="322"/>
      <c r="E502" s="322"/>
      <c r="F502" s="322"/>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322"/>
      <c r="D503" s="322"/>
      <c r="E503" s="322"/>
      <c r="F503" s="322"/>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322"/>
      <c r="D504" s="322"/>
      <c r="E504" s="322"/>
      <c r="F504" s="322"/>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322"/>
      <c r="D505" s="322"/>
      <c r="E505" s="322"/>
      <c r="F505" s="322"/>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322"/>
      <c r="D506" s="322"/>
      <c r="E506" s="322"/>
      <c r="F506" s="322"/>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322"/>
      <c r="D507" s="322"/>
      <c r="E507" s="322"/>
      <c r="F507" s="322"/>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322"/>
      <c r="D508" s="322"/>
      <c r="E508" s="322"/>
      <c r="F508" s="322"/>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322"/>
      <c r="D509" s="322"/>
      <c r="E509" s="322"/>
      <c r="F509" s="322"/>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322"/>
      <c r="D510" s="322"/>
      <c r="E510" s="322"/>
      <c r="F510" s="322"/>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322"/>
      <c r="D511" s="322"/>
      <c r="E511" s="322"/>
      <c r="F511" s="322"/>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322"/>
      <c r="D512" s="322"/>
      <c r="E512" s="322"/>
      <c r="F512" s="322"/>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322"/>
      <c r="D513" s="322"/>
      <c r="E513" s="322"/>
      <c r="F513" s="322"/>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322"/>
      <c r="D514" s="322"/>
      <c r="E514" s="322"/>
      <c r="F514" s="322"/>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322"/>
      <c r="D515" s="322"/>
      <c r="E515" s="322"/>
      <c r="F515" s="322"/>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322"/>
      <c r="D516" s="322"/>
      <c r="E516" s="322"/>
      <c r="F516" s="322"/>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322"/>
      <c r="D517" s="322"/>
      <c r="E517" s="322"/>
      <c r="F517" s="322"/>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322"/>
      <c r="D518" s="322"/>
      <c r="E518" s="322"/>
      <c r="F518" s="322"/>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322"/>
      <c r="D519" s="322"/>
      <c r="E519" s="322"/>
      <c r="F519" s="322"/>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322"/>
      <c r="D520" s="322"/>
      <c r="E520" s="322"/>
      <c r="F520" s="322"/>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322"/>
      <c r="D521" s="322"/>
      <c r="E521" s="322"/>
      <c r="F521" s="322"/>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322"/>
      <c r="D522" s="322"/>
      <c r="E522" s="322"/>
      <c r="F522" s="322"/>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322"/>
      <c r="D523" s="322"/>
      <c r="E523" s="322"/>
      <c r="F523" s="322"/>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322"/>
      <c r="D524" s="322"/>
      <c r="E524" s="322"/>
      <c r="F524" s="322"/>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322"/>
      <c r="D525" s="322"/>
      <c r="E525" s="322"/>
      <c r="F525" s="322"/>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322"/>
      <c r="D526" s="322"/>
      <c r="E526" s="322"/>
      <c r="F526" s="322"/>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322"/>
      <c r="D527" s="322"/>
      <c r="E527" s="322"/>
      <c r="F527" s="322"/>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322"/>
      <c r="D528" s="322"/>
      <c r="E528" s="322"/>
      <c r="F528" s="322"/>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322"/>
      <c r="D529" s="322"/>
      <c r="E529" s="322"/>
      <c r="F529" s="322"/>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322"/>
      <c r="D530" s="322"/>
      <c r="E530" s="322"/>
      <c r="F530" s="322"/>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322"/>
      <c r="D531" s="322"/>
      <c r="E531" s="322"/>
      <c r="F531" s="322"/>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322"/>
      <c r="D532" s="322"/>
      <c r="E532" s="322"/>
      <c r="F532" s="322"/>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322"/>
      <c r="D533" s="322"/>
      <c r="E533" s="322"/>
      <c r="F533" s="322"/>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322"/>
      <c r="D534" s="322"/>
      <c r="E534" s="322"/>
      <c r="F534" s="322"/>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322"/>
      <c r="D535" s="322"/>
      <c r="E535" s="322"/>
      <c r="F535" s="322"/>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322"/>
      <c r="D536" s="322"/>
      <c r="E536" s="322"/>
      <c r="F536" s="322"/>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322"/>
      <c r="D537" s="322"/>
      <c r="E537" s="322"/>
      <c r="F537" s="322"/>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322"/>
      <c r="D538" s="322"/>
      <c r="E538" s="322"/>
      <c r="F538" s="322"/>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322"/>
      <c r="D539" s="322"/>
      <c r="E539" s="322"/>
      <c r="F539" s="322"/>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322"/>
      <c r="D540" s="322"/>
      <c r="E540" s="322"/>
      <c r="F540" s="322"/>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322"/>
      <c r="D541" s="322"/>
      <c r="E541" s="322"/>
      <c r="F541" s="322"/>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322"/>
      <c r="D542" s="322"/>
      <c r="E542" s="322"/>
      <c r="F542" s="322"/>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322"/>
      <c r="D543" s="322"/>
      <c r="E543" s="322"/>
      <c r="F543" s="322"/>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322"/>
      <c r="D544" s="322"/>
      <c r="E544" s="322"/>
      <c r="F544" s="322"/>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322"/>
      <c r="D545" s="322"/>
      <c r="E545" s="322"/>
      <c r="F545" s="322"/>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322"/>
      <c r="D546" s="322"/>
      <c r="E546" s="322"/>
      <c r="F546" s="322"/>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322"/>
      <c r="D547" s="322"/>
      <c r="E547" s="322"/>
      <c r="F547" s="322"/>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322"/>
      <c r="D548" s="322"/>
      <c r="E548" s="322"/>
      <c r="F548" s="322"/>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322"/>
      <c r="D549" s="322"/>
      <c r="E549" s="322"/>
      <c r="F549" s="322"/>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322"/>
      <c r="D550" s="322"/>
      <c r="E550" s="322"/>
      <c r="F550" s="322"/>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322"/>
      <c r="D551" s="322"/>
      <c r="E551" s="322"/>
      <c r="F551" s="322"/>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322"/>
      <c r="D552" s="322"/>
      <c r="E552" s="322"/>
      <c r="F552" s="322"/>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322"/>
      <c r="D553" s="322"/>
      <c r="E553" s="322"/>
      <c r="F553" s="322"/>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322"/>
      <c r="D554" s="322"/>
      <c r="E554" s="322"/>
      <c r="F554" s="322"/>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322"/>
      <c r="D555" s="322"/>
      <c r="E555" s="322"/>
      <c r="F555" s="322"/>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322"/>
      <c r="D556" s="322"/>
      <c r="E556" s="322"/>
      <c r="F556" s="322"/>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322"/>
      <c r="D557" s="322"/>
      <c r="E557" s="322"/>
      <c r="F557" s="322"/>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322"/>
      <c r="D558" s="322"/>
      <c r="E558" s="322"/>
      <c r="F558" s="322"/>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322"/>
      <c r="D559" s="322"/>
      <c r="E559" s="322"/>
      <c r="F559" s="322"/>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322"/>
      <c r="D560" s="322"/>
      <c r="E560" s="322"/>
      <c r="F560" s="322"/>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322"/>
      <c r="D561" s="322"/>
      <c r="E561" s="322"/>
      <c r="F561" s="322"/>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322"/>
      <c r="D562" s="322"/>
      <c r="E562" s="322"/>
      <c r="F562" s="322"/>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322"/>
      <c r="D563" s="322"/>
      <c r="E563" s="322"/>
      <c r="F563" s="322"/>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322"/>
      <c r="D564" s="322"/>
      <c r="E564" s="322"/>
      <c r="F564" s="322"/>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322"/>
      <c r="D565" s="322"/>
      <c r="E565" s="322"/>
      <c r="F565" s="322"/>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322"/>
      <c r="D566" s="322"/>
      <c r="E566" s="322"/>
      <c r="F566" s="322"/>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322"/>
      <c r="D567" s="322"/>
      <c r="E567" s="322"/>
      <c r="F567" s="322"/>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322"/>
      <c r="D568" s="322"/>
      <c r="E568" s="322"/>
      <c r="F568" s="322"/>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322"/>
      <c r="D569" s="322"/>
      <c r="E569" s="322"/>
      <c r="F569" s="322"/>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322"/>
      <c r="D570" s="322"/>
      <c r="E570" s="322"/>
      <c r="F570" s="322"/>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322"/>
      <c r="D571" s="322"/>
      <c r="E571" s="322"/>
      <c r="F571" s="322"/>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322"/>
      <c r="D572" s="322"/>
      <c r="E572" s="322"/>
      <c r="F572" s="322"/>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322"/>
      <c r="D573" s="322"/>
      <c r="E573" s="322"/>
      <c r="F573" s="322"/>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322"/>
      <c r="D574" s="322"/>
      <c r="E574" s="322"/>
      <c r="F574" s="322"/>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322"/>
      <c r="D575" s="322"/>
      <c r="E575" s="322"/>
      <c r="F575" s="322"/>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322"/>
      <c r="D576" s="322"/>
      <c r="E576" s="322"/>
      <c r="F576" s="322"/>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322"/>
      <c r="D577" s="322"/>
      <c r="E577" s="322"/>
      <c r="F577" s="322"/>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322"/>
      <c r="D578" s="322"/>
      <c r="E578" s="322"/>
      <c r="F578" s="322"/>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322"/>
      <c r="D579" s="322"/>
      <c r="E579" s="322"/>
      <c r="F579" s="322"/>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322"/>
      <c r="D580" s="322"/>
      <c r="E580" s="322"/>
      <c r="F580" s="322"/>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322"/>
      <c r="D581" s="322"/>
      <c r="E581" s="322"/>
      <c r="F581" s="322"/>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322"/>
      <c r="D582" s="322"/>
      <c r="E582" s="322"/>
      <c r="F582" s="322"/>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322"/>
      <c r="D583" s="322"/>
      <c r="E583" s="322"/>
      <c r="F583" s="322"/>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322"/>
      <c r="D584" s="322"/>
      <c r="E584" s="322"/>
      <c r="F584" s="322"/>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322"/>
      <c r="D585" s="322"/>
      <c r="E585" s="322"/>
      <c r="F585" s="322"/>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322"/>
      <c r="D586" s="322"/>
      <c r="E586" s="322"/>
      <c r="F586" s="322"/>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322"/>
      <c r="D587" s="322"/>
      <c r="E587" s="322"/>
      <c r="F587" s="322"/>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322"/>
      <c r="D588" s="322"/>
      <c r="E588" s="322"/>
      <c r="F588" s="322"/>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322"/>
      <c r="D589" s="322"/>
      <c r="E589" s="322"/>
      <c r="F589" s="322"/>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322"/>
      <c r="D590" s="322"/>
      <c r="E590" s="322"/>
      <c r="F590" s="322"/>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322"/>
      <c r="D591" s="322"/>
      <c r="E591" s="322"/>
      <c r="F591" s="322"/>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322"/>
      <c r="D592" s="322"/>
      <c r="E592" s="322"/>
      <c r="F592" s="322"/>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322"/>
      <c r="D593" s="322"/>
      <c r="E593" s="322"/>
      <c r="F593" s="322"/>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322"/>
      <c r="D594" s="322"/>
      <c r="E594" s="322"/>
      <c r="F594" s="322"/>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322"/>
      <c r="D595" s="322"/>
      <c r="E595" s="322"/>
      <c r="F595" s="322"/>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322"/>
      <c r="D596" s="322"/>
      <c r="E596" s="322"/>
      <c r="F596" s="322"/>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322"/>
      <c r="D597" s="322"/>
      <c r="E597" s="322"/>
      <c r="F597" s="322"/>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322"/>
      <c r="D598" s="322"/>
      <c r="E598" s="322"/>
      <c r="F598" s="322"/>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322"/>
      <c r="D599" s="322"/>
      <c r="E599" s="322"/>
      <c r="F599" s="322"/>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322"/>
      <c r="D600" s="322"/>
      <c r="E600" s="322"/>
      <c r="F600" s="322"/>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322"/>
      <c r="D601" s="322"/>
      <c r="E601" s="322"/>
      <c r="F601" s="322"/>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322"/>
      <c r="D602" s="322"/>
      <c r="E602" s="322"/>
      <c r="F602" s="322"/>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322"/>
      <c r="D603" s="322"/>
      <c r="E603" s="322"/>
      <c r="F603" s="322"/>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322"/>
      <c r="D604" s="322"/>
      <c r="E604" s="322"/>
      <c r="F604" s="322"/>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322"/>
      <c r="D605" s="322"/>
      <c r="E605" s="322"/>
      <c r="F605" s="322"/>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322"/>
      <c r="D606" s="322"/>
      <c r="E606" s="322"/>
      <c r="F606" s="322"/>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322"/>
      <c r="D607" s="322"/>
      <c r="E607" s="322"/>
      <c r="F607" s="322"/>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322"/>
      <c r="D608" s="322"/>
      <c r="E608" s="322"/>
      <c r="F608" s="322"/>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322"/>
      <c r="D609" s="322"/>
      <c r="E609" s="322"/>
      <c r="F609" s="322"/>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322"/>
      <c r="D610" s="322"/>
      <c r="E610" s="322"/>
      <c r="F610" s="322"/>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322"/>
      <c r="D611" s="322"/>
      <c r="E611" s="322"/>
      <c r="F611" s="322"/>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322"/>
      <c r="D612" s="322"/>
      <c r="E612" s="322"/>
      <c r="F612" s="322"/>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322"/>
      <c r="D613" s="322"/>
      <c r="E613" s="322"/>
      <c r="F613" s="322"/>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322"/>
      <c r="D614" s="322"/>
      <c r="E614" s="322"/>
      <c r="F614" s="322"/>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322"/>
      <c r="D615" s="322"/>
      <c r="E615" s="322"/>
      <c r="F615" s="322"/>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322"/>
      <c r="D616" s="322"/>
      <c r="E616" s="322"/>
      <c r="F616" s="322"/>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322"/>
      <c r="D617" s="322"/>
      <c r="E617" s="322"/>
      <c r="F617" s="322"/>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322"/>
      <c r="D618" s="322"/>
      <c r="E618" s="322"/>
      <c r="F618" s="322"/>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322"/>
      <c r="D619" s="322"/>
      <c r="E619" s="322"/>
      <c r="F619" s="322"/>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322"/>
      <c r="D620" s="322"/>
      <c r="E620" s="322"/>
      <c r="F620" s="322"/>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322"/>
      <c r="D621" s="322"/>
      <c r="E621" s="322"/>
      <c r="F621" s="322"/>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322"/>
      <c r="D622" s="322"/>
      <c r="E622" s="322"/>
      <c r="F622" s="322"/>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322"/>
      <c r="D623" s="322"/>
      <c r="E623" s="322"/>
      <c r="F623" s="322"/>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322"/>
      <c r="D624" s="322"/>
      <c r="E624" s="322"/>
      <c r="F624" s="322"/>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322"/>
      <c r="D625" s="322"/>
      <c r="E625" s="322"/>
      <c r="F625" s="322"/>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322"/>
      <c r="D626" s="322"/>
      <c r="E626" s="322"/>
      <c r="F626" s="322"/>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322"/>
      <c r="D627" s="322"/>
      <c r="E627" s="322"/>
      <c r="F627" s="322"/>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322"/>
      <c r="D628" s="322"/>
      <c r="E628" s="322"/>
      <c r="F628" s="322"/>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322"/>
      <c r="D629" s="322"/>
      <c r="E629" s="322"/>
      <c r="F629" s="322"/>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322"/>
      <c r="D630" s="322"/>
      <c r="E630" s="322"/>
      <c r="F630" s="322"/>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322"/>
      <c r="D631" s="322"/>
      <c r="E631" s="322"/>
      <c r="F631" s="322"/>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322"/>
      <c r="D632" s="322"/>
      <c r="E632" s="322"/>
      <c r="F632" s="322"/>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322"/>
      <c r="D633" s="322"/>
      <c r="E633" s="322"/>
      <c r="F633" s="322"/>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322"/>
      <c r="D634" s="322"/>
      <c r="E634" s="322"/>
      <c r="F634" s="322"/>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322"/>
      <c r="D635" s="322"/>
      <c r="E635" s="322"/>
      <c r="F635" s="322"/>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322"/>
      <c r="D636" s="322"/>
      <c r="E636" s="322"/>
      <c r="F636" s="322"/>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322"/>
      <c r="D637" s="322"/>
      <c r="E637" s="322"/>
      <c r="F637" s="322"/>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322"/>
      <c r="D638" s="322"/>
      <c r="E638" s="322"/>
      <c r="F638" s="322"/>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322"/>
      <c r="D639" s="322"/>
      <c r="E639" s="322"/>
      <c r="F639" s="322"/>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322"/>
      <c r="D640" s="322"/>
      <c r="E640" s="322"/>
      <c r="F640" s="322"/>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322"/>
      <c r="D641" s="322"/>
      <c r="E641" s="322"/>
      <c r="F641" s="322"/>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322"/>
      <c r="D642" s="322"/>
      <c r="E642" s="322"/>
      <c r="F642" s="322"/>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322"/>
      <c r="D643" s="322"/>
      <c r="E643" s="322"/>
      <c r="F643" s="322"/>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322"/>
      <c r="D644" s="322"/>
      <c r="E644" s="322"/>
      <c r="F644" s="322"/>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322"/>
      <c r="D645" s="322"/>
      <c r="E645" s="322"/>
      <c r="F645" s="322"/>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322"/>
      <c r="D646" s="322"/>
      <c r="E646" s="322"/>
      <c r="F646" s="322"/>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322"/>
      <c r="D647" s="322"/>
      <c r="E647" s="322"/>
      <c r="F647" s="322"/>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322"/>
      <c r="D648" s="322"/>
      <c r="E648" s="322"/>
      <c r="F648" s="322"/>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322"/>
      <c r="D649" s="322"/>
      <c r="E649" s="322"/>
      <c r="F649" s="322"/>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322"/>
      <c r="D650" s="322"/>
      <c r="E650" s="322"/>
      <c r="F650" s="322"/>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322"/>
      <c r="D651" s="322"/>
      <c r="E651" s="322"/>
      <c r="F651" s="322"/>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322"/>
      <c r="D652" s="322"/>
      <c r="E652" s="322"/>
      <c r="F652" s="322"/>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322"/>
      <c r="D653" s="322"/>
      <c r="E653" s="322"/>
      <c r="F653" s="322"/>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322"/>
      <c r="D654" s="322"/>
      <c r="E654" s="322"/>
      <c r="F654" s="322"/>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322"/>
      <c r="D655" s="322"/>
      <c r="E655" s="322"/>
      <c r="F655" s="322"/>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322"/>
      <c r="D656" s="322"/>
      <c r="E656" s="322"/>
      <c r="F656" s="322"/>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322"/>
      <c r="D657" s="322"/>
      <c r="E657" s="322"/>
      <c r="F657" s="322"/>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322"/>
      <c r="D658" s="322"/>
      <c r="E658" s="322"/>
      <c r="F658" s="322"/>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322"/>
      <c r="D659" s="322"/>
      <c r="E659" s="322"/>
      <c r="F659" s="322"/>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322"/>
      <c r="D660" s="322"/>
      <c r="E660" s="322"/>
      <c r="F660" s="322"/>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322"/>
      <c r="D661" s="322"/>
      <c r="E661" s="322"/>
      <c r="F661" s="322"/>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322"/>
      <c r="D662" s="322"/>
      <c r="E662" s="322"/>
      <c r="F662" s="322"/>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322"/>
      <c r="D663" s="322"/>
      <c r="E663" s="322"/>
      <c r="F663" s="322"/>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322"/>
      <c r="D664" s="322"/>
      <c r="E664" s="322"/>
      <c r="F664" s="322"/>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322"/>
      <c r="D665" s="322"/>
      <c r="E665" s="322"/>
      <c r="F665" s="322"/>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322"/>
      <c r="D666" s="322"/>
      <c r="E666" s="322"/>
      <c r="F666" s="322"/>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322"/>
      <c r="D667" s="322"/>
      <c r="E667" s="322"/>
      <c r="F667" s="322"/>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322"/>
      <c r="D668" s="322"/>
      <c r="E668" s="322"/>
      <c r="F668" s="322"/>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322"/>
      <c r="D669" s="322"/>
      <c r="E669" s="322"/>
      <c r="F669" s="322"/>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322"/>
      <c r="D670" s="322"/>
      <c r="E670" s="322"/>
      <c r="F670" s="322"/>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322"/>
      <c r="D671" s="322"/>
      <c r="E671" s="322"/>
      <c r="F671" s="322"/>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322"/>
      <c r="D672" s="322"/>
      <c r="E672" s="322"/>
      <c r="F672" s="322"/>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322"/>
      <c r="D673" s="322"/>
      <c r="E673" s="322"/>
      <c r="F673" s="322"/>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322"/>
      <c r="D674" s="322"/>
      <c r="E674" s="322"/>
      <c r="F674" s="322"/>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322"/>
      <c r="D675" s="322"/>
      <c r="E675" s="322"/>
      <c r="F675" s="322"/>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322"/>
      <c r="D676" s="322"/>
      <c r="E676" s="322"/>
      <c r="F676" s="322"/>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322"/>
      <c r="D677" s="322"/>
      <c r="E677" s="322"/>
      <c r="F677" s="322"/>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322"/>
      <c r="D678" s="322"/>
      <c r="E678" s="322"/>
      <c r="F678" s="322"/>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322"/>
      <c r="D679" s="322"/>
      <c r="E679" s="322"/>
      <c r="F679" s="322"/>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322"/>
      <c r="D680" s="322"/>
      <c r="E680" s="322"/>
      <c r="F680" s="322"/>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322"/>
      <c r="D681" s="322"/>
      <c r="E681" s="322"/>
      <c r="F681" s="322"/>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322"/>
      <c r="D682" s="322"/>
      <c r="E682" s="322"/>
      <c r="F682" s="322"/>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322"/>
      <c r="D683" s="322"/>
      <c r="E683" s="322"/>
      <c r="F683" s="322"/>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322"/>
      <c r="D684" s="322"/>
      <c r="E684" s="322"/>
      <c r="F684" s="322"/>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322"/>
      <c r="D685" s="322"/>
      <c r="E685" s="322"/>
      <c r="F685" s="322"/>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322"/>
      <c r="D686" s="322"/>
      <c r="E686" s="322"/>
      <c r="F686" s="322"/>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322"/>
      <c r="D687" s="322"/>
      <c r="E687" s="322"/>
      <c r="F687" s="322"/>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322"/>
      <c r="D688" s="322"/>
      <c r="E688" s="322"/>
      <c r="F688" s="322"/>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322"/>
      <c r="D689" s="322"/>
      <c r="E689" s="322"/>
      <c r="F689" s="322"/>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322"/>
      <c r="D690" s="322"/>
      <c r="E690" s="322"/>
      <c r="F690" s="322"/>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322"/>
      <c r="D691" s="322"/>
      <c r="E691" s="322"/>
      <c r="F691" s="322"/>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322"/>
      <c r="D692" s="322"/>
      <c r="E692" s="322"/>
      <c r="F692" s="322"/>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322"/>
      <c r="D693" s="322"/>
      <c r="E693" s="322"/>
      <c r="F693" s="322"/>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322"/>
      <c r="D694" s="322"/>
      <c r="E694" s="322"/>
      <c r="F694" s="322"/>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322"/>
      <c r="D695" s="322"/>
      <c r="E695" s="322"/>
      <c r="F695" s="322"/>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322"/>
      <c r="D696" s="322"/>
      <c r="E696" s="322"/>
      <c r="F696" s="322"/>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322"/>
      <c r="D697" s="322"/>
      <c r="E697" s="322"/>
      <c r="F697" s="322"/>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322"/>
      <c r="D698" s="322"/>
      <c r="E698" s="322"/>
      <c r="F698" s="322"/>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322"/>
      <c r="D699" s="322"/>
      <c r="E699" s="322"/>
      <c r="F699" s="322"/>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322"/>
      <c r="D700" s="322"/>
      <c r="E700" s="322"/>
      <c r="F700" s="322"/>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322"/>
      <c r="D701" s="322"/>
      <c r="E701" s="322"/>
      <c r="F701" s="322"/>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322"/>
      <c r="D702" s="322"/>
      <c r="E702" s="322"/>
      <c r="F702" s="322"/>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322"/>
      <c r="D703" s="322"/>
      <c r="E703" s="322"/>
      <c r="F703" s="322"/>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322"/>
      <c r="D704" s="322"/>
      <c r="E704" s="322"/>
      <c r="F704" s="322"/>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322"/>
      <c r="D705" s="322"/>
      <c r="E705" s="322"/>
      <c r="F705" s="322"/>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322"/>
      <c r="D706" s="322"/>
      <c r="E706" s="322"/>
      <c r="F706" s="322"/>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322"/>
      <c r="D707" s="322"/>
      <c r="E707" s="322"/>
      <c r="F707" s="322"/>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322"/>
      <c r="D708" s="322"/>
      <c r="E708" s="322"/>
      <c r="F708" s="322"/>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322"/>
      <c r="D709" s="322"/>
      <c r="E709" s="322"/>
      <c r="F709" s="322"/>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322"/>
      <c r="D710" s="322"/>
      <c r="E710" s="322"/>
      <c r="F710" s="322"/>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322"/>
      <c r="D711" s="322"/>
      <c r="E711" s="322"/>
      <c r="F711" s="322"/>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322"/>
      <c r="D712" s="322"/>
      <c r="E712" s="322"/>
      <c r="F712" s="322"/>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322"/>
      <c r="D713" s="322"/>
      <c r="E713" s="322"/>
      <c r="F713" s="322"/>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322"/>
      <c r="D714" s="322"/>
      <c r="E714" s="322"/>
      <c r="F714" s="322"/>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322"/>
      <c r="D715" s="322"/>
      <c r="E715" s="322"/>
      <c r="F715" s="322"/>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322"/>
      <c r="D716" s="322"/>
      <c r="E716" s="322"/>
      <c r="F716" s="322"/>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322"/>
      <c r="D717" s="322"/>
      <c r="E717" s="322"/>
      <c r="F717" s="322"/>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322"/>
      <c r="D718" s="322"/>
      <c r="E718" s="322"/>
      <c r="F718" s="322"/>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322"/>
      <c r="D719" s="322"/>
      <c r="E719" s="322"/>
      <c r="F719" s="322"/>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322"/>
      <c r="D720" s="322"/>
      <c r="E720" s="322"/>
      <c r="F720" s="322"/>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322"/>
      <c r="D721" s="322"/>
      <c r="E721" s="322"/>
      <c r="F721" s="322"/>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322"/>
      <c r="D722" s="322"/>
      <c r="E722" s="322"/>
      <c r="F722" s="322"/>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322"/>
      <c r="D723" s="322"/>
      <c r="E723" s="322"/>
      <c r="F723" s="322"/>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322"/>
      <c r="D724" s="322"/>
      <c r="E724" s="322"/>
      <c r="F724" s="322"/>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322"/>
      <c r="D725" s="322"/>
      <c r="E725" s="322"/>
      <c r="F725" s="322"/>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322"/>
      <c r="D726" s="322"/>
      <c r="E726" s="322"/>
      <c r="F726" s="322"/>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322"/>
      <c r="D727" s="322"/>
      <c r="E727" s="322"/>
      <c r="F727" s="322"/>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322"/>
      <c r="D728" s="322"/>
      <c r="E728" s="322"/>
      <c r="F728" s="322"/>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322"/>
      <c r="D729" s="322"/>
      <c r="E729" s="322"/>
      <c r="F729" s="322"/>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322"/>
      <c r="D730" s="322"/>
      <c r="E730" s="322"/>
      <c r="F730" s="322"/>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322"/>
      <c r="D731" s="322"/>
      <c r="E731" s="322"/>
      <c r="F731" s="322"/>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322"/>
      <c r="D732" s="322"/>
      <c r="E732" s="322"/>
      <c r="F732" s="322"/>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322"/>
      <c r="D733" s="322"/>
      <c r="E733" s="322"/>
      <c r="F733" s="322"/>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322"/>
      <c r="D734" s="322"/>
      <c r="E734" s="322"/>
      <c r="F734" s="322"/>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322"/>
      <c r="D735" s="322"/>
      <c r="E735" s="322"/>
      <c r="F735" s="322"/>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322"/>
      <c r="D736" s="322"/>
      <c r="E736" s="322"/>
      <c r="F736" s="322"/>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322"/>
      <c r="D737" s="322"/>
      <c r="E737" s="322"/>
      <c r="F737" s="322"/>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322"/>
      <c r="D738" s="322"/>
      <c r="E738" s="322"/>
      <c r="F738" s="322"/>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322"/>
      <c r="D739" s="322"/>
      <c r="E739" s="322"/>
      <c r="F739" s="322"/>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322"/>
      <c r="D740" s="322"/>
      <c r="E740" s="322"/>
      <c r="F740" s="322"/>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322"/>
      <c r="D741" s="322"/>
      <c r="E741" s="322"/>
      <c r="F741" s="322"/>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322"/>
      <c r="D742" s="322"/>
      <c r="E742" s="322"/>
      <c r="F742" s="322"/>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322"/>
      <c r="D743" s="322"/>
      <c r="E743" s="322"/>
      <c r="F743" s="322"/>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322"/>
      <c r="D744" s="322"/>
      <c r="E744" s="322"/>
      <c r="F744" s="322"/>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322"/>
      <c r="D745" s="322"/>
      <c r="E745" s="322"/>
      <c r="F745" s="322"/>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322"/>
      <c r="D746" s="322"/>
      <c r="E746" s="322"/>
      <c r="F746" s="322"/>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322"/>
      <c r="D747" s="322"/>
      <c r="E747" s="322"/>
      <c r="F747" s="322"/>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322"/>
      <c r="D748" s="322"/>
      <c r="E748" s="322"/>
      <c r="F748" s="322"/>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322"/>
      <c r="D749" s="322"/>
      <c r="E749" s="322"/>
      <c r="F749" s="322"/>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322"/>
      <c r="D750" s="322"/>
      <c r="E750" s="322"/>
      <c r="F750" s="322"/>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322"/>
      <c r="D751" s="322"/>
      <c r="E751" s="322"/>
      <c r="F751" s="322"/>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322"/>
      <c r="D752" s="322"/>
      <c r="E752" s="322"/>
      <c r="F752" s="322"/>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322"/>
      <c r="D753" s="322"/>
      <c r="E753" s="322"/>
      <c r="F753" s="322"/>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322"/>
      <c r="D754" s="322"/>
      <c r="E754" s="322"/>
      <c r="F754" s="322"/>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322"/>
      <c r="D755" s="322"/>
      <c r="E755" s="322"/>
      <c r="F755" s="322"/>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322"/>
      <c r="D756" s="322"/>
      <c r="E756" s="322"/>
      <c r="F756" s="322"/>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322"/>
      <c r="D757" s="322"/>
      <c r="E757" s="322"/>
      <c r="F757" s="322"/>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322"/>
      <c r="D758" s="322"/>
      <c r="E758" s="322"/>
      <c r="F758" s="322"/>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322"/>
      <c r="D759" s="322"/>
      <c r="E759" s="322"/>
      <c r="F759" s="322"/>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322"/>
      <c r="D760" s="322"/>
      <c r="E760" s="322"/>
      <c r="F760" s="322"/>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322"/>
      <c r="D761" s="322"/>
      <c r="E761" s="322"/>
      <c r="F761" s="322"/>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322"/>
      <c r="D762" s="322"/>
      <c r="E762" s="322"/>
      <c r="F762" s="322"/>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322"/>
      <c r="D763" s="322"/>
      <c r="E763" s="322"/>
      <c r="F763" s="322"/>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322"/>
      <c r="D764" s="322"/>
      <c r="E764" s="322"/>
      <c r="F764" s="322"/>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322"/>
      <c r="D765" s="322"/>
      <c r="E765" s="322"/>
      <c r="F765" s="322"/>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322"/>
      <c r="D766" s="322"/>
      <c r="E766" s="322"/>
      <c r="F766" s="322"/>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322"/>
      <c r="D767" s="322"/>
      <c r="E767" s="322"/>
      <c r="F767" s="322"/>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322"/>
      <c r="D768" s="322"/>
      <c r="E768" s="322"/>
      <c r="F768" s="322"/>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322"/>
      <c r="D769" s="322"/>
      <c r="E769" s="322"/>
      <c r="F769" s="322"/>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322"/>
      <c r="D770" s="322"/>
      <c r="E770" s="322"/>
      <c r="F770" s="322"/>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322"/>
      <c r="D771" s="322"/>
      <c r="E771" s="322"/>
      <c r="F771" s="322"/>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322"/>
      <c r="D772" s="322"/>
      <c r="E772" s="322"/>
      <c r="F772" s="322"/>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322"/>
      <c r="D773" s="322"/>
      <c r="E773" s="322"/>
      <c r="F773" s="322"/>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322"/>
      <c r="D774" s="322"/>
      <c r="E774" s="322"/>
      <c r="F774" s="322"/>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322"/>
      <c r="D775" s="322"/>
      <c r="E775" s="322"/>
      <c r="F775" s="322"/>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322"/>
      <c r="D776" s="322"/>
      <c r="E776" s="322"/>
      <c r="F776" s="322"/>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322"/>
      <c r="D777" s="322"/>
      <c r="E777" s="322"/>
      <c r="F777" s="322"/>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322"/>
      <c r="D778" s="322"/>
      <c r="E778" s="322"/>
      <c r="F778" s="322"/>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322"/>
      <c r="D779" s="322"/>
      <c r="E779" s="322"/>
      <c r="F779" s="322"/>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322"/>
      <c r="D780" s="322"/>
      <c r="E780" s="322"/>
      <c r="F780" s="322"/>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322"/>
      <c r="D781" s="322"/>
      <c r="E781" s="322"/>
      <c r="F781" s="322"/>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322"/>
      <c r="D782" s="322"/>
      <c r="E782" s="322"/>
      <c r="F782" s="322"/>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322"/>
      <c r="D783" s="322"/>
      <c r="E783" s="322"/>
      <c r="F783" s="322"/>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322"/>
      <c r="D784" s="322"/>
      <c r="E784" s="322"/>
      <c r="F784" s="322"/>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322"/>
      <c r="D785" s="322"/>
      <c r="E785" s="322"/>
      <c r="F785" s="322"/>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322"/>
      <c r="D786" s="322"/>
      <c r="E786" s="322"/>
      <c r="F786" s="322"/>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322"/>
      <c r="D787" s="322"/>
      <c r="E787" s="322"/>
      <c r="F787" s="322"/>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322"/>
      <c r="D788" s="322"/>
      <c r="E788" s="322"/>
      <c r="F788" s="322"/>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322"/>
      <c r="D789" s="322"/>
      <c r="E789" s="322"/>
      <c r="F789" s="322"/>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322"/>
      <c r="D790" s="322"/>
      <c r="E790" s="322"/>
      <c r="F790" s="322"/>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322"/>
      <c r="D791" s="322"/>
      <c r="E791" s="322"/>
      <c r="F791" s="322"/>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322"/>
      <c r="D792" s="322"/>
      <c r="E792" s="322"/>
      <c r="F792" s="322"/>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322"/>
      <c r="D793" s="322"/>
      <c r="E793" s="322"/>
      <c r="F793" s="322"/>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322"/>
      <c r="D794" s="322"/>
      <c r="E794" s="322"/>
      <c r="F794" s="322"/>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322"/>
      <c r="D795" s="322"/>
      <c r="E795" s="322"/>
      <c r="F795" s="322"/>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322"/>
      <c r="D796" s="322"/>
      <c r="E796" s="322"/>
      <c r="F796" s="322"/>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322"/>
      <c r="D797" s="322"/>
      <c r="E797" s="322"/>
      <c r="F797" s="322"/>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322"/>
      <c r="D798" s="322"/>
      <c r="E798" s="322"/>
      <c r="F798" s="322"/>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322"/>
      <c r="D799" s="322"/>
      <c r="E799" s="322"/>
      <c r="F799" s="322"/>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322"/>
      <c r="D800" s="322"/>
      <c r="E800" s="322"/>
      <c r="F800" s="322"/>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322"/>
      <c r="D801" s="322"/>
      <c r="E801" s="322"/>
      <c r="F801" s="322"/>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322"/>
      <c r="D802" s="322"/>
      <c r="E802" s="322"/>
      <c r="F802" s="322"/>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322"/>
      <c r="D803" s="322"/>
      <c r="E803" s="322"/>
      <c r="F803" s="322"/>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322"/>
      <c r="D804" s="322"/>
      <c r="E804" s="322"/>
      <c r="F804" s="322"/>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322"/>
      <c r="D805" s="322"/>
      <c r="E805" s="322"/>
      <c r="F805" s="322"/>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322"/>
      <c r="D806" s="322"/>
      <c r="E806" s="322"/>
      <c r="F806" s="322"/>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322"/>
      <c r="D807" s="322"/>
      <c r="E807" s="322"/>
      <c r="F807" s="322"/>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322"/>
      <c r="D808" s="322"/>
      <c r="E808" s="322"/>
      <c r="F808" s="322"/>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322"/>
      <c r="D809" s="322"/>
      <c r="E809" s="322"/>
      <c r="F809" s="322"/>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322"/>
      <c r="D810" s="322"/>
      <c r="E810" s="322"/>
      <c r="F810" s="322"/>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322"/>
      <c r="D811" s="322"/>
      <c r="E811" s="322"/>
      <c r="F811" s="322"/>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322"/>
      <c r="D812" s="322"/>
      <c r="E812" s="322"/>
      <c r="F812" s="322"/>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322"/>
      <c r="D813" s="322"/>
      <c r="E813" s="322"/>
      <c r="F813" s="322"/>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322"/>
      <c r="D814" s="322"/>
      <c r="E814" s="322"/>
      <c r="F814" s="322"/>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322"/>
      <c r="D815" s="322"/>
      <c r="E815" s="322"/>
      <c r="F815" s="322"/>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322"/>
      <c r="D816" s="322"/>
      <c r="E816" s="322"/>
      <c r="F816" s="322"/>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322"/>
      <c r="D817" s="322"/>
      <c r="E817" s="322"/>
      <c r="F817" s="322"/>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322"/>
      <c r="D818" s="322"/>
      <c r="E818" s="322"/>
      <c r="F818" s="322"/>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322"/>
      <c r="D819" s="322"/>
      <c r="E819" s="322"/>
      <c r="F819" s="322"/>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322"/>
      <c r="D820" s="322"/>
      <c r="E820" s="322"/>
      <c r="F820" s="322"/>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322"/>
      <c r="D821" s="322"/>
      <c r="E821" s="322"/>
      <c r="F821" s="322"/>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322"/>
      <c r="D822" s="322"/>
      <c r="E822" s="322"/>
      <c r="F822" s="322"/>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322"/>
      <c r="D823" s="322"/>
      <c r="E823" s="322"/>
      <c r="F823" s="322"/>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322"/>
      <c r="D824" s="322"/>
      <c r="E824" s="322"/>
      <c r="F824" s="322"/>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322"/>
      <c r="D825" s="322"/>
      <c r="E825" s="322"/>
      <c r="F825" s="322"/>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322"/>
      <c r="D826" s="322"/>
      <c r="E826" s="322"/>
      <c r="F826" s="322"/>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322"/>
      <c r="D827" s="322"/>
      <c r="E827" s="322"/>
      <c r="F827" s="322"/>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322"/>
      <c r="D828" s="322"/>
      <c r="E828" s="322"/>
      <c r="F828" s="322"/>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322"/>
      <c r="D829" s="322"/>
      <c r="E829" s="322"/>
      <c r="F829" s="322"/>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322"/>
      <c r="D830" s="322"/>
      <c r="E830" s="322"/>
      <c r="F830" s="322"/>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322"/>
      <c r="D831" s="322"/>
      <c r="E831" s="322"/>
      <c r="F831" s="322"/>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322"/>
      <c r="D832" s="322"/>
      <c r="E832" s="322"/>
      <c r="F832" s="322"/>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322"/>
      <c r="D833" s="322"/>
      <c r="E833" s="322"/>
      <c r="F833" s="322"/>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322"/>
      <c r="D834" s="322"/>
      <c r="E834" s="322"/>
      <c r="F834" s="322"/>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322"/>
      <c r="D835" s="322"/>
      <c r="E835" s="322"/>
      <c r="F835" s="322"/>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322"/>
      <c r="D836" s="322"/>
      <c r="E836" s="322"/>
      <c r="F836" s="322"/>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322"/>
      <c r="D837" s="322"/>
      <c r="E837" s="322"/>
      <c r="F837" s="322"/>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322"/>
      <c r="D838" s="322"/>
      <c r="E838" s="322"/>
      <c r="F838" s="322"/>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322"/>
      <c r="D839" s="322"/>
      <c r="E839" s="322"/>
      <c r="F839" s="322"/>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322"/>
      <c r="D840" s="322"/>
      <c r="E840" s="322"/>
      <c r="F840" s="322"/>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322"/>
      <c r="D841" s="322"/>
      <c r="E841" s="322"/>
      <c r="F841" s="322"/>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322"/>
      <c r="D842" s="322"/>
      <c r="E842" s="322"/>
      <c r="F842" s="322"/>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322"/>
      <c r="D843" s="322"/>
      <c r="E843" s="322"/>
      <c r="F843" s="322"/>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322"/>
      <c r="D844" s="322"/>
      <c r="E844" s="322"/>
      <c r="F844" s="322"/>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322"/>
      <c r="D845" s="322"/>
      <c r="E845" s="322"/>
      <c r="F845" s="322"/>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322"/>
      <c r="D846" s="322"/>
      <c r="E846" s="322"/>
      <c r="F846" s="322"/>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322"/>
      <c r="D847" s="322"/>
      <c r="E847" s="322"/>
      <c r="F847" s="322"/>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322"/>
      <c r="D848" s="322"/>
      <c r="E848" s="322"/>
      <c r="F848" s="322"/>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322"/>
      <c r="D849" s="322"/>
      <c r="E849" s="322"/>
      <c r="F849" s="322"/>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322"/>
      <c r="D850" s="322"/>
      <c r="E850" s="322"/>
      <c r="F850" s="322"/>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322"/>
      <c r="D851" s="322"/>
      <c r="E851" s="322"/>
      <c r="F851" s="322"/>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322"/>
      <c r="D852" s="322"/>
      <c r="E852" s="322"/>
      <c r="F852" s="322"/>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322"/>
      <c r="D853" s="322"/>
      <c r="E853" s="322"/>
      <c r="F853" s="322"/>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322"/>
      <c r="D854" s="322"/>
      <c r="E854" s="322"/>
      <c r="F854" s="322"/>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322"/>
      <c r="D855" s="322"/>
      <c r="E855" s="322"/>
      <c r="F855" s="322"/>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322"/>
      <c r="D856" s="322"/>
      <c r="E856" s="322"/>
      <c r="F856" s="322"/>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322"/>
      <c r="D857" s="322"/>
      <c r="E857" s="322"/>
      <c r="F857" s="322"/>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322"/>
      <c r="D858" s="322"/>
      <c r="E858" s="322"/>
      <c r="F858" s="322"/>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322"/>
      <c r="D859" s="322"/>
      <c r="E859" s="322"/>
      <c r="F859" s="322"/>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322"/>
      <c r="D860" s="322"/>
      <c r="E860" s="322"/>
      <c r="F860" s="322"/>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322"/>
      <c r="D861" s="322"/>
      <c r="E861" s="322"/>
      <c r="F861" s="322"/>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322"/>
      <c r="D862" s="322"/>
      <c r="E862" s="322"/>
      <c r="F862" s="322"/>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322"/>
      <c r="D863" s="322"/>
      <c r="E863" s="322"/>
      <c r="F863" s="322"/>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322"/>
      <c r="D864" s="322"/>
      <c r="E864" s="322"/>
      <c r="F864" s="322"/>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322"/>
      <c r="D865" s="322"/>
      <c r="E865" s="322"/>
      <c r="F865" s="322"/>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322"/>
      <c r="D866" s="322"/>
      <c r="E866" s="322"/>
      <c r="F866" s="322"/>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322"/>
      <c r="D867" s="322"/>
      <c r="E867" s="322"/>
      <c r="F867" s="322"/>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322"/>
      <c r="D868" s="322"/>
      <c r="E868" s="322"/>
      <c r="F868" s="322"/>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322"/>
      <c r="D869" s="322"/>
      <c r="E869" s="322"/>
      <c r="F869" s="322"/>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322"/>
      <c r="D870" s="322"/>
      <c r="E870" s="322"/>
      <c r="F870" s="322"/>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322"/>
      <c r="D871" s="322"/>
      <c r="E871" s="322"/>
      <c r="F871" s="322"/>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322"/>
      <c r="D872" s="322"/>
      <c r="E872" s="322"/>
      <c r="F872" s="322"/>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322"/>
      <c r="D873" s="322"/>
      <c r="E873" s="322"/>
      <c r="F873" s="322"/>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322"/>
      <c r="D874" s="322"/>
      <c r="E874" s="322"/>
      <c r="F874" s="322"/>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322"/>
      <c r="D875" s="322"/>
      <c r="E875" s="322"/>
      <c r="F875" s="322"/>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322"/>
      <c r="D876" s="322"/>
      <c r="E876" s="322"/>
      <c r="F876" s="322"/>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322"/>
      <c r="D877" s="322"/>
      <c r="E877" s="322"/>
      <c r="F877" s="322"/>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322"/>
      <c r="D878" s="322"/>
      <c r="E878" s="322"/>
      <c r="F878" s="322"/>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322"/>
      <c r="D879" s="322"/>
      <c r="E879" s="322"/>
      <c r="F879" s="322"/>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322"/>
      <c r="D880" s="322"/>
      <c r="E880" s="322"/>
      <c r="F880" s="322"/>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322"/>
      <c r="D881" s="322"/>
      <c r="E881" s="322"/>
      <c r="F881" s="322"/>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322"/>
      <c r="D882" s="322"/>
      <c r="E882" s="322"/>
      <c r="F882" s="322"/>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322"/>
      <c r="D883" s="322"/>
      <c r="E883" s="322"/>
      <c r="F883" s="322"/>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322"/>
      <c r="D884" s="322"/>
      <c r="E884" s="322"/>
      <c r="F884" s="322"/>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322"/>
      <c r="D885" s="322"/>
      <c r="E885" s="322"/>
      <c r="F885" s="322"/>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322"/>
      <c r="D886" s="322"/>
      <c r="E886" s="322"/>
      <c r="F886" s="322"/>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322"/>
      <c r="D887" s="322"/>
      <c r="E887" s="322"/>
      <c r="F887" s="322"/>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322"/>
      <c r="D888" s="322"/>
      <c r="E888" s="322"/>
      <c r="F888" s="322"/>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322"/>
      <c r="D889" s="322"/>
      <c r="E889" s="322"/>
      <c r="F889" s="322"/>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322"/>
      <c r="D890" s="322"/>
      <c r="E890" s="322"/>
      <c r="F890" s="322"/>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322"/>
      <c r="D891" s="322"/>
      <c r="E891" s="322"/>
      <c r="F891" s="322"/>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322"/>
      <c r="D892" s="322"/>
      <c r="E892" s="322"/>
      <c r="F892" s="322"/>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322"/>
      <c r="D893" s="322"/>
      <c r="E893" s="322"/>
      <c r="F893" s="322"/>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322"/>
      <c r="D894" s="322"/>
      <c r="E894" s="322"/>
      <c r="F894" s="322"/>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322"/>
      <c r="D895" s="322"/>
      <c r="E895" s="322"/>
      <c r="F895" s="322"/>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322"/>
      <c r="D896" s="322"/>
      <c r="E896" s="322"/>
      <c r="F896" s="322"/>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322"/>
      <c r="D897" s="322"/>
      <c r="E897" s="322"/>
      <c r="F897" s="322"/>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322"/>
      <c r="D898" s="322"/>
      <c r="E898" s="322"/>
      <c r="F898" s="322"/>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322"/>
      <c r="D899" s="322"/>
      <c r="E899" s="322"/>
      <c r="F899" s="322"/>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322"/>
      <c r="D900" s="322"/>
      <c r="E900" s="322"/>
      <c r="F900" s="322"/>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322"/>
      <c r="D901" s="322"/>
      <c r="E901" s="322"/>
      <c r="F901" s="322"/>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322"/>
      <c r="D902" s="322"/>
      <c r="E902" s="322"/>
      <c r="F902" s="322"/>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322"/>
      <c r="D903" s="322"/>
      <c r="E903" s="322"/>
      <c r="F903" s="322"/>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322"/>
      <c r="D904" s="322"/>
      <c r="E904" s="322"/>
      <c r="F904" s="322"/>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322"/>
      <c r="D905" s="322"/>
      <c r="E905" s="322"/>
      <c r="F905" s="322"/>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322"/>
      <c r="D906" s="322"/>
      <c r="E906" s="322"/>
      <c r="F906" s="322"/>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322"/>
      <c r="D907" s="322"/>
      <c r="E907" s="322"/>
      <c r="F907" s="322"/>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322"/>
      <c r="D908" s="322"/>
      <c r="E908" s="322"/>
      <c r="F908" s="322"/>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322"/>
      <c r="D909" s="322"/>
      <c r="E909" s="322"/>
      <c r="F909" s="322"/>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322"/>
      <c r="D910" s="322"/>
      <c r="E910" s="322"/>
      <c r="F910" s="322"/>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322"/>
      <c r="D911" s="322"/>
      <c r="E911" s="322"/>
      <c r="F911" s="322"/>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322"/>
      <c r="D912" s="322"/>
      <c r="E912" s="322"/>
      <c r="F912" s="322"/>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322"/>
      <c r="D913" s="322"/>
      <c r="E913" s="322"/>
      <c r="F913" s="322"/>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322"/>
      <c r="D914" s="322"/>
      <c r="E914" s="322"/>
      <c r="F914" s="322"/>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322"/>
      <c r="D915" s="322"/>
      <c r="E915" s="322"/>
      <c r="F915" s="322"/>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322"/>
      <c r="D916" s="322"/>
      <c r="E916" s="322"/>
      <c r="F916" s="322"/>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322"/>
      <c r="D917" s="322"/>
      <c r="E917" s="322"/>
      <c r="F917" s="322"/>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322"/>
      <c r="D918" s="322"/>
      <c r="E918" s="322"/>
      <c r="F918" s="322"/>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322"/>
      <c r="D919" s="322"/>
      <c r="E919" s="322"/>
      <c r="F919" s="322"/>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322"/>
      <c r="D920" s="322"/>
      <c r="E920" s="322"/>
      <c r="F920" s="322"/>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322"/>
      <c r="D921" s="322"/>
      <c r="E921" s="322"/>
      <c r="F921" s="322"/>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322"/>
      <c r="D922" s="322"/>
      <c r="E922" s="322"/>
      <c r="F922" s="322"/>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322"/>
      <c r="D923" s="322"/>
      <c r="E923" s="322"/>
      <c r="F923" s="322"/>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322"/>
      <c r="D924" s="322"/>
      <c r="E924" s="322"/>
      <c r="F924" s="322"/>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322"/>
      <c r="D925" s="322"/>
      <c r="E925" s="322"/>
      <c r="F925" s="322"/>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322"/>
      <c r="D926" s="322"/>
      <c r="E926" s="322"/>
      <c r="F926" s="322"/>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322"/>
      <c r="D927" s="322"/>
      <c r="E927" s="322"/>
      <c r="F927" s="322"/>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322"/>
      <c r="D928" s="322"/>
      <c r="E928" s="322"/>
      <c r="F928" s="322"/>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322"/>
      <c r="D929" s="322"/>
      <c r="E929" s="322"/>
      <c r="F929" s="322"/>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322"/>
      <c r="D930" s="322"/>
      <c r="E930" s="322"/>
      <c r="F930" s="322"/>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322"/>
      <c r="D931" s="322"/>
      <c r="E931" s="322"/>
      <c r="F931" s="322"/>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322"/>
      <c r="D932" s="322"/>
      <c r="E932" s="322"/>
      <c r="F932" s="322"/>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322"/>
      <c r="D933" s="322"/>
      <c r="E933" s="322"/>
      <c r="F933" s="322"/>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322"/>
      <c r="D934" s="322"/>
      <c r="E934" s="322"/>
      <c r="F934" s="322"/>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322"/>
      <c r="D935" s="322"/>
      <c r="E935" s="322"/>
      <c r="F935" s="322"/>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322"/>
      <c r="D936" s="322"/>
      <c r="E936" s="322"/>
      <c r="F936" s="322"/>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322"/>
      <c r="D937" s="322"/>
      <c r="E937" s="322"/>
      <c r="F937" s="322"/>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322"/>
      <c r="D938" s="322"/>
      <c r="E938" s="322"/>
      <c r="F938" s="322"/>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322"/>
      <c r="D939" s="322"/>
      <c r="E939" s="322"/>
      <c r="F939" s="322"/>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322"/>
      <c r="D940" s="322"/>
      <c r="E940" s="322"/>
      <c r="F940" s="322"/>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322"/>
      <c r="D941" s="322"/>
      <c r="E941" s="322"/>
      <c r="F941" s="322"/>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322"/>
      <c r="D942" s="322"/>
      <c r="E942" s="322"/>
      <c r="F942" s="322"/>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322"/>
      <c r="D943" s="322"/>
      <c r="E943" s="322"/>
      <c r="F943" s="322"/>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322"/>
      <c r="D944" s="322"/>
      <c r="E944" s="322"/>
      <c r="F944" s="322"/>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322"/>
      <c r="D945" s="322"/>
      <c r="E945" s="322"/>
      <c r="F945" s="322"/>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322"/>
      <c r="D946" s="322"/>
      <c r="E946" s="322"/>
      <c r="F946" s="322"/>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322"/>
      <c r="D947" s="322"/>
      <c r="E947" s="322"/>
      <c r="F947" s="322"/>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322"/>
      <c r="D948" s="322"/>
      <c r="E948" s="322"/>
      <c r="F948" s="322"/>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322"/>
      <c r="D949" s="322"/>
      <c r="E949" s="322"/>
      <c r="F949" s="322"/>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322"/>
      <c r="D950" s="322"/>
      <c r="E950" s="322"/>
      <c r="F950" s="322"/>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322"/>
      <c r="D951" s="322"/>
      <c r="E951" s="322"/>
      <c r="F951" s="322"/>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322"/>
      <c r="D952" s="322"/>
      <c r="E952" s="322"/>
      <c r="F952" s="322"/>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322"/>
      <c r="D953" s="322"/>
      <c r="E953" s="322"/>
      <c r="F953" s="322"/>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322"/>
      <c r="D954" s="322"/>
      <c r="E954" s="322"/>
      <c r="F954" s="322"/>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322"/>
      <c r="D955" s="322"/>
      <c r="E955" s="322"/>
      <c r="F955" s="322"/>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322"/>
      <c r="D956" s="322"/>
      <c r="E956" s="322"/>
      <c r="F956" s="322"/>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322"/>
      <c r="D957" s="322"/>
      <c r="E957" s="322"/>
      <c r="F957" s="322"/>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322"/>
      <c r="D958" s="322"/>
      <c r="E958" s="322"/>
      <c r="F958" s="322"/>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322"/>
      <c r="D959" s="322"/>
      <c r="E959" s="322"/>
      <c r="F959" s="322"/>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322"/>
      <c r="D960" s="322"/>
      <c r="E960" s="322"/>
      <c r="F960" s="322"/>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322"/>
      <c r="D961" s="322"/>
      <c r="E961" s="322"/>
      <c r="F961" s="322"/>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322"/>
      <c r="D962" s="322"/>
      <c r="E962" s="322"/>
      <c r="F962" s="322"/>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322"/>
      <c r="D963" s="322"/>
      <c r="E963" s="322"/>
      <c r="F963" s="322"/>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322"/>
      <c r="D964" s="322"/>
      <c r="E964" s="322"/>
      <c r="F964" s="322"/>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322"/>
      <c r="D965" s="322"/>
      <c r="E965" s="322"/>
      <c r="F965" s="322"/>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322"/>
      <c r="D966" s="322"/>
      <c r="E966" s="322"/>
      <c r="F966" s="322"/>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322"/>
      <c r="D967" s="322"/>
      <c r="E967" s="322"/>
      <c r="F967" s="322"/>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322"/>
      <c r="D968" s="322"/>
      <c r="E968" s="322"/>
      <c r="F968" s="322"/>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322"/>
      <c r="D969" s="322"/>
      <c r="E969" s="322"/>
      <c r="F969" s="322"/>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322"/>
      <c r="D970" s="322"/>
      <c r="E970" s="322"/>
      <c r="F970" s="322"/>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322"/>
      <c r="D971" s="322"/>
      <c r="E971" s="322"/>
      <c r="F971" s="322"/>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322"/>
      <c r="D972" s="322"/>
      <c r="E972" s="322"/>
      <c r="F972" s="322"/>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322"/>
      <c r="D973" s="322"/>
      <c r="E973" s="322"/>
      <c r="F973" s="322"/>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322"/>
      <c r="D974" s="322"/>
      <c r="E974" s="322"/>
      <c r="F974" s="322"/>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322"/>
      <c r="D975" s="322"/>
      <c r="E975" s="322"/>
      <c r="F975" s="322"/>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322"/>
      <c r="D976" s="322"/>
      <c r="E976" s="322"/>
      <c r="F976" s="322"/>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322"/>
      <c r="D977" s="322"/>
      <c r="E977" s="322"/>
      <c r="F977" s="322"/>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322"/>
      <c r="D978" s="322"/>
      <c r="E978" s="322"/>
      <c r="F978" s="322"/>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322"/>
      <c r="D979" s="322"/>
      <c r="E979" s="322"/>
      <c r="F979" s="322"/>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322"/>
      <c r="D980" s="322"/>
      <c r="E980" s="322"/>
      <c r="F980" s="322"/>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322"/>
      <c r="D981" s="322"/>
      <c r="E981" s="322"/>
      <c r="F981" s="322"/>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322"/>
      <c r="D982" s="322"/>
      <c r="E982" s="322"/>
      <c r="F982" s="322"/>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322"/>
      <c r="D983" s="322"/>
      <c r="E983" s="322"/>
      <c r="F983" s="322"/>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322"/>
      <c r="D984" s="322"/>
      <c r="E984" s="322"/>
      <c r="F984" s="322"/>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322"/>
      <c r="D985" s="322"/>
      <c r="E985" s="322"/>
      <c r="F985" s="322"/>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322"/>
      <c r="D986" s="322"/>
      <c r="E986" s="322"/>
      <c r="F986" s="322"/>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322"/>
      <c r="D987" s="322"/>
      <c r="E987" s="322"/>
      <c r="F987" s="322"/>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322"/>
      <c r="D988" s="322"/>
      <c r="E988" s="322"/>
      <c r="F988" s="322"/>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322"/>
      <c r="D989" s="322"/>
      <c r="E989" s="322"/>
      <c r="F989" s="322"/>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322"/>
      <c r="D990" s="322"/>
      <c r="E990" s="322"/>
      <c r="F990" s="322"/>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322"/>
      <c r="D991" s="322"/>
      <c r="E991" s="322"/>
      <c r="F991" s="322"/>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322"/>
      <c r="D992" s="322"/>
      <c r="E992" s="322"/>
      <c r="F992" s="322"/>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322"/>
      <c r="D993" s="322"/>
      <c r="E993" s="322"/>
      <c r="F993" s="322"/>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322"/>
      <c r="D994" s="322"/>
      <c r="E994" s="322"/>
      <c r="F994" s="322"/>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322"/>
      <c r="D995" s="322"/>
      <c r="E995" s="322"/>
      <c r="F995" s="322"/>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322"/>
      <c r="D996" s="322"/>
      <c r="E996" s="322"/>
      <c r="F996" s="322"/>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322"/>
      <c r="D997" s="322"/>
      <c r="E997" s="322"/>
      <c r="F997" s="322"/>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322"/>
      <c r="D998" s="322"/>
      <c r="E998" s="322"/>
      <c r="F998" s="322"/>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322"/>
      <c r="D999" s="322"/>
      <c r="E999" s="322"/>
      <c r="F999" s="322"/>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322"/>
      <c r="D1000" s="322"/>
      <c r="E1000" s="322"/>
      <c r="F1000" s="322"/>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G5:G26">
      <formula1>"Open,Verified,Closed"</formula1>
    </dataValidation>
  </dataValidation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1"/>
  <tableParts count="2">
    <tablePart r:id="rId4"/>
    <tablePart r:id="rId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309"/>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2.57"/>
    <col customWidth="1" min="2" max="2" width="17.57"/>
    <col customWidth="1" min="3" max="4" width="61.14"/>
    <col customWidth="1" min="5" max="5" width="37.0"/>
    <col customWidth="1" min="6" max="6" width="61.14"/>
    <col customWidth="1" min="7" max="7" width="14.71"/>
    <col customWidth="1" min="8" max="26" width="8.71"/>
  </cols>
  <sheetData>
    <row r="1" ht="25.5" customHeight="1">
      <c r="A1" s="307" t="s">
        <v>2620</v>
      </c>
      <c r="B1" s="307"/>
      <c r="C1" s="307"/>
      <c r="D1" s="307"/>
      <c r="E1" s="307"/>
      <c r="F1" s="307"/>
      <c r="G1" s="307"/>
    </row>
    <row r="2" ht="14.25" customHeight="1">
      <c r="A2" s="324" t="s">
        <v>2621</v>
      </c>
    </row>
    <row r="3" ht="14.25" customHeight="1"/>
    <row r="4" ht="14.25" customHeight="1">
      <c r="A4" s="58" t="s">
        <v>2622</v>
      </c>
    </row>
    <row r="5" ht="14.25" customHeight="1">
      <c r="A5" s="325" t="s">
        <v>2623</v>
      </c>
      <c r="B5" s="325" t="s">
        <v>2624</v>
      </c>
      <c r="C5" s="325" t="s">
        <v>2625</v>
      </c>
      <c r="D5" s="325" t="s">
        <v>308</v>
      </c>
    </row>
    <row r="6" ht="14.25" customHeight="1">
      <c r="A6" s="312" t="s">
        <v>1596</v>
      </c>
      <c r="B6" s="312" t="s">
        <v>2626</v>
      </c>
      <c r="C6" s="326">
        <v>1500.0</v>
      </c>
      <c r="D6" s="312"/>
    </row>
    <row r="7" ht="14.25" customHeight="1">
      <c r="A7" s="312" t="s">
        <v>1714</v>
      </c>
      <c r="B7" s="312" t="s">
        <v>2626</v>
      </c>
      <c r="C7" s="326"/>
      <c r="D7" s="312" t="s">
        <v>2627</v>
      </c>
    </row>
    <row r="8" ht="14.25" customHeight="1">
      <c r="A8" s="312" t="s">
        <v>1625</v>
      </c>
      <c r="B8" s="312" t="s">
        <v>2626</v>
      </c>
      <c r="C8" s="326">
        <v>3050.0</v>
      </c>
      <c r="D8" s="312" t="s">
        <v>2628</v>
      </c>
    </row>
    <row r="9" ht="14.25" customHeight="1">
      <c r="A9" s="312" t="s">
        <v>2629</v>
      </c>
      <c r="B9" s="312" t="s">
        <v>2626</v>
      </c>
      <c r="C9" s="326"/>
      <c r="D9" s="312"/>
    </row>
    <row r="10" ht="14.25" customHeight="1">
      <c r="A10" s="312" t="s">
        <v>1617</v>
      </c>
      <c r="B10" s="312" t="s">
        <v>2626</v>
      </c>
      <c r="C10" s="326"/>
      <c r="D10" s="312"/>
    </row>
    <row r="11" ht="14.25" customHeight="1">
      <c r="A11" s="312" t="s">
        <v>2630</v>
      </c>
      <c r="B11" s="312" t="s">
        <v>2631</v>
      </c>
      <c r="C11" s="326"/>
      <c r="D11" s="312" t="s">
        <v>2627</v>
      </c>
    </row>
    <row r="12" ht="14.25" customHeight="1">
      <c r="A12" s="312" t="s">
        <v>1645</v>
      </c>
      <c r="B12" s="312" t="s">
        <v>348</v>
      </c>
      <c r="C12" s="326">
        <v>275.0</v>
      </c>
      <c r="D12" s="312"/>
    </row>
    <row r="13" ht="14.25" customHeight="1">
      <c r="A13" s="312" t="s">
        <v>1187</v>
      </c>
      <c r="B13" s="312" t="s">
        <v>348</v>
      </c>
      <c r="C13" s="326"/>
      <c r="D13" s="312"/>
    </row>
    <row r="14" ht="14.25" customHeight="1">
      <c r="A14" s="312" t="s">
        <v>1696</v>
      </c>
      <c r="B14" s="312" t="s">
        <v>869</v>
      </c>
      <c r="C14" s="326"/>
      <c r="D14" s="312" t="s">
        <v>2632</v>
      </c>
    </row>
    <row r="15" ht="14.25" customHeight="1">
      <c r="A15" s="312" t="s">
        <v>2633</v>
      </c>
      <c r="B15" s="312" t="s">
        <v>2634</v>
      </c>
      <c r="C15" s="326"/>
      <c r="D15" s="312"/>
    </row>
    <row r="16" ht="14.25" customHeight="1">
      <c r="A16" s="312" t="s">
        <v>2635</v>
      </c>
      <c r="B16" s="312" t="s">
        <v>2634</v>
      </c>
      <c r="C16" s="326"/>
      <c r="D16" s="312"/>
    </row>
    <row r="17" ht="14.25" customHeight="1"/>
    <row r="18" ht="14.25" customHeight="1">
      <c r="A18" s="58" t="s">
        <v>2636</v>
      </c>
    </row>
    <row r="19" ht="14.25" customHeight="1">
      <c r="A19" s="325" t="s">
        <v>1585</v>
      </c>
      <c r="B19" s="325" t="s">
        <v>2624</v>
      </c>
      <c r="C19" s="325" t="s">
        <v>2637</v>
      </c>
      <c r="D19" s="325" t="s">
        <v>2638</v>
      </c>
      <c r="E19" s="325" t="s">
        <v>2639</v>
      </c>
      <c r="F19" s="325" t="s">
        <v>2640</v>
      </c>
      <c r="G19" s="325" t="s">
        <v>2641</v>
      </c>
    </row>
    <row r="20" ht="14.25" customHeight="1">
      <c r="A20" s="327" t="s">
        <v>1604</v>
      </c>
      <c r="B20" s="327" t="s">
        <v>2626</v>
      </c>
      <c r="C20" s="327" t="s">
        <v>2642</v>
      </c>
      <c r="D20" s="327"/>
      <c r="E20" s="327" t="s">
        <v>2643</v>
      </c>
      <c r="F20" s="327" t="s">
        <v>2644</v>
      </c>
      <c r="G20" s="327" t="s">
        <v>543</v>
      </c>
    </row>
    <row r="21" ht="14.25" customHeight="1">
      <c r="A21" s="327" t="s">
        <v>2645</v>
      </c>
      <c r="B21" s="327" t="s">
        <v>2626</v>
      </c>
      <c r="C21" s="327" t="s">
        <v>2646</v>
      </c>
      <c r="D21" s="327"/>
      <c r="E21" s="327" t="s">
        <v>2643</v>
      </c>
      <c r="F21" s="327" t="s">
        <v>2644</v>
      </c>
      <c r="G21" s="327" t="s">
        <v>543</v>
      </c>
    </row>
    <row r="22" ht="14.25" customHeight="1">
      <c r="A22" s="327" t="s">
        <v>2647</v>
      </c>
      <c r="B22" s="327" t="s">
        <v>2626</v>
      </c>
      <c r="C22" s="327" t="s">
        <v>2648</v>
      </c>
      <c r="D22" s="327" t="s">
        <v>2649</v>
      </c>
      <c r="E22" s="327" t="s">
        <v>2650</v>
      </c>
      <c r="F22" s="327" t="s">
        <v>2644</v>
      </c>
      <c r="G22" s="327" t="s">
        <v>543</v>
      </c>
    </row>
    <row r="23" ht="14.25" customHeight="1">
      <c r="A23" s="327" t="s">
        <v>2630</v>
      </c>
      <c r="B23" s="327" t="s">
        <v>2631</v>
      </c>
      <c r="C23" s="327" t="s">
        <v>2651</v>
      </c>
      <c r="D23" s="327"/>
      <c r="E23" s="327" t="s">
        <v>2652</v>
      </c>
      <c r="F23" s="327" t="s">
        <v>2653</v>
      </c>
      <c r="G23" s="327" t="s">
        <v>687</v>
      </c>
    </row>
    <row r="24" ht="14.25" customHeight="1">
      <c r="A24" s="327" t="s">
        <v>348</v>
      </c>
      <c r="B24" s="327" t="s">
        <v>348</v>
      </c>
      <c r="C24" s="327" t="s">
        <v>2654</v>
      </c>
      <c r="D24" s="327" t="s">
        <v>2655</v>
      </c>
      <c r="E24" s="327" t="s">
        <v>2656</v>
      </c>
      <c r="F24" s="327" t="s">
        <v>2657</v>
      </c>
      <c r="G24" s="327" t="s">
        <v>687</v>
      </c>
    </row>
    <row r="25" ht="14.25" customHeight="1">
      <c r="A25" s="327" t="s">
        <v>367</v>
      </c>
      <c r="B25" s="327" t="s">
        <v>869</v>
      </c>
      <c r="C25" s="327" t="s">
        <v>2658</v>
      </c>
      <c r="D25" s="327"/>
      <c r="E25" s="327" t="s">
        <v>2659</v>
      </c>
      <c r="F25" s="327" t="s">
        <v>2660</v>
      </c>
      <c r="G25" s="327" t="s">
        <v>687</v>
      </c>
    </row>
    <row r="26" ht="14.25" customHeight="1">
      <c r="A26" s="327" t="s">
        <v>2661</v>
      </c>
      <c r="B26" s="327" t="s">
        <v>2634</v>
      </c>
      <c r="C26" s="327" t="s">
        <v>2662</v>
      </c>
      <c r="D26" s="327"/>
      <c r="E26" s="327" t="s">
        <v>2663</v>
      </c>
      <c r="F26" s="327" t="s">
        <v>2664</v>
      </c>
      <c r="G26" s="327" t="s">
        <v>543</v>
      </c>
    </row>
    <row r="27" ht="14.25" customHeight="1"/>
    <row r="28" ht="14.25" customHeight="1">
      <c r="A28" s="324" t="s">
        <v>2665</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fitToHeight="0" paperSize="9" orientation="landscape"/>
  <drawing r:id="rId1"/>
  <tableParts count="2">
    <tablePart r:id="rId4"/>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309"/>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7.71"/>
    <col customWidth="1" min="2" max="2" width="2.29"/>
    <col customWidth="1" min="3" max="3" width="46.29"/>
    <col customWidth="1" min="4" max="4" width="2.29"/>
    <col customWidth="1" min="5" max="5" width="27.71"/>
    <col customWidth="1" min="6" max="6" width="2.29"/>
    <col customWidth="1" min="7" max="7" width="46.29"/>
    <col customWidth="1" min="8" max="8" width="2.29"/>
    <col customWidth="1" min="9" max="9" width="27.71"/>
    <col customWidth="1" min="10" max="10" width="2.29"/>
    <col customWidth="1" min="11" max="11" width="46.29"/>
    <col customWidth="1" min="12" max="12" width="2.29"/>
    <col customWidth="1" min="13" max="13" width="27.71"/>
    <col customWidth="1" min="14" max="14" width="8.71"/>
    <col customWidth="1" min="15" max="15" width="29.71"/>
    <col customWidth="1" min="16" max="16" width="42.57"/>
    <col customWidth="1" min="17" max="17" width="8.71"/>
    <col customWidth="1" min="18" max="18" width="48.14"/>
    <col customWidth="1" min="19" max="19" width="8.71"/>
    <col customWidth="1" min="20" max="20" width="42.57"/>
    <col customWidth="1" min="21" max="21" width="37.0"/>
    <col customWidth="1" min="22" max="22" width="51.86"/>
    <col customWidth="1" min="23" max="23" width="8.71"/>
    <col customWidth="1" min="24" max="24" width="20.29"/>
    <col customWidth="1" min="25" max="25" width="59.29"/>
    <col customWidth="1" min="26" max="26" width="37.0"/>
    <col customWidth="1" min="27" max="29" width="8.71"/>
    <col customWidth="1" min="30" max="30" width="35.29"/>
    <col customWidth="1" min="31" max="31" width="8.71"/>
    <col customWidth="1" min="32" max="32" width="42.57"/>
    <col customWidth="1" min="33" max="33" width="55.57"/>
    <col customWidth="1" min="34" max="34" width="77.71"/>
    <col customWidth="1" min="35" max="35" width="16.71"/>
    <col customWidth="1" min="36" max="36" width="8.71"/>
    <col customWidth="1" min="37" max="37" width="48.14"/>
    <col customWidth="1" min="38" max="38" width="8.71"/>
    <col customWidth="1" min="39" max="43" width="27.71"/>
  </cols>
  <sheetData>
    <row r="1" ht="25.5" customHeight="1">
      <c r="A1" s="307" t="s">
        <v>2666</v>
      </c>
      <c r="B1" s="307"/>
      <c r="C1" s="307"/>
      <c r="D1" s="307"/>
      <c r="E1" s="307"/>
      <c r="F1" s="307"/>
      <c r="G1" s="307"/>
      <c r="H1" s="307"/>
      <c r="I1" s="307"/>
      <c r="J1" s="307"/>
      <c r="K1" s="307"/>
      <c r="L1" s="307"/>
      <c r="M1" s="307"/>
    </row>
    <row r="2" ht="14.25" customHeight="1">
      <c r="A2" s="324" t="s">
        <v>2667</v>
      </c>
    </row>
    <row r="3" ht="14.25" customHeight="1">
      <c r="T3" s="58" t="s">
        <v>2668</v>
      </c>
      <c r="AF3" s="58" t="s">
        <v>2669</v>
      </c>
    </row>
    <row r="4" ht="14.25" customHeight="1">
      <c r="A4" s="325" t="s">
        <v>177</v>
      </c>
      <c r="C4" s="325" t="s">
        <v>963</v>
      </c>
      <c r="E4" s="325" t="s">
        <v>397</v>
      </c>
      <c r="G4" s="325" t="s">
        <v>500</v>
      </c>
      <c r="I4" s="325" t="s">
        <v>205</v>
      </c>
      <c r="K4" s="325" t="s">
        <v>2670</v>
      </c>
      <c r="M4" s="325" t="s">
        <v>1865</v>
      </c>
      <c r="O4" s="328" t="s">
        <v>2671</v>
      </c>
      <c r="P4" s="88"/>
      <c r="R4" s="329" t="s">
        <v>2672</v>
      </c>
      <c r="T4" s="325" t="s">
        <v>2673</v>
      </c>
      <c r="U4" s="325" t="s">
        <v>2674</v>
      </c>
      <c r="V4" s="325" t="s">
        <v>2675</v>
      </c>
      <c r="X4" s="329" t="s">
        <v>2676</v>
      </c>
      <c r="Y4" s="329" t="s">
        <v>2677</v>
      </c>
      <c r="Z4" s="329" t="s">
        <v>218</v>
      </c>
      <c r="AA4" s="329" t="s">
        <v>219</v>
      </c>
      <c r="AB4" s="329" t="s">
        <v>220</v>
      </c>
      <c r="AC4" s="329" t="s">
        <v>221</v>
      </c>
      <c r="AD4" s="329" t="s">
        <v>3</v>
      </c>
      <c r="AF4" s="325" t="s">
        <v>2673</v>
      </c>
      <c r="AG4" s="325" t="s">
        <v>2678</v>
      </c>
      <c r="AH4" s="325" t="s">
        <v>2679</v>
      </c>
      <c r="AI4" s="325" t="s">
        <v>2680</v>
      </c>
      <c r="AK4" s="330" t="s">
        <v>2681</v>
      </c>
      <c r="AM4" s="325" t="s">
        <v>394</v>
      </c>
      <c r="AO4" s="325" t="s">
        <v>2682</v>
      </c>
      <c r="AQ4" s="325" t="s">
        <v>400</v>
      </c>
    </row>
    <row r="5" ht="14.25" customHeight="1">
      <c r="A5" s="312" t="s">
        <v>212</v>
      </c>
      <c r="C5" s="312" t="s">
        <v>971</v>
      </c>
      <c r="E5" s="312" t="s">
        <v>1225</v>
      </c>
      <c r="G5" s="312" t="s">
        <v>568</v>
      </c>
      <c r="I5" s="312" t="s">
        <v>904</v>
      </c>
      <c r="K5" s="312" t="s">
        <v>2683</v>
      </c>
      <c r="M5" s="312" t="s">
        <v>2684</v>
      </c>
      <c r="O5" s="331" t="s">
        <v>2685</v>
      </c>
      <c r="P5" s="332" t="s">
        <v>2686</v>
      </c>
      <c r="R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Clearances'!$A$4:$Q$4)),FALSE)),ROWS(R$5:R5)))&amp;""  –  ""&amp;INDEX('Chemical Clearances'!$D$5:$D$169,MATCH(INDEX('Chemical Clearances'!$B$5:$B$169,LARGE(FILTER((ROW('Chemical Clearances'!$B$5:$B$169)-ROW('Ch"&amp;"emical Clearances'!$A$4:$Q$4)),IFERROR((MATCH('Chemical Clearances'!$B$5:$B$169,'Chemical Clearances'!$B$5:$B$169,0)=ROW('Chemical Clearances'!$B$5:$B$169)-ROW('Chemical Clearances'!$A$4:$Q$4)),FALSE)),ROWS(R$5:R5))),'Chemical Clearances'!$B$5:$B$169,0)),"&amp;""""")), 1, 1)"),"CLN-147  –  Supreme Liberia Inc.")</f>
        <v>CLN-147  –  Supreme Liberia Inc.</v>
      </c>
      <c r="T5" s="312" t="s">
        <v>572</v>
      </c>
      <c r="U5" s="312" t="s">
        <v>2687</v>
      </c>
      <c r="V5" s="312" t="s">
        <v>2688</v>
      </c>
      <c r="X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 1, 1)"),"BN-2026-020")</f>
        <v>BN-2026-020</v>
      </c>
      <c r="Y5" s="333" t="str">
        <f t="array" ref="Y5">IF(X5="","",X5&amp;"  –  "&amp;INDEX('Bills &amp; Invoices'!$D$5:$D$32,MATCH(X5,'Bills &amp; Invoices'!$B$5:$B$32,0))&amp;"  –  $"&amp;TEXT(SUMIFS('Bills &amp; Invoices'!$J$5:$J$32,'Bills &amp; Invoices'!$B$5:$B$32,X5),"#,##0"))</f>
        <v>BN-2026-020  –  Liberia Agriculture Company (LAC)  –  $1,500</v>
      </c>
      <c r="Z5" s="333" t="str">
        <f t="array" ref="Z5">IF(X5="","",INDEX('Bills &amp; Invoices'!$D$5:$D$32,MATCH(X5,'Bills &amp; Invoices'!$B$5:$B$32,0)))</f>
        <v>Liberia Agriculture Company (LAC)</v>
      </c>
      <c r="AA5" s="334">
        <f t="array" ref="AA5">IF(X5="","",INDEX('Bills &amp; Invoices'!$K$5:$K$32,MATCH(X5,'Bills &amp; Invoices'!$B$5:$B$32,0)))</f>
        <v>46065</v>
      </c>
      <c r="AB5" s="335">
        <f>IF(X5="","",SUMIFS('Bills &amp; Invoices'!$J$5:$J$32,'Bills &amp; Invoices'!$B$5:$B$32,X5))</f>
        <v>1500</v>
      </c>
      <c r="AC5" s="335">
        <f>IF(X5="","",SUMIFS('Payments &amp; Receipts'!$F$5:$F$58,'Payments &amp; Receipts'!$L$5:$L$58,X5))</f>
        <v>0</v>
      </c>
      <c r="AD5" s="333" t="str">
        <f t="array" ref="AD5">IF(X5="","",INDEX('Bills &amp; Invoices'!$U$5:$U$32,MATCH(X5,'Bills &amp; Invoices'!$B$5:$B$32,0)))</f>
        <v>Paid (company account)</v>
      </c>
      <c r="AF5" s="312" t="s">
        <v>572</v>
      </c>
      <c r="AG5" s="312" t="s">
        <v>2689</v>
      </c>
      <c r="AH5" s="312" t="s">
        <v>2690</v>
      </c>
      <c r="AI5" s="312" t="s">
        <v>2691</v>
      </c>
      <c r="AK5" s="24" t="str">
        <f>IFERROR(__xludf.DUMMYFUNCTION("IFERROR(FILTER('Fee Schedule'!$A$6:$A$16,'Fee Schedule'!$B$6:$B$16=IFERROR(INDEX('Fee Schedule'!$B$20:$B$26,MATCH('Bill Form'!$C$8,'Fee Schedule'!$A$20:$A$26,0)),""#none"")),""(choose Bill Type first)"")"),"(choose Bill Type first)")</f>
        <v>(choose Bill Type first)</v>
      </c>
      <c r="AM5" s="312" t="s">
        <v>2692</v>
      </c>
      <c r="AO5" s="312" t="s">
        <v>2693</v>
      </c>
      <c r="AQ5" s="312" t="s">
        <v>2694</v>
      </c>
    </row>
    <row r="6" ht="14.25" customHeight="1">
      <c r="A6" s="312" t="s">
        <v>240</v>
      </c>
      <c r="C6" s="312" t="s">
        <v>757</v>
      </c>
      <c r="E6" s="312" t="s">
        <v>1679</v>
      </c>
      <c r="G6" s="312" t="s">
        <v>587</v>
      </c>
      <c r="I6" s="312" t="s">
        <v>801</v>
      </c>
      <c r="K6" s="312" t="s">
        <v>1714</v>
      </c>
      <c r="M6" s="312" t="s">
        <v>1877</v>
      </c>
      <c r="O6" s="331" t="s">
        <v>2695</v>
      </c>
      <c r="P6" s="332" t="s">
        <v>2696</v>
      </c>
      <c r="R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Clearances'!$A$4:$Q$4)),FALSE)),ROWS(R$5:R6)))&amp;""  –  ""&amp;INDEX('Chemical Clearances'!$D$5:$D$169,MATCH(INDEX('Chemical Clearances'!$B$5:$B$169,LARGE(FILTER((ROW('Chemical Clearances'!$B$5:$B$169)-ROW('Ch"&amp;"emical Clearances'!$A$4:$Q$4)),IFERROR((MATCH('Chemical Clearances'!$B$5:$B$169,'Chemical Clearances'!$B$5:$B$169,0)=ROW('Chemical Clearances'!$B$5:$B$169)-ROW('Chemical Clearances'!$A$4:$Q$4)),FALSE)),ROWS(R$5:R6))),'Chemical Clearances'!$B$5:$B$169,0)),"&amp;""""")), 1, 1)"),"CLN-146  –  Pee Kay Enterprises")</f>
        <v>CLN-146  –  Pee Kay Enterprises</v>
      </c>
      <c r="T6" s="312" t="s">
        <v>2697</v>
      </c>
      <c r="U6" s="312" t="s">
        <v>2686</v>
      </c>
      <c r="V6" s="312" t="s">
        <v>2698</v>
      </c>
      <c r="X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 1, 1)"),"BN-2026-019")</f>
        <v>BN-2026-019</v>
      </c>
      <c r="Y6" s="333" t="str">
        <f t="array" ref="Y6">IF(X6="","",X6&amp;"  –  "&amp;INDEX('Bills &amp; Invoices'!$D$5:$D$32,MATCH(X6,'Bills &amp; Invoices'!$B$5:$B$32,0))&amp;"  –  $"&amp;TEXT(SUMIFS('Bills &amp; Invoices'!$J$5:$J$32,'Bills &amp; Invoices'!$B$5:$B$32,X6),"#,##0"))</f>
        <v>BN-2026-019  –  REAT Liberia  –  $1,500</v>
      </c>
      <c r="Z6" s="333" t="str">
        <f t="array" ref="Z6">IF(X6="","",INDEX('Bills &amp; Invoices'!$D$5:$D$32,MATCH(X6,'Bills &amp; Invoices'!$B$5:$B$32,0)))</f>
        <v>REAT Liberia</v>
      </c>
      <c r="AA6" s="334">
        <f t="array" ref="AA6">IF(X6="","",INDEX('Bills &amp; Invoices'!$K$5:$K$32,MATCH(X6,'Bills &amp; Invoices'!$B$5:$B$32,0)))</f>
        <v>46064</v>
      </c>
      <c r="AB6" s="335">
        <f>IF(X6="","",SUMIFS('Bills &amp; Invoices'!$J$5:$J$32,'Bills &amp; Invoices'!$B$5:$B$32,X6))</f>
        <v>1500</v>
      </c>
      <c r="AC6" s="335">
        <f>IF(X6="","",SUMIFS('Payments &amp; Receipts'!$F$5:$F$58,'Payments &amp; Receipts'!$L$5:$L$58,X6))</f>
        <v>0</v>
      </c>
      <c r="AD6" s="333" t="str">
        <f t="array" ref="AD6">IF(X6="","",INDEX('Bills &amp; Invoices'!$U$5:$U$32,MATCH(X6,'Bills &amp; Invoices'!$B$5:$B$32,0)))</f>
        <v>Unpaid</v>
      </c>
      <c r="AF6" s="312" t="s">
        <v>2697</v>
      </c>
      <c r="AG6" s="312" t="s">
        <v>2699</v>
      </c>
      <c r="AH6" s="312"/>
      <c r="AI6" s="312"/>
      <c r="AM6" s="312" t="s">
        <v>2700</v>
      </c>
      <c r="AO6" s="312" t="s">
        <v>2701</v>
      </c>
      <c r="AQ6" s="312" t="s">
        <v>2702</v>
      </c>
    </row>
    <row r="7" ht="14.25" customHeight="1">
      <c r="A7" s="312" t="s">
        <v>293</v>
      </c>
      <c r="C7" s="312" t="s">
        <v>1139</v>
      </c>
      <c r="E7" s="312" t="s">
        <v>1464</v>
      </c>
      <c r="G7" s="312" t="s">
        <v>539</v>
      </c>
      <c r="I7" s="312" t="s">
        <v>842</v>
      </c>
      <c r="K7" s="312" t="s">
        <v>2703</v>
      </c>
      <c r="M7" s="312" t="s">
        <v>2203</v>
      </c>
      <c r="O7" s="331" t="s">
        <v>2704</v>
      </c>
      <c r="P7" s="332" t="s">
        <v>2687</v>
      </c>
      <c r="R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Clearances'!$A$4:$Q$4)),FALSE)),ROWS(R$5:R7)))&amp;""  –  ""&amp;INDEX('Chemical Clearances'!$D$5:$D$169,MATCH(INDEX('Chemical Clearances'!$B$5:$B$169,LARGE(FILTER((ROW('Chemical Clearances'!$B$5:$B$169)-ROW('Ch"&amp;"emical Clearances'!$A$4:$Q$4)),IFERROR((MATCH('Chemical Clearances'!$B$5:$B$169,'Chemical Clearances'!$B$5:$B$169,0)=ROW('Chemical Clearances'!$B$5:$B$169)-ROW('Chemical Clearances'!$A$4:$Q$4)),FALSE)),ROWS(R$5:R7))),'Chemical Clearances'!$B$5:$B$169,0)),"&amp;""""")), 1, 1)"),"CLN-145  –  MNG Gold Liberia Inc.")</f>
        <v>CLN-145  –  MNG Gold Liberia Inc.</v>
      </c>
      <c r="T7" s="312" t="s">
        <v>2705</v>
      </c>
      <c r="U7" s="312" t="s">
        <v>2706</v>
      </c>
      <c r="V7" s="312" t="s">
        <v>2707</v>
      </c>
      <c r="X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 1, 1)"),"BN-2026-018")</f>
        <v>BN-2026-018</v>
      </c>
      <c r="Y7" s="333" t="str">
        <f t="array" ref="Y7">IF(X7="","",X7&amp;"  –  "&amp;INDEX('Bills &amp; Invoices'!$D$5:$D$32,MATCH(X7,'Bills &amp; Invoices'!$B$5:$B$32,0))&amp;"  –  $"&amp;TEXT(SUMIFS('Bills &amp; Invoices'!$J$5:$J$32,'Bills &amp; Invoices'!$B$5:$B$32,X7),"#,##0"))</f>
        <v>BN-2026-018  –  MAXAM Liberia JV Inc.  –  $1,950</v>
      </c>
      <c r="Z7" s="333" t="str">
        <f t="array" ref="Z7">IF(X7="","",INDEX('Bills &amp; Invoices'!$D$5:$D$32,MATCH(X7,'Bills &amp; Invoices'!$B$5:$B$32,0)))</f>
        <v>MAXAM Liberia JV Inc.</v>
      </c>
      <c r="AA7" s="334">
        <f t="array" ref="AA7">IF(X7="","",INDEX('Bills &amp; Invoices'!$K$5:$K$32,MATCH(X7,'Bills &amp; Invoices'!$B$5:$B$32,0)))</f>
        <v>46063</v>
      </c>
      <c r="AB7" s="335">
        <f>IF(X7="","",SUMIFS('Bills &amp; Invoices'!$J$5:$J$32,'Bills &amp; Invoices'!$B$5:$B$32,X7))</f>
        <v>1950</v>
      </c>
      <c r="AC7" s="335">
        <f>IF(X7="","",SUMIFS('Payments &amp; Receipts'!$F$5:$F$58,'Payments &amp; Receipts'!$L$5:$L$58,X7))</f>
        <v>0</v>
      </c>
      <c r="AD7" s="333" t="str">
        <f t="array" ref="AD7">IF(X7="","",INDEX('Bills &amp; Invoices'!$U$5:$U$32,MATCH(X7,'Bills &amp; Invoices'!$B$5:$B$32,0)))</f>
        <v>Paid (company account)</v>
      </c>
      <c r="AF7" s="312" t="s">
        <v>2705</v>
      </c>
      <c r="AG7" s="312" t="s">
        <v>2708</v>
      </c>
      <c r="AH7" s="312" t="s">
        <v>2709</v>
      </c>
      <c r="AI7" s="312" t="s">
        <v>2710</v>
      </c>
      <c r="AM7" s="312" t="s">
        <v>2711</v>
      </c>
      <c r="AO7" s="312" t="s">
        <v>2712</v>
      </c>
      <c r="AQ7" s="312" t="s">
        <v>2713</v>
      </c>
    </row>
    <row r="8" ht="14.25" customHeight="1">
      <c r="A8" s="312" t="s">
        <v>309</v>
      </c>
      <c r="C8" s="312" t="s">
        <v>1133</v>
      </c>
      <c r="E8" s="312" t="s">
        <v>1916</v>
      </c>
      <c r="G8" s="312" t="s">
        <v>593</v>
      </c>
      <c r="I8" s="312" t="s">
        <v>846</v>
      </c>
      <c r="K8" s="312" t="s">
        <v>2714</v>
      </c>
      <c r="M8" s="312" t="s">
        <v>2230</v>
      </c>
      <c r="O8" s="331" t="s">
        <v>2715</v>
      </c>
      <c r="P8" s="332" t="s">
        <v>2688</v>
      </c>
      <c r="R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Clearances'!$A$4:$Q$4)),FALSE)),ROWS(R$5:R8)))&amp;""  –  ""&amp;INDEX('Chemical Clearances'!$D$5:$D$169,MATCH(INDEX('Chemical Clearances'!$B$5:$B$169,LARGE(FILTER((ROW('Chemical Clearances'!$B$5:$B$169)-ROW('Ch"&amp;"emical Clearances'!$A$4:$Q$4)),IFERROR((MATCH('Chemical Clearances'!$B$5:$B$169,'Chemical Clearances'!$B$5:$B$169,0)=ROW('Chemical Clearances'!$B$5:$B$169)-ROW('Chemical Clearances'!$A$4:$Q$4)),FALSE)),ROWS(R$5:R8))),'Chemical Clearances'!$B$5:$B$169,0)),"&amp;""""")), 1, 1)"),"CLN-144  –  Mano Manufacturing Company (MANCO)")</f>
        <v>CLN-144  –  Mano Manufacturing Company (MANCO)</v>
      </c>
      <c r="X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 1, 1)"),"BN-2026-017")</f>
        <v>BN-2026-017</v>
      </c>
      <c r="Y8" s="333" t="str">
        <f t="array" ref="Y8">IF(X8="","",X8&amp;"  –  "&amp;INDEX('Bills &amp; Invoices'!$D$5:$D$32,MATCH(X8,'Bills &amp; Invoices'!$B$5:$B$32,0))&amp;"  –  $"&amp;TEXT(SUMIFS('Bills &amp; Invoices'!$J$5:$J$32,'Bills &amp; Invoices'!$B$5:$B$32,X8),"#,##0"))</f>
        <v>BN-2026-017  –  Kwado Energy  –  $1,500</v>
      </c>
      <c r="Z8" s="333" t="str">
        <f t="array" ref="Z8">IF(X8="","",INDEX('Bills &amp; Invoices'!$D$5:$D$32,MATCH(X8,'Bills &amp; Invoices'!$B$5:$B$32,0)))</f>
        <v>Kwado Energy</v>
      </c>
      <c r="AA8" s="334">
        <f t="array" ref="AA8">IF(X8="","",INDEX('Bills &amp; Invoices'!$K$5:$K$32,MATCH(X8,'Bills &amp; Invoices'!$B$5:$B$32,0)))</f>
        <v>46065</v>
      </c>
      <c r="AB8" s="335">
        <f>IF(X8="","",SUMIFS('Bills &amp; Invoices'!$J$5:$J$32,'Bills &amp; Invoices'!$B$5:$B$32,X8))</f>
        <v>1500</v>
      </c>
      <c r="AC8" s="335">
        <f>IF(X8="","",SUMIFS('Payments &amp; Receipts'!$F$5:$F$58,'Payments &amp; Receipts'!$L$5:$L$58,X8))</f>
        <v>0</v>
      </c>
      <c r="AD8" s="333" t="str">
        <f t="array" ref="AD8">IF(X8="","",INDEX('Bills &amp; Invoices'!$U$5:$U$32,MATCH(X8,'Bills &amp; Invoices'!$B$5:$B$32,0)))</f>
        <v>Unpaid</v>
      </c>
      <c r="AM8" s="312" t="s">
        <v>2809</v>
      </c>
      <c r="AO8" s="312" t="s">
        <v>2810</v>
      </c>
      <c r="AQ8" s="312" t="s">
        <v>2811</v>
      </c>
    </row>
    <row r="9" ht="14.25" customHeight="1">
      <c r="A9" s="312" t="s">
        <v>348</v>
      </c>
      <c r="C9" s="312" t="s">
        <v>1180</v>
      </c>
      <c r="G9" s="312" t="s">
        <v>599</v>
      </c>
      <c r="I9" s="312" t="s">
        <v>757</v>
      </c>
      <c r="K9" s="312" t="s">
        <v>2814</v>
      </c>
      <c r="O9" s="331" t="s">
        <v>2815</v>
      </c>
      <c r="P9" s="332" t="s">
        <v>2817</v>
      </c>
      <c r="R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Clearances'!$A$4:$Q$4)),FALSE)),ROWS(R$5:R9)))&amp;""  –  ""&amp;INDEX('Chemical Clearances'!$D$5:$D$169,MATCH(INDEX('Chemical Clearances'!$B$5:$B$169,LARGE(FILTER((ROW('Chemical Clearances'!$B$5:$B$169)-ROW('Ch"&amp;"emical Clearances'!$A$4:$Q$4)),IFERROR((MATCH('Chemical Clearances'!$B$5:$B$169,'Chemical Clearances'!$B$5:$B$169,0)=ROW('Chemical Clearances'!$B$5:$B$169)-ROW('Chemical Clearances'!$A$4:$Q$4)),FALSE)),ROWS(R$5:R9))),'Chemical Clearances'!$B$5:$B$169,0)),"&amp;""""")), 1, 1)"),"CLN-143  –  Mano Manufacturing Company (MANCO)")</f>
        <v>CLN-143  –  Mano Manufacturing Company (MANCO)</v>
      </c>
      <c r="X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 1, 1)"),"BN-2026-016")</f>
        <v>BN-2026-016</v>
      </c>
      <c r="Y9" s="333" t="str">
        <f t="array" ref="Y9">IF(X9="","",X9&amp;"  –  "&amp;INDEX('Bills &amp; Invoices'!$D$5:$D$32,MATCH(X9,'Bills &amp; Invoices'!$B$5:$B$32,0))&amp;"  –  $"&amp;TEXT(SUMIFS('Bills &amp; Invoices'!$J$5:$J$32,'Bills &amp; Invoices'!$B$5:$B$32,X9),"#,##0"))</f>
        <v>BN-2026-016  –  Madina Rock Quarry Inc.  –  $4,550</v>
      </c>
      <c r="Z9" s="333" t="str">
        <f t="array" ref="Z9">IF(X9="","",INDEX('Bills &amp; Invoices'!$D$5:$D$32,MATCH(X9,'Bills &amp; Invoices'!$B$5:$B$32,0)))</f>
        <v>Madina Rock Quarry Inc.</v>
      </c>
      <c r="AA9" s="334" t="str">
        <f t="array" ref="AA9">IF(X9="","",INDEX('Bills &amp; Invoices'!$K$5:$K$32,MATCH(X9,'Bills &amp; Invoices'!$B$5:$B$32,0)))</f>
        <v/>
      </c>
      <c r="AB9" s="335">
        <f>IF(X9="","",SUMIFS('Bills &amp; Invoices'!$J$5:$J$32,'Bills &amp; Invoices'!$B$5:$B$32,X9))</f>
        <v>4550</v>
      </c>
      <c r="AC9" s="335">
        <f>IF(X9="","",SUMIFS('Payments &amp; Receipts'!$F$5:$F$58,'Payments &amp; Receipts'!$L$5:$L$58,X9))</f>
        <v>0</v>
      </c>
      <c r="AD9" s="333" t="str">
        <f t="array" ref="AD9">IF(X9="","",INDEX('Bills &amp; Invoices'!$U$5:$U$32,MATCH(X9,'Bills &amp; Invoices'!$B$5:$B$32,0)))</f>
        <v>Part paid (company account)</v>
      </c>
      <c r="AM9" s="312" t="s">
        <v>2900</v>
      </c>
      <c r="AO9" s="312" t="s">
        <v>2902</v>
      </c>
      <c r="AQ9" s="312" t="s">
        <v>2904</v>
      </c>
    </row>
    <row r="10" ht="14.25" customHeight="1">
      <c r="A10" s="312" t="s">
        <v>367</v>
      </c>
      <c r="C10" s="312" t="s">
        <v>1645</v>
      </c>
      <c r="G10" s="312" t="s">
        <v>544</v>
      </c>
      <c r="I10" s="312" t="s">
        <v>897</v>
      </c>
      <c r="K10" s="312" t="s">
        <v>1617</v>
      </c>
      <c r="O10" s="331" t="s">
        <v>2908</v>
      </c>
      <c r="P10" s="332" t="s">
        <v>2909</v>
      </c>
      <c r="R1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Clearances'!$A$4:$Q$4)),FALSE)),ROWS(R$5:R10)))&amp;""  –  ""&amp;INDEX('Chemical Clearances'!$D$5:$D$169,MATCH(INDEX('Chemical Clearances'!$B$5:$B$169,LARGE(FILTER((ROW('Chemical Clearances'!$B$5:$B$169)-ROW('C"&amp;"hemical Clearances'!$A$4:$Q$4)),IFERROR((MATCH('Chemical Clearances'!$B$5:$B$169,'Chemical Clearances'!$B$5:$B$169,0)=ROW('Chemical Clearances'!$B$5:$B$169)-ROW('Chemical Clearances'!$A$4:$Q$4)),FALSE)),ROWS(R$5:R10))),'Chemical Clearances'!$B$5:$B$169,0)"&amp;"),"""")), 1, 1)"),"CLN-142  –  Mano Manufacturing Company (MANCO)")</f>
        <v>CLN-142  –  Mano Manufacturing Company (MANCO)</v>
      </c>
      <c r="X1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 1, 1)"),"BN-2026-015")</f>
        <v>BN-2026-015</v>
      </c>
      <c r="Y10" s="333" t="str">
        <f t="array" ref="Y10">IF(X10="","",X10&amp;"  –  "&amp;INDEX('Bills &amp; Invoices'!$D$5:$D$32,MATCH(X10,'Bills &amp; Invoices'!$B$5:$B$32,0))&amp;"  –  $"&amp;TEXT(SUMIFS('Bills &amp; Invoices'!$J$5:$J$32,'Bills &amp; Invoices'!$B$5:$B$32,X10),"#,##0"))</f>
        <v>BN-2026-015  –  Greenfield Liberia Inc.  –  $500</v>
      </c>
      <c r="Z10" s="333" t="str">
        <f t="array" ref="Z10">IF(X10="","",INDEX('Bills &amp; Invoices'!$D$5:$D$32,MATCH(X10,'Bills &amp; Invoices'!$B$5:$B$32,0)))</f>
        <v>Greenfield Liberia Inc.</v>
      </c>
      <c r="AA10" s="334" t="str">
        <f t="array" ref="AA10">IF(X10="","",INDEX('Bills &amp; Invoices'!$K$5:$K$32,MATCH(X10,'Bills &amp; Invoices'!$B$5:$B$32,0)))</f>
        <v/>
      </c>
      <c r="AB10" s="335">
        <f>IF(X10="","",SUMIFS('Bills &amp; Invoices'!$J$5:$J$32,'Bills &amp; Invoices'!$B$5:$B$32,X10))</f>
        <v>500</v>
      </c>
      <c r="AC10" s="335">
        <f>IF(X10="","",SUMIFS('Payments &amp; Receipts'!$F$5:$F$58,'Payments &amp; Receipts'!$L$5:$L$58,X10))</f>
        <v>0</v>
      </c>
      <c r="AD10" s="333" t="str">
        <f t="array" ref="AD10">IF(X10="","",INDEX('Bills &amp; Invoices'!$U$5:$U$32,MATCH(X10,'Bills &amp; Invoices'!$B$5:$B$32,0)))</f>
        <v>Paid (company account)</v>
      </c>
      <c r="AM10" s="312" t="s">
        <v>3008</v>
      </c>
      <c r="AO10" s="312" t="s">
        <v>3010</v>
      </c>
      <c r="AQ10" s="312" t="s">
        <v>3012</v>
      </c>
    </row>
    <row r="11" ht="14.25" customHeight="1">
      <c r="C11" s="312" t="s">
        <v>1187</v>
      </c>
      <c r="G11" s="312" t="s">
        <v>530</v>
      </c>
      <c r="I11" s="312" t="s">
        <v>762</v>
      </c>
      <c r="K11" s="312" t="s">
        <v>2630</v>
      </c>
      <c r="O11" s="331" t="s">
        <v>3019</v>
      </c>
      <c r="P11" s="332" t="s">
        <v>3021</v>
      </c>
      <c r="R1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Clearances'!$A$4:$Q$4)),FALSE)),ROWS(R$5:R11)))&amp;""  –  ""&amp;INDEX('Chemical Clearances'!$D$5:$D$169,MATCH(INDEX('Chemical Clearances'!$B$5:$B$169,LARGE(FILTER((ROW('Chemical Clearances'!$B$5:$B$169)-ROW('C"&amp;"hemical Clearances'!$A$4:$Q$4)),IFERROR((MATCH('Chemical Clearances'!$B$5:$B$169,'Chemical Clearances'!$B$5:$B$169,0)=ROW('Chemical Clearances'!$B$5:$B$169)-ROW('Chemical Clearances'!$A$4:$Q$4)),FALSE)),ROWS(R$5:R11))),'Chemical Clearances'!$B$5:$B$169,0)"&amp;"),"""")), 1, 1)"),"CLN-141  –  Mano Manufacturing Company (MANCO)")</f>
        <v>CLN-141  –  Mano Manufacturing Company (MANCO)</v>
      </c>
      <c r="X1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 1, 1)"),"BN-2026-014")</f>
        <v>BN-2026-014</v>
      </c>
      <c r="Y11" s="333" t="str">
        <f t="array" ref="Y11">IF(X11="","",X11&amp;"  –  "&amp;INDEX('Bills &amp; Invoices'!$D$5:$D$32,MATCH(X11,'Bills &amp; Invoices'!$B$5:$B$32,0))&amp;"  –  $"&amp;TEXT(SUMIFS('Bills &amp; Invoices'!$J$5:$J$32,'Bills &amp; Invoices'!$B$5:$B$32,X11),"#,##0"))</f>
        <v>BN-2026-014  –  National Paint Industries  –  $2,500</v>
      </c>
      <c r="Z11" s="333" t="str">
        <f t="array" ref="Z11">IF(X11="","",INDEX('Bills &amp; Invoices'!$D$5:$D$32,MATCH(X11,'Bills &amp; Invoices'!$B$5:$B$32,0)))</f>
        <v>National Paint Industries</v>
      </c>
      <c r="AA11" s="334">
        <f t="array" ref="AA11">IF(X11="","",INDEX('Bills &amp; Invoices'!$K$5:$K$32,MATCH(X11,'Bills &amp; Invoices'!$B$5:$B$32,0)))</f>
        <v>46052</v>
      </c>
      <c r="AB11" s="335">
        <f>IF(X11="","",SUMIFS('Bills &amp; Invoices'!$J$5:$J$32,'Bills &amp; Invoices'!$B$5:$B$32,X11))</f>
        <v>2500</v>
      </c>
      <c r="AC11" s="335">
        <f>IF(X11="","",SUMIFS('Payments &amp; Receipts'!$F$5:$F$58,'Payments &amp; Receipts'!$L$5:$L$58,X11))</f>
        <v>0</v>
      </c>
      <c r="AD11" s="333" t="str">
        <f t="array" ref="AD11">IF(X11="","",INDEX('Bills &amp; Invoices'!$U$5:$U$32,MATCH(X11,'Bills &amp; Invoices'!$B$5:$B$32,0)))</f>
        <v>Paid (company account)</v>
      </c>
      <c r="AM11" s="312" t="s">
        <v>3073</v>
      </c>
      <c r="AO11" s="312" t="s">
        <v>3075</v>
      </c>
    </row>
    <row r="12" ht="14.25" customHeight="1">
      <c r="C12" s="312" t="s">
        <v>1192</v>
      </c>
      <c r="G12" s="312" t="s">
        <v>559</v>
      </c>
      <c r="I12" s="312" t="s">
        <v>995</v>
      </c>
      <c r="K12" s="312" t="s">
        <v>1696</v>
      </c>
      <c r="O12" s="331" t="s">
        <v>3080</v>
      </c>
      <c r="P12" s="332" t="s">
        <v>3081</v>
      </c>
      <c r="R1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Clearances'!$A$4:$Q$4)),FALSE)),ROWS(R$5:R12)))&amp;""  –  ""&amp;INDEX('Chemical Clearances'!$D$5:$D$169,MATCH(INDEX('Chemical Clearances'!$B$5:$B$169,LARGE(FILTER((ROW('Chemical Clearances'!$B$5:$B$169)-ROW('C"&amp;"hemical Clearances'!$A$4:$Q$4)),IFERROR((MATCH('Chemical Clearances'!$B$5:$B$169,'Chemical Clearances'!$B$5:$B$169,0)=ROW('Chemical Clearances'!$B$5:$B$169)-ROW('Chemical Clearances'!$A$4:$Q$4)),FALSE)),ROWS(R$5:R12))),'Chemical Clearances'!$B$5:$B$169,0)"&amp;"),"""")), 1, 1)"),"CLN-140  –  Mano Manufacturing Company (MANCO)")</f>
        <v>CLN-140  –  Mano Manufacturing Company (MANCO)</v>
      </c>
      <c r="X1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 1, 1)"),"BN-2026-013")</f>
        <v>BN-2026-013</v>
      </c>
      <c r="Y12" s="333" t="str">
        <f t="array" ref="Y12">IF(X12="","",X12&amp;"  –  "&amp;INDEX('Bills &amp; Invoices'!$D$5:$D$32,MATCH(X12,'Bills &amp; Invoices'!$B$5:$B$32,0))&amp;"  –  $"&amp;TEXT(SUMIFS('Bills &amp; Invoices'!$J$5:$J$32,'Bills &amp; Invoices'!$B$5:$B$32,X12),"#,##0"))</f>
        <v>BN-2026-013  –  Control People Pest's Enterprise  –  $275</v>
      </c>
      <c r="Z12" s="333" t="str">
        <f t="array" ref="Z12">IF(X12="","",INDEX('Bills &amp; Invoices'!$D$5:$D$32,MATCH(X12,'Bills &amp; Invoices'!$B$5:$B$32,0)))</f>
        <v>Control People Pest's Enterprise</v>
      </c>
      <c r="AA12" s="334" t="str">
        <f t="array" ref="AA12">IF(X12="","",INDEX('Bills &amp; Invoices'!$K$5:$K$32,MATCH(X12,'Bills &amp; Invoices'!$B$5:$B$32,0)))</f>
        <v/>
      </c>
      <c r="AB12" s="335">
        <f>IF(X12="","",SUMIFS('Bills &amp; Invoices'!$J$5:$J$32,'Bills &amp; Invoices'!$B$5:$B$32,X12))</f>
        <v>275</v>
      </c>
      <c r="AC12" s="335">
        <f>IF(X12="","",SUMIFS('Payments &amp; Receipts'!$F$5:$F$58,'Payments &amp; Receipts'!$L$5:$L$58,X12))</f>
        <v>0</v>
      </c>
      <c r="AD12" s="333" t="str">
        <f t="array" ref="AD12">IF(X12="","",INDEX('Bills &amp; Invoices'!$U$5:$U$32,MATCH(X12,'Bills &amp; Invoices'!$B$5:$B$32,0)))</f>
        <v>Paid (company account)</v>
      </c>
      <c r="AM12" s="312" t="s">
        <v>3173</v>
      </c>
      <c r="AO12" s="312" t="s">
        <v>3175</v>
      </c>
    </row>
    <row r="13" ht="14.25" customHeight="1">
      <c r="G13" s="312" t="s">
        <v>585</v>
      </c>
      <c r="I13" s="312" t="s">
        <v>853</v>
      </c>
      <c r="K13" s="312" t="s">
        <v>1645</v>
      </c>
      <c r="O13" s="331" t="s">
        <v>3178</v>
      </c>
      <c r="P13" s="332" t="s">
        <v>3179</v>
      </c>
      <c r="R1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Clearances'!$A$4:$Q$4)),FALSE)),ROWS(R$5:R13)))&amp;""  –  ""&amp;INDEX('Chemical Clearances'!$D$5:$D$169,MATCH(INDEX('Chemical Clearances'!$B$5:$B$169,LARGE(FILTER((ROW('Chemical Clearances'!$B$5:$B$169)-ROW('C"&amp;"hemical Clearances'!$A$4:$Q$4)),IFERROR((MATCH('Chemical Clearances'!$B$5:$B$169,'Chemical Clearances'!$B$5:$B$169,0)=ROW('Chemical Clearances'!$B$5:$B$169)-ROW('Chemical Clearances'!$A$4:$Q$4)),FALSE)),ROWS(R$5:R13))),'Chemical Clearances'!$B$5:$B$169,0)"&amp;"),"""")), 1, 1)"),"CLN-139  –  Mano Manufacturing Company (MANCO)")</f>
        <v>CLN-139  –  Mano Manufacturing Company (MANCO)</v>
      </c>
      <c r="X1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 1, 1)"),"BN-2026-012")</f>
        <v>BN-2026-012</v>
      </c>
      <c r="Y13" s="333" t="str">
        <f t="array" ref="Y13">IF(X13="","",X13&amp;"  –  "&amp;INDEX('Bills &amp; Invoices'!$D$5:$D$32,MATCH(X13,'Bills &amp; Invoices'!$B$5:$B$32,0))&amp;"  –  $"&amp;TEXT(SUMIFS('Bills &amp; Invoices'!$J$5:$J$32,'Bills &amp; Invoices'!$B$5:$B$32,X13),"#,##0"))</f>
        <v>BN-2026-012  –  Mukesh Shopping Center  –  $1,800</v>
      </c>
      <c r="Z13" s="333" t="str">
        <f t="array" ref="Z13">IF(X13="","",INDEX('Bills &amp; Invoices'!$D$5:$D$32,MATCH(X13,'Bills &amp; Invoices'!$B$5:$B$32,0)))</f>
        <v>Mukesh Shopping Center</v>
      </c>
      <c r="AA13" s="334">
        <f t="array" ref="AA13">IF(X13="","",INDEX('Bills &amp; Invoices'!$K$5:$K$32,MATCH(X13,'Bills &amp; Invoices'!$B$5:$B$32,0)))</f>
        <v>46048</v>
      </c>
      <c r="AB13" s="335">
        <f>IF(X13="","",SUMIFS('Bills &amp; Invoices'!$J$5:$J$32,'Bills &amp; Invoices'!$B$5:$B$32,X13))</f>
        <v>1800</v>
      </c>
      <c r="AC13" s="335">
        <f>IF(X13="","",SUMIFS('Payments &amp; Receipts'!$F$5:$F$58,'Payments &amp; Receipts'!$L$5:$L$58,X13))</f>
        <v>0</v>
      </c>
      <c r="AD13" s="333" t="str">
        <f t="array" ref="AD13">IF(X13="","",INDEX('Bills &amp; Invoices'!$U$5:$U$32,MATCH(X13,'Bills &amp; Invoices'!$B$5:$B$32,0)))</f>
        <v>Paid (company account)</v>
      </c>
      <c r="AM13" s="312" t="s">
        <v>3306</v>
      </c>
      <c r="AO13" s="312" t="s">
        <v>3308</v>
      </c>
    </row>
    <row r="14" ht="14.25" customHeight="1">
      <c r="G14" s="312" t="s">
        <v>538</v>
      </c>
      <c r="I14" s="312" t="s">
        <v>348</v>
      </c>
      <c r="K14" s="312" t="s">
        <v>3314</v>
      </c>
      <c r="O14" s="331" t="s">
        <v>3317</v>
      </c>
      <c r="P14" s="332" t="s">
        <v>3320</v>
      </c>
      <c r="R1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Clearances'!$A$4:$Q$4)),FALSE)),ROWS(R$5:R14)))&amp;""  –  ""&amp;INDEX('Chemical Clearances'!$D$5:$D$169,MATCH(INDEX('Chemical Clearances'!$B$5:$B$169,LARGE(FILTER((ROW('Chemical Clearances'!$B$5:$B$169)-ROW('C"&amp;"hemical Clearances'!$A$4:$Q$4)),IFERROR((MATCH('Chemical Clearances'!$B$5:$B$169,'Chemical Clearances'!$B$5:$B$169,0)=ROW('Chemical Clearances'!$B$5:$B$169)-ROW('Chemical Clearances'!$A$4:$Q$4)),FALSE)),ROWS(R$5:R14))),'Chemical Clearances'!$B$5:$B$169,0)"&amp;"),"""")), 1, 1)"),"CLN-138  –  Mano Manufacturing Company (MANCO)")</f>
        <v>CLN-138  –  Mano Manufacturing Company (MANCO)</v>
      </c>
      <c r="X1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 1, 1)"),"BN-2026-011")</f>
        <v>BN-2026-011</v>
      </c>
      <c r="Y14" s="333" t="str">
        <f t="array" ref="Y14">IF(X14="","",X14&amp;"  –  "&amp;INDEX('Bills &amp; Invoices'!$D$5:$D$32,MATCH(X14,'Bills &amp; Invoices'!$B$5:$B$32,0))&amp;"  –  $"&amp;TEXT(SUMIFS('Bills &amp; Invoices'!$J$5:$J$32,'Bills &amp; Invoices'!$B$5:$B$32,X14),"#,##0"))</f>
        <v>BN-2026-011  –  Liberia Soap and Detergent Company  –  $7,550</v>
      </c>
      <c r="Z14" s="333" t="str">
        <f t="array" ref="Z14">IF(X14="","",INDEX('Bills &amp; Invoices'!$D$5:$D$32,MATCH(X14,'Bills &amp; Invoices'!$B$5:$B$32,0)))</f>
        <v>Liberia Soap and Detergent Company</v>
      </c>
      <c r="AA14" s="334">
        <f t="array" ref="AA14">IF(X14="","",INDEX('Bills &amp; Invoices'!$K$5:$K$32,MATCH(X14,'Bills &amp; Invoices'!$B$5:$B$32,0)))</f>
        <v>46048</v>
      </c>
      <c r="AB14" s="335">
        <f>IF(X14="","",SUMIFS('Bills &amp; Invoices'!$J$5:$J$32,'Bills &amp; Invoices'!$B$5:$B$32,X14))</f>
        <v>7550</v>
      </c>
      <c r="AC14" s="335">
        <f>IF(X14="","",SUMIFS('Payments &amp; Receipts'!$F$5:$F$58,'Payments &amp; Receipts'!$L$5:$L$58,X14))</f>
        <v>0</v>
      </c>
      <c r="AD14" s="333" t="str">
        <f t="array" ref="AD14">IF(X14="","",INDEX('Bills &amp; Invoices'!$U$5:$U$32,MATCH(X14,'Bills &amp; Invoices'!$B$5:$B$32,0)))</f>
        <v>Unpaid</v>
      </c>
      <c r="AM14" s="312" t="s">
        <v>3453</v>
      </c>
    </row>
    <row r="15" ht="14.25" customHeight="1">
      <c r="G15" s="312" t="s">
        <v>598</v>
      </c>
      <c r="I15" s="312" t="s">
        <v>936</v>
      </c>
      <c r="K15" s="312" t="s">
        <v>1187</v>
      </c>
      <c r="O15" s="331" t="s">
        <v>3458</v>
      </c>
      <c r="P15" s="332" t="s">
        <v>3460</v>
      </c>
      <c r="R1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Clearances'!$A$4:$Q$4)),FALSE)),ROWS(R$5:R15)))&amp;""  –  ""&amp;INDEX('Chemical Clearances'!$D$5:$D$169,MATCH(INDEX('Chemical Clearances'!$B$5:$B$169,LARGE(FILTER((ROW('Chemical Clearances'!$B$5:$B$169)-ROW('C"&amp;"hemical Clearances'!$A$4:$Q$4)),IFERROR((MATCH('Chemical Clearances'!$B$5:$B$169,'Chemical Clearances'!$B$5:$B$169,0)=ROW('Chemical Clearances'!$B$5:$B$169)-ROW('Chemical Clearances'!$A$4:$Q$4)),FALSE)),ROWS(R$5:R15))),'Chemical Clearances'!$B$5:$B$169,0)"&amp;"),"""")), 1, 1)"),"CLN-137  –  LIPFOCO Mattress Factory")</f>
        <v>CLN-137  –  LIPFOCO Mattress Factory</v>
      </c>
      <c r="X1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 1, 1)"),"BN-2026-010")</f>
        <v>BN-2026-010</v>
      </c>
      <c r="Y15" s="333" t="str">
        <f t="array" ref="Y15">IF(X15="","",X15&amp;"  –  "&amp;INDEX('Bills &amp; Invoices'!$D$5:$D$32,MATCH(X15,'Bills &amp; Invoices'!$B$5:$B$32,0))&amp;"  –  $"&amp;TEXT(SUMIFS('Bills &amp; Invoices'!$J$5:$J$32,'Bills &amp; Invoices'!$B$5:$B$32,X15),"#,##0"))</f>
        <v>BN-2026-010  –  Fouani Brothers  –  $3,000</v>
      </c>
      <c r="Z15" s="333" t="str">
        <f t="array" ref="Z15">IF(X15="","",INDEX('Bills &amp; Invoices'!$D$5:$D$32,MATCH(X15,'Bills &amp; Invoices'!$B$5:$B$32,0)))</f>
        <v>Fouani Brothers</v>
      </c>
      <c r="AA15" s="334">
        <f t="array" ref="AA15">IF(X15="","",INDEX('Bills &amp; Invoices'!$K$5:$K$32,MATCH(X15,'Bills &amp; Invoices'!$B$5:$B$32,0)))</f>
        <v>46048</v>
      </c>
      <c r="AB15" s="335">
        <f>IF(X15="","",SUMIFS('Bills &amp; Invoices'!$J$5:$J$32,'Bills &amp; Invoices'!$B$5:$B$32,X15))</f>
        <v>3000</v>
      </c>
      <c r="AC15" s="335">
        <f>IF(X15="","",SUMIFS('Payments &amp; Receipts'!$F$5:$F$58,'Payments &amp; Receipts'!$L$5:$L$58,X15))</f>
        <v>0</v>
      </c>
      <c r="AD15" s="333" t="str">
        <f t="array" ref="AD15">IF(X15="","",INDEX('Bills &amp; Invoices'!$U$5:$U$32,MATCH(X15,'Bills &amp; Invoices'!$B$5:$B$32,0)))</f>
        <v>Unpaid</v>
      </c>
      <c r="AM15" s="312" t="s">
        <v>3553</v>
      </c>
    </row>
    <row r="16" ht="14.25" customHeight="1">
      <c r="G16" s="312" t="s">
        <v>600</v>
      </c>
      <c r="I16" s="312" t="s">
        <v>807</v>
      </c>
      <c r="K16" s="312" t="s">
        <v>889</v>
      </c>
      <c r="O16" s="331" t="s">
        <v>3558</v>
      </c>
      <c r="P16" s="332" t="s">
        <v>3560</v>
      </c>
      <c r="R1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Clearances'!$A$4:$Q$4)),FALSE)),ROWS(R$5:R16)))&amp;""  –  ""&amp;INDEX('Chemical Clearances'!$D$5:$D$169,MATCH(INDEX('Chemical Clearances'!$B$5:$B$169,LARGE(FILTER((ROW('Chemical Clearances'!$B$5:$B$169)-ROW('C"&amp;"hemical Clearances'!$A$4:$Q$4)),IFERROR((MATCH('Chemical Clearances'!$B$5:$B$169,'Chemical Clearances'!$B$5:$B$169,0)=ROW('Chemical Clearances'!$B$5:$B$169)-ROW('Chemical Clearances'!$A$4:$Q$4)),FALSE)),ROWS(R$5:R16))),'Chemical Clearances'!$B$5:$B$169,0)"&amp;"),"""")), 1, 1)"),"CLN-136  –  DuraPlast Liberia Inc.")</f>
        <v>CLN-136  –  DuraPlast Liberia Inc.</v>
      </c>
      <c r="X1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 1, 1)"),"BN-2026-009")</f>
        <v>BN-2026-009</v>
      </c>
      <c r="Y16" s="333" t="str">
        <f t="array" ref="Y16">IF(X16="","",X16&amp;"  –  "&amp;INDEX('Bills &amp; Invoices'!$D$5:$D$32,MATCH(X16,'Bills &amp; Invoices'!$B$5:$B$32,0))&amp;"  –  $"&amp;TEXT(SUMIFS('Bills &amp; Invoices'!$J$5:$J$32,'Bills &amp; Invoices'!$B$5:$B$32,X16),"#,##0"))</f>
        <v>BN-2026-009  –  Sayminee Express Services Inc.  –  $2,400</v>
      </c>
      <c r="Z16" s="333" t="str">
        <f t="array" ref="Z16">IF(X16="","",INDEX('Bills &amp; Invoices'!$D$5:$D$32,MATCH(X16,'Bills &amp; Invoices'!$B$5:$B$32,0)))</f>
        <v>Sayminee Express Services Inc.</v>
      </c>
      <c r="AA16" s="334">
        <f t="array" ref="AA16">IF(X16="","",INDEX('Bills &amp; Invoices'!$K$5:$K$32,MATCH(X16,'Bills &amp; Invoices'!$B$5:$B$32,0)))</f>
        <v>46043</v>
      </c>
      <c r="AB16" s="335">
        <f>IF(X16="","",SUMIFS('Bills &amp; Invoices'!$J$5:$J$32,'Bills &amp; Invoices'!$B$5:$B$32,X16))</f>
        <v>2400</v>
      </c>
      <c r="AC16" s="335">
        <f>IF(X16="","",SUMIFS('Payments &amp; Receipts'!$F$5:$F$58,'Payments &amp; Receipts'!$L$5:$L$58,X16))</f>
        <v>0</v>
      </c>
      <c r="AD16" s="333" t="str">
        <f t="array" ref="AD16">IF(X16="","",INDEX('Bills &amp; Invoices'!$U$5:$U$32,MATCH(X16,'Bills &amp; Invoices'!$B$5:$B$32,0)))</f>
        <v>Paid (company account)</v>
      </c>
      <c r="AM16" s="312" t="s">
        <v>3638</v>
      </c>
    </row>
    <row r="17" ht="14.25" customHeight="1">
      <c r="G17" s="312" t="s">
        <v>595</v>
      </c>
      <c r="I17" s="312" t="s">
        <v>769</v>
      </c>
      <c r="K17" s="312" t="s">
        <v>2633</v>
      </c>
      <c r="O17" s="331" t="s">
        <v>3641</v>
      </c>
      <c r="P17" s="332" t="s">
        <v>3643</v>
      </c>
      <c r="R1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Clearances'!$A$4:$Q$4)),FALSE)),ROWS(R$5:R17)))&amp;""  –  ""&amp;INDEX('Chemical Clearances'!$D$5:$D$169,MATCH(INDEX('Chemical Clearances'!$B$5:$B$169,LARGE(FILTER((ROW('Chemical Clearances'!$B$5:$B$169)-ROW('C"&amp;"hemical Clearances'!$A$4:$Q$4)),IFERROR((MATCH('Chemical Clearances'!$B$5:$B$169,'Chemical Clearances'!$B$5:$B$169,0)=ROW('Chemical Clearances'!$B$5:$B$169)-ROW('Chemical Clearances'!$A$4:$Q$4)),FALSE)),ROWS(R$5:R17))),'Chemical Clearances'!$B$5:$B$169,0)"&amp;"),"""")), 1, 1)"),"CLN-135  –  Cheema &amp; Chahal Incorporated")</f>
        <v>CLN-135  –  Cheema &amp; Chahal Incorporated</v>
      </c>
      <c r="X1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 1, 1)"),"BN-2026-008")</f>
        <v>BN-2026-008</v>
      </c>
      <c r="Y17" s="333" t="str">
        <f t="array" ref="Y17">IF(X17="","",X17&amp;"  –  "&amp;INDEX('Bills &amp; Invoices'!$D$5:$D$32,MATCH(X17,'Bills &amp; Invoices'!$B$5:$B$32,0))&amp;"  –  $"&amp;TEXT(SUMIFS('Bills &amp; Invoices'!$J$5:$J$32,'Bills &amp; Invoices'!$B$5:$B$32,X17),"#,##0"))</f>
        <v>BN-2026-008  –  Bea Mountain Mining Corporation (BMMC)  –  $233,651</v>
      </c>
      <c r="Z17" s="333" t="str">
        <f t="array" ref="Z17">IF(X17="","",INDEX('Bills &amp; Invoices'!$D$5:$D$32,MATCH(X17,'Bills &amp; Invoices'!$B$5:$B$32,0)))</f>
        <v>Bea Mountain Mining Corporation (BMMC)</v>
      </c>
      <c r="AA17" s="334">
        <f t="array" ref="AA17">IF(X17="","",INDEX('Bills &amp; Invoices'!$K$5:$K$32,MATCH(X17,'Bills &amp; Invoices'!$B$5:$B$32,0)))</f>
        <v>46035</v>
      </c>
      <c r="AB17" s="335">
        <f>IF(X17="","",SUMIFS('Bills &amp; Invoices'!$J$5:$J$32,'Bills &amp; Invoices'!$B$5:$B$32,X17))</f>
        <v>233651</v>
      </c>
      <c r="AC17" s="335">
        <f>IF(X17="","",SUMIFS('Payments &amp; Receipts'!$F$5:$F$58,'Payments &amp; Receipts'!$L$5:$L$58,X17))</f>
        <v>0</v>
      </c>
      <c r="AD17" s="333" t="str">
        <f t="array" ref="AD17">IF(X17="","",INDEX('Bills &amp; Invoices'!$U$5:$U$32,MATCH(X17,'Bills &amp; Invoices'!$B$5:$B$32,0)))</f>
        <v>Paid (company account)</v>
      </c>
      <c r="AM17" s="312" t="s">
        <v>3745</v>
      </c>
    </row>
    <row r="18" ht="14.25" customHeight="1">
      <c r="G18" s="312" t="s">
        <v>561</v>
      </c>
      <c r="I18" s="312" t="s">
        <v>790</v>
      </c>
      <c r="K18" s="312" t="s">
        <v>2634</v>
      </c>
      <c r="O18" s="331" t="s">
        <v>3750</v>
      </c>
      <c r="P18" s="332" t="s">
        <v>2706</v>
      </c>
      <c r="R1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Clearances'!$A$4:$Q$4)),FALSE)),ROWS(R$5:R18)))&amp;""  –  ""&amp;INDEX('Chemical Clearances'!$D$5:$D$169,MATCH(INDEX('Chemical Clearances'!$B$5:$B$169,LARGE(FILTER((ROW('Chemical Clearances'!$B$5:$B$169)-ROW('C"&amp;"hemical Clearances'!$A$4:$Q$4)),IFERROR((MATCH('Chemical Clearances'!$B$5:$B$169,'Chemical Clearances'!$B$5:$B$169,0)=ROW('Chemical Clearances'!$B$5:$B$169)-ROW('Chemical Clearances'!$A$4:$Q$4)),FALSE)),ROWS(R$5:R18))),'Chemical Clearances'!$B$5:$B$169,0)"&amp;"),"""")), 1, 1)"),"CLN-134  –  Cheema &amp; Chahal Incorporated")</f>
        <v>CLN-134  –  Cheema &amp; Chahal Incorporated</v>
      </c>
      <c r="X1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 1, 1)"),"BN-2026-007")</f>
        <v>BN-2026-007</v>
      </c>
      <c r="Y18" s="333" t="str">
        <f t="array" ref="Y18">IF(X18="","",X18&amp;"  –  "&amp;INDEX('Bills &amp; Invoices'!$D$5:$D$32,MATCH(X18,'Bills &amp; Invoices'!$B$5:$B$32,0))&amp;"  –  $"&amp;TEXT(SUMIFS('Bills &amp; Invoices'!$J$5:$J$32,'Bills &amp; Invoices'!$B$5:$B$32,X18),"#,##0"))</f>
        <v>BN-2026-007  –  Fayad Enterprise Corporation  –  $1,500</v>
      </c>
      <c r="Z18" s="333" t="str">
        <f t="array" ref="Z18">IF(X18="","",INDEX('Bills &amp; Invoices'!$D$5:$D$32,MATCH(X18,'Bills &amp; Invoices'!$B$5:$B$32,0)))</f>
        <v>Fayad Enterprise Corporation</v>
      </c>
      <c r="AA18" s="334">
        <f t="array" ref="AA18">IF(X18="","",INDEX('Bills &amp; Invoices'!$K$5:$K$32,MATCH(X18,'Bills &amp; Invoices'!$B$5:$B$32,0)))</f>
        <v>46030</v>
      </c>
      <c r="AB18" s="335">
        <f>IF(X18="","",SUMIFS('Bills &amp; Invoices'!$J$5:$J$32,'Bills &amp; Invoices'!$B$5:$B$32,X18))</f>
        <v>1500</v>
      </c>
      <c r="AC18" s="335">
        <f>IF(X18="","",SUMIFS('Payments &amp; Receipts'!$F$5:$F$58,'Payments &amp; Receipts'!$L$5:$L$58,X18))</f>
        <v>0</v>
      </c>
      <c r="AD18" s="333" t="str">
        <f t="array" ref="AD18">IF(X18="","",INDEX('Bills &amp; Invoices'!$U$5:$U$32,MATCH(X18,'Bills &amp; Invoices'!$B$5:$B$32,0)))</f>
        <v>Paid (company account)</v>
      </c>
      <c r="AM18" s="312" t="s">
        <v>3867</v>
      </c>
    </row>
    <row r="19" ht="14.25" customHeight="1">
      <c r="G19" s="312" t="s">
        <v>590</v>
      </c>
      <c r="I19" s="312" t="s">
        <v>822</v>
      </c>
      <c r="O19" s="331" t="s">
        <v>3872</v>
      </c>
      <c r="P19" s="332" t="s">
        <v>2707</v>
      </c>
      <c r="R1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Clearances'!$A$4:$Q$4)),FALSE)),ROWS(R$5:R19)))&amp;""  –  ""&amp;INDEX('Chemical Clearances'!$D$5:$D$169,MATCH(INDEX('Chemical Clearances'!$B$5:$B$169,LARGE(FILTER((ROW('Chemical Clearances'!$B$5:$B$169)-ROW('C"&amp;"hemical Clearances'!$A$4:$Q$4)),IFERROR((MATCH('Chemical Clearances'!$B$5:$B$169,'Chemical Clearances'!$B$5:$B$169,0)=ROW('Chemical Clearances'!$B$5:$B$169)-ROW('Chemical Clearances'!$A$4:$Q$4)),FALSE)),ROWS(R$5:R19))),'Chemical Clearances'!$B$5:$B$169,0)"&amp;"),"""")), 1, 1)"),"CLN-133  –  Bea Mountain Mining Corporation (BMMC)")</f>
        <v>CLN-133  –  Bea Mountain Mining Corporation (BMMC)</v>
      </c>
      <c r="X1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 1, 1)"),"BN-2026-006")</f>
        <v>BN-2026-006</v>
      </c>
      <c r="Y19" s="333" t="str">
        <f t="array" ref="Y19">IF(X19="","",X19&amp;"  –  "&amp;INDEX('Bills &amp; Invoices'!$D$5:$D$32,MATCH(X19,'Bills &amp; Invoices'!$B$5:$B$32,0))&amp;"  –  $"&amp;TEXT(SUMIFS('Bills &amp; Invoices'!$J$5:$J$32,'Bills &amp; Invoices'!$B$5:$B$32,X19),"#,##0"))</f>
        <v>BN-2026-006  –  T Waste Recycling &amp; Fumigation Inc.  –  $275</v>
      </c>
      <c r="Z19" s="333" t="str">
        <f t="array" ref="Z19">IF(X19="","",INDEX('Bills &amp; Invoices'!$D$5:$D$32,MATCH(X19,'Bills &amp; Invoices'!$B$5:$B$32,0)))</f>
        <v>T Waste Recycling &amp; Fumigation Inc.</v>
      </c>
      <c r="AA19" s="334">
        <f t="array" ref="AA19">IF(X19="","",INDEX('Bills &amp; Invoices'!$K$5:$K$32,MATCH(X19,'Bills &amp; Invoices'!$B$5:$B$32,0)))</f>
        <v>46036</v>
      </c>
      <c r="AB19" s="335">
        <f>IF(X19="","",SUMIFS('Bills &amp; Invoices'!$J$5:$J$32,'Bills &amp; Invoices'!$B$5:$B$32,X19))</f>
        <v>275</v>
      </c>
      <c r="AC19" s="335">
        <f>IF(X19="","",SUMIFS('Payments &amp; Receipts'!$F$5:$F$58,'Payments &amp; Receipts'!$L$5:$L$58,X19))</f>
        <v>0</v>
      </c>
      <c r="AD19" s="333" t="str">
        <f t="array" ref="AD19">IF(X19="","",INDEX('Bills &amp; Invoices'!$U$5:$U$32,MATCH(X19,'Bills &amp; Invoices'!$B$5:$B$32,0)))</f>
        <v>Unpaid</v>
      </c>
      <c r="AM19" s="312" t="s">
        <v>3994</v>
      </c>
    </row>
    <row r="20" ht="14.25" customHeight="1">
      <c r="G20" s="312" t="s">
        <v>596</v>
      </c>
      <c r="I20" s="312" t="s">
        <v>889</v>
      </c>
      <c r="R2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Clearances'!$A$4:$Q$4)),FALSE)),ROWS(R$5:R20)))&amp;""  –  ""&amp;INDEX('Chemical Clearances'!$D$5:$D$169,MATCH(INDEX('Chemical Clearances'!$B$5:$B$169,LARGE(FILTER((ROW('Chemical Clearances'!$B$5:$B$169)-ROW('C"&amp;"hemical Clearances'!$A$4:$Q$4)),IFERROR((MATCH('Chemical Clearances'!$B$5:$B$169,'Chemical Clearances'!$B$5:$B$169,0)=ROW('Chemical Clearances'!$B$5:$B$169)-ROW('Chemical Clearances'!$A$4:$Q$4)),FALSE)),ROWS(R$5:R20))),'Chemical Clearances'!$B$5:$B$169,0)"&amp;"),"""")), 1, 1)"),"CLN-132  –  Bea Mountain Mining Corporation (BMMC)")</f>
        <v>CLN-132  –  Bea Mountain Mining Corporation (BMMC)</v>
      </c>
      <c r="X2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 1, 1)"),"BN-2026-005")</f>
        <v>BN-2026-005</v>
      </c>
      <c r="Y20" s="333" t="str">
        <f t="array" ref="Y20">IF(X20="","",X20&amp;"  –  "&amp;INDEX('Bills &amp; Invoices'!$D$5:$D$32,MATCH(X20,'Bills &amp; Invoices'!$B$5:$B$32,0))&amp;"  –  $"&amp;TEXT(SUMIFS('Bills &amp; Invoices'!$J$5:$J$32,'Bills &amp; Invoices'!$B$5:$B$32,X20),"#,##0"))</f>
        <v>BN-2026-005  –  Efficient Professional Services Inc.  –  $275</v>
      </c>
      <c r="Z20" s="333" t="str">
        <f t="array" ref="Z20">IF(X20="","",INDEX('Bills &amp; Invoices'!$D$5:$D$32,MATCH(X20,'Bills &amp; Invoices'!$B$5:$B$32,0)))</f>
        <v>Efficient Professional Services Inc.</v>
      </c>
      <c r="AA20" s="334">
        <f t="array" ref="AA20">IF(X20="","",INDEX('Bills &amp; Invoices'!$K$5:$K$32,MATCH(X20,'Bills &amp; Invoices'!$B$5:$B$32,0)))</f>
        <v>46043</v>
      </c>
      <c r="AB20" s="335">
        <f>IF(X20="","",SUMIFS('Bills &amp; Invoices'!$J$5:$J$32,'Bills &amp; Invoices'!$B$5:$B$32,X20))</f>
        <v>275</v>
      </c>
      <c r="AC20" s="335">
        <f>IF(X20="","",SUMIFS('Payments &amp; Receipts'!$F$5:$F$58,'Payments &amp; Receipts'!$L$5:$L$58,X20))</f>
        <v>0</v>
      </c>
      <c r="AD20" s="333" t="str">
        <f t="array" ref="AD20">IF(X20="","",INDEX('Bills &amp; Invoices'!$U$5:$U$32,MATCH(X20,'Bills &amp; Invoices'!$B$5:$B$32,0)))</f>
        <v>Unpaid</v>
      </c>
      <c r="AM20" s="312" t="s">
        <v>4098</v>
      </c>
    </row>
    <row r="21" ht="14.25" customHeight="1">
      <c r="G21" s="312" t="s">
        <v>603</v>
      </c>
      <c r="I21" s="312" t="s">
        <v>741</v>
      </c>
      <c r="R2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Clearances'!$A$4:$Q$4)),FALSE)),ROWS(R$5:R21)))&amp;""  –  ""&amp;INDEX('Chemical Clearances'!$D$5:$D$169,MATCH(INDEX('Chemical Clearances'!$B$5:$B$169,LARGE(FILTER((ROW('Chemical Clearances'!$B$5:$B$169)-ROW('C"&amp;"hemical Clearances'!$A$4:$Q$4)),IFERROR((MATCH('Chemical Clearances'!$B$5:$B$169,'Chemical Clearances'!$B$5:$B$169,0)=ROW('Chemical Clearances'!$B$5:$B$169)-ROW('Chemical Clearances'!$A$4:$Q$4)),FALSE)),ROWS(R$5:R21))),'Chemical Clearances'!$B$5:$B$169,0)"&amp;"),"""")), 1, 1)"),"CLN-131  –  DuraPlast Liberia Inc.")</f>
        <v>CLN-131  –  DuraPlast Liberia Inc.</v>
      </c>
      <c r="X2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 1, 1)"),"BN-2026-004")</f>
        <v>BN-2026-004</v>
      </c>
      <c r="Y21" s="333" t="str">
        <f t="array" ref="Y21">IF(X21="","",X21&amp;"  –  "&amp;INDEX('Bills &amp; Invoices'!$D$5:$D$32,MATCH(X21,'Bills &amp; Invoices'!$B$5:$B$32,0))&amp;"  –  $"&amp;TEXT(SUMIFS('Bills &amp; Invoices'!$J$5:$J$32,'Bills &amp; Invoices'!$B$5:$B$32,X21),"#,##0"))</f>
        <v>BN-2026-004  –  Conquest Inc.  –  $275</v>
      </c>
      <c r="Z21" s="333" t="str">
        <f t="array" ref="Z21">IF(X21="","",INDEX('Bills &amp; Invoices'!$D$5:$D$32,MATCH(X21,'Bills &amp; Invoices'!$B$5:$B$32,0)))</f>
        <v>Conquest Inc.</v>
      </c>
      <c r="AA21" s="334">
        <f t="array" ref="AA21">IF(X21="","",INDEX('Bills &amp; Invoices'!$K$5:$K$32,MATCH(X21,'Bills &amp; Invoices'!$B$5:$B$32,0)))</f>
        <v>46043</v>
      </c>
      <c r="AB21" s="335">
        <f>IF(X21="","",SUMIFS('Bills &amp; Invoices'!$J$5:$J$32,'Bills &amp; Invoices'!$B$5:$B$32,X21))</f>
        <v>275</v>
      </c>
      <c r="AC21" s="335">
        <f>IF(X21="","",SUMIFS('Payments &amp; Receipts'!$F$5:$F$58,'Payments &amp; Receipts'!$L$5:$L$58,X21))</f>
        <v>0</v>
      </c>
      <c r="AD21" s="333" t="str">
        <f t="array" ref="AD21">IF(X21="","",INDEX('Bills &amp; Invoices'!$U$5:$U$32,MATCH(X21,'Bills &amp; Invoices'!$B$5:$B$32,0)))</f>
        <v>Paid (company account)</v>
      </c>
      <c r="AM21" s="312" t="s">
        <v>4197</v>
      </c>
    </row>
    <row r="22" ht="14.25" customHeight="1">
      <c r="G22" s="312" t="s">
        <v>528</v>
      </c>
      <c r="I22" s="312" t="s">
        <v>827</v>
      </c>
      <c r="R2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Clearances'!$A$4:$Q$4)),FALSE)),ROWS(R$5:R22)))&amp;""  –  ""&amp;INDEX('Chemical Clearances'!$D$5:$D$169,MATCH(INDEX('Chemical Clearances'!$B$5:$B$169,LARGE(FILTER((ROW('Chemical Clearances'!$B$5:$B$169)-ROW('C"&amp;"hemical Clearances'!$A$4:$Q$4)),IFERROR((MATCH('Chemical Clearances'!$B$5:$B$169,'Chemical Clearances'!$B$5:$B$169,0)=ROW('Chemical Clearances'!$B$5:$B$169)-ROW('Chemical Clearances'!$A$4:$Q$4)),FALSE)),ROWS(R$5:R22))),'Chemical Clearances'!$B$5:$B$169,0)"&amp;"),"""")), 1, 1)"),"CLN-130  –  DuraPlast Liberia Inc.")</f>
        <v>CLN-130  –  DuraPlast Liberia Inc.</v>
      </c>
      <c r="X2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 1, 1)"),"BN-2026-003")</f>
        <v>BN-2026-003</v>
      </c>
      <c r="Y22" s="333" t="str">
        <f t="array" ref="Y22">IF(X22="","",X22&amp;"  –  "&amp;INDEX('Bills &amp; Invoices'!$D$5:$D$32,MATCH(X22,'Bills &amp; Invoices'!$B$5:$B$32,0))&amp;"  –  $"&amp;TEXT(SUMIFS('Bills &amp; Invoices'!$J$5:$J$32,'Bills &amp; Invoices'!$B$5:$B$32,X22),"#,##0"))</f>
        <v>BN-2026-003  –  Mano Manufacturing Company (MANCO)  –  $1,500</v>
      </c>
      <c r="Z22" s="333" t="str">
        <f t="array" ref="Z22">IF(X22="","",INDEX('Bills &amp; Invoices'!$D$5:$D$32,MATCH(X22,'Bills &amp; Invoices'!$B$5:$B$32,0)))</f>
        <v>Mano Manufacturing Company (MANCO)</v>
      </c>
      <c r="AA22" s="334">
        <f t="array" ref="AA22">IF(X22="","",INDEX('Bills &amp; Invoices'!$K$5:$K$32,MATCH(X22,'Bills &amp; Invoices'!$B$5:$B$32,0)))</f>
        <v>46030</v>
      </c>
      <c r="AB22" s="335">
        <f>IF(X22="","",SUMIFS('Bills &amp; Invoices'!$J$5:$J$32,'Bills &amp; Invoices'!$B$5:$B$32,X22))</f>
        <v>1500</v>
      </c>
      <c r="AC22" s="335">
        <f>IF(X22="","",SUMIFS('Payments &amp; Receipts'!$F$5:$F$58,'Payments &amp; Receipts'!$L$5:$L$58,X22))</f>
        <v>0</v>
      </c>
      <c r="AD22" s="333" t="str">
        <f t="array" ref="AD22">IF(X22="","",INDEX('Bills &amp; Invoices'!$U$5:$U$32,MATCH(X22,'Bills &amp; Invoices'!$B$5:$B$32,0)))</f>
        <v>Unpaid</v>
      </c>
      <c r="AM22" s="312" t="s">
        <v>4300</v>
      </c>
    </row>
    <row r="23" ht="14.25" customHeight="1">
      <c r="G23" s="312" t="s">
        <v>527</v>
      </c>
      <c r="I23" s="312" t="s">
        <v>785</v>
      </c>
      <c r="R2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Clearances'!$A$4:$Q$4)),FALSE)),ROWS(R$5:R23)))&amp;""  –  ""&amp;INDEX('Chemical Clearances'!$D$5:$D$169,MATCH(INDEX('Chemical Clearances'!$B$5:$B$169,LARGE(FILTER((ROW('Chemical Clearances'!$B$5:$B$169)-ROW('C"&amp;"hemical Clearances'!$A$4:$Q$4)),IFERROR((MATCH('Chemical Clearances'!$B$5:$B$169,'Chemical Clearances'!$B$5:$B$169,0)=ROW('Chemical Clearances'!$B$5:$B$169)-ROW('Chemical Clearances'!$A$4:$Q$4)),FALSE)),ROWS(R$5:R23))),'Chemical Clearances'!$B$5:$B$169,0)"&amp;"),"""")), 1, 1)"),"CLN-129  –  DuraPlast Liberia Inc.")</f>
        <v>CLN-129  –  DuraPlast Liberia Inc.</v>
      </c>
      <c r="X2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 1, 1)"),"BN-2026-002")</f>
        <v>BN-2026-002</v>
      </c>
      <c r="Y23" s="333" t="str">
        <f t="array" ref="Y23">IF(X23="","",X23&amp;"  –  "&amp;INDEX('Bills &amp; Invoices'!$D$5:$D$32,MATCH(X23,'Bills &amp; Invoices'!$B$5:$B$32,0))&amp;"  –  $"&amp;TEXT(SUMIFS('Bills &amp; Invoices'!$J$5:$J$32,'Bills &amp; Invoices'!$B$5:$B$32,X23),"#,##0"))</f>
        <v>BN-2026-002  –  MNG Gold Liberia Inc.  –  $11,150</v>
      </c>
      <c r="Z23" s="333" t="str">
        <f t="array" ref="Z23">IF(X23="","",INDEX('Bills &amp; Invoices'!$D$5:$D$32,MATCH(X23,'Bills &amp; Invoices'!$B$5:$B$32,0)))</f>
        <v>MNG Gold Liberia Inc.</v>
      </c>
      <c r="AA23" s="334">
        <f t="array" ref="AA23">IF(X23="","",INDEX('Bills &amp; Invoices'!$K$5:$K$32,MATCH(X23,'Bills &amp; Invoices'!$B$5:$B$32,0)))</f>
        <v>46030</v>
      </c>
      <c r="AB23" s="335">
        <f>IF(X23="","",SUMIFS('Bills &amp; Invoices'!$J$5:$J$32,'Bills &amp; Invoices'!$B$5:$B$32,X23))</f>
        <v>11150</v>
      </c>
      <c r="AC23" s="335">
        <f>IF(X23="","",SUMIFS('Payments &amp; Receipts'!$F$5:$F$58,'Payments &amp; Receipts'!$L$5:$L$58,X23))</f>
        <v>0</v>
      </c>
      <c r="AD23" s="333" t="str">
        <f t="array" ref="AD23">IF(X23="","",INDEX('Bills &amp; Invoices'!$U$5:$U$32,MATCH(X23,'Bills &amp; Invoices'!$B$5:$B$32,0)))</f>
        <v>Paid (company account)</v>
      </c>
      <c r="AM23" s="312" t="s">
        <v>4418</v>
      </c>
    </row>
    <row r="24" ht="14.25" customHeight="1">
      <c r="G24" s="312" t="s">
        <v>608</v>
      </c>
      <c r="I24" s="312" t="s">
        <v>948</v>
      </c>
      <c r="R2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Clearances'!$A$4:$Q$4)),FALSE)),ROWS(R$5:R24)))&amp;""  –  ""&amp;INDEX('Chemical Clearances'!$D$5:$D$169,MATCH(INDEX('Chemical Clearances'!$B$5:$B$169,LARGE(FILTER((ROW('Chemical Clearances'!$B$5:$B$169)-ROW('C"&amp;"hemical Clearances'!$A$4:$Q$4)),IFERROR((MATCH('Chemical Clearances'!$B$5:$B$169,'Chemical Clearances'!$B$5:$B$169,0)=ROW('Chemical Clearances'!$B$5:$B$169)-ROW('Chemical Clearances'!$A$4:$Q$4)),FALSE)),ROWS(R$5:R24))),'Chemical Clearances'!$B$5:$B$169,0)"&amp;"),"""")), 1, 1)"),"CLN-128  –  DuraPlast Liberia Inc.")</f>
        <v>CLN-128  –  DuraPlast Liberia Inc.</v>
      </c>
      <c r="X2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 1, 1)"),"BN-2026-001")</f>
        <v>BN-2026-001</v>
      </c>
      <c r="Y24" s="333" t="str">
        <f t="array" ref="Y24">IF(X24="","",X24&amp;"  –  "&amp;INDEX('Bills &amp; Invoices'!$D$5:$D$32,MATCH(X24,'Bills &amp; Invoices'!$B$5:$B$32,0))&amp;"  –  $"&amp;TEXT(SUMIFS('Bills &amp; Invoices'!$J$5:$J$32,'Bills &amp; Invoices'!$B$5:$B$32,X24),"#,##0"))</f>
        <v>BN-2026-001  –  Delta Plastics Inc.  –  $1,500</v>
      </c>
      <c r="Z24" s="333" t="str">
        <f t="array" ref="Z24">IF(X24="","",INDEX('Bills &amp; Invoices'!$D$5:$D$32,MATCH(X24,'Bills &amp; Invoices'!$B$5:$B$32,0)))</f>
        <v>Delta Plastics Inc.</v>
      </c>
      <c r="AA24" s="334">
        <f t="array" ref="AA24">IF(X24="","",INDEX('Bills &amp; Invoices'!$K$5:$K$32,MATCH(X24,'Bills &amp; Invoices'!$B$5:$B$32,0)))</f>
        <v>46030</v>
      </c>
      <c r="AB24" s="335">
        <f>IF(X24="","",SUMIFS('Bills &amp; Invoices'!$J$5:$J$32,'Bills &amp; Invoices'!$B$5:$B$32,X24))</f>
        <v>1500</v>
      </c>
      <c r="AC24" s="335">
        <f>IF(X24="","",SUMIFS('Payments &amp; Receipts'!$F$5:$F$58,'Payments &amp; Receipts'!$L$5:$L$58,X24))</f>
        <v>0</v>
      </c>
      <c r="AD24" s="333" t="str">
        <f t="array" ref="AD24">IF(X24="","",INDEX('Bills &amp; Invoices'!$U$5:$U$32,MATCH(X24,'Bills &amp; Invoices'!$B$5:$B$32,0)))</f>
        <v>Unpaid</v>
      </c>
      <c r="AM24" s="312" t="s">
        <v>4547</v>
      </c>
    </row>
    <row r="25" ht="14.25" customHeight="1">
      <c r="G25" s="312" t="s">
        <v>589</v>
      </c>
      <c r="I25" s="312" t="s">
        <v>751</v>
      </c>
      <c r="R2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Clearances'!$A$4:$Q$4)),FALSE)),ROWS(R$5:R25)))&amp;""  –  ""&amp;INDEX('Chemical Clearances'!$D$5:$D$169,MATCH(INDEX('Chemical Clearances'!$B$5:$B$169,LARGE(FILTER((ROW('Chemical Clearances'!$B$5:$B$169)-ROW('C"&amp;"hemical Clearances'!$A$4:$Q$4)),IFERROR((MATCH('Chemical Clearances'!$B$5:$B$169,'Chemical Clearances'!$B$5:$B$169,0)=ROW('Chemical Clearances'!$B$5:$B$169)-ROW('Chemical Clearances'!$A$4:$Q$4)),FALSE)),ROWS(R$5:R25))),'Chemical Clearances'!$B$5:$B$169,0)"&amp;"),"""")), 1, 1)"),"CLN-127  –  DuraPlast Liberia Inc.")</f>
        <v>CLN-127  –  DuraPlast Liberia Inc.</v>
      </c>
      <c r="X2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 1, 1)"),"")</f>
        <v/>
      </c>
      <c r="Y25" s="333" t="str">
        <f t="array" ref="Y25">IF(X25="","",X25&amp;"  –  "&amp;INDEX('Bills &amp; Invoices'!$D$5:$D$32,MATCH(X25,'Bills &amp; Invoices'!$B$5:$B$32,0))&amp;"  –  $"&amp;TEXT(SUMIFS('Bills &amp; Invoices'!$J$5:$J$32,'Bills &amp; Invoices'!$B$5:$B$32,X25),"#,##0"))</f>
        <v/>
      </c>
      <c r="Z25" s="333" t="str">
        <f t="array" ref="Z25">IF(X25="","",INDEX('Bills &amp; Invoices'!$D$5:$D$32,MATCH(X25,'Bills &amp; Invoices'!$B$5:$B$32,0)))</f>
        <v/>
      </c>
      <c r="AA25" s="334" t="str">
        <f t="array" ref="AA25">IF(X25="","",INDEX('Bills &amp; Invoices'!$K$5:$K$32,MATCH(X25,'Bills &amp; Invoices'!$B$5:$B$32,0)))</f>
        <v/>
      </c>
      <c r="AB25" s="335" t="str">
        <f>IF(X25="","",SUMIFS('Bills &amp; Invoices'!$J$5:$J$32,'Bills &amp; Invoices'!$B$5:$B$32,X25))</f>
        <v/>
      </c>
      <c r="AC25" s="335" t="str">
        <f>IF(X25="","",SUMIFS('Payments &amp; Receipts'!$F$5:$F$58,'Payments &amp; Receipts'!$L$5:$L$58,X25))</f>
        <v/>
      </c>
      <c r="AD25" s="333" t="str">
        <f t="array" ref="AD25">IF(X25="","",INDEX('Bills &amp; Invoices'!$U$5:$U$32,MATCH(X25,'Bills &amp; Invoices'!$B$5:$B$32,0)))</f>
        <v/>
      </c>
      <c r="AM25" s="312" t="s">
        <v>4686</v>
      </c>
    </row>
    <row r="26" ht="14.25" customHeight="1">
      <c r="G26" s="312" t="s">
        <v>591</v>
      </c>
      <c r="I26" s="312" t="s">
        <v>869</v>
      </c>
      <c r="R2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Clearances'!$A$4:$Q$4)),FALSE)),ROWS(R$5:R26)))&amp;""  –  ""&amp;INDEX('Chemical Clearances'!$D$5:$D$169,MATCH(INDEX('Chemical Clearances'!$B$5:$B$169,LARGE(FILTER((ROW('Chemical Clearances'!$B$5:$B$169)-ROW('C"&amp;"hemical Clearances'!$A$4:$Q$4)),IFERROR((MATCH('Chemical Clearances'!$B$5:$B$169,'Chemical Clearances'!$B$5:$B$169,0)=ROW('Chemical Clearances'!$B$5:$B$169)-ROW('Chemical Clearances'!$A$4:$Q$4)),FALSE)),ROWS(R$5:R26))),'Chemical Clearances'!$B$5:$B$169,0)"&amp;"),"""")), 1, 1)"),"CLN-126  –  DuraPlast Liberia Inc.")</f>
        <v>CLN-126  –  DuraPlast Liberia Inc.</v>
      </c>
      <c r="X2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 1, 1)"),"")</f>
        <v/>
      </c>
      <c r="Y26" s="333" t="str">
        <f t="array" ref="Y26">IF(X26="","",X26&amp;"  –  "&amp;INDEX('Bills &amp; Invoices'!$D$5:$D$32,MATCH(X26,'Bills &amp; Invoices'!$B$5:$B$32,0))&amp;"  –  $"&amp;TEXT(SUMIFS('Bills &amp; Invoices'!$J$5:$J$32,'Bills &amp; Invoices'!$B$5:$B$32,X26),"#,##0"))</f>
        <v/>
      </c>
      <c r="Z26" s="333" t="str">
        <f t="array" ref="Z26">IF(X26="","",INDEX('Bills &amp; Invoices'!$D$5:$D$32,MATCH(X26,'Bills &amp; Invoices'!$B$5:$B$32,0)))</f>
        <v/>
      </c>
      <c r="AA26" s="334" t="str">
        <f t="array" ref="AA26">IF(X26="","",INDEX('Bills &amp; Invoices'!$K$5:$K$32,MATCH(X26,'Bills &amp; Invoices'!$B$5:$B$32,0)))</f>
        <v/>
      </c>
      <c r="AB26" s="335" t="str">
        <f>IF(X26="","",SUMIFS('Bills &amp; Invoices'!$J$5:$J$32,'Bills &amp; Invoices'!$B$5:$B$32,X26))</f>
        <v/>
      </c>
      <c r="AC26" s="335" t="str">
        <f>IF(X26="","",SUMIFS('Payments &amp; Receipts'!$F$5:$F$58,'Payments &amp; Receipts'!$L$5:$L$58,X26))</f>
        <v/>
      </c>
      <c r="AD26" s="333" t="str">
        <f t="array" ref="AD26">IF(X26="","",INDEX('Bills &amp; Invoices'!$U$5:$U$32,MATCH(X26,'Bills &amp; Invoices'!$B$5:$B$32,0)))</f>
        <v/>
      </c>
      <c r="AM26" s="312" t="s">
        <v>4802</v>
      </c>
    </row>
    <row r="27" ht="14.25" customHeight="1">
      <c r="G27" s="312" t="s">
        <v>581</v>
      </c>
      <c r="I27" s="312" t="s">
        <v>900</v>
      </c>
      <c r="R2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Clearances'!$A$4:$Q$4)),FALSE)),ROWS(R$5:R27)))&amp;""  –  ""&amp;INDEX('Chemical Clearances'!$D$5:$D$169,MATCH(INDEX('Chemical Clearances'!$B$5:$B$169,LARGE(FILTER((ROW('Chemical Clearances'!$B$5:$B$169)-ROW('C"&amp;"hemical Clearances'!$A$4:$Q$4)),IFERROR((MATCH('Chemical Clearances'!$B$5:$B$169,'Chemical Clearances'!$B$5:$B$169,0)=ROW('Chemical Clearances'!$B$5:$B$169)-ROW('Chemical Clearances'!$A$4:$Q$4)),FALSE)),ROWS(R$5:R27))),'Chemical Clearances'!$B$5:$B$169,0)"&amp;"),"""")), 1, 1)"),"CLN-125  –  DuraPlast Liberia Inc.")</f>
        <v>CLN-125  –  DuraPlast Liberia Inc.</v>
      </c>
      <c r="X2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 1, 1)"),"")</f>
        <v/>
      </c>
      <c r="Y27" s="333" t="str">
        <f t="array" ref="Y27">IF(X27="","",X27&amp;"  –  "&amp;INDEX('Bills &amp; Invoices'!$D$5:$D$32,MATCH(X27,'Bills &amp; Invoices'!$B$5:$B$32,0))&amp;"  –  $"&amp;TEXT(SUMIFS('Bills &amp; Invoices'!$J$5:$J$32,'Bills &amp; Invoices'!$B$5:$B$32,X27),"#,##0"))</f>
        <v/>
      </c>
      <c r="Z27" s="333" t="str">
        <f t="array" ref="Z27">IF(X27="","",INDEX('Bills &amp; Invoices'!$D$5:$D$32,MATCH(X27,'Bills &amp; Invoices'!$B$5:$B$32,0)))</f>
        <v/>
      </c>
      <c r="AA27" s="334" t="str">
        <f t="array" ref="AA27">IF(X27="","",INDEX('Bills &amp; Invoices'!$K$5:$K$32,MATCH(X27,'Bills &amp; Invoices'!$B$5:$B$32,0)))</f>
        <v/>
      </c>
      <c r="AB27" s="335" t="str">
        <f>IF(X27="","",SUMIFS('Bills &amp; Invoices'!$J$5:$J$32,'Bills &amp; Invoices'!$B$5:$B$32,X27))</f>
        <v/>
      </c>
      <c r="AC27" s="335" t="str">
        <f>IF(X27="","",SUMIFS('Payments &amp; Receipts'!$F$5:$F$58,'Payments &amp; Receipts'!$L$5:$L$58,X27))</f>
        <v/>
      </c>
      <c r="AD27" s="333" t="str">
        <f t="array" ref="AD27">IF(X27="","",INDEX('Bills &amp; Invoices'!$U$5:$U$32,MATCH(X27,'Bills &amp; Invoices'!$B$5:$B$32,0)))</f>
        <v/>
      </c>
      <c r="AM27" s="312" t="s">
        <v>4910</v>
      </c>
    </row>
    <row r="28" ht="14.25" customHeight="1">
      <c r="G28" s="312" t="s">
        <v>573</v>
      </c>
      <c r="R2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Clearances'!$A$4:$Q$4)),FALSE)),ROWS(R$5:R28)))&amp;""  –  ""&amp;INDEX('Chemical Clearances'!$D$5:$D$169,MATCH(INDEX('Chemical Clearances'!$B$5:$B$169,LARGE(FILTER((ROW('Chemical Clearances'!$B$5:$B$169)-ROW('C"&amp;"hemical Clearances'!$A$4:$Q$4)),IFERROR((MATCH('Chemical Clearances'!$B$5:$B$169,'Chemical Clearances'!$B$5:$B$169,0)=ROW('Chemical Clearances'!$B$5:$B$169)-ROW('Chemical Clearances'!$A$4:$Q$4)),FALSE)),ROWS(R$5:R28))),'Chemical Clearances'!$B$5:$B$169,0)"&amp;"),"""")), 1, 1)"),"CLN-124  –  DuraPlast Liberia Inc.")</f>
        <v>CLN-124  –  DuraPlast Liberia Inc.</v>
      </c>
      <c r="X2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 1, 1)"),"")</f>
        <v/>
      </c>
      <c r="Y28" s="333" t="str">
        <f t="array" ref="Y28">IF(X28="","",X28&amp;"  –  "&amp;INDEX('Bills &amp; Invoices'!$D$5:$D$32,MATCH(X28,'Bills &amp; Invoices'!$B$5:$B$32,0))&amp;"  –  $"&amp;TEXT(SUMIFS('Bills &amp; Invoices'!$J$5:$J$32,'Bills &amp; Invoices'!$B$5:$B$32,X28),"#,##0"))</f>
        <v/>
      </c>
      <c r="Z28" s="333" t="str">
        <f t="array" ref="Z28">IF(X28="","",INDEX('Bills &amp; Invoices'!$D$5:$D$32,MATCH(X28,'Bills &amp; Invoices'!$B$5:$B$32,0)))</f>
        <v/>
      </c>
      <c r="AA28" s="334" t="str">
        <f t="array" ref="AA28">IF(X28="","",INDEX('Bills &amp; Invoices'!$K$5:$K$32,MATCH(X28,'Bills &amp; Invoices'!$B$5:$B$32,0)))</f>
        <v/>
      </c>
      <c r="AB28" s="335" t="str">
        <f>IF(X28="","",SUMIFS('Bills &amp; Invoices'!$J$5:$J$32,'Bills &amp; Invoices'!$B$5:$B$32,X28))</f>
        <v/>
      </c>
      <c r="AC28" s="335" t="str">
        <f>IF(X28="","",SUMIFS('Payments &amp; Receipts'!$F$5:$F$58,'Payments &amp; Receipts'!$L$5:$L$58,X28))</f>
        <v/>
      </c>
      <c r="AD28" s="333" t="str">
        <f t="array" ref="AD28">IF(X28="","",INDEX('Bills &amp; Invoices'!$U$5:$U$32,MATCH(X28,'Bills &amp; Invoices'!$B$5:$B$32,0)))</f>
        <v/>
      </c>
      <c r="AM28" s="312" t="s">
        <v>5007</v>
      </c>
    </row>
    <row r="29" ht="14.25" customHeight="1">
      <c r="G29" s="312" t="s">
        <v>540</v>
      </c>
      <c r="R2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Clearances'!$A$4:$Q$4)),FALSE)),ROWS(R$5:R29)))&amp;""  –  ""&amp;INDEX('Chemical Clearances'!$D$5:$D$169,MATCH(INDEX('Chemical Clearances'!$B$5:$B$169,LARGE(FILTER((ROW('Chemical Clearances'!$B$5:$B$169)-ROW('C"&amp;"hemical Clearances'!$A$4:$Q$4)),IFERROR((MATCH('Chemical Clearances'!$B$5:$B$169,'Chemical Clearances'!$B$5:$B$169,0)=ROW('Chemical Clearances'!$B$5:$B$169)-ROW('Chemical Clearances'!$A$4:$Q$4)),FALSE)),ROWS(R$5:R29))),'Chemical Clearances'!$B$5:$B$169,0)"&amp;"),"""")), 1, 1)"),"CLN-123  –  DuraPlast Liberia Inc.")</f>
        <v>CLN-123  –  DuraPlast Liberia Inc.</v>
      </c>
      <c r="X2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 1, 1)"),"")</f>
        <v/>
      </c>
      <c r="Y29" s="333" t="str">
        <f t="array" ref="Y29">IF(X29="","",X29&amp;"  –  "&amp;INDEX('Bills &amp; Invoices'!$D$5:$D$32,MATCH(X29,'Bills &amp; Invoices'!$B$5:$B$32,0))&amp;"  –  $"&amp;TEXT(SUMIFS('Bills &amp; Invoices'!$J$5:$J$32,'Bills &amp; Invoices'!$B$5:$B$32,X29),"#,##0"))</f>
        <v/>
      </c>
      <c r="Z29" s="333" t="str">
        <f t="array" ref="Z29">IF(X29="","",INDEX('Bills &amp; Invoices'!$D$5:$D$32,MATCH(X29,'Bills &amp; Invoices'!$B$5:$B$32,0)))</f>
        <v/>
      </c>
      <c r="AA29" s="334" t="str">
        <f t="array" ref="AA29">IF(X29="","",INDEX('Bills &amp; Invoices'!$K$5:$K$32,MATCH(X29,'Bills &amp; Invoices'!$B$5:$B$32,0)))</f>
        <v/>
      </c>
      <c r="AB29" s="335" t="str">
        <f>IF(X29="","",SUMIFS('Bills &amp; Invoices'!$J$5:$J$32,'Bills &amp; Invoices'!$B$5:$B$32,X29))</f>
        <v/>
      </c>
      <c r="AC29" s="335" t="str">
        <f>IF(X29="","",SUMIFS('Payments &amp; Receipts'!$F$5:$F$58,'Payments &amp; Receipts'!$L$5:$L$58,X29))</f>
        <v/>
      </c>
      <c r="AD29" s="333" t="str">
        <f t="array" ref="AD29">IF(X29="","",INDEX('Bills &amp; Invoices'!$U$5:$U$32,MATCH(X29,'Bills &amp; Invoices'!$B$5:$B$32,0)))</f>
        <v/>
      </c>
      <c r="AM29" s="312" t="s">
        <v>5112</v>
      </c>
    </row>
    <row r="30" ht="14.25" customHeight="1">
      <c r="G30" s="312" t="s">
        <v>552</v>
      </c>
      <c r="R3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Clearances'!$A$4:$Q$4)),FALSE)),ROWS(R$5:R30)))&amp;""  –  ""&amp;INDEX('Chemical Clearances'!$D$5:$D$169,MATCH(INDEX('Chemical Clearances'!$B$5:$B$169,LARGE(FILTER((ROW('Chemical Clearances'!$B$5:$B$169)-ROW('C"&amp;"hemical Clearances'!$A$4:$Q$4)),IFERROR((MATCH('Chemical Clearances'!$B$5:$B$169,'Chemical Clearances'!$B$5:$B$169,0)=ROW('Chemical Clearances'!$B$5:$B$169)-ROW('Chemical Clearances'!$A$4:$Q$4)),FALSE)),ROWS(R$5:R30))),'Chemical Clearances'!$B$5:$B$169,0)"&amp;"),"""")), 1, 1)"),"CLN-122  –  DuraPlast Liberia Inc.")</f>
        <v>CLN-122  –  DuraPlast Liberia Inc.</v>
      </c>
      <c r="X3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 1, 1)"),"")</f>
        <v/>
      </c>
      <c r="Y30" s="333" t="str">
        <f t="array" ref="Y30">IF(X30="","",X30&amp;"  –  "&amp;INDEX('Bills &amp; Invoices'!$D$5:$D$32,MATCH(X30,'Bills &amp; Invoices'!$B$5:$B$32,0))&amp;"  –  $"&amp;TEXT(SUMIFS('Bills &amp; Invoices'!$J$5:$J$32,'Bills &amp; Invoices'!$B$5:$B$32,X30),"#,##0"))</f>
        <v/>
      </c>
      <c r="Z30" s="333" t="str">
        <f t="array" ref="Z30">IF(X30="","",INDEX('Bills &amp; Invoices'!$D$5:$D$32,MATCH(X30,'Bills &amp; Invoices'!$B$5:$B$32,0)))</f>
        <v/>
      </c>
      <c r="AA30" s="334" t="str">
        <f t="array" ref="AA30">IF(X30="","",INDEX('Bills &amp; Invoices'!$K$5:$K$32,MATCH(X30,'Bills &amp; Invoices'!$B$5:$B$32,0)))</f>
        <v/>
      </c>
      <c r="AB30" s="335" t="str">
        <f>IF(X30="","",SUMIFS('Bills &amp; Invoices'!$J$5:$J$32,'Bills &amp; Invoices'!$B$5:$B$32,X30))</f>
        <v/>
      </c>
      <c r="AC30" s="335" t="str">
        <f>IF(X30="","",SUMIFS('Payments &amp; Receipts'!$F$5:$F$58,'Payments &amp; Receipts'!$L$5:$L$58,X30))</f>
        <v/>
      </c>
      <c r="AD30" s="333" t="str">
        <f t="array" ref="AD30">IF(X30="","",INDEX('Bills &amp; Invoices'!$U$5:$U$32,MATCH(X30,'Bills &amp; Invoices'!$B$5:$B$32,0)))</f>
        <v/>
      </c>
      <c r="AM30" s="312" t="s">
        <v>5119</v>
      </c>
    </row>
    <row r="31" ht="14.25" customHeight="1">
      <c r="G31" s="312" t="s">
        <v>623</v>
      </c>
      <c r="R3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Clearances'!$A$4:$Q$4)),FALSE)),ROWS(R$5:R31)))&amp;""  –  ""&amp;INDEX('Chemical Clearances'!$D$5:$D$169,MATCH(INDEX('Chemical Clearances'!$B$5:$B$169,LARGE(FILTER((ROW('Chemical Clearances'!$B$5:$B$169)-ROW('C"&amp;"hemical Clearances'!$A$4:$Q$4)),IFERROR((MATCH('Chemical Clearances'!$B$5:$B$169,'Chemical Clearances'!$B$5:$B$169,0)=ROW('Chemical Clearances'!$B$5:$B$169)-ROW('Chemical Clearances'!$A$4:$Q$4)),FALSE)),ROWS(R$5:R31))),'Chemical Clearances'!$B$5:$B$169,0)"&amp;"),"""")), 1, 1)"),"CLN-121  –  DuraPlast Liberia Inc.")</f>
        <v>CLN-121  –  DuraPlast Liberia Inc.</v>
      </c>
      <c r="X3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 1, 1)"),"")</f>
        <v/>
      </c>
      <c r="Y31" s="333" t="str">
        <f t="array" ref="Y31">IF(X31="","",X31&amp;"  –  "&amp;INDEX('Bills &amp; Invoices'!$D$5:$D$32,MATCH(X31,'Bills &amp; Invoices'!$B$5:$B$32,0))&amp;"  –  $"&amp;TEXT(SUMIFS('Bills &amp; Invoices'!$J$5:$J$32,'Bills &amp; Invoices'!$B$5:$B$32,X31),"#,##0"))</f>
        <v/>
      </c>
      <c r="Z31" s="333" t="str">
        <f t="array" ref="Z31">IF(X31="","",INDEX('Bills &amp; Invoices'!$D$5:$D$32,MATCH(X31,'Bills &amp; Invoices'!$B$5:$B$32,0)))</f>
        <v/>
      </c>
      <c r="AA31" s="334" t="str">
        <f t="array" ref="AA31">IF(X31="","",INDEX('Bills &amp; Invoices'!$K$5:$K$32,MATCH(X31,'Bills &amp; Invoices'!$B$5:$B$32,0)))</f>
        <v/>
      </c>
      <c r="AB31" s="335" t="str">
        <f>IF(X31="","",SUMIFS('Bills &amp; Invoices'!$J$5:$J$32,'Bills &amp; Invoices'!$B$5:$B$32,X31))</f>
        <v/>
      </c>
      <c r="AC31" s="335" t="str">
        <f>IF(X31="","",SUMIFS('Payments &amp; Receipts'!$F$5:$F$58,'Payments &amp; Receipts'!$L$5:$L$58,X31))</f>
        <v/>
      </c>
      <c r="AD31" s="333" t="str">
        <f t="array" ref="AD31">IF(X31="","",INDEX('Bills &amp; Invoices'!$U$5:$U$32,MATCH(X31,'Bills &amp; Invoices'!$B$5:$B$32,0)))</f>
        <v/>
      </c>
      <c r="AM31" s="312" t="s">
        <v>5120</v>
      </c>
    </row>
    <row r="32" ht="14.25" customHeight="1">
      <c r="G32" s="312" t="s">
        <v>577</v>
      </c>
      <c r="R3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Clearances'!$A$4:$Q$4)),FALSE)),ROWS(R$5:R32)))&amp;""  –  ""&amp;INDEX('Chemical Clearances'!$D$5:$D$169,MATCH(INDEX('Chemical Clearances'!$B$5:$B$169,LARGE(FILTER((ROW('Chemical Clearances'!$B$5:$B$169)-ROW('C"&amp;"hemical Clearances'!$A$4:$Q$4)),IFERROR((MATCH('Chemical Clearances'!$B$5:$B$169,'Chemical Clearances'!$B$5:$B$169,0)=ROW('Chemical Clearances'!$B$5:$B$169)-ROW('Chemical Clearances'!$A$4:$Q$4)),FALSE)),ROWS(R$5:R32))),'Chemical Clearances'!$B$5:$B$169,0)"&amp;"),"""")), 1, 1)"),"CLN-120  –  DuraPlast Liberia Inc.")</f>
        <v>CLN-120  –  DuraPlast Liberia Inc.</v>
      </c>
      <c r="X3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 1, 1)"),"")</f>
        <v/>
      </c>
      <c r="Y32" s="333" t="str">
        <f t="array" ref="Y32">IF(X32="","",X32&amp;"  –  "&amp;INDEX('Bills &amp; Invoices'!$D$5:$D$32,MATCH(X32,'Bills &amp; Invoices'!$B$5:$B$32,0))&amp;"  –  $"&amp;TEXT(SUMIFS('Bills &amp; Invoices'!$J$5:$J$32,'Bills &amp; Invoices'!$B$5:$B$32,X32),"#,##0"))</f>
        <v/>
      </c>
      <c r="Z32" s="333" t="str">
        <f t="array" ref="Z32">IF(X32="","",INDEX('Bills &amp; Invoices'!$D$5:$D$32,MATCH(X32,'Bills &amp; Invoices'!$B$5:$B$32,0)))</f>
        <v/>
      </c>
      <c r="AA32" s="334" t="str">
        <f t="array" ref="AA32">IF(X32="","",INDEX('Bills &amp; Invoices'!$K$5:$K$32,MATCH(X32,'Bills &amp; Invoices'!$B$5:$B$32,0)))</f>
        <v/>
      </c>
      <c r="AB32" s="335" t="str">
        <f>IF(X32="","",SUMIFS('Bills &amp; Invoices'!$J$5:$J$32,'Bills &amp; Invoices'!$B$5:$B$32,X32))</f>
        <v/>
      </c>
      <c r="AC32" s="335" t="str">
        <f>IF(X32="","",SUMIFS('Payments &amp; Receipts'!$F$5:$F$58,'Payments &amp; Receipts'!$L$5:$L$58,X32))</f>
        <v/>
      </c>
      <c r="AD32" s="333" t="str">
        <f t="array" ref="AD32">IF(X32="","",INDEX('Bills &amp; Invoices'!$U$5:$U$32,MATCH(X32,'Bills &amp; Invoices'!$B$5:$B$32,0)))</f>
        <v/>
      </c>
      <c r="AM32" s="312" t="s">
        <v>5121</v>
      </c>
    </row>
    <row r="33" ht="14.25" customHeight="1">
      <c r="G33" s="312" t="s">
        <v>563</v>
      </c>
      <c r="R3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Clearances'!$A$4:$Q$4)),FALSE)),ROWS(R$5:R33)))&amp;""  –  ""&amp;INDEX('Chemical Clearances'!$D$5:$D$169,MATCH(INDEX('Chemical Clearances'!$B$5:$B$169,LARGE(FILTER((ROW('Chemical Clearances'!$B$5:$B$169)-ROW('C"&amp;"hemical Clearances'!$A$4:$Q$4)),IFERROR((MATCH('Chemical Clearances'!$B$5:$B$169,'Chemical Clearances'!$B$5:$B$169,0)=ROW('Chemical Clearances'!$B$5:$B$169)-ROW('Chemical Clearances'!$A$4:$Q$4)),FALSE)),ROWS(R$5:R33))),'Chemical Clearances'!$B$5:$B$169,0)"&amp;"),"""")), 1, 1)"),"CLN-119  –  DuraPlast Liberia Inc.")</f>
        <v>CLN-119  –  DuraPlast Liberia Inc.</v>
      </c>
      <c r="X3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 1, 1)"),"")</f>
        <v/>
      </c>
      <c r="Y33" s="333" t="str">
        <f t="array" ref="Y33">IF(X33="","",X33&amp;"  –  "&amp;INDEX('Bills &amp; Invoices'!$D$5:$D$32,MATCH(X33,'Bills &amp; Invoices'!$B$5:$B$32,0))&amp;"  –  $"&amp;TEXT(SUMIFS('Bills &amp; Invoices'!$J$5:$J$32,'Bills &amp; Invoices'!$B$5:$B$32,X33),"#,##0"))</f>
        <v/>
      </c>
      <c r="Z33" s="333" t="str">
        <f t="array" ref="Z33">IF(X33="","",INDEX('Bills &amp; Invoices'!$D$5:$D$32,MATCH(X33,'Bills &amp; Invoices'!$B$5:$B$32,0)))</f>
        <v/>
      </c>
      <c r="AA33" s="334" t="str">
        <f t="array" ref="AA33">IF(X33="","",INDEX('Bills &amp; Invoices'!$K$5:$K$32,MATCH(X33,'Bills &amp; Invoices'!$B$5:$B$32,0)))</f>
        <v/>
      </c>
      <c r="AB33" s="335" t="str">
        <f>IF(X33="","",SUMIFS('Bills &amp; Invoices'!$J$5:$J$32,'Bills &amp; Invoices'!$B$5:$B$32,X33))</f>
        <v/>
      </c>
      <c r="AC33" s="335" t="str">
        <f>IF(X33="","",SUMIFS('Payments &amp; Receipts'!$F$5:$F$58,'Payments &amp; Receipts'!$L$5:$L$58,X33))</f>
        <v/>
      </c>
      <c r="AD33" s="333" t="str">
        <f t="array" ref="AD33">IF(X33="","",INDEX('Bills &amp; Invoices'!$U$5:$U$32,MATCH(X33,'Bills &amp; Invoices'!$B$5:$B$32,0)))</f>
        <v/>
      </c>
      <c r="AM33" s="312" t="s">
        <v>5122</v>
      </c>
    </row>
    <row r="34" ht="14.25" customHeight="1">
      <c r="G34" s="312" t="s">
        <v>584</v>
      </c>
      <c r="R3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Clearances'!$A$4:$Q$4)),FALSE)),ROWS(R$5:R34)))&amp;""  –  ""&amp;INDEX('Chemical Clearances'!$D$5:$D$169,MATCH(INDEX('Chemical Clearances'!$B$5:$B$169,LARGE(FILTER((ROW('Chemical Clearances'!$B$5:$B$169)-ROW('C"&amp;"hemical Clearances'!$A$4:$Q$4)),IFERROR((MATCH('Chemical Clearances'!$B$5:$B$169,'Chemical Clearances'!$B$5:$B$169,0)=ROW('Chemical Clearances'!$B$5:$B$169)-ROW('Chemical Clearances'!$A$4:$Q$4)),FALSE)),ROWS(R$5:R34))),'Chemical Clearances'!$B$5:$B$169,0)"&amp;"),"""")), 1, 1)"),"CLN-118  –  DuraPlast Liberia Inc.")</f>
        <v>CLN-118  –  DuraPlast Liberia Inc.</v>
      </c>
      <c r="X3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 1, 1)"),"")</f>
        <v/>
      </c>
      <c r="Y34" s="333" t="str">
        <f t="array" ref="Y34">IF(X34="","",X34&amp;"  –  "&amp;INDEX('Bills &amp; Invoices'!$D$5:$D$32,MATCH(X34,'Bills &amp; Invoices'!$B$5:$B$32,0))&amp;"  –  $"&amp;TEXT(SUMIFS('Bills &amp; Invoices'!$J$5:$J$32,'Bills &amp; Invoices'!$B$5:$B$32,X34),"#,##0"))</f>
        <v/>
      </c>
      <c r="Z34" s="333" t="str">
        <f t="array" ref="Z34">IF(X34="","",INDEX('Bills &amp; Invoices'!$D$5:$D$32,MATCH(X34,'Bills &amp; Invoices'!$B$5:$B$32,0)))</f>
        <v/>
      </c>
      <c r="AA34" s="334" t="str">
        <f t="array" ref="AA34">IF(X34="","",INDEX('Bills &amp; Invoices'!$K$5:$K$32,MATCH(X34,'Bills &amp; Invoices'!$B$5:$B$32,0)))</f>
        <v/>
      </c>
      <c r="AB34" s="335" t="str">
        <f>IF(X34="","",SUMIFS('Bills &amp; Invoices'!$J$5:$J$32,'Bills &amp; Invoices'!$B$5:$B$32,X34))</f>
        <v/>
      </c>
      <c r="AC34" s="335" t="str">
        <f>IF(X34="","",SUMIFS('Payments &amp; Receipts'!$F$5:$F$58,'Payments &amp; Receipts'!$L$5:$L$58,X34))</f>
        <v/>
      </c>
      <c r="AD34" s="333" t="str">
        <f t="array" ref="AD34">IF(X34="","",INDEX('Bills &amp; Invoices'!$U$5:$U$32,MATCH(X34,'Bills &amp; Invoices'!$B$5:$B$32,0)))</f>
        <v/>
      </c>
      <c r="AM34" s="312" t="s">
        <v>5123</v>
      </c>
    </row>
    <row r="35" ht="14.25" customHeight="1">
      <c r="G35" s="312" t="s">
        <v>624</v>
      </c>
      <c r="R3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Clearances'!$A$4:$Q$4)),FALSE)),ROWS(R$5:R35)))&amp;""  –  ""&amp;INDEX('Chemical Clearances'!$D$5:$D$169,MATCH(INDEX('Chemical Clearances'!$B$5:$B$169,LARGE(FILTER((ROW('Chemical Clearances'!$B$5:$B$169)-ROW('C"&amp;"hemical Clearances'!$A$4:$Q$4)),IFERROR((MATCH('Chemical Clearances'!$B$5:$B$169,'Chemical Clearances'!$B$5:$B$169,0)=ROW('Chemical Clearances'!$B$5:$B$169)-ROW('Chemical Clearances'!$A$4:$Q$4)),FALSE)),ROWS(R$5:R35))),'Chemical Clearances'!$B$5:$B$169,0)"&amp;"),"""")), 1, 1)"),"CLN-117  –  DuraPlast Liberia Inc.")</f>
        <v>CLN-117  –  DuraPlast Liberia Inc.</v>
      </c>
      <c r="X3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 1, 1)"),"")</f>
        <v/>
      </c>
      <c r="Y35" s="333" t="str">
        <f t="array" ref="Y35">IF(X35="","",X35&amp;"  –  "&amp;INDEX('Bills &amp; Invoices'!$D$5:$D$32,MATCH(X35,'Bills &amp; Invoices'!$B$5:$B$32,0))&amp;"  –  $"&amp;TEXT(SUMIFS('Bills &amp; Invoices'!$J$5:$J$32,'Bills &amp; Invoices'!$B$5:$B$32,X35),"#,##0"))</f>
        <v/>
      </c>
      <c r="Z35" s="333" t="str">
        <f t="array" ref="Z35">IF(X35="","",INDEX('Bills &amp; Invoices'!$D$5:$D$32,MATCH(X35,'Bills &amp; Invoices'!$B$5:$B$32,0)))</f>
        <v/>
      </c>
      <c r="AA35" s="334" t="str">
        <f t="array" ref="AA35">IF(X35="","",INDEX('Bills &amp; Invoices'!$K$5:$K$32,MATCH(X35,'Bills &amp; Invoices'!$B$5:$B$32,0)))</f>
        <v/>
      </c>
      <c r="AB35" s="335" t="str">
        <f>IF(X35="","",SUMIFS('Bills &amp; Invoices'!$J$5:$J$32,'Bills &amp; Invoices'!$B$5:$B$32,X35))</f>
        <v/>
      </c>
      <c r="AC35" s="335" t="str">
        <f>IF(X35="","",SUMIFS('Payments &amp; Receipts'!$F$5:$F$58,'Payments &amp; Receipts'!$L$5:$L$58,X35))</f>
        <v/>
      </c>
      <c r="AD35" s="333" t="str">
        <f t="array" ref="AD35">IF(X35="","",INDEX('Bills &amp; Invoices'!$U$5:$U$32,MATCH(X35,'Bills &amp; Invoices'!$B$5:$B$32,0)))</f>
        <v/>
      </c>
      <c r="AM35" s="312" t="s">
        <v>5124</v>
      </c>
    </row>
    <row r="36" ht="14.25" customHeight="1">
      <c r="G36" s="312" t="s">
        <v>555</v>
      </c>
      <c r="R3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Clearances'!$A$4:$Q$4)),FALSE)),ROWS(R$5:R36)))&amp;""  –  ""&amp;INDEX('Chemical Clearances'!$D$5:$D$169,MATCH(INDEX('Chemical Clearances'!$B$5:$B$169,LARGE(FILTER((ROW('Chemical Clearances'!$B$5:$B$169)-ROW('C"&amp;"hemical Clearances'!$A$4:$Q$4)),IFERROR((MATCH('Chemical Clearances'!$B$5:$B$169,'Chemical Clearances'!$B$5:$B$169,0)=ROW('Chemical Clearances'!$B$5:$B$169)-ROW('Chemical Clearances'!$A$4:$Q$4)),FALSE)),ROWS(R$5:R36))),'Chemical Clearances'!$B$5:$B$169,0)"&amp;"),"""")), 1, 1)"),"CLN-116  –  DuraPlast Liberia Inc.")</f>
        <v>CLN-116  –  DuraPlast Liberia Inc.</v>
      </c>
      <c r="X3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 1, 1)"),"")</f>
        <v/>
      </c>
      <c r="Y36" s="333" t="str">
        <f t="array" ref="Y36">IF(X36="","",X36&amp;"  –  "&amp;INDEX('Bills &amp; Invoices'!$D$5:$D$32,MATCH(X36,'Bills &amp; Invoices'!$B$5:$B$32,0))&amp;"  –  $"&amp;TEXT(SUMIFS('Bills &amp; Invoices'!$J$5:$J$32,'Bills &amp; Invoices'!$B$5:$B$32,X36),"#,##0"))</f>
        <v/>
      </c>
      <c r="Z36" s="333" t="str">
        <f t="array" ref="Z36">IF(X36="","",INDEX('Bills &amp; Invoices'!$D$5:$D$32,MATCH(X36,'Bills &amp; Invoices'!$B$5:$B$32,0)))</f>
        <v/>
      </c>
      <c r="AA36" s="334" t="str">
        <f t="array" ref="AA36">IF(X36="","",INDEX('Bills &amp; Invoices'!$K$5:$K$32,MATCH(X36,'Bills &amp; Invoices'!$B$5:$B$32,0)))</f>
        <v/>
      </c>
      <c r="AB36" s="335" t="str">
        <f>IF(X36="","",SUMIFS('Bills &amp; Invoices'!$J$5:$J$32,'Bills &amp; Invoices'!$B$5:$B$32,X36))</f>
        <v/>
      </c>
      <c r="AC36" s="335" t="str">
        <f>IF(X36="","",SUMIFS('Payments &amp; Receipts'!$F$5:$F$58,'Payments &amp; Receipts'!$L$5:$L$58,X36))</f>
        <v/>
      </c>
      <c r="AD36" s="333" t="str">
        <f t="array" ref="AD36">IF(X36="","",INDEX('Bills &amp; Invoices'!$U$5:$U$32,MATCH(X36,'Bills &amp; Invoices'!$B$5:$B$32,0)))</f>
        <v/>
      </c>
      <c r="AM36" s="312" t="s">
        <v>5125</v>
      </c>
    </row>
    <row r="37" ht="14.25" customHeight="1">
      <c r="G37" s="312" t="s">
        <v>535</v>
      </c>
      <c r="R3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Clearances'!$A$4:$Q$4)),FALSE)),ROWS(R$5:R37)))&amp;""  –  ""&amp;INDEX('Chemical Clearances'!$D$5:$D$169,MATCH(INDEX('Chemical Clearances'!$B$5:$B$169,LARGE(FILTER((ROW('Chemical Clearances'!$B$5:$B$169)-ROW('C"&amp;"hemical Clearances'!$A$4:$Q$4)),IFERROR((MATCH('Chemical Clearances'!$B$5:$B$169,'Chemical Clearances'!$B$5:$B$169,0)=ROW('Chemical Clearances'!$B$5:$B$169)-ROW('Chemical Clearances'!$A$4:$Q$4)),FALSE)),ROWS(R$5:R37))),'Chemical Clearances'!$B$5:$B$169,0)"&amp;"),"""")), 1, 1)"),"CLN-115  –  DuraPlast Liberia Inc.")</f>
        <v>CLN-115  –  DuraPlast Liberia Inc.</v>
      </c>
      <c r="X3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 1, 1)"),"")</f>
        <v/>
      </c>
      <c r="Y37" s="333" t="str">
        <f t="array" ref="Y37">IF(X37="","",X37&amp;"  –  "&amp;INDEX('Bills &amp; Invoices'!$D$5:$D$32,MATCH(X37,'Bills &amp; Invoices'!$B$5:$B$32,0))&amp;"  –  $"&amp;TEXT(SUMIFS('Bills &amp; Invoices'!$J$5:$J$32,'Bills &amp; Invoices'!$B$5:$B$32,X37),"#,##0"))</f>
        <v/>
      </c>
      <c r="Z37" s="333" t="str">
        <f t="array" ref="Z37">IF(X37="","",INDEX('Bills &amp; Invoices'!$D$5:$D$32,MATCH(X37,'Bills &amp; Invoices'!$B$5:$B$32,0)))</f>
        <v/>
      </c>
      <c r="AA37" s="334" t="str">
        <f t="array" ref="AA37">IF(X37="","",INDEX('Bills &amp; Invoices'!$K$5:$K$32,MATCH(X37,'Bills &amp; Invoices'!$B$5:$B$32,0)))</f>
        <v/>
      </c>
      <c r="AB37" s="335" t="str">
        <f>IF(X37="","",SUMIFS('Bills &amp; Invoices'!$J$5:$J$32,'Bills &amp; Invoices'!$B$5:$B$32,X37))</f>
        <v/>
      </c>
      <c r="AC37" s="335" t="str">
        <f>IF(X37="","",SUMIFS('Payments &amp; Receipts'!$F$5:$F$58,'Payments &amp; Receipts'!$L$5:$L$58,X37))</f>
        <v/>
      </c>
      <c r="AD37" s="333" t="str">
        <f t="array" ref="AD37">IF(X37="","",INDEX('Bills &amp; Invoices'!$U$5:$U$32,MATCH(X37,'Bills &amp; Invoices'!$B$5:$B$32,0)))</f>
        <v/>
      </c>
      <c r="AM37" s="312" t="s">
        <v>5126</v>
      </c>
    </row>
    <row r="38" ht="14.25" customHeight="1">
      <c r="G38" s="312" t="s">
        <v>564</v>
      </c>
      <c r="R3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Clearances'!$A$4:$Q$4)),FALSE)),ROWS(R$5:R38)))&amp;""  –  ""&amp;INDEX('Chemical Clearances'!$D$5:$D$169,MATCH(INDEX('Chemical Clearances'!$B$5:$B$169,LARGE(FILTER((ROW('Chemical Clearances'!$B$5:$B$169)-ROW('C"&amp;"hemical Clearances'!$A$4:$Q$4)),IFERROR((MATCH('Chemical Clearances'!$B$5:$B$169,'Chemical Clearances'!$B$5:$B$169,0)=ROW('Chemical Clearances'!$B$5:$B$169)-ROW('Chemical Clearances'!$A$4:$Q$4)),FALSE)),ROWS(R$5:R38))),'Chemical Clearances'!$B$5:$B$169,0)"&amp;"),"""")), 1, 1)"),"CLN-114  –  DuraPlast Liberia Inc.")</f>
        <v>CLN-114  –  DuraPlast Liberia Inc.</v>
      </c>
      <c r="X3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 1, 1)"),"")</f>
        <v/>
      </c>
      <c r="Y38" s="333" t="str">
        <f t="array" ref="Y38">IF(X38="","",X38&amp;"  –  "&amp;INDEX('Bills &amp; Invoices'!$D$5:$D$32,MATCH(X38,'Bills &amp; Invoices'!$B$5:$B$32,0))&amp;"  –  $"&amp;TEXT(SUMIFS('Bills &amp; Invoices'!$J$5:$J$32,'Bills &amp; Invoices'!$B$5:$B$32,X38),"#,##0"))</f>
        <v/>
      </c>
      <c r="Z38" s="333" t="str">
        <f t="array" ref="Z38">IF(X38="","",INDEX('Bills &amp; Invoices'!$D$5:$D$32,MATCH(X38,'Bills &amp; Invoices'!$B$5:$B$32,0)))</f>
        <v/>
      </c>
      <c r="AA38" s="334" t="str">
        <f t="array" ref="AA38">IF(X38="","",INDEX('Bills &amp; Invoices'!$K$5:$K$32,MATCH(X38,'Bills &amp; Invoices'!$B$5:$B$32,0)))</f>
        <v/>
      </c>
      <c r="AB38" s="335" t="str">
        <f>IF(X38="","",SUMIFS('Bills &amp; Invoices'!$J$5:$J$32,'Bills &amp; Invoices'!$B$5:$B$32,X38))</f>
        <v/>
      </c>
      <c r="AC38" s="335" t="str">
        <f>IF(X38="","",SUMIFS('Payments &amp; Receipts'!$F$5:$F$58,'Payments &amp; Receipts'!$L$5:$L$58,X38))</f>
        <v/>
      </c>
      <c r="AD38" s="333" t="str">
        <f t="array" ref="AD38">IF(X38="","",INDEX('Bills &amp; Invoices'!$U$5:$U$32,MATCH(X38,'Bills &amp; Invoices'!$B$5:$B$32,0)))</f>
        <v/>
      </c>
    </row>
    <row r="39" ht="14.25" customHeight="1">
      <c r="G39" s="312" t="s">
        <v>546</v>
      </c>
      <c r="R3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Clearances'!$A$4:$Q$4)),FALSE)),ROWS(R$5:R39)))&amp;""  –  ""&amp;INDEX('Chemical Clearances'!$D$5:$D$169,MATCH(INDEX('Chemical Clearances'!$B$5:$B$169,LARGE(FILTER((ROW('Chemical Clearances'!$B$5:$B$169)-ROW('C"&amp;"hemical Clearances'!$A$4:$Q$4)),IFERROR((MATCH('Chemical Clearances'!$B$5:$B$169,'Chemical Clearances'!$B$5:$B$169,0)=ROW('Chemical Clearances'!$B$5:$B$169)-ROW('Chemical Clearances'!$A$4:$Q$4)),FALSE)),ROWS(R$5:R39))),'Chemical Clearances'!$B$5:$B$169,0)"&amp;"),"""")), 1, 1)"),"CLN-113  –  DuraPlast Liberia Inc.")</f>
        <v>CLN-113  –  DuraPlast Liberia Inc.</v>
      </c>
      <c r="X3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 1, 1)"),"")</f>
        <v/>
      </c>
      <c r="Y39" s="333" t="str">
        <f t="array" ref="Y39">IF(X39="","",X39&amp;"  –  "&amp;INDEX('Bills &amp; Invoices'!$D$5:$D$32,MATCH(X39,'Bills &amp; Invoices'!$B$5:$B$32,0))&amp;"  –  $"&amp;TEXT(SUMIFS('Bills &amp; Invoices'!$J$5:$J$32,'Bills &amp; Invoices'!$B$5:$B$32,X39),"#,##0"))</f>
        <v/>
      </c>
      <c r="Z39" s="333" t="str">
        <f t="array" ref="Z39">IF(X39="","",INDEX('Bills &amp; Invoices'!$D$5:$D$32,MATCH(X39,'Bills &amp; Invoices'!$B$5:$B$32,0)))</f>
        <v/>
      </c>
      <c r="AA39" s="334" t="str">
        <f t="array" ref="AA39">IF(X39="","",INDEX('Bills &amp; Invoices'!$K$5:$K$32,MATCH(X39,'Bills &amp; Invoices'!$B$5:$B$32,0)))</f>
        <v/>
      </c>
      <c r="AB39" s="335" t="str">
        <f>IF(X39="","",SUMIFS('Bills &amp; Invoices'!$J$5:$J$32,'Bills &amp; Invoices'!$B$5:$B$32,X39))</f>
        <v/>
      </c>
      <c r="AC39" s="335" t="str">
        <f>IF(X39="","",SUMIFS('Payments &amp; Receipts'!$F$5:$F$58,'Payments &amp; Receipts'!$L$5:$L$58,X39))</f>
        <v/>
      </c>
      <c r="AD39" s="333" t="str">
        <f t="array" ref="AD39">IF(X39="","",INDEX('Bills &amp; Invoices'!$U$5:$U$32,MATCH(X39,'Bills &amp; Invoices'!$B$5:$B$32,0)))</f>
        <v/>
      </c>
    </row>
    <row r="40" ht="14.25" customHeight="1">
      <c r="G40" s="312" t="s">
        <v>536</v>
      </c>
      <c r="R4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Clearances'!$A$4:$Q$4)),FALSE)),ROWS(R$5:R40)))&amp;""  –  ""&amp;INDEX('Chemical Clearances'!$D$5:$D$169,MATCH(INDEX('Chemical Clearances'!$B$5:$B$169,LARGE(FILTER((ROW('Chemical Clearances'!$B$5:$B$169)-ROW('C"&amp;"hemical Clearances'!$A$4:$Q$4)),IFERROR((MATCH('Chemical Clearances'!$B$5:$B$169,'Chemical Clearances'!$B$5:$B$169,0)=ROW('Chemical Clearances'!$B$5:$B$169)-ROW('Chemical Clearances'!$A$4:$Q$4)),FALSE)),ROWS(R$5:R40))),'Chemical Clearances'!$B$5:$B$169,0)"&amp;"),"""")), 1, 1)"),"CLN-112  –  DuraPlast Liberia Inc.")</f>
        <v>CLN-112  –  DuraPlast Liberia Inc.</v>
      </c>
      <c r="X4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 1, 1)"),"")</f>
        <v/>
      </c>
      <c r="Y40" s="333" t="str">
        <f t="array" ref="Y40">IF(X40="","",X40&amp;"  –  "&amp;INDEX('Bills &amp; Invoices'!$D$5:$D$32,MATCH(X40,'Bills &amp; Invoices'!$B$5:$B$32,0))&amp;"  –  $"&amp;TEXT(SUMIFS('Bills &amp; Invoices'!$J$5:$J$32,'Bills &amp; Invoices'!$B$5:$B$32,X40),"#,##0"))</f>
        <v/>
      </c>
      <c r="Z40" s="333" t="str">
        <f t="array" ref="Z40">IF(X40="","",INDEX('Bills &amp; Invoices'!$D$5:$D$32,MATCH(X40,'Bills &amp; Invoices'!$B$5:$B$32,0)))</f>
        <v/>
      </c>
      <c r="AA40" s="334" t="str">
        <f t="array" ref="AA40">IF(X40="","",INDEX('Bills &amp; Invoices'!$K$5:$K$32,MATCH(X40,'Bills &amp; Invoices'!$B$5:$B$32,0)))</f>
        <v/>
      </c>
      <c r="AB40" s="335" t="str">
        <f>IF(X40="","",SUMIFS('Bills &amp; Invoices'!$J$5:$J$32,'Bills &amp; Invoices'!$B$5:$B$32,X40))</f>
        <v/>
      </c>
      <c r="AC40" s="335" t="str">
        <f>IF(X40="","",SUMIFS('Payments &amp; Receipts'!$F$5:$F$58,'Payments &amp; Receipts'!$L$5:$L$58,X40))</f>
        <v/>
      </c>
      <c r="AD40" s="333" t="str">
        <f t="array" ref="AD40">IF(X40="","",INDEX('Bills &amp; Invoices'!$U$5:$U$32,MATCH(X40,'Bills &amp; Invoices'!$B$5:$B$32,0)))</f>
        <v/>
      </c>
    </row>
    <row r="41" ht="14.25" customHeight="1">
      <c r="G41" s="312" t="s">
        <v>532</v>
      </c>
      <c r="R4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Clearances'!$A$4:$Q$4)),FALSE)),ROWS(R$5:R41)))&amp;""  –  ""&amp;INDEX('Chemical Clearances'!$D$5:$D$169,MATCH(INDEX('Chemical Clearances'!$B$5:$B$169,LARGE(FILTER((ROW('Chemical Clearances'!$B$5:$B$169)-ROW('C"&amp;"hemical Clearances'!$A$4:$Q$4)),IFERROR((MATCH('Chemical Clearances'!$B$5:$B$169,'Chemical Clearances'!$B$5:$B$169,0)=ROW('Chemical Clearances'!$B$5:$B$169)-ROW('Chemical Clearances'!$A$4:$Q$4)),FALSE)),ROWS(R$5:R41))),'Chemical Clearances'!$B$5:$B$169,0)"&amp;"),"""")), 1, 1)"),"CLN-111  –  DuraPlast Liberia Inc.")</f>
        <v>CLN-111  –  DuraPlast Liberia Inc.</v>
      </c>
      <c r="X4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Invoices'!$A$4:$V$4)),FALSE)),ROWS(X$5:X41))),"""")), 1, 1)"),"")</f>
        <v/>
      </c>
      <c r="Y41" s="333" t="str">
        <f t="array" ref="Y41">IF(X41="","",X41&amp;"  –  "&amp;INDEX('Bills &amp; Invoices'!$D$5:$D$32,MATCH(X41,'Bills &amp; Invoices'!$B$5:$B$32,0))&amp;"  –  $"&amp;TEXT(SUMIFS('Bills &amp; Invoices'!$J$5:$J$32,'Bills &amp; Invoices'!$B$5:$B$32,X41),"#,##0"))</f>
        <v/>
      </c>
      <c r="Z41" s="333" t="str">
        <f t="array" ref="Z41">IF(X41="","",INDEX('Bills &amp; Invoices'!$D$5:$D$32,MATCH(X41,'Bills &amp; Invoices'!$B$5:$B$32,0)))</f>
        <v/>
      </c>
      <c r="AA41" s="334" t="str">
        <f t="array" ref="AA41">IF(X41="","",INDEX('Bills &amp; Invoices'!$K$5:$K$32,MATCH(X41,'Bills &amp; Invoices'!$B$5:$B$32,0)))</f>
        <v/>
      </c>
      <c r="AB41" s="335" t="str">
        <f>IF(X41="","",SUMIFS('Bills &amp; Invoices'!$J$5:$J$32,'Bills &amp; Invoices'!$B$5:$B$32,X41))</f>
        <v/>
      </c>
      <c r="AC41" s="335" t="str">
        <f>IF(X41="","",SUMIFS('Payments &amp; Receipts'!$F$5:$F$58,'Payments &amp; Receipts'!$L$5:$L$58,X41))</f>
        <v/>
      </c>
      <c r="AD41" s="333" t="str">
        <f t="array" ref="AD41">IF(X41="","",INDEX('Bills &amp; Invoices'!$U$5:$U$32,MATCH(X41,'Bills &amp; Invoices'!$B$5:$B$32,0)))</f>
        <v/>
      </c>
    </row>
    <row r="42" ht="14.25" customHeight="1">
      <c r="G42" s="312" t="s">
        <v>597</v>
      </c>
      <c r="R4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Clearances'!$A$4:$Q$4)),FALSE)),ROWS(R$5:R42)))&amp;""  –  ""&amp;INDEX('Chemical Clearances'!$D$5:$D$169,MATCH(INDEX('Chemical Clearances'!$B$5:$B$169,LARGE(FILTER((ROW('Chemical Clearances'!$B$5:$B$169)-ROW('C"&amp;"hemical Clearances'!$A$4:$Q$4)),IFERROR((MATCH('Chemical Clearances'!$B$5:$B$169,'Chemical Clearances'!$B$5:$B$169,0)=ROW('Chemical Clearances'!$B$5:$B$169)-ROW('Chemical Clearances'!$A$4:$Q$4)),FALSE)),ROWS(R$5:R42))),'Chemical Clearances'!$B$5:$B$169,0)"&amp;"),"""")), 1, 1)"),"CLN-110  –  DuraPlast Liberia Inc.")</f>
        <v>CLN-110  –  DuraPlast Liberia Inc.</v>
      </c>
      <c r="X4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Invoices'!$A$4:$V$4)),FALSE)),ROWS(X$5:X42))),"""")), 1, 1)"),"")</f>
        <v/>
      </c>
      <c r="Y42" s="333" t="str">
        <f t="array" ref="Y42">IF(X42="","",X42&amp;"  –  "&amp;INDEX('Bills &amp; Invoices'!$D$5:$D$32,MATCH(X42,'Bills &amp; Invoices'!$B$5:$B$32,0))&amp;"  –  $"&amp;TEXT(SUMIFS('Bills &amp; Invoices'!$J$5:$J$32,'Bills &amp; Invoices'!$B$5:$B$32,X42),"#,##0"))</f>
        <v/>
      </c>
      <c r="Z42" s="333" t="str">
        <f t="array" ref="Z42">IF(X42="","",INDEX('Bills &amp; Invoices'!$D$5:$D$32,MATCH(X42,'Bills &amp; Invoices'!$B$5:$B$32,0)))</f>
        <v/>
      </c>
      <c r="AA42" s="334" t="str">
        <f t="array" ref="AA42">IF(X42="","",INDEX('Bills &amp; Invoices'!$K$5:$K$32,MATCH(X42,'Bills &amp; Invoices'!$B$5:$B$32,0)))</f>
        <v/>
      </c>
      <c r="AB42" s="335" t="str">
        <f>IF(X42="","",SUMIFS('Bills &amp; Invoices'!$J$5:$J$32,'Bills &amp; Invoices'!$B$5:$B$32,X42))</f>
        <v/>
      </c>
      <c r="AC42" s="335" t="str">
        <f>IF(X42="","",SUMIFS('Payments &amp; Receipts'!$F$5:$F$58,'Payments &amp; Receipts'!$L$5:$L$58,X42))</f>
        <v/>
      </c>
      <c r="AD42" s="333" t="str">
        <f t="array" ref="AD42">IF(X42="","",INDEX('Bills &amp; Invoices'!$U$5:$U$32,MATCH(X42,'Bills &amp; Invoices'!$B$5:$B$32,0)))</f>
        <v/>
      </c>
    </row>
    <row r="43" ht="14.25" customHeight="1">
      <c r="G43" s="312" t="s">
        <v>556</v>
      </c>
      <c r="R4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Clearances'!$A$4:$Q$4)),FALSE)),ROWS(R$5:R43)))&amp;""  –  ""&amp;INDEX('Chemical Clearances'!$D$5:$D$169,MATCH(INDEX('Chemical Clearances'!$B$5:$B$169,LARGE(FILTER((ROW('Chemical Clearances'!$B$5:$B$169)-ROW('C"&amp;"hemical Clearances'!$A$4:$Q$4)),IFERROR((MATCH('Chemical Clearances'!$B$5:$B$169,'Chemical Clearances'!$B$5:$B$169,0)=ROW('Chemical Clearances'!$B$5:$B$169)-ROW('Chemical Clearances'!$A$4:$Q$4)),FALSE)),ROWS(R$5:R43))),'Chemical Clearances'!$B$5:$B$169,0)"&amp;"),"""")), 1, 1)"),"CLN-109  –  DuraPlast Liberia Inc.")</f>
        <v>CLN-109  –  DuraPlast Liberia Inc.</v>
      </c>
      <c r="X4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Invoices'!$A$4:$V$4)),FALSE)),ROWS(X$5:X43))),"""")), 1, 1)"),"")</f>
        <v/>
      </c>
      <c r="Y43" s="333" t="str">
        <f t="array" ref="Y43">IF(X43="","",X43&amp;"  –  "&amp;INDEX('Bills &amp; Invoices'!$D$5:$D$32,MATCH(X43,'Bills &amp; Invoices'!$B$5:$B$32,0))&amp;"  –  $"&amp;TEXT(SUMIFS('Bills &amp; Invoices'!$J$5:$J$32,'Bills &amp; Invoices'!$B$5:$B$32,X43),"#,##0"))</f>
        <v/>
      </c>
      <c r="Z43" s="333" t="str">
        <f t="array" ref="Z43">IF(X43="","",INDEX('Bills &amp; Invoices'!$D$5:$D$32,MATCH(X43,'Bills &amp; Invoices'!$B$5:$B$32,0)))</f>
        <v/>
      </c>
      <c r="AA43" s="334" t="str">
        <f t="array" ref="AA43">IF(X43="","",INDEX('Bills &amp; Invoices'!$K$5:$K$32,MATCH(X43,'Bills &amp; Invoices'!$B$5:$B$32,0)))</f>
        <v/>
      </c>
      <c r="AB43" s="335" t="str">
        <f>IF(X43="","",SUMIFS('Bills &amp; Invoices'!$J$5:$J$32,'Bills &amp; Invoices'!$B$5:$B$32,X43))</f>
        <v/>
      </c>
      <c r="AC43" s="335" t="str">
        <f>IF(X43="","",SUMIFS('Payments &amp; Receipts'!$F$5:$F$58,'Payments &amp; Receipts'!$L$5:$L$58,X43))</f>
        <v/>
      </c>
      <c r="AD43" s="333" t="str">
        <f t="array" ref="AD43">IF(X43="","",INDEX('Bills &amp; Invoices'!$U$5:$U$32,MATCH(X43,'Bills &amp; Invoices'!$B$5:$B$32,0)))</f>
        <v/>
      </c>
    </row>
    <row r="44" ht="14.25" customHeight="1">
      <c r="G44" s="312" t="s">
        <v>611</v>
      </c>
      <c r="R4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Clearances'!$A$4:$Q$4)),FALSE)),ROWS(R$5:R44)))&amp;""  –  ""&amp;INDEX('Chemical Clearances'!$D$5:$D$169,MATCH(INDEX('Chemical Clearances'!$B$5:$B$169,LARGE(FILTER((ROW('Chemical Clearances'!$B$5:$B$169)-ROW('C"&amp;"hemical Clearances'!$A$4:$Q$4)),IFERROR((MATCH('Chemical Clearances'!$B$5:$B$169,'Chemical Clearances'!$B$5:$B$169,0)=ROW('Chemical Clearances'!$B$5:$B$169)-ROW('Chemical Clearances'!$A$4:$Q$4)),FALSE)),ROWS(R$5:R44))),'Chemical Clearances'!$B$5:$B$169,0)"&amp;"),"""")), 1, 1)"),"CLN-108  –  DuraPlast Liberia Inc.")</f>
        <v>CLN-108  –  DuraPlast Liberia Inc.</v>
      </c>
      <c r="X4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Invoices'!$A$4:$V$4)),FALSE)),ROWS(X$5:X44))),"""")), 1, 1)"),"")</f>
        <v/>
      </c>
      <c r="Y44" s="333" t="str">
        <f t="array" ref="Y44">IF(X44="","",X44&amp;"  –  "&amp;INDEX('Bills &amp; Invoices'!$D$5:$D$32,MATCH(X44,'Bills &amp; Invoices'!$B$5:$B$32,0))&amp;"  –  $"&amp;TEXT(SUMIFS('Bills &amp; Invoices'!$J$5:$J$32,'Bills &amp; Invoices'!$B$5:$B$32,X44),"#,##0"))</f>
        <v/>
      </c>
      <c r="Z44" s="333" t="str">
        <f t="array" ref="Z44">IF(X44="","",INDEX('Bills &amp; Invoices'!$D$5:$D$32,MATCH(X44,'Bills &amp; Invoices'!$B$5:$B$32,0)))</f>
        <v/>
      </c>
      <c r="AA44" s="334" t="str">
        <f t="array" ref="AA44">IF(X44="","",INDEX('Bills &amp; Invoices'!$K$5:$K$32,MATCH(X44,'Bills &amp; Invoices'!$B$5:$B$32,0)))</f>
        <v/>
      </c>
      <c r="AB44" s="335" t="str">
        <f>IF(X44="","",SUMIFS('Bills &amp; Invoices'!$J$5:$J$32,'Bills &amp; Invoices'!$B$5:$B$32,X44))</f>
        <v/>
      </c>
      <c r="AC44" s="335" t="str">
        <f>IF(X44="","",SUMIFS('Payments &amp; Receipts'!$F$5:$F$58,'Payments &amp; Receipts'!$L$5:$L$58,X44))</f>
        <v/>
      </c>
      <c r="AD44" s="333" t="str">
        <f t="array" ref="AD44">IF(X44="","",INDEX('Bills &amp; Invoices'!$U$5:$U$32,MATCH(X44,'Bills &amp; Invoices'!$B$5:$B$32,0)))</f>
        <v/>
      </c>
    </row>
    <row r="45" ht="14.25" customHeight="1">
      <c r="G45" s="312" t="s">
        <v>529</v>
      </c>
      <c r="R4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Clearances'!$A$4:$Q$4)),FALSE)),ROWS(R$5:R45)))&amp;""  –  ""&amp;INDEX('Chemical Clearances'!$D$5:$D$169,MATCH(INDEX('Chemical Clearances'!$B$5:$B$169,LARGE(FILTER((ROW('Chemical Clearances'!$B$5:$B$169)-ROW('C"&amp;"hemical Clearances'!$A$4:$Q$4)),IFERROR((MATCH('Chemical Clearances'!$B$5:$B$169,'Chemical Clearances'!$B$5:$B$169,0)=ROW('Chemical Clearances'!$B$5:$B$169)-ROW('Chemical Clearances'!$A$4:$Q$4)),FALSE)),ROWS(R$5:R45))),'Chemical Clearances'!$B$5:$B$169,0)"&amp;"),"""")), 1, 1)"),"CLN-107  –  DuraPlast Liberia Inc.")</f>
        <v>CLN-107  –  DuraPlast Liberia Inc.</v>
      </c>
      <c r="X4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Invoices'!$A$4:$V$4)),FALSE)),ROWS(X$5:X45))),"""")), 1, 1)"),"")</f>
        <v/>
      </c>
      <c r="Y45" s="333" t="str">
        <f t="array" ref="Y45">IF(X45="","",X45&amp;"  –  "&amp;INDEX('Bills &amp; Invoices'!$D$5:$D$32,MATCH(X45,'Bills &amp; Invoices'!$B$5:$B$32,0))&amp;"  –  $"&amp;TEXT(SUMIFS('Bills &amp; Invoices'!$J$5:$J$32,'Bills &amp; Invoices'!$B$5:$B$32,X45),"#,##0"))</f>
        <v/>
      </c>
      <c r="Z45" s="333" t="str">
        <f t="array" ref="Z45">IF(X45="","",INDEX('Bills &amp; Invoices'!$D$5:$D$32,MATCH(X45,'Bills &amp; Invoices'!$B$5:$B$32,0)))</f>
        <v/>
      </c>
      <c r="AA45" s="334" t="str">
        <f t="array" ref="AA45">IF(X45="","",INDEX('Bills &amp; Invoices'!$K$5:$K$32,MATCH(X45,'Bills &amp; Invoices'!$B$5:$B$32,0)))</f>
        <v/>
      </c>
      <c r="AB45" s="335" t="str">
        <f>IF(X45="","",SUMIFS('Bills &amp; Invoices'!$J$5:$J$32,'Bills &amp; Invoices'!$B$5:$B$32,X45))</f>
        <v/>
      </c>
      <c r="AC45" s="335" t="str">
        <f>IF(X45="","",SUMIFS('Payments &amp; Receipts'!$F$5:$F$58,'Payments &amp; Receipts'!$L$5:$L$58,X45))</f>
        <v/>
      </c>
      <c r="AD45" s="333" t="str">
        <f t="array" ref="AD45">IF(X45="","",INDEX('Bills &amp; Invoices'!$U$5:$U$32,MATCH(X45,'Bills &amp; Invoices'!$B$5:$B$32,0)))</f>
        <v/>
      </c>
    </row>
    <row r="46" ht="14.25" customHeight="1">
      <c r="G46" s="312" t="s">
        <v>531</v>
      </c>
      <c r="R4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Clearances'!$A$4:$Q$4)),FALSE)),ROWS(R$5:R46)))&amp;""  –  ""&amp;INDEX('Chemical Clearances'!$D$5:$D$169,MATCH(INDEX('Chemical Clearances'!$B$5:$B$169,LARGE(FILTER((ROW('Chemical Clearances'!$B$5:$B$169)-ROW('C"&amp;"hemical Clearances'!$A$4:$Q$4)),IFERROR((MATCH('Chemical Clearances'!$B$5:$B$169,'Chemical Clearances'!$B$5:$B$169,0)=ROW('Chemical Clearances'!$B$5:$B$169)-ROW('Chemical Clearances'!$A$4:$Q$4)),FALSE)),ROWS(R$5:R46))),'Chemical Clearances'!$B$5:$B$169,0)"&amp;"),"""")), 1, 1)"),"CLN-106  –  Tanmay Hardware Center")</f>
        <v>CLN-106  –  Tanmay Hardware Center</v>
      </c>
      <c r="X4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Invoices'!$A$4:$V$4)),FALSE)),ROWS(X$5:X46))),"""")), 1, 1)"),"")</f>
        <v/>
      </c>
      <c r="Y46" s="333" t="str">
        <f t="array" ref="Y46">IF(X46="","",X46&amp;"  –  "&amp;INDEX('Bills &amp; Invoices'!$D$5:$D$32,MATCH(X46,'Bills &amp; Invoices'!$B$5:$B$32,0))&amp;"  –  $"&amp;TEXT(SUMIFS('Bills &amp; Invoices'!$J$5:$J$32,'Bills &amp; Invoices'!$B$5:$B$32,X46),"#,##0"))</f>
        <v/>
      </c>
      <c r="Z46" s="333" t="str">
        <f t="array" ref="Z46">IF(X46="","",INDEX('Bills &amp; Invoices'!$D$5:$D$32,MATCH(X46,'Bills &amp; Invoices'!$B$5:$B$32,0)))</f>
        <v/>
      </c>
      <c r="AA46" s="334" t="str">
        <f t="array" ref="AA46">IF(X46="","",INDEX('Bills &amp; Invoices'!$K$5:$K$32,MATCH(X46,'Bills &amp; Invoices'!$B$5:$B$32,0)))</f>
        <v/>
      </c>
      <c r="AB46" s="335" t="str">
        <f>IF(X46="","",SUMIFS('Bills &amp; Invoices'!$J$5:$J$32,'Bills &amp; Invoices'!$B$5:$B$32,X46))</f>
        <v/>
      </c>
      <c r="AC46" s="335" t="str">
        <f>IF(X46="","",SUMIFS('Payments &amp; Receipts'!$F$5:$F$58,'Payments &amp; Receipts'!$L$5:$L$58,X46))</f>
        <v/>
      </c>
      <c r="AD46" s="333" t="str">
        <f t="array" ref="AD46">IF(X46="","",INDEX('Bills &amp; Invoices'!$U$5:$U$32,MATCH(X46,'Bills &amp; Invoices'!$B$5:$B$32,0)))</f>
        <v/>
      </c>
    </row>
    <row r="47" ht="14.25" customHeight="1">
      <c r="G47" s="312" t="s">
        <v>567</v>
      </c>
      <c r="R4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Clearances'!$A$4:$Q$4)),FALSE)),ROWS(R$5:R47)))&amp;""  –  ""&amp;INDEX('Chemical Clearances'!$D$5:$D$169,MATCH(INDEX('Chemical Clearances'!$B$5:$B$169,LARGE(FILTER((ROW('Chemical Clearances'!$B$5:$B$169)-ROW('C"&amp;"hemical Clearances'!$A$4:$Q$4)),IFERROR((MATCH('Chemical Clearances'!$B$5:$B$169,'Chemical Clearances'!$B$5:$B$169,0)=ROW('Chemical Clearances'!$B$5:$B$169)-ROW('Chemical Clearances'!$A$4:$Q$4)),FALSE)),ROWS(R$5:R47))),'Chemical Clearances'!$B$5:$B$169,0)"&amp;"),"""")), 1, 1)"),"CLN-105  –  MAXAM Liberia JV Inc.")</f>
        <v>CLN-105  –  MAXAM Liberia JV Inc.</v>
      </c>
      <c r="X4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Invoices'!$A$4:$V$4)),FALSE)),ROWS(X$5:X47))),"""")), 1, 1)"),"")</f>
        <v/>
      </c>
      <c r="Y47" s="333" t="str">
        <f t="array" ref="Y47">IF(X47="","",X47&amp;"  –  "&amp;INDEX('Bills &amp; Invoices'!$D$5:$D$32,MATCH(X47,'Bills &amp; Invoices'!$B$5:$B$32,0))&amp;"  –  $"&amp;TEXT(SUMIFS('Bills &amp; Invoices'!$J$5:$J$32,'Bills &amp; Invoices'!$B$5:$B$32,X47),"#,##0"))</f>
        <v/>
      </c>
      <c r="Z47" s="333" t="str">
        <f t="array" ref="Z47">IF(X47="","",INDEX('Bills &amp; Invoices'!$D$5:$D$32,MATCH(X47,'Bills &amp; Invoices'!$B$5:$B$32,0)))</f>
        <v/>
      </c>
      <c r="AA47" s="334" t="str">
        <f t="array" ref="AA47">IF(X47="","",INDEX('Bills &amp; Invoices'!$K$5:$K$32,MATCH(X47,'Bills &amp; Invoices'!$B$5:$B$32,0)))</f>
        <v/>
      </c>
      <c r="AB47" s="335" t="str">
        <f>IF(X47="","",SUMIFS('Bills &amp; Invoices'!$J$5:$J$32,'Bills &amp; Invoices'!$B$5:$B$32,X47))</f>
        <v/>
      </c>
      <c r="AC47" s="335" t="str">
        <f>IF(X47="","",SUMIFS('Payments &amp; Receipts'!$F$5:$F$58,'Payments &amp; Receipts'!$L$5:$L$58,X47))</f>
        <v/>
      </c>
      <c r="AD47" s="333" t="str">
        <f t="array" ref="AD47">IF(X47="","",INDEX('Bills &amp; Invoices'!$U$5:$U$32,MATCH(X47,'Bills &amp; Invoices'!$B$5:$B$32,0)))</f>
        <v/>
      </c>
    </row>
    <row r="48" ht="14.25" customHeight="1">
      <c r="G48" s="312" t="s">
        <v>562</v>
      </c>
      <c r="R4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Clearances'!$A$4:$Q$4)),FALSE)),ROWS(R$5:R48)))&amp;""  –  ""&amp;INDEX('Chemical Clearances'!$D$5:$D$169,MATCH(INDEX('Chemical Clearances'!$B$5:$B$169,LARGE(FILTER((ROW('Chemical Clearances'!$B$5:$B$169)-ROW('C"&amp;"hemical Clearances'!$A$4:$Q$4)),IFERROR((MATCH('Chemical Clearances'!$B$5:$B$169,'Chemical Clearances'!$B$5:$B$169,0)=ROW('Chemical Clearances'!$B$5:$B$169)-ROW('Chemical Clearances'!$A$4:$Q$4)),FALSE)),ROWS(R$5:R48))),'Chemical Clearances'!$B$5:$B$169,0)"&amp;"),"""")), 1, 1)"),"CLN-104  –  Mukesh Shopping Center")</f>
        <v>CLN-104  –  Mukesh Shopping Center</v>
      </c>
      <c r="X4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Invoices'!$A$4:$V$4)),FALSE)),ROWS(X$5:X48))),"""")), 1, 1)"),"")</f>
        <v/>
      </c>
      <c r="Y48" s="333" t="str">
        <f t="array" ref="Y48">IF(X48="","",X48&amp;"  –  "&amp;INDEX('Bills &amp; Invoices'!$D$5:$D$32,MATCH(X48,'Bills &amp; Invoices'!$B$5:$B$32,0))&amp;"  –  $"&amp;TEXT(SUMIFS('Bills &amp; Invoices'!$J$5:$J$32,'Bills &amp; Invoices'!$B$5:$B$32,X48),"#,##0"))</f>
        <v/>
      </c>
      <c r="Z48" s="333" t="str">
        <f t="array" ref="Z48">IF(X48="","",INDEX('Bills &amp; Invoices'!$D$5:$D$32,MATCH(X48,'Bills &amp; Invoices'!$B$5:$B$32,0)))</f>
        <v/>
      </c>
      <c r="AA48" s="334" t="str">
        <f t="array" ref="AA48">IF(X48="","",INDEX('Bills &amp; Invoices'!$K$5:$K$32,MATCH(X48,'Bills &amp; Invoices'!$B$5:$B$32,0)))</f>
        <v/>
      </c>
      <c r="AB48" s="335" t="str">
        <f>IF(X48="","",SUMIFS('Bills &amp; Invoices'!$J$5:$J$32,'Bills &amp; Invoices'!$B$5:$B$32,X48))</f>
        <v/>
      </c>
      <c r="AC48" s="335" t="str">
        <f>IF(X48="","",SUMIFS('Payments &amp; Receipts'!$F$5:$F$58,'Payments &amp; Receipts'!$L$5:$L$58,X48))</f>
        <v/>
      </c>
      <c r="AD48" s="333" t="str">
        <f t="array" ref="AD48">IF(X48="","",INDEX('Bills &amp; Invoices'!$U$5:$U$32,MATCH(X48,'Bills &amp; Invoices'!$B$5:$B$32,0)))</f>
        <v/>
      </c>
    </row>
    <row r="49" ht="14.25" customHeight="1">
      <c r="G49" s="312" t="s">
        <v>583</v>
      </c>
      <c r="R4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Clearances'!$A$4:$Q$4)),FALSE)),ROWS(R$5:R49)))&amp;""  –  ""&amp;INDEX('Chemical Clearances'!$D$5:$D$169,MATCH(INDEX('Chemical Clearances'!$B$5:$B$169,LARGE(FILTER((ROW('Chemical Clearances'!$B$5:$B$169)-ROW('C"&amp;"hemical Clearances'!$A$4:$Q$4)),IFERROR((MATCH('Chemical Clearances'!$B$5:$B$169,'Chemical Clearances'!$B$5:$B$169,0)=ROW('Chemical Clearances'!$B$5:$B$169)-ROW('Chemical Clearances'!$A$4:$Q$4)),FALSE)),ROWS(R$5:R49))),'Chemical Clearances'!$B$5:$B$169,0)"&amp;"),"""")), 1, 1)"),"CLN-103  –  Fayad Enterprise Corporation")</f>
        <v>CLN-103  –  Fayad Enterprise Corporation</v>
      </c>
      <c r="X4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Invoices'!$A$4:$V$4)),FALSE)),ROWS(X$5:X49))),"""")), 1, 1)"),"")</f>
        <v/>
      </c>
      <c r="Y49" s="333" t="str">
        <f t="array" ref="Y49">IF(X49="","",X49&amp;"  –  "&amp;INDEX('Bills &amp; Invoices'!$D$5:$D$32,MATCH(X49,'Bills &amp; Invoices'!$B$5:$B$32,0))&amp;"  –  $"&amp;TEXT(SUMIFS('Bills &amp; Invoices'!$J$5:$J$32,'Bills &amp; Invoices'!$B$5:$B$32,X49),"#,##0"))</f>
        <v/>
      </c>
      <c r="Z49" s="333" t="str">
        <f t="array" ref="Z49">IF(X49="","",INDEX('Bills &amp; Invoices'!$D$5:$D$32,MATCH(X49,'Bills &amp; Invoices'!$B$5:$B$32,0)))</f>
        <v/>
      </c>
      <c r="AA49" s="334" t="str">
        <f t="array" ref="AA49">IF(X49="","",INDEX('Bills &amp; Invoices'!$K$5:$K$32,MATCH(X49,'Bills &amp; Invoices'!$B$5:$B$32,0)))</f>
        <v/>
      </c>
      <c r="AB49" s="335" t="str">
        <f>IF(X49="","",SUMIFS('Bills &amp; Invoices'!$J$5:$J$32,'Bills &amp; Invoices'!$B$5:$B$32,X49))</f>
        <v/>
      </c>
      <c r="AC49" s="335" t="str">
        <f>IF(X49="","",SUMIFS('Payments &amp; Receipts'!$F$5:$F$58,'Payments &amp; Receipts'!$L$5:$L$58,X49))</f>
        <v/>
      </c>
      <c r="AD49" s="333" t="str">
        <f t="array" ref="AD49">IF(X49="","",INDEX('Bills &amp; Invoices'!$U$5:$U$32,MATCH(X49,'Bills &amp; Invoices'!$B$5:$B$32,0)))</f>
        <v/>
      </c>
    </row>
    <row r="50" ht="14.25" customHeight="1">
      <c r="G50" s="312" t="s">
        <v>565</v>
      </c>
      <c r="R5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Clearances'!$A$4:$Q$4)),FALSE)),ROWS(R$5:R50)))&amp;""  –  ""&amp;INDEX('Chemical Clearances'!$D$5:$D$169,MATCH(INDEX('Chemical Clearances'!$B$5:$B$169,LARGE(FILTER((ROW('Chemical Clearances'!$B$5:$B$169)-ROW('C"&amp;"hemical Clearances'!$A$4:$Q$4)),IFERROR((MATCH('Chemical Clearances'!$B$5:$B$169,'Chemical Clearances'!$B$5:$B$169,0)=ROW('Chemical Clearances'!$B$5:$B$169)-ROW('Chemical Clearances'!$A$4:$Q$4)),FALSE)),ROWS(R$5:R50))),'Chemical Clearances'!$B$5:$B$169,0)"&amp;"),"""")), 1, 1)"),"CLN-102  –  DuraPlast Liberia Inc.")</f>
        <v>CLN-102  –  DuraPlast Liberia Inc.</v>
      </c>
      <c r="X5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Invoices'!$A$4:$V$4)),FALSE)),ROWS(X$5:X50))),"""")), 1, 1)"),"")</f>
        <v/>
      </c>
      <c r="Y50" s="333" t="str">
        <f t="array" ref="Y50">IF(X50="","",X50&amp;"  –  "&amp;INDEX('Bills &amp; Invoices'!$D$5:$D$32,MATCH(X50,'Bills &amp; Invoices'!$B$5:$B$32,0))&amp;"  –  $"&amp;TEXT(SUMIFS('Bills &amp; Invoices'!$J$5:$J$32,'Bills &amp; Invoices'!$B$5:$B$32,X50),"#,##0"))</f>
        <v/>
      </c>
      <c r="Z50" s="333" t="str">
        <f t="array" ref="Z50">IF(X50="","",INDEX('Bills &amp; Invoices'!$D$5:$D$32,MATCH(X50,'Bills &amp; Invoices'!$B$5:$B$32,0)))</f>
        <v/>
      </c>
      <c r="AA50" s="334" t="str">
        <f t="array" ref="AA50">IF(X50="","",INDEX('Bills &amp; Invoices'!$K$5:$K$32,MATCH(X50,'Bills &amp; Invoices'!$B$5:$B$32,0)))</f>
        <v/>
      </c>
      <c r="AB50" s="335" t="str">
        <f>IF(X50="","",SUMIFS('Bills &amp; Invoices'!$J$5:$J$32,'Bills &amp; Invoices'!$B$5:$B$32,X50))</f>
        <v/>
      </c>
      <c r="AC50" s="335" t="str">
        <f>IF(X50="","",SUMIFS('Payments &amp; Receipts'!$F$5:$F$58,'Payments &amp; Receipts'!$L$5:$L$58,X50))</f>
        <v/>
      </c>
      <c r="AD50" s="333" t="str">
        <f t="array" ref="AD50">IF(X50="","",INDEX('Bills &amp; Invoices'!$U$5:$U$32,MATCH(X50,'Bills &amp; Invoices'!$B$5:$B$32,0)))</f>
        <v/>
      </c>
    </row>
    <row r="51" ht="14.25" customHeight="1">
      <c r="G51" s="312" t="s">
        <v>619</v>
      </c>
      <c r="R5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Clearances'!$A$4:$Q$4)),FALSE)),ROWS(R$5:R51)))&amp;""  –  ""&amp;INDEX('Chemical Clearances'!$D$5:$D$169,MATCH(INDEX('Chemical Clearances'!$B$5:$B$169,LARGE(FILTER((ROW('Chemical Clearances'!$B$5:$B$169)-ROW('C"&amp;"hemical Clearances'!$A$4:$Q$4)),IFERROR((MATCH('Chemical Clearances'!$B$5:$B$169,'Chemical Clearances'!$B$5:$B$169,0)=ROW('Chemical Clearances'!$B$5:$B$169)-ROW('Chemical Clearances'!$A$4:$Q$4)),FALSE)),ROWS(R$5:R51))),'Chemical Clearances'!$B$5:$B$169,0)"&amp;"),"""")), 1, 1)"),"CLN-101  –  Bea Mountain Mining Corporation (BMMC)")</f>
        <v>CLN-101  –  Bea Mountain Mining Corporation (BMMC)</v>
      </c>
      <c r="X5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Invoices'!$A$4:$V$4)),FALSE)),ROWS(X$5:X51))),"""")), 1, 1)"),"")</f>
        <v/>
      </c>
      <c r="Y51" s="333" t="str">
        <f t="array" ref="Y51">IF(X51="","",X51&amp;"  –  "&amp;INDEX('Bills &amp; Invoices'!$D$5:$D$32,MATCH(X51,'Bills &amp; Invoices'!$B$5:$B$32,0))&amp;"  –  $"&amp;TEXT(SUMIFS('Bills &amp; Invoices'!$J$5:$J$32,'Bills &amp; Invoices'!$B$5:$B$32,X51),"#,##0"))</f>
        <v/>
      </c>
      <c r="Z51" s="333" t="str">
        <f t="array" ref="Z51">IF(X51="","",INDEX('Bills &amp; Invoices'!$D$5:$D$32,MATCH(X51,'Bills &amp; Invoices'!$B$5:$B$32,0)))</f>
        <v/>
      </c>
      <c r="AA51" s="334" t="str">
        <f t="array" ref="AA51">IF(X51="","",INDEX('Bills &amp; Invoices'!$K$5:$K$32,MATCH(X51,'Bills &amp; Invoices'!$B$5:$B$32,0)))</f>
        <v/>
      </c>
      <c r="AB51" s="335" t="str">
        <f>IF(X51="","",SUMIFS('Bills &amp; Invoices'!$J$5:$J$32,'Bills &amp; Invoices'!$B$5:$B$32,X51))</f>
        <v/>
      </c>
      <c r="AC51" s="335" t="str">
        <f>IF(X51="","",SUMIFS('Payments &amp; Receipts'!$F$5:$F$58,'Payments &amp; Receipts'!$L$5:$L$58,X51))</f>
        <v/>
      </c>
      <c r="AD51" s="333" t="str">
        <f t="array" ref="AD51">IF(X51="","",INDEX('Bills &amp; Invoices'!$U$5:$U$32,MATCH(X51,'Bills &amp; Invoices'!$B$5:$B$32,0)))</f>
        <v/>
      </c>
    </row>
    <row r="52" ht="14.25" customHeight="1">
      <c r="G52" s="312" t="s">
        <v>2523</v>
      </c>
      <c r="R5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Clearances'!$A$4:$Q$4)),FALSE)),ROWS(R$5:R52)))&amp;""  –  ""&amp;INDEX('Chemical Clearances'!$D$5:$D$169,MATCH(INDEX('Chemical Clearances'!$B$5:$B$169,LARGE(FILTER((ROW('Chemical Clearances'!$B$5:$B$169)-ROW('C"&amp;"hemical Clearances'!$A$4:$Q$4)),IFERROR((MATCH('Chemical Clearances'!$B$5:$B$169,'Chemical Clearances'!$B$5:$B$169,0)=ROW('Chemical Clearances'!$B$5:$B$169)-ROW('Chemical Clearances'!$A$4:$Q$4)),FALSE)),ROWS(R$5:R52))),'Chemical Clearances'!$B$5:$B$169,0)"&amp;"),"""")), 1, 1)"),"CLN-100  –  Bea Mountain Mining Corporation (BMMC)")</f>
        <v>CLN-100  –  Bea Mountain Mining Corporation (BMMC)</v>
      </c>
      <c r="X5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Invoices'!$A$4:$V$4)),FALSE)),ROWS(X$5:X52))),"""")), 1, 1)"),"")</f>
        <v/>
      </c>
      <c r="Y52" s="333" t="str">
        <f t="array" ref="Y52">IF(X52="","",X52&amp;"  –  "&amp;INDEX('Bills &amp; Invoices'!$D$5:$D$32,MATCH(X52,'Bills &amp; Invoices'!$B$5:$B$32,0))&amp;"  –  $"&amp;TEXT(SUMIFS('Bills &amp; Invoices'!$J$5:$J$32,'Bills &amp; Invoices'!$B$5:$B$32,X52),"#,##0"))</f>
        <v/>
      </c>
      <c r="Z52" s="333" t="str">
        <f t="array" ref="Z52">IF(X52="","",INDEX('Bills &amp; Invoices'!$D$5:$D$32,MATCH(X52,'Bills &amp; Invoices'!$B$5:$B$32,0)))</f>
        <v/>
      </c>
      <c r="AA52" s="334" t="str">
        <f t="array" ref="AA52">IF(X52="","",INDEX('Bills &amp; Invoices'!$K$5:$K$32,MATCH(X52,'Bills &amp; Invoices'!$B$5:$B$32,0)))</f>
        <v/>
      </c>
      <c r="AB52" s="335" t="str">
        <f>IF(X52="","",SUMIFS('Bills &amp; Invoices'!$J$5:$J$32,'Bills &amp; Invoices'!$B$5:$B$32,X52))</f>
        <v/>
      </c>
      <c r="AC52" s="335" t="str">
        <f>IF(X52="","",SUMIFS('Payments &amp; Receipts'!$F$5:$F$58,'Payments &amp; Receipts'!$L$5:$L$58,X52))</f>
        <v/>
      </c>
      <c r="AD52" s="333" t="str">
        <f t="array" ref="AD52">IF(X52="","",INDEX('Bills &amp; Invoices'!$U$5:$U$32,MATCH(X52,'Bills &amp; Invoices'!$B$5:$B$32,0)))</f>
        <v/>
      </c>
    </row>
    <row r="53" ht="14.25" customHeight="1">
      <c r="G53" s="312" t="s">
        <v>2571</v>
      </c>
      <c r="R5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Clearances'!$A$4:$Q$4)),FALSE)),ROWS(R$5:R53)))&amp;""  –  ""&amp;INDEX('Chemical Clearances'!$D$5:$D$169,MATCH(INDEX('Chemical Clearances'!$B$5:$B$169,LARGE(FILTER((ROW('Chemical Clearances'!$B$5:$B$169)-ROW('C"&amp;"hemical Clearances'!$A$4:$Q$4)),IFERROR((MATCH('Chemical Clearances'!$B$5:$B$169,'Chemical Clearances'!$B$5:$B$169,0)=ROW('Chemical Clearances'!$B$5:$B$169)-ROW('Chemical Clearances'!$A$4:$Q$4)),FALSE)),ROWS(R$5:R53))),'Chemical Clearances'!$B$5:$B$169,0)"&amp;"),"""")), 1, 1)"),"CLN-099  –  Bea Mountain Mining Corporation (BMMC)")</f>
        <v>CLN-099  –  Bea Mountain Mining Corporation (BMMC)</v>
      </c>
      <c r="X5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Invoices'!$A$4:$V$4)),FALSE)),ROWS(X$5:X53))),"""")), 1, 1)"),"")</f>
        <v/>
      </c>
      <c r="Y53" s="333" t="str">
        <f t="array" ref="Y53">IF(X53="","",X53&amp;"  –  "&amp;INDEX('Bills &amp; Invoices'!$D$5:$D$32,MATCH(X53,'Bills &amp; Invoices'!$B$5:$B$32,0))&amp;"  –  $"&amp;TEXT(SUMIFS('Bills &amp; Invoices'!$J$5:$J$32,'Bills &amp; Invoices'!$B$5:$B$32,X53),"#,##0"))</f>
        <v/>
      </c>
      <c r="Z53" s="333" t="str">
        <f t="array" ref="Z53">IF(X53="","",INDEX('Bills &amp; Invoices'!$D$5:$D$32,MATCH(X53,'Bills &amp; Invoices'!$B$5:$B$32,0)))</f>
        <v/>
      </c>
      <c r="AA53" s="334" t="str">
        <f t="array" ref="AA53">IF(X53="","",INDEX('Bills &amp; Invoices'!$K$5:$K$32,MATCH(X53,'Bills &amp; Invoices'!$B$5:$B$32,0)))</f>
        <v/>
      </c>
      <c r="AB53" s="335" t="str">
        <f>IF(X53="","",SUMIFS('Bills &amp; Invoices'!$J$5:$J$32,'Bills &amp; Invoices'!$B$5:$B$32,X53))</f>
        <v/>
      </c>
      <c r="AC53" s="335" t="str">
        <f>IF(X53="","",SUMIFS('Payments &amp; Receipts'!$F$5:$F$58,'Payments &amp; Receipts'!$L$5:$L$58,X53))</f>
        <v/>
      </c>
      <c r="AD53" s="333" t="str">
        <f t="array" ref="AD53">IF(X53="","",INDEX('Bills &amp; Invoices'!$U$5:$U$32,MATCH(X53,'Bills &amp; Invoices'!$B$5:$B$32,0)))</f>
        <v/>
      </c>
    </row>
    <row r="54" ht="14.25" customHeight="1">
      <c r="G54" s="312" t="s">
        <v>2552</v>
      </c>
      <c r="R5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Clearances'!$A$4:$Q$4)),FALSE)),ROWS(R$5:R54)))&amp;""  –  ""&amp;INDEX('Chemical Clearances'!$D$5:$D$169,MATCH(INDEX('Chemical Clearances'!$B$5:$B$169,LARGE(FILTER((ROW('Chemical Clearances'!$B$5:$B$169)-ROW('C"&amp;"hemical Clearances'!$A$4:$Q$4)),IFERROR((MATCH('Chemical Clearances'!$B$5:$B$169,'Chemical Clearances'!$B$5:$B$169,0)=ROW('Chemical Clearances'!$B$5:$B$169)-ROW('Chemical Clearances'!$A$4:$Q$4)),FALSE)),ROWS(R$5:R54))),'Chemical Clearances'!$B$5:$B$169,0)"&amp;"),"""")), 1, 1)"),"CLN-098  –  Bea Mountain Mining Corporation (BMMC)")</f>
        <v>CLN-098  –  Bea Mountain Mining Corporation (BMMC)</v>
      </c>
      <c r="X5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Invoices'!$A$4:$V$4)),FALSE)),ROWS(X$5:X54))),"""")), 1, 1)"),"")</f>
        <v/>
      </c>
      <c r="Y54" s="333" t="str">
        <f t="array" ref="Y54">IF(X54="","",X54&amp;"  –  "&amp;INDEX('Bills &amp; Invoices'!$D$5:$D$32,MATCH(X54,'Bills &amp; Invoices'!$B$5:$B$32,0))&amp;"  –  $"&amp;TEXT(SUMIFS('Bills &amp; Invoices'!$J$5:$J$32,'Bills &amp; Invoices'!$B$5:$B$32,X54),"#,##0"))</f>
        <v/>
      </c>
      <c r="Z54" s="333" t="str">
        <f t="array" ref="Z54">IF(X54="","",INDEX('Bills &amp; Invoices'!$D$5:$D$32,MATCH(X54,'Bills &amp; Invoices'!$B$5:$B$32,0)))</f>
        <v/>
      </c>
      <c r="AA54" s="334" t="str">
        <f t="array" ref="AA54">IF(X54="","",INDEX('Bills &amp; Invoices'!$K$5:$K$32,MATCH(X54,'Bills &amp; Invoices'!$B$5:$B$32,0)))</f>
        <v/>
      </c>
      <c r="AB54" s="335" t="str">
        <f>IF(X54="","",SUMIFS('Bills &amp; Invoices'!$J$5:$J$32,'Bills &amp; Invoices'!$B$5:$B$32,X54))</f>
        <v/>
      </c>
      <c r="AC54" s="335" t="str">
        <f>IF(X54="","",SUMIFS('Payments &amp; Receipts'!$F$5:$F$58,'Payments &amp; Receipts'!$L$5:$L$58,X54))</f>
        <v/>
      </c>
      <c r="AD54" s="333" t="str">
        <f t="array" ref="AD54">IF(X54="","",INDEX('Bills &amp; Invoices'!$U$5:$U$32,MATCH(X54,'Bills &amp; Invoices'!$B$5:$B$32,0)))</f>
        <v/>
      </c>
    </row>
    <row r="55" ht="14.25" customHeight="1">
      <c r="G55" s="312" t="s">
        <v>1514</v>
      </c>
      <c r="R5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Clearances'!$A$4:$Q$4)),FALSE)),ROWS(R$5:R55)))&amp;""  –  ""&amp;INDEX('Chemical Clearances'!$D$5:$D$169,MATCH(INDEX('Chemical Clearances'!$B$5:$B$169,LARGE(FILTER((ROW('Chemical Clearances'!$B$5:$B$169)-ROW('C"&amp;"hemical Clearances'!$A$4:$Q$4)),IFERROR((MATCH('Chemical Clearances'!$B$5:$B$169,'Chemical Clearances'!$B$5:$B$169,0)=ROW('Chemical Clearances'!$B$5:$B$169)-ROW('Chemical Clearances'!$A$4:$Q$4)),FALSE)),ROWS(R$5:R55))),'Chemical Clearances'!$B$5:$B$169,0)"&amp;"),"""")), 1, 1)"),"CLN-097  –  Bea Mountain Mining Corporation (BMMC)")</f>
        <v>CLN-097  –  Bea Mountain Mining Corporation (BMMC)</v>
      </c>
      <c r="X5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Invoices'!$A$4:$V$4)),FALSE)),ROWS(X$5:X55))),"""")), 1, 1)"),"")</f>
        <v/>
      </c>
      <c r="Y55" s="333" t="str">
        <f t="array" ref="Y55">IF(X55="","",X55&amp;"  –  "&amp;INDEX('Bills &amp; Invoices'!$D$5:$D$32,MATCH(X55,'Bills &amp; Invoices'!$B$5:$B$32,0))&amp;"  –  $"&amp;TEXT(SUMIFS('Bills &amp; Invoices'!$J$5:$J$32,'Bills &amp; Invoices'!$B$5:$B$32,X55),"#,##0"))</f>
        <v/>
      </c>
      <c r="Z55" s="333" t="str">
        <f t="array" ref="Z55">IF(X55="","",INDEX('Bills &amp; Invoices'!$D$5:$D$32,MATCH(X55,'Bills &amp; Invoices'!$B$5:$B$32,0)))</f>
        <v/>
      </c>
      <c r="AA55" s="334" t="str">
        <f t="array" ref="AA55">IF(X55="","",INDEX('Bills &amp; Invoices'!$K$5:$K$32,MATCH(X55,'Bills &amp; Invoices'!$B$5:$B$32,0)))</f>
        <v/>
      </c>
      <c r="AB55" s="335" t="str">
        <f>IF(X55="","",SUMIFS('Bills &amp; Invoices'!$J$5:$J$32,'Bills &amp; Invoices'!$B$5:$B$32,X55))</f>
        <v/>
      </c>
      <c r="AC55" s="335" t="str">
        <f>IF(X55="","",SUMIFS('Payments &amp; Receipts'!$F$5:$F$58,'Payments &amp; Receipts'!$L$5:$L$58,X55))</f>
        <v/>
      </c>
      <c r="AD55" s="333" t="str">
        <f t="array" ref="AD55">IF(X55="","",INDEX('Bills &amp; Invoices'!$U$5:$U$32,MATCH(X55,'Bills &amp; Invoices'!$B$5:$B$32,0)))</f>
        <v/>
      </c>
    </row>
    <row r="56" ht="14.25" customHeight="1">
      <c r="G56" s="312" t="s">
        <v>2540</v>
      </c>
      <c r="R5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Clearances'!$A$4:$Q$4)),FALSE)),ROWS(R$5:R56)))&amp;""  –  ""&amp;INDEX('Chemical Clearances'!$D$5:$D$169,MATCH(INDEX('Chemical Clearances'!$B$5:$B$169,LARGE(FILTER((ROW('Chemical Clearances'!$B$5:$B$169)-ROW('C"&amp;"hemical Clearances'!$A$4:$Q$4)),IFERROR((MATCH('Chemical Clearances'!$B$5:$B$169,'Chemical Clearances'!$B$5:$B$169,0)=ROW('Chemical Clearances'!$B$5:$B$169)-ROW('Chemical Clearances'!$A$4:$Q$4)),FALSE)),ROWS(R$5:R56))),'Chemical Clearances'!$B$5:$B$169,0)"&amp;"),"""")), 1, 1)"),"CLN-096  –  Bea Mountain Mining Corporation (BMMC)")</f>
        <v>CLN-096  –  Bea Mountain Mining Corporation (BMMC)</v>
      </c>
      <c r="X5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Invoices'!$A$4:$V$4)),FALSE)),ROWS(X$5:X56))),"""")), 1, 1)"),"")</f>
        <v/>
      </c>
      <c r="Y56" s="333" t="str">
        <f t="array" ref="Y56">IF(X56="","",X56&amp;"  –  "&amp;INDEX('Bills &amp; Invoices'!$D$5:$D$32,MATCH(X56,'Bills &amp; Invoices'!$B$5:$B$32,0))&amp;"  –  $"&amp;TEXT(SUMIFS('Bills &amp; Invoices'!$J$5:$J$32,'Bills &amp; Invoices'!$B$5:$B$32,X56),"#,##0"))</f>
        <v/>
      </c>
      <c r="Z56" s="333" t="str">
        <f t="array" ref="Z56">IF(X56="","",INDEX('Bills &amp; Invoices'!$D$5:$D$32,MATCH(X56,'Bills &amp; Invoices'!$B$5:$B$32,0)))</f>
        <v/>
      </c>
      <c r="AA56" s="334" t="str">
        <f t="array" ref="AA56">IF(X56="","",INDEX('Bills &amp; Invoices'!$K$5:$K$32,MATCH(X56,'Bills &amp; Invoices'!$B$5:$B$32,0)))</f>
        <v/>
      </c>
      <c r="AB56" s="335" t="str">
        <f>IF(X56="","",SUMIFS('Bills &amp; Invoices'!$J$5:$J$32,'Bills &amp; Invoices'!$B$5:$B$32,X56))</f>
        <v/>
      </c>
      <c r="AC56" s="335" t="str">
        <f>IF(X56="","",SUMIFS('Payments &amp; Receipts'!$F$5:$F$58,'Payments &amp; Receipts'!$L$5:$L$58,X56))</f>
        <v/>
      </c>
      <c r="AD56" s="333" t="str">
        <f t="array" ref="AD56">IF(X56="","",INDEX('Bills &amp; Invoices'!$U$5:$U$32,MATCH(X56,'Bills &amp; Invoices'!$B$5:$B$32,0)))</f>
        <v/>
      </c>
    </row>
    <row r="57" ht="14.25" customHeight="1">
      <c r="R5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Clearances'!$A$4:$Q$4)),FALSE)),ROWS(R$5:R57)))&amp;""  –  ""&amp;INDEX('Chemical Clearances'!$D$5:$D$169,MATCH(INDEX('Chemical Clearances'!$B$5:$B$169,LARGE(FILTER((ROW('Chemical Clearances'!$B$5:$B$169)-ROW('C"&amp;"hemical Clearances'!$A$4:$Q$4)),IFERROR((MATCH('Chemical Clearances'!$B$5:$B$169,'Chemical Clearances'!$B$5:$B$169,0)=ROW('Chemical Clearances'!$B$5:$B$169)-ROW('Chemical Clearances'!$A$4:$Q$4)),FALSE)),ROWS(R$5:R57))),'Chemical Clearances'!$B$5:$B$169,0)"&amp;"),"""")), 1, 1)"),"CLN-095  –  Bea Mountain Mining Corporation (BMMC)")</f>
        <v>CLN-095  –  Bea Mountain Mining Corporation (BMMC)</v>
      </c>
      <c r="X5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Invoices'!$A$4:$V$4)),FALSE)),ROWS(X$5:X57))),"""")), 1, 1)"),"")</f>
        <v/>
      </c>
      <c r="Y57" s="333" t="str">
        <f t="array" ref="Y57">IF(X57="","",X57&amp;"  –  "&amp;INDEX('Bills &amp; Invoices'!$D$5:$D$32,MATCH(X57,'Bills &amp; Invoices'!$B$5:$B$32,0))&amp;"  –  $"&amp;TEXT(SUMIFS('Bills &amp; Invoices'!$J$5:$J$32,'Bills &amp; Invoices'!$B$5:$B$32,X57),"#,##0"))</f>
        <v/>
      </c>
      <c r="Z57" s="333" t="str">
        <f t="array" ref="Z57">IF(X57="","",INDEX('Bills &amp; Invoices'!$D$5:$D$32,MATCH(X57,'Bills &amp; Invoices'!$B$5:$B$32,0)))</f>
        <v/>
      </c>
      <c r="AA57" s="334" t="str">
        <f t="array" ref="AA57">IF(X57="","",INDEX('Bills &amp; Invoices'!$K$5:$K$32,MATCH(X57,'Bills &amp; Invoices'!$B$5:$B$32,0)))</f>
        <v/>
      </c>
      <c r="AB57" s="335" t="str">
        <f>IF(X57="","",SUMIFS('Bills &amp; Invoices'!$J$5:$J$32,'Bills &amp; Invoices'!$B$5:$B$32,X57))</f>
        <v/>
      </c>
      <c r="AC57" s="335" t="str">
        <f>IF(X57="","",SUMIFS('Payments &amp; Receipts'!$F$5:$F$58,'Payments &amp; Receipts'!$L$5:$L$58,X57))</f>
        <v/>
      </c>
      <c r="AD57" s="333" t="str">
        <f t="array" ref="AD57">IF(X57="","",INDEX('Bills &amp; Invoices'!$U$5:$U$32,MATCH(X57,'Bills &amp; Invoices'!$B$5:$B$32,0)))</f>
        <v/>
      </c>
    </row>
    <row r="58" ht="14.25" customHeight="1">
      <c r="R5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Clearances'!$A$4:$Q$4)),FALSE)),ROWS(R$5:R58)))&amp;""  –  ""&amp;INDEX('Chemical Clearances'!$D$5:$D$169,MATCH(INDEX('Chemical Clearances'!$B$5:$B$169,LARGE(FILTER((ROW('Chemical Clearances'!$B$5:$B$169)-ROW('C"&amp;"hemical Clearances'!$A$4:$Q$4)),IFERROR((MATCH('Chemical Clearances'!$B$5:$B$169,'Chemical Clearances'!$B$5:$B$169,0)=ROW('Chemical Clearances'!$B$5:$B$169)-ROW('Chemical Clearances'!$A$4:$Q$4)),FALSE)),ROWS(R$5:R58))),'Chemical Clearances'!$B$5:$B$169,0)"&amp;"),"""")), 1, 1)"),"CLN-094  –  Bea Mountain Mining Corporation (BMMC)")</f>
        <v>CLN-094  –  Bea Mountain Mining Corporation (BMMC)</v>
      </c>
      <c r="X5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Invoices'!$A$4:$V$4)),FALSE)),ROWS(X$5:X58))),"""")), 1, 1)"),"")</f>
        <v/>
      </c>
      <c r="Y58" s="333" t="str">
        <f t="array" ref="Y58">IF(X58="","",X58&amp;"  –  "&amp;INDEX('Bills &amp; Invoices'!$D$5:$D$32,MATCH(X58,'Bills &amp; Invoices'!$B$5:$B$32,0))&amp;"  –  $"&amp;TEXT(SUMIFS('Bills &amp; Invoices'!$J$5:$J$32,'Bills &amp; Invoices'!$B$5:$B$32,X58),"#,##0"))</f>
        <v/>
      </c>
      <c r="Z58" s="333" t="str">
        <f t="array" ref="Z58">IF(X58="","",INDEX('Bills &amp; Invoices'!$D$5:$D$32,MATCH(X58,'Bills &amp; Invoices'!$B$5:$B$32,0)))</f>
        <v/>
      </c>
      <c r="AA58" s="334" t="str">
        <f t="array" ref="AA58">IF(X58="","",INDEX('Bills &amp; Invoices'!$K$5:$K$32,MATCH(X58,'Bills &amp; Invoices'!$B$5:$B$32,0)))</f>
        <v/>
      </c>
      <c r="AB58" s="335" t="str">
        <f>IF(X58="","",SUMIFS('Bills &amp; Invoices'!$J$5:$J$32,'Bills &amp; Invoices'!$B$5:$B$32,X58))</f>
        <v/>
      </c>
      <c r="AC58" s="335" t="str">
        <f>IF(X58="","",SUMIFS('Payments &amp; Receipts'!$F$5:$F$58,'Payments &amp; Receipts'!$L$5:$L$58,X58))</f>
        <v/>
      </c>
      <c r="AD58" s="333" t="str">
        <f t="array" ref="AD58">IF(X58="","",INDEX('Bills &amp; Invoices'!$U$5:$U$32,MATCH(X58,'Bills &amp; Invoices'!$B$5:$B$32,0)))</f>
        <v/>
      </c>
    </row>
    <row r="59" ht="14.25" customHeight="1">
      <c r="R5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Clearances'!$A$4:$Q$4)),FALSE)),ROWS(R$5:R59)))&amp;""  –  ""&amp;INDEX('Chemical Clearances'!$D$5:$D$169,MATCH(INDEX('Chemical Clearances'!$B$5:$B$169,LARGE(FILTER((ROW('Chemical Clearances'!$B$5:$B$169)-ROW('C"&amp;"hemical Clearances'!$A$4:$Q$4)),IFERROR((MATCH('Chemical Clearances'!$B$5:$B$169,'Chemical Clearances'!$B$5:$B$169,0)=ROW('Chemical Clearances'!$B$5:$B$169)-ROW('Chemical Clearances'!$A$4:$Q$4)),FALSE)),ROWS(R$5:R59))),'Chemical Clearances'!$B$5:$B$169,0)"&amp;"),"""")), 1, 1)"),"CLN-093  –  Bea Mountain Mining Corporation (BMMC)")</f>
        <v>CLN-093  –  Bea Mountain Mining Corporation (BMMC)</v>
      </c>
      <c r="X5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Invoices'!$A$4:$V$4)),FALSE)),ROWS(X$5:X59))),"""")), 1, 1)"),"")</f>
        <v/>
      </c>
      <c r="Y59" s="333" t="str">
        <f t="array" ref="Y59">IF(X59="","",X59&amp;"  –  "&amp;INDEX('Bills &amp; Invoices'!$D$5:$D$32,MATCH(X59,'Bills &amp; Invoices'!$B$5:$B$32,0))&amp;"  –  $"&amp;TEXT(SUMIFS('Bills &amp; Invoices'!$J$5:$J$32,'Bills &amp; Invoices'!$B$5:$B$32,X59),"#,##0"))</f>
        <v/>
      </c>
      <c r="Z59" s="333" t="str">
        <f t="array" ref="Z59">IF(X59="","",INDEX('Bills &amp; Invoices'!$D$5:$D$32,MATCH(X59,'Bills &amp; Invoices'!$B$5:$B$32,0)))</f>
        <v/>
      </c>
      <c r="AA59" s="334" t="str">
        <f t="array" ref="AA59">IF(X59="","",INDEX('Bills &amp; Invoices'!$K$5:$K$32,MATCH(X59,'Bills &amp; Invoices'!$B$5:$B$32,0)))</f>
        <v/>
      </c>
      <c r="AB59" s="335" t="str">
        <f>IF(X59="","",SUMIFS('Bills &amp; Invoices'!$J$5:$J$32,'Bills &amp; Invoices'!$B$5:$B$32,X59))</f>
        <v/>
      </c>
      <c r="AC59" s="335" t="str">
        <f>IF(X59="","",SUMIFS('Payments &amp; Receipts'!$F$5:$F$58,'Payments &amp; Receipts'!$L$5:$L$58,X59))</f>
        <v/>
      </c>
      <c r="AD59" s="333" t="str">
        <f t="array" ref="AD59">IF(X59="","",INDEX('Bills &amp; Invoices'!$U$5:$U$32,MATCH(X59,'Bills &amp; Invoices'!$B$5:$B$32,0)))</f>
        <v/>
      </c>
    </row>
    <row r="60" ht="14.25" customHeight="1">
      <c r="R6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Clearances'!$A$4:$Q$4)),FALSE)),ROWS(R$5:R60)))&amp;""  –  ""&amp;INDEX('Chemical Clearances'!$D$5:$D$169,MATCH(INDEX('Chemical Clearances'!$B$5:$B$169,LARGE(FILTER((ROW('Chemical Clearances'!$B$5:$B$169)-ROW('C"&amp;"hemical Clearances'!$A$4:$Q$4)),IFERROR((MATCH('Chemical Clearances'!$B$5:$B$169,'Chemical Clearances'!$B$5:$B$169,0)=ROW('Chemical Clearances'!$B$5:$B$169)-ROW('Chemical Clearances'!$A$4:$Q$4)),FALSE)),ROWS(R$5:R60))),'Chemical Clearances'!$B$5:$B$169,0)"&amp;"),"""")), 1, 1)"),"CLN-092  –  Bea Mountain Mining Corporation (BMMC)")</f>
        <v>CLN-092  –  Bea Mountain Mining Corporation (BMMC)</v>
      </c>
      <c r="X6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Invoices'!$A$4:$V$4)),FALSE)),ROWS(X$5:X60))),"""")), 1, 1)"),"")</f>
        <v/>
      </c>
      <c r="Y60" s="333" t="str">
        <f t="array" ref="Y60">IF(X60="","",X60&amp;"  –  "&amp;INDEX('Bills &amp; Invoices'!$D$5:$D$32,MATCH(X60,'Bills &amp; Invoices'!$B$5:$B$32,0))&amp;"  –  $"&amp;TEXT(SUMIFS('Bills &amp; Invoices'!$J$5:$J$32,'Bills &amp; Invoices'!$B$5:$B$32,X60),"#,##0"))</f>
        <v/>
      </c>
      <c r="Z60" s="333" t="str">
        <f t="array" ref="Z60">IF(X60="","",INDEX('Bills &amp; Invoices'!$D$5:$D$32,MATCH(X60,'Bills &amp; Invoices'!$B$5:$B$32,0)))</f>
        <v/>
      </c>
      <c r="AA60" s="334" t="str">
        <f t="array" ref="AA60">IF(X60="","",INDEX('Bills &amp; Invoices'!$K$5:$K$32,MATCH(X60,'Bills &amp; Invoices'!$B$5:$B$32,0)))</f>
        <v/>
      </c>
      <c r="AB60" s="335" t="str">
        <f>IF(X60="","",SUMIFS('Bills &amp; Invoices'!$J$5:$J$32,'Bills &amp; Invoices'!$B$5:$B$32,X60))</f>
        <v/>
      </c>
      <c r="AC60" s="335" t="str">
        <f>IF(X60="","",SUMIFS('Payments &amp; Receipts'!$F$5:$F$58,'Payments &amp; Receipts'!$L$5:$L$58,X60))</f>
        <v/>
      </c>
      <c r="AD60" s="333" t="str">
        <f t="array" ref="AD60">IF(X60="","",INDEX('Bills &amp; Invoices'!$U$5:$U$32,MATCH(X60,'Bills &amp; Invoices'!$B$5:$B$32,0)))</f>
        <v/>
      </c>
    </row>
    <row r="61" ht="14.25" customHeight="1">
      <c r="R6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Clearances'!$A$4:$Q$4)),FALSE)),ROWS(R$5:R61)))&amp;""  –  ""&amp;INDEX('Chemical Clearances'!$D$5:$D$169,MATCH(INDEX('Chemical Clearances'!$B$5:$B$169,LARGE(FILTER((ROW('Chemical Clearances'!$B$5:$B$169)-ROW('C"&amp;"hemical Clearances'!$A$4:$Q$4)),IFERROR((MATCH('Chemical Clearances'!$B$5:$B$169,'Chemical Clearances'!$B$5:$B$169,0)=ROW('Chemical Clearances'!$B$5:$B$169)-ROW('Chemical Clearances'!$A$4:$Q$4)),FALSE)),ROWS(R$5:R61))),'Chemical Clearances'!$B$5:$B$169,0)"&amp;"),"""")), 1, 1)"),"CLN-091  –  Bea Mountain Mining Corporation (BMMC)")</f>
        <v>CLN-091  –  Bea Mountain Mining Corporation (BMMC)</v>
      </c>
      <c r="X6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Invoices'!$A$4:$V$4)),FALSE)),ROWS(X$5:X61))),"""")), 1, 1)"),"")</f>
        <v/>
      </c>
      <c r="Y61" s="333" t="str">
        <f t="array" ref="Y61">IF(X61="","",X61&amp;"  –  "&amp;INDEX('Bills &amp; Invoices'!$D$5:$D$32,MATCH(X61,'Bills &amp; Invoices'!$B$5:$B$32,0))&amp;"  –  $"&amp;TEXT(SUMIFS('Bills &amp; Invoices'!$J$5:$J$32,'Bills &amp; Invoices'!$B$5:$B$32,X61),"#,##0"))</f>
        <v/>
      </c>
      <c r="Z61" s="333" t="str">
        <f t="array" ref="Z61">IF(X61="","",INDEX('Bills &amp; Invoices'!$D$5:$D$32,MATCH(X61,'Bills &amp; Invoices'!$B$5:$B$32,0)))</f>
        <v/>
      </c>
      <c r="AA61" s="334" t="str">
        <f t="array" ref="AA61">IF(X61="","",INDEX('Bills &amp; Invoices'!$K$5:$K$32,MATCH(X61,'Bills &amp; Invoices'!$B$5:$B$32,0)))</f>
        <v/>
      </c>
      <c r="AB61" s="335" t="str">
        <f>IF(X61="","",SUMIFS('Bills &amp; Invoices'!$J$5:$J$32,'Bills &amp; Invoices'!$B$5:$B$32,X61))</f>
        <v/>
      </c>
      <c r="AC61" s="335" t="str">
        <f>IF(X61="","",SUMIFS('Payments &amp; Receipts'!$F$5:$F$58,'Payments &amp; Receipts'!$L$5:$L$58,X61))</f>
        <v/>
      </c>
      <c r="AD61" s="333" t="str">
        <f t="array" ref="AD61">IF(X61="","",INDEX('Bills &amp; Invoices'!$U$5:$U$32,MATCH(X61,'Bills &amp; Invoices'!$B$5:$B$32,0)))</f>
        <v/>
      </c>
    </row>
    <row r="62" ht="14.25" customHeight="1">
      <c r="R6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Clearances'!$A$4:$Q$4)),FALSE)),ROWS(R$5:R62)))&amp;""  –  ""&amp;INDEX('Chemical Clearances'!$D$5:$D$169,MATCH(INDEX('Chemical Clearances'!$B$5:$B$169,LARGE(FILTER((ROW('Chemical Clearances'!$B$5:$B$169)-ROW('C"&amp;"hemical Clearances'!$A$4:$Q$4)),IFERROR((MATCH('Chemical Clearances'!$B$5:$B$169,'Chemical Clearances'!$B$5:$B$169,0)=ROW('Chemical Clearances'!$B$5:$B$169)-ROW('Chemical Clearances'!$A$4:$Q$4)),FALSE)),ROWS(R$5:R62))),'Chemical Clearances'!$B$5:$B$169,0)"&amp;"),"""")), 1, 1)"),"CLN-090  –  Bea Mountain Mining Corporation (BMMC)")</f>
        <v>CLN-090  –  Bea Mountain Mining Corporation (BMMC)</v>
      </c>
      <c r="X6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Invoices'!$A$4:$V$4)),FALSE)),ROWS(X$5:X62))),"""")), 1, 1)"),"")</f>
        <v/>
      </c>
      <c r="Y62" s="333" t="str">
        <f t="array" ref="Y62">IF(X62="","",X62&amp;"  –  "&amp;INDEX('Bills &amp; Invoices'!$D$5:$D$32,MATCH(X62,'Bills &amp; Invoices'!$B$5:$B$32,0))&amp;"  –  $"&amp;TEXT(SUMIFS('Bills &amp; Invoices'!$J$5:$J$32,'Bills &amp; Invoices'!$B$5:$B$32,X62),"#,##0"))</f>
        <v/>
      </c>
      <c r="Z62" s="333" t="str">
        <f t="array" ref="Z62">IF(X62="","",INDEX('Bills &amp; Invoices'!$D$5:$D$32,MATCH(X62,'Bills &amp; Invoices'!$B$5:$B$32,0)))</f>
        <v/>
      </c>
      <c r="AA62" s="334" t="str">
        <f t="array" ref="AA62">IF(X62="","",INDEX('Bills &amp; Invoices'!$K$5:$K$32,MATCH(X62,'Bills &amp; Invoices'!$B$5:$B$32,0)))</f>
        <v/>
      </c>
      <c r="AB62" s="335" t="str">
        <f>IF(X62="","",SUMIFS('Bills &amp; Invoices'!$J$5:$J$32,'Bills &amp; Invoices'!$B$5:$B$32,X62))</f>
        <v/>
      </c>
      <c r="AC62" s="335" t="str">
        <f>IF(X62="","",SUMIFS('Payments &amp; Receipts'!$F$5:$F$58,'Payments &amp; Receipts'!$L$5:$L$58,X62))</f>
        <v/>
      </c>
      <c r="AD62" s="333" t="str">
        <f t="array" ref="AD62">IF(X62="","",INDEX('Bills &amp; Invoices'!$U$5:$U$32,MATCH(X62,'Bills &amp; Invoices'!$B$5:$B$32,0)))</f>
        <v/>
      </c>
    </row>
    <row r="63" ht="14.25" customHeight="1">
      <c r="R6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Clearances'!$A$4:$Q$4)),FALSE)),ROWS(R$5:R63)))&amp;""  –  ""&amp;INDEX('Chemical Clearances'!$D$5:$D$169,MATCH(INDEX('Chemical Clearances'!$B$5:$B$169,LARGE(FILTER((ROW('Chemical Clearances'!$B$5:$B$169)-ROW('C"&amp;"hemical Clearances'!$A$4:$Q$4)),IFERROR((MATCH('Chemical Clearances'!$B$5:$B$169,'Chemical Clearances'!$B$5:$B$169,0)=ROW('Chemical Clearances'!$B$5:$B$169)-ROW('Chemical Clearances'!$A$4:$Q$4)),FALSE)),ROWS(R$5:R63))),'Chemical Clearances'!$B$5:$B$169,0)"&amp;"),"""")), 1, 1)"),"CLN-089  –  Bea Mountain Mining Corporation (BMMC)")</f>
        <v>CLN-089  –  Bea Mountain Mining Corporation (BMMC)</v>
      </c>
      <c r="X6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Invoices'!$A$4:$V$4)),FALSE)),ROWS(X$5:X63))),"""")), 1, 1)"),"")</f>
        <v/>
      </c>
      <c r="Y63" s="333" t="str">
        <f t="array" ref="Y63">IF(X63="","",X63&amp;"  –  "&amp;INDEX('Bills &amp; Invoices'!$D$5:$D$32,MATCH(X63,'Bills &amp; Invoices'!$B$5:$B$32,0))&amp;"  –  $"&amp;TEXT(SUMIFS('Bills &amp; Invoices'!$J$5:$J$32,'Bills &amp; Invoices'!$B$5:$B$32,X63),"#,##0"))</f>
        <v/>
      </c>
      <c r="Z63" s="333" t="str">
        <f t="array" ref="Z63">IF(X63="","",INDEX('Bills &amp; Invoices'!$D$5:$D$32,MATCH(X63,'Bills &amp; Invoices'!$B$5:$B$32,0)))</f>
        <v/>
      </c>
      <c r="AA63" s="334" t="str">
        <f t="array" ref="AA63">IF(X63="","",INDEX('Bills &amp; Invoices'!$K$5:$K$32,MATCH(X63,'Bills &amp; Invoices'!$B$5:$B$32,0)))</f>
        <v/>
      </c>
      <c r="AB63" s="335" t="str">
        <f>IF(X63="","",SUMIFS('Bills &amp; Invoices'!$J$5:$J$32,'Bills &amp; Invoices'!$B$5:$B$32,X63))</f>
        <v/>
      </c>
      <c r="AC63" s="335" t="str">
        <f>IF(X63="","",SUMIFS('Payments &amp; Receipts'!$F$5:$F$58,'Payments &amp; Receipts'!$L$5:$L$58,X63))</f>
        <v/>
      </c>
      <c r="AD63" s="333" t="str">
        <f t="array" ref="AD63">IF(X63="","",INDEX('Bills &amp; Invoices'!$U$5:$U$32,MATCH(X63,'Bills &amp; Invoices'!$B$5:$B$32,0)))</f>
        <v/>
      </c>
    </row>
    <row r="64" ht="14.25" customHeight="1">
      <c r="R6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Clearances'!$A$4:$Q$4)),FALSE)),ROWS(R$5:R64)))&amp;""  –  ""&amp;INDEX('Chemical Clearances'!$D$5:$D$169,MATCH(INDEX('Chemical Clearances'!$B$5:$B$169,LARGE(FILTER((ROW('Chemical Clearances'!$B$5:$B$169)-ROW('C"&amp;"hemical Clearances'!$A$4:$Q$4)),IFERROR((MATCH('Chemical Clearances'!$B$5:$B$169,'Chemical Clearances'!$B$5:$B$169,0)=ROW('Chemical Clearances'!$B$5:$B$169)-ROW('Chemical Clearances'!$A$4:$Q$4)),FALSE)),ROWS(R$5:R64))),'Chemical Clearances'!$B$5:$B$169,0)"&amp;"),"""")), 1, 1)"),"CLN-088  –  Bea Mountain Mining Corporation (BMMC)")</f>
        <v>CLN-088  –  Bea Mountain Mining Corporation (BMMC)</v>
      </c>
      <c r="X6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Invoices'!$A$4:$V$4)),FALSE)),ROWS(X$5:X64))),"""")), 1, 1)"),"")</f>
        <v/>
      </c>
      <c r="Y64" s="333" t="str">
        <f t="array" ref="Y64">IF(X64="","",X64&amp;"  –  "&amp;INDEX('Bills &amp; Invoices'!$D$5:$D$32,MATCH(X64,'Bills &amp; Invoices'!$B$5:$B$32,0))&amp;"  –  $"&amp;TEXT(SUMIFS('Bills &amp; Invoices'!$J$5:$J$32,'Bills &amp; Invoices'!$B$5:$B$32,X64),"#,##0"))</f>
        <v/>
      </c>
      <c r="Z64" s="333" t="str">
        <f t="array" ref="Z64">IF(X64="","",INDEX('Bills &amp; Invoices'!$D$5:$D$32,MATCH(X64,'Bills &amp; Invoices'!$B$5:$B$32,0)))</f>
        <v/>
      </c>
      <c r="AA64" s="334" t="str">
        <f t="array" ref="AA64">IF(X64="","",INDEX('Bills &amp; Invoices'!$K$5:$K$32,MATCH(X64,'Bills &amp; Invoices'!$B$5:$B$32,0)))</f>
        <v/>
      </c>
      <c r="AB64" s="335" t="str">
        <f>IF(X64="","",SUMIFS('Bills &amp; Invoices'!$J$5:$J$32,'Bills &amp; Invoices'!$B$5:$B$32,X64))</f>
        <v/>
      </c>
      <c r="AC64" s="335" t="str">
        <f>IF(X64="","",SUMIFS('Payments &amp; Receipts'!$F$5:$F$58,'Payments &amp; Receipts'!$L$5:$L$58,X64))</f>
        <v/>
      </c>
      <c r="AD64" s="333" t="str">
        <f t="array" ref="AD64">IF(X64="","",INDEX('Bills &amp; Invoices'!$U$5:$U$32,MATCH(X64,'Bills &amp; Invoices'!$B$5:$B$32,0)))</f>
        <v/>
      </c>
    </row>
    <row r="65" ht="14.25" customHeight="1">
      <c r="R6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Clearances'!$A$4:$Q$4)),FALSE)),ROWS(R$5:R65)))&amp;""  –  ""&amp;INDEX('Chemical Clearances'!$D$5:$D$169,MATCH(INDEX('Chemical Clearances'!$B$5:$B$169,LARGE(FILTER((ROW('Chemical Clearances'!$B$5:$B$169)-ROW('C"&amp;"hemical Clearances'!$A$4:$Q$4)),IFERROR((MATCH('Chemical Clearances'!$B$5:$B$169,'Chemical Clearances'!$B$5:$B$169,0)=ROW('Chemical Clearances'!$B$5:$B$169)-ROW('Chemical Clearances'!$A$4:$Q$4)),FALSE)),ROWS(R$5:R65))),'Chemical Clearances'!$B$5:$B$169,0)"&amp;"),"""")), 1, 1)"),"CLN-087  –  Bea Mountain Mining Corporation (BMMC)")</f>
        <v>CLN-087  –  Bea Mountain Mining Corporation (BMMC)</v>
      </c>
      <c r="X6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Invoices'!$A$4:$V$4)),FALSE)),ROWS(X$5:X65))),"""")), 1, 1)"),"")</f>
        <v/>
      </c>
      <c r="Y65" s="333" t="str">
        <f t="array" ref="Y65">IF(X65="","",X65&amp;"  –  "&amp;INDEX('Bills &amp; Invoices'!$D$5:$D$32,MATCH(X65,'Bills &amp; Invoices'!$B$5:$B$32,0))&amp;"  –  $"&amp;TEXT(SUMIFS('Bills &amp; Invoices'!$J$5:$J$32,'Bills &amp; Invoices'!$B$5:$B$32,X65),"#,##0"))</f>
        <v/>
      </c>
      <c r="Z65" s="333" t="str">
        <f t="array" ref="Z65">IF(X65="","",INDEX('Bills &amp; Invoices'!$D$5:$D$32,MATCH(X65,'Bills &amp; Invoices'!$B$5:$B$32,0)))</f>
        <v/>
      </c>
      <c r="AA65" s="334" t="str">
        <f t="array" ref="AA65">IF(X65="","",INDEX('Bills &amp; Invoices'!$K$5:$K$32,MATCH(X65,'Bills &amp; Invoices'!$B$5:$B$32,0)))</f>
        <v/>
      </c>
      <c r="AB65" s="335" t="str">
        <f>IF(X65="","",SUMIFS('Bills &amp; Invoices'!$J$5:$J$32,'Bills &amp; Invoices'!$B$5:$B$32,X65))</f>
        <v/>
      </c>
      <c r="AC65" s="335" t="str">
        <f>IF(X65="","",SUMIFS('Payments &amp; Receipts'!$F$5:$F$58,'Payments &amp; Receipts'!$L$5:$L$58,X65))</f>
        <v/>
      </c>
      <c r="AD65" s="333" t="str">
        <f t="array" ref="AD65">IF(X65="","",INDEX('Bills &amp; Invoices'!$U$5:$U$32,MATCH(X65,'Bills &amp; Invoices'!$B$5:$B$32,0)))</f>
        <v/>
      </c>
    </row>
    <row r="66" ht="14.25" customHeight="1">
      <c r="R6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Clearances'!$A$4:$Q$4)),FALSE)),ROWS(R$5:R66)))&amp;""  –  ""&amp;INDEX('Chemical Clearances'!$D$5:$D$169,MATCH(INDEX('Chemical Clearances'!$B$5:$B$169,LARGE(FILTER((ROW('Chemical Clearances'!$B$5:$B$169)-ROW('C"&amp;"hemical Clearances'!$A$4:$Q$4)),IFERROR((MATCH('Chemical Clearances'!$B$5:$B$169,'Chemical Clearances'!$B$5:$B$169,0)=ROW('Chemical Clearances'!$B$5:$B$169)-ROW('Chemical Clearances'!$A$4:$Q$4)),FALSE)),ROWS(R$5:R66))),'Chemical Clearances'!$B$5:$B$169,0)"&amp;"),"""")), 1, 1)"),"CLN-086  –  Bea Mountain Mining Corporation (BMMC)")</f>
        <v>CLN-086  –  Bea Mountain Mining Corporation (BMMC)</v>
      </c>
      <c r="X6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Invoices'!$A$4:$V$4)),FALSE)),ROWS(X$5:X66))),"""")), 1, 1)"),"")</f>
        <v/>
      </c>
      <c r="Y66" s="333" t="str">
        <f t="array" ref="Y66">IF(X66="","",X66&amp;"  –  "&amp;INDEX('Bills &amp; Invoices'!$D$5:$D$32,MATCH(X66,'Bills &amp; Invoices'!$B$5:$B$32,0))&amp;"  –  $"&amp;TEXT(SUMIFS('Bills &amp; Invoices'!$J$5:$J$32,'Bills &amp; Invoices'!$B$5:$B$32,X66),"#,##0"))</f>
        <v/>
      </c>
      <c r="Z66" s="333" t="str">
        <f t="array" ref="Z66">IF(X66="","",INDEX('Bills &amp; Invoices'!$D$5:$D$32,MATCH(X66,'Bills &amp; Invoices'!$B$5:$B$32,0)))</f>
        <v/>
      </c>
      <c r="AA66" s="334" t="str">
        <f t="array" ref="AA66">IF(X66="","",INDEX('Bills &amp; Invoices'!$K$5:$K$32,MATCH(X66,'Bills &amp; Invoices'!$B$5:$B$32,0)))</f>
        <v/>
      </c>
      <c r="AB66" s="335" t="str">
        <f>IF(X66="","",SUMIFS('Bills &amp; Invoices'!$J$5:$J$32,'Bills &amp; Invoices'!$B$5:$B$32,X66))</f>
        <v/>
      </c>
      <c r="AC66" s="335" t="str">
        <f>IF(X66="","",SUMIFS('Payments &amp; Receipts'!$F$5:$F$58,'Payments &amp; Receipts'!$L$5:$L$58,X66))</f>
        <v/>
      </c>
      <c r="AD66" s="333" t="str">
        <f t="array" ref="AD66">IF(X66="","",INDEX('Bills &amp; Invoices'!$U$5:$U$32,MATCH(X66,'Bills &amp; Invoices'!$B$5:$B$32,0)))</f>
        <v/>
      </c>
    </row>
    <row r="67" ht="14.25" customHeight="1">
      <c r="R6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Clearances'!$A$4:$Q$4)),FALSE)),ROWS(R$5:R67)))&amp;""  –  ""&amp;INDEX('Chemical Clearances'!$D$5:$D$169,MATCH(INDEX('Chemical Clearances'!$B$5:$B$169,LARGE(FILTER((ROW('Chemical Clearances'!$B$5:$B$169)-ROW('C"&amp;"hemical Clearances'!$A$4:$Q$4)),IFERROR((MATCH('Chemical Clearances'!$B$5:$B$169,'Chemical Clearances'!$B$5:$B$169,0)=ROW('Chemical Clearances'!$B$5:$B$169)-ROW('Chemical Clearances'!$A$4:$Q$4)),FALSE)),ROWS(R$5:R67))),'Chemical Clearances'!$B$5:$B$169,0)"&amp;"),"""")), 1, 1)"),"CLN-085  –  Bea Mountain Mining Corporation (BMMC)")</f>
        <v>CLN-085  –  Bea Mountain Mining Corporation (BMMC)</v>
      </c>
      <c r="X6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Invoices'!$A$4:$V$4)),FALSE)),ROWS(X$5:X67))),"""")), 1, 1)"),"")</f>
        <v/>
      </c>
      <c r="Y67" s="333" t="str">
        <f t="array" ref="Y67">IF(X67="","",X67&amp;"  –  "&amp;INDEX('Bills &amp; Invoices'!$D$5:$D$32,MATCH(X67,'Bills &amp; Invoices'!$B$5:$B$32,0))&amp;"  –  $"&amp;TEXT(SUMIFS('Bills &amp; Invoices'!$J$5:$J$32,'Bills &amp; Invoices'!$B$5:$B$32,X67),"#,##0"))</f>
        <v/>
      </c>
      <c r="Z67" s="333" t="str">
        <f t="array" ref="Z67">IF(X67="","",INDEX('Bills &amp; Invoices'!$D$5:$D$32,MATCH(X67,'Bills &amp; Invoices'!$B$5:$B$32,0)))</f>
        <v/>
      </c>
      <c r="AA67" s="334" t="str">
        <f t="array" ref="AA67">IF(X67="","",INDEX('Bills &amp; Invoices'!$K$5:$K$32,MATCH(X67,'Bills &amp; Invoices'!$B$5:$B$32,0)))</f>
        <v/>
      </c>
      <c r="AB67" s="335" t="str">
        <f>IF(X67="","",SUMIFS('Bills &amp; Invoices'!$J$5:$J$32,'Bills &amp; Invoices'!$B$5:$B$32,X67))</f>
        <v/>
      </c>
      <c r="AC67" s="335" t="str">
        <f>IF(X67="","",SUMIFS('Payments &amp; Receipts'!$F$5:$F$58,'Payments &amp; Receipts'!$L$5:$L$58,X67))</f>
        <v/>
      </c>
      <c r="AD67" s="333" t="str">
        <f t="array" ref="AD67">IF(X67="","",INDEX('Bills &amp; Invoices'!$U$5:$U$32,MATCH(X67,'Bills &amp; Invoices'!$B$5:$B$32,0)))</f>
        <v/>
      </c>
    </row>
    <row r="68" ht="14.25" customHeight="1">
      <c r="R6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Clearances'!$A$4:$Q$4)),FALSE)),ROWS(R$5:R68)))&amp;""  –  ""&amp;INDEX('Chemical Clearances'!$D$5:$D$169,MATCH(INDEX('Chemical Clearances'!$B$5:$B$169,LARGE(FILTER((ROW('Chemical Clearances'!$B$5:$B$169)-ROW('C"&amp;"hemical Clearances'!$A$4:$Q$4)),IFERROR((MATCH('Chemical Clearances'!$B$5:$B$169,'Chemical Clearances'!$B$5:$B$169,0)=ROW('Chemical Clearances'!$B$5:$B$169)-ROW('Chemical Clearances'!$A$4:$Q$4)),FALSE)),ROWS(R$5:R68))),'Chemical Clearances'!$B$5:$B$169,0)"&amp;"),"""")), 1, 1)"),"CLN-084  –  Bea Mountain Mining Corporation (BMMC)")</f>
        <v>CLN-084  –  Bea Mountain Mining Corporation (BMMC)</v>
      </c>
      <c r="X6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Invoices'!$A$4:$V$4)),FALSE)),ROWS(X$5:X68))),"""")), 1, 1)"),"")</f>
        <v/>
      </c>
      <c r="Y68" s="333" t="str">
        <f t="array" ref="Y68">IF(X68="","",X68&amp;"  –  "&amp;INDEX('Bills &amp; Invoices'!$D$5:$D$32,MATCH(X68,'Bills &amp; Invoices'!$B$5:$B$32,0))&amp;"  –  $"&amp;TEXT(SUMIFS('Bills &amp; Invoices'!$J$5:$J$32,'Bills &amp; Invoices'!$B$5:$B$32,X68),"#,##0"))</f>
        <v/>
      </c>
      <c r="Z68" s="333" t="str">
        <f t="array" ref="Z68">IF(X68="","",INDEX('Bills &amp; Invoices'!$D$5:$D$32,MATCH(X68,'Bills &amp; Invoices'!$B$5:$B$32,0)))</f>
        <v/>
      </c>
      <c r="AA68" s="334" t="str">
        <f t="array" ref="AA68">IF(X68="","",INDEX('Bills &amp; Invoices'!$K$5:$K$32,MATCH(X68,'Bills &amp; Invoices'!$B$5:$B$32,0)))</f>
        <v/>
      </c>
      <c r="AB68" s="335" t="str">
        <f>IF(X68="","",SUMIFS('Bills &amp; Invoices'!$J$5:$J$32,'Bills &amp; Invoices'!$B$5:$B$32,X68))</f>
        <v/>
      </c>
      <c r="AC68" s="335" t="str">
        <f>IF(X68="","",SUMIFS('Payments &amp; Receipts'!$F$5:$F$58,'Payments &amp; Receipts'!$L$5:$L$58,X68))</f>
        <v/>
      </c>
      <c r="AD68" s="333" t="str">
        <f t="array" ref="AD68">IF(X68="","",INDEX('Bills &amp; Invoices'!$U$5:$U$32,MATCH(X68,'Bills &amp; Invoices'!$B$5:$B$32,0)))</f>
        <v/>
      </c>
    </row>
    <row r="69" ht="14.25" customHeight="1">
      <c r="R6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Clearances'!$A$4:$Q$4)),FALSE)),ROWS(R$5:R69)))&amp;""  –  ""&amp;INDEX('Chemical Clearances'!$D$5:$D$169,MATCH(INDEX('Chemical Clearances'!$B$5:$B$169,LARGE(FILTER((ROW('Chemical Clearances'!$B$5:$B$169)-ROW('C"&amp;"hemical Clearances'!$A$4:$Q$4)),IFERROR((MATCH('Chemical Clearances'!$B$5:$B$169,'Chemical Clearances'!$B$5:$B$169,0)=ROW('Chemical Clearances'!$B$5:$B$169)-ROW('Chemical Clearances'!$A$4:$Q$4)),FALSE)),ROWS(R$5:R69))),'Chemical Clearances'!$B$5:$B$169,0)"&amp;"),"""")), 1, 1)"),"CLN-083  –  Bea Mountain Mining Corporation (BMMC)")</f>
        <v>CLN-083  –  Bea Mountain Mining Corporation (BMMC)</v>
      </c>
      <c r="X6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Invoices'!$A$4:$V$4)),FALSE)),ROWS(X$5:X69))),"""")), 1, 1)"),"")</f>
        <v/>
      </c>
      <c r="Y69" s="333" t="str">
        <f t="array" ref="Y69">IF(X69="","",X69&amp;"  –  "&amp;INDEX('Bills &amp; Invoices'!$D$5:$D$32,MATCH(X69,'Bills &amp; Invoices'!$B$5:$B$32,0))&amp;"  –  $"&amp;TEXT(SUMIFS('Bills &amp; Invoices'!$J$5:$J$32,'Bills &amp; Invoices'!$B$5:$B$32,X69),"#,##0"))</f>
        <v/>
      </c>
      <c r="Z69" s="333" t="str">
        <f t="array" ref="Z69">IF(X69="","",INDEX('Bills &amp; Invoices'!$D$5:$D$32,MATCH(X69,'Bills &amp; Invoices'!$B$5:$B$32,0)))</f>
        <v/>
      </c>
      <c r="AA69" s="334" t="str">
        <f t="array" ref="AA69">IF(X69="","",INDEX('Bills &amp; Invoices'!$K$5:$K$32,MATCH(X69,'Bills &amp; Invoices'!$B$5:$B$32,0)))</f>
        <v/>
      </c>
      <c r="AB69" s="335" t="str">
        <f>IF(X69="","",SUMIFS('Bills &amp; Invoices'!$J$5:$J$32,'Bills &amp; Invoices'!$B$5:$B$32,X69))</f>
        <v/>
      </c>
      <c r="AC69" s="335" t="str">
        <f>IF(X69="","",SUMIFS('Payments &amp; Receipts'!$F$5:$F$58,'Payments &amp; Receipts'!$L$5:$L$58,X69))</f>
        <v/>
      </c>
      <c r="AD69" s="333" t="str">
        <f t="array" ref="AD69">IF(X69="","",INDEX('Bills &amp; Invoices'!$U$5:$U$32,MATCH(X69,'Bills &amp; Invoices'!$B$5:$B$32,0)))</f>
        <v/>
      </c>
    </row>
    <row r="70" ht="14.25" customHeight="1">
      <c r="R7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Clearances'!$A$4:$Q$4)),FALSE)),ROWS(R$5:R70)))&amp;""  –  ""&amp;INDEX('Chemical Clearances'!$D$5:$D$169,MATCH(INDEX('Chemical Clearances'!$B$5:$B$169,LARGE(FILTER((ROW('Chemical Clearances'!$B$5:$B$169)-ROW('C"&amp;"hemical Clearances'!$A$4:$Q$4)),IFERROR((MATCH('Chemical Clearances'!$B$5:$B$169,'Chemical Clearances'!$B$5:$B$169,0)=ROW('Chemical Clearances'!$B$5:$B$169)-ROW('Chemical Clearances'!$A$4:$Q$4)),FALSE)),ROWS(R$5:R70))),'Chemical Clearances'!$B$5:$B$169,0)"&amp;"),"""")), 1, 1)"),"CLN-082  –  Bea Mountain Mining Corporation (BMMC)")</f>
        <v>CLN-082  –  Bea Mountain Mining Corporation (BMMC)</v>
      </c>
      <c r="X7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Invoices'!$A$4:$V$4)),FALSE)),ROWS(X$5:X70))),"""")), 1, 1)"),"")</f>
        <v/>
      </c>
      <c r="Y70" s="333" t="str">
        <f t="array" ref="Y70">IF(X70="","",X70&amp;"  –  "&amp;INDEX('Bills &amp; Invoices'!$D$5:$D$32,MATCH(X70,'Bills &amp; Invoices'!$B$5:$B$32,0))&amp;"  –  $"&amp;TEXT(SUMIFS('Bills &amp; Invoices'!$J$5:$J$32,'Bills &amp; Invoices'!$B$5:$B$32,X70),"#,##0"))</f>
        <v/>
      </c>
      <c r="Z70" s="333" t="str">
        <f t="array" ref="Z70">IF(X70="","",INDEX('Bills &amp; Invoices'!$D$5:$D$32,MATCH(X70,'Bills &amp; Invoices'!$B$5:$B$32,0)))</f>
        <v/>
      </c>
      <c r="AA70" s="334" t="str">
        <f t="array" ref="AA70">IF(X70="","",INDEX('Bills &amp; Invoices'!$K$5:$K$32,MATCH(X70,'Bills &amp; Invoices'!$B$5:$B$32,0)))</f>
        <v/>
      </c>
      <c r="AB70" s="335" t="str">
        <f>IF(X70="","",SUMIFS('Bills &amp; Invoices'!$J$5:$J$32,'Bills &amp; Invoices'!$B$5:$B$32,X70))</f>
        <v/>
      </c>
      <c r="AC70" s="335" t="str">
        <f>IF(X70="","",SUMIFS('Payments &amp; Receipts'!$F$5:$F$58,'Payments &amp; Receipts'!$L$5:$L$58,X70))</f>
        <v/>
      </c>
      <c r="AD70" s="333" t="str">
        <f t="array" ref="AD70">IF(X70="","",INDEX('Bills &amp; Invoices'!$U$5:$U$32,MATCH(X70,'Bills &amp; Invoices'!$B$5:$B$32,0)))</f>
        <v/>
      </c>
    </row>
    <row r="71" ht="14.25" customHeight="1">
      <c r="R7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Clearances'!$A$4:$Q$4)),FALSE)),ROWS(R$5:R71)))&amp;""  –  ""&amp;INDEX('Chemical Clearances'!$D$5:$D$169,MATCH(INDEX('Chemical Clearances'!$B$5:$B$169,LARGE(FILTER((ROW('Chemical Clearances'!$B$5:$B$169)-ROW('C"&amp;"hemical Clearances'!$A$4:$Q$4)),IFERROR((MATCH('Chemical Clearances'!$B$5:$B$169,'Chemical Clearances'!$B$5:$B$169,0)=ROW('Chemical Clearances'!$B$5:$B$169)-ROW('Chemical Clearances'!$A$4:$Q$4)),FALSE)),ROWS(R$5:R71))),'Chemical Clearances'!$B$5:$B$169,0)"&amp;"),"""")), 1, 1)"),"CLN-081  –  Bea Mountain Mining Corporation (BMMC)")</f>
        <v>CLN-081  –  Bea Mountain Mining Corporation (BMMC)</v>
      </c>
      <c r="X7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Invoices'!$A$4:$V$4)),FALSE)),ROWS(X$5:X71))),"""")), 1, 1)"),"")</f>
        <v/>
      </c>
      <c r="Y71" s="333" t="str">
        <f t="array" ref="Y71">IF(X71="","",X71&amp;"  –  "&amp;INDEX('Bills &amp; Invoices'!$D$5:$D$32,MATCH(X71,'Bills &amp; Invoices'!$B$5:$B$32,0))&amp;"  –  $"&amp;TEXT(SUMIFS('Bills &amp; Invoices'!$J$5:$J$32,'Bills &amp; Invoices'!$B$5:$B$32,X71),"#,##0"))</f>
        <v/>
      </c>
      <c r="Z71" s="333" t="str">
        <f t="array" ref="Z71">IF(X71="","",INDEX('Bills &amp; Invoices'!$D$5:$D$32,MATCH(X71,'Bills &amp; Invoices'!$B$5:$B$32,0)))</f>
        <v/>
      </c>
      <c r="AA71" s="334" t="str">
        <f t="array" ref="AA71">IF(X71="","",INDEX('Bills &amp; Invoices'!$K$5:$K$32,MATCH(X71,'Bills &amp; Invoices'!$B$5:$B$32,0)))</f>
        <v/>
      </c>
      <c r="AB71" s="335" t="str">
        <f>IF(X71="","",SUMIFS('Bills &amp; Invoices'!$J$5:$J$32,'Bills &amp; Invoices'!$B$5:$B$32,X71))</f>
        <v/>
      </c>
      <c r="AC71" s="335" t="str">
        <f>IF(X71="","",SUMIFS('Payments &amp; Receipts'!$F$5:$F$58,'Payments &amp; Receipts'!$L$5:$L$58,X71))</f>
        <v/>
      </c>
      <c r="AD71" s="333" t="str">
        <f t="array" ref="AD71">IF(X71="","",INDEX('Bills &amp; Invoices'!$U$5:$U$32,MATCH(X71,'Bills &amp; Invoices'!$B$5:$B$32,0)))</f>
        <v/>
      </c>
    </row>
    <row r="72" ht="14.25" customHeight="1">
      <c r="R7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Clearances'!$A$4:$Q$4)),FALSE)),ROWS(R$5:R72)))&amp;""  –  ""&amp;INDEX('Chemical Clearances'!$D$5:$D$169,MATCH(INDEX('Chemical Clearances'!$B$5:$B$169,LARGE(FILTER((ROW('Chemical Clearances'!$B$5:$B$169)-ROW('C"&amp;"hemical Clearances'!$A$4:$Q$4)),IFERROR((MATCH('Chemical Clearances'!$B$5:$B$169,'Chemical Clearances'!$B$5:$B$169,0)=ROW('Chemical Clearances'!$B$5:$B$169)-ROW('Chemical Clearances'!$A$4:$Q$4)),FALSE)),ROWS(R$5:R72))),'Chemical Clearances'!$B$5:$B$169,0)"&amp;"),"""")), 1, 1)"),"CLN-080  –  Bea Mountain Mining Corporation (BMMC)")</f>
        <v>CLN-080  –  Bea Mountain Mining Corporation (BMMC)</v>
      </c>
      <c r="X7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Invoices'!$A$4:$V$4)),FALSE)),ROWS(X$5:X72))),"""")), 1, 1)"),"")</f>
        <v/>
      </c>
      <c r="Y72" s="333" t="str">
        <f t="array" ref="Y72">IF(X72="","",X72&amp;"  –  "&amp;INDEX('Bills &amp; Invoices'!$D$5:$D$32,MATCH(X72,'Bills &amp; Invoices'!$B$5:$B$32,0))&amp;"  –  $"&amp;TEXT(SUMIFS('Bills &amp; Invoices'!$J$5:$J$32,'Bills &amp; Invoices'!$B$5:$B$32,X72),"#,##0"))</f>
        <v/>
      </c>
      <c r="Z72" s="333" t="str">
        <f t="array" ref="Z72">IF(X72="","",INDEX('Bills &amp; Invoices'!$D$5:$D$32,MATCH(X72,'Bills &amp; Invoices'!$B$5:$B$32,0)))</f>
        <v/>
      </c>
      <c r="AA72" s="334" t="str">
        <f t="array" ref="AA72">IF(X72="","",INDEX('Bills &amp; Invoices'!$K$5:$K$32,MATCH(X72,'Bills &amp; Invoices'!$B$5:$B$32,0)))</f>
        <v/>
      </c>
      <c r="AB72" s="335" t="str">
        <f>IF(X72="","",SUMIFS('Bills &amp; Invoices'!$J$5:$J$32,'Bills &amp; Invoices'!$B$5:$B$32,X72))</f>
        <v/>
      </c>
      <c r="AC72" s="335" t="str">
        <f>IF(X72="","",SUMIFS('Payments &amp; Receipts'!$F$5:$F$58,'Payments &amp; Receipts'!$L$5:$L$58,X72))</f>
        <v/>
      </c>
      <c r="AD72" s="333" t="str">
        <f t="array" ref="AD72">IF(X72="","",INDEX('Bills &amp; Invoices'!$U$5:$U$32,MATCH(X72,'Bills &amp; Invoices'!$B$5:$B$32,0)))</f>
        <v/>
      </c>
    </row>
    <row r="73" ht="14.25" customHeight="1">
      <c r="R7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Clearances'!$A$4:$Q$4)),FALSE)),ROWS(R$5:R73)))&amp;""  –  ""&amp;INDEX('Chemical Clearances'!$D$5:$D$169,MATCH(INDEX('Chemical Clearances'!$B$5:$B$169,LARGE(FILTER((ROW('Chemical Clearances'!$B$5:$B$169)-ROW('C"&amp;"hemical Clearances'!$A$4:$Q$4)),IFERROR((MATCH('Chemical Clearances'!$B$5:$B$169,'Chemical Clearances'!$B$5:$B$169,0)=ROW('Chemical Clearances'!$B$5:$B$169)-ROW('Chemical Clearances'!$A$4:$Q$4)),FALSE)),ROWS(R$5:R73))),'Chemical Clearances'!$B$5:$B$169,0)"&amp;"),"""")), 1, 1)"),"CLN-079  –  Bea Mountain Mining Corporation (BMMC)")</f>
        <v>CLN-079  –  Bea Mountain Mining Corporation (BMMC)</v>
      </c>
      <c r="X7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Invoices'!$A$4:$V$4)),FALSE)),ROWS(X$5:X73))),"""")), 1, 1)"),"")</f>
        <v/>
      </c>
      <c r="Y73" s="333" t="str">
        <f t="array" ref="Y73">IF(X73="","",X73&amp;"  –  "&amp;INDEX('Bills &amp; Invoices'!$D$5:$D$32,MATCH(X73,'Bills &amp; Invoices'!$B$5:$B$32,0))&amp;"  –  $"&amp;TEXT(SUMIFS('Bills &amp; Invoices'!$J$5:$J$32,'Bills &amp; Invoices'!$B$5:$B$32,X73),"#,##0"))</f>
        <v/>
      </c>
      <c r="Z73" s="333" t="str">
        <f t="array" ref="Z73">IF(X73="","",INDEX('Bills &amp; Invoices'!$D$5:$D$32,MATCH(X73,'Bills &amp; Invoices'!$B$5:$B$32,0)))</f>
        <v/>
      </c>
      <c r="AA73" s="334" t="str">
        <f t="array" ref="AA73">IF(X73="","",INDEX('Bills &amp; Invoices'!$K$5:$K$32,MATCH(X73,'Bills &amp; Invoices'!$B$5:$B$32,0)))</f>
        <v/>
      </c>
      <c r="AB73" s="335" t="str">
        <f>IF(X73="","",SUMIFS('Bills &amp; Invoices'!$J$5:$J$32,'Bills &amp; Invoices'!$B$5:$B$32,X73))</f>
        <v/>
      </c>
      <c r="AC73" s="335" t="str">
        <f>IF(X73="","",SUMIFS('Payments &amp; Receipts'!$F$5:$F$58,'Payments &amp; Receipts'!$L$5:$L$58,X73))</f>
        <v/>
      </c>
      <c r="AD73" s="333" t="str">
        <f t="array" ref="AD73">IF(X73="","",INDEX('Bills &amp; Invoices'!$U$5:$U$32,MATCH(X73,'Bills &amp; Invoices'!$B$5:$B$32,0)))</f>
        <v/>
      </c>
    </row>
    <row r="74" ht="14.25" customHeight="1">
      <c r="R7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Clearances'!$A$4:$Q$4)),FALSE)),ROWS(R$5:R74)))&amp;""  –  ""&amp;INDEX('Chemical Clearances'!$D$5:$D$169,MATCH(INDEX('Chemical Clearances'!$B$5:$B$169,LARGE(FILTER((ROW('Chemical Clearances'!$B$5:$B$169)-ROW('C"&amp;"hemical Clearances'!$A$4:$Q$4)),IFERROR((MATCH('Chemical Clearances'!$B$5:$B$169,'Chemical Clearances'!$B$5:$B$169,0)=ROW('Chemical Clearances'!$B$5:$B$169)-ROW('Chemical Clearances'!$A$4:$Q$4)),FALSE)),ROWS(R$5:R74))),'Chemical Clearances'!$B$5:$B$169,0)"&amp;"),"""")), 1, 1)"),"CLN-078  –  Bea Mountain Mining Corporation (BMMC)")</f>
        <v>CLN-078  –  Bea Mountain Mining Corporation (BMMC)</v>
      </c>
      <c r="X7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Invoices'!$A$4:$V$4)),FALSE)),ROWS(X$5:X74))),"""")), 1, 1)"),"")</f>
        <v/>
      </c>
      <c r="Y74" s="333" t="str">
        <f t="array" ref="Y74">IF(X74="","",X74&amp;"  –  "&amp;INDEX('Bills &amp; Invoices'!$D$5:$D$32,MATCH(X74,'Bills &amp; Invoices'!$B$5:$B$32,0))&amp;"  –  $"&amp;TEXT(SUMIFS('Bills &amp; Invoices'!$J$5:$J$32,'Bills &amp; Invoices'!$B$5:$B$32,X74),"#,##0"))</f>
        <v/>
      </c>
      <c r="Z74" s="333" t="str">
        <f t="array" ref="Z74">IF(X74="","",INDEX('Bills &amp; Invoices'!$D$5:$D$32,MATCH(X74,'Bills &amp; Invoices'!$B$5:$B$32,0)))</f>
        <v/>
      </c>
      <c r="AA74" s="334" t="str">
        <f t="array" ref="AA74">IF(X74="","",INDEX('Bills &amp; Invoices'!$K$5:$K$32,MATCH(X74,'Bills &amp; Invoices'!$B$5:$B$32,0)))</f>
        <v/>
      </c>
      <c r="AB74" s="335" t="str">
        <f>IF(X74="","",SUMIFS('Bills &amp; Invoices'!$J$5:$J$32,'Bills &amp; Invoices'!$B$5:$B$32,X74))</f>
        <v/>
      </c>
      <c r="AC74" s="335" t="str">
        <f>IF(X74="","",SUMIFS('Payments &amp; Receipts'!$F$5:$F$58,'Payments &amp; Receipts'!$L$5:$L$58,X74))</f>
        <v/>
      </c>
      <c r="AD74" s="333" t="str">
        <f t="array" ref="AD74">IF(X74="","",INDEX('Bills &amp; Invoices'!$U$5:$U$32,MATCH(X74,'Bills &amp; Invoices'!$B$5:$B$32,0)))</f>
        <v/>
      </c>
    </row>
    <row r="75" ht="14.25" customHeight="1">
      <c r="R7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Clearances'!$A$4:$Q$4)),FALSE)),ROWS(R$5:R75)))&amp;""  –  ""&amp;INDEX('Chemical Clearances'!$D$5:$D$169,MATCH(INDEX('Chemical Clearances'!$B$5:$B$169,LARGE(FILTER((ROW('Chemical Clearances'!$B$5:$B$169)-ROW('C"&amp;"hemical Clearances'!$A$4:$Q$4)),IFERROR((MATCH('Chemical Clearances'!$B$5:$B$169,'Chemical Clearances'!$B$5:$B$169,0)=ROW('Chemical Clearances'!$B$5:$B$169)-ROW('Chemical Clearances'!$A$4:$Q$4)),FALSE)),ROWS(R$5:R75))),'Chemical Clearances'!$B$5:$B$169,0)"&amp;"),"""")), 1, 1)"),"CLN-077  –  Bea Mountain Mining Corporation (BMMC)")</f>
        <v>CLN-077  –  Bea Mountain Mining Corporation (BMMC)</v>
      </c>
      <c r="X7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Invoices'!$A$4:$V$4)),FALSE)),ROWS(X$5:X75))),"""")), 1, 1)"),"")</f>
        <v/>
      </c>
      <c r="Y75" s="333" t="str">
        <f t="array" ref="Y75">IF(X75="","",X75&amp;"  –  "&amp;INDEX('Bills &amp; Invoices'!$D$5:$D$32,MATCH(X75,'Bills &amp; Invoices'!$B$5:$B$32,0))&amp;"  –  $"&amp;TEXT(SUMIFS('Bills &amp; Invoices'!$J$5:$J$32,'Bills &amp; Invoices'!$B$5:$B$32,X75),"#,##0"))</f>
        <v/>
      </c>
      <c r="Z75" s="333" t="str">
        <f t="array" ref="Z75">IF(X75="","",INDEX('Bills &amp; Invoices'!$D$5:$D$32,MATCH(X75,'Bills &amp; Invoices'!$B$5:$B$32,0)))</f>
        <v/>
      </c>
      <c r="AA75" s="334" t="str">
        <f t="array" ref="AA75">IF(X75="","",INDEX('Bills &amp; Invoices'!$K$5:$K$32,MATCH(X75,'Bills &amp; Invoices'!$B$5:$B$32,0)))</f>
        <v/>
      </c>
      <c r="AB75" s="335" t="str">
        <f>IF(X75="","",SUMIFS('Bills &amp; Invoices'!$J$5:$J$32,'Bills &amp; Invoices'!$B$5:$B$32,X75))</f>
        <v/>
      </c>
      <c r="AC75" s="335" t="str">
        <f>IF(X75="","",SUMIFS('Payments &amp; Receipts'!$F$5:$F$58,'Payments &amp; Receipts'!$L$5:$L$58,X75))</f>
        <v/>
      </c>
      <c r="AD75" s="333" t="str">
        <f t="array" ref="AD75">IF(X75="","",INDEX('Bills &amp; Invoices'!$U$5:$U$32,MATCH(X75,'Bills &amp; Invoices'!$B$5:$B$32,0)))</f>
        <v/>
      </c>
    </row>
    <row r="76" ht="14.25" customHeight="1">
      <c r="R7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Clearances'!$A$4:$Q$4)),FALSE)),ROWS(R$5:R76)))&amp;""  –  ""&amp;INDEX('Chemical Clearances'!$D$5:$D$169,MATCH(INDEX('Chemical Clearances'!$B$5:$B$169,LARGE(FILTER((ROW('Chemical Clearances'!$B$5:$B$169)-ROW('C"&amp;"hemical Clearances'!$A$4:$Q$4)),IFERROR((MATCH('Chemical Clearances'!$B$5:$B$169,'Chemical Clearances'!$B$5:$B$169,0)=ROW('Chemical Clearances'!$B$5:$B$169)-ROW('Chemical Clearances'!$A$4:$Q$4)),FALSE)),ROWS(R$5:R76))),'Chemical Clearances'!$B$5:$B$169,0)"&amp;"),"""")), 1, 1)"),"CLN-076  –  Bea Mountain Mining Corporation (BMMC)")</f>
        <v>CLN-076  –  Bea Mountain Mining Corporation (BMMC)</v>
      </c>
      <c r="X7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Invoices'!$A$4:$V$4)),FALSE)),ROWS(X$5:X76))),"""")), 1, 1)"),"")</f>
        <v/>
      </c>
      <c r="Y76" s="333" t="str">
        <f t="array" ref="Y76">IF(X76="","",X76&amp;"  –  "&amp;INDEX('Bills &amp; Invoices'!$D$5:$D$32,MATCH(X76,'Bills &amp; Invoices'!$B$5:$B$32,0))&amp;"  –  $"&amp;TEXT(SUMIFS('Bills &amp; Invoices'!$J$5:$J$32,'Bills &amp; Invoices'!$B$5:$B$32,X76),"#,##0"))</f>
        <v/>
      </c>
      <c r="Z76" s="333" t="str">
        <f t="array" ref="Z76">IF(X76="","",INDEX('Bills &amp; Invoices'!$D$5:$D$32,MATCH(X76,'Bills &amp; Invoices'!$B$5:$B$32,0)))</f>
        <v/>
      </c>
      <c r="AA76" s="334" t="str">
        <f t="array" ref="AA76">IF(X76="","",INDEX('Bills &amp; Invoices'!$K$5:$K$32,MATCH(X76,'Bills &amp; Invoices'!$B$5:$B$32,0)))</f>
        <v/>
      </c>
      <c r="AB76" s="335" t="str">
        <f>IF(X76="","",SUMIFS('Bills &amp; Invoices'!$J$5:$J$32,'Bills &amp; Invoices'!$B$5:$B$32,X76))</f>
        <v/>
      </c>
      <c r="AC76" s="335" t="str">
        <f>IF(X76="","",SUMIFS('Payments &amp; Receipts'!$F$5:$F$58,'Payments &amp; Receipts'!$L$5:$L$58,X76))</f>
        <v/>
      </c>
      <c r="AD76" s="333" t="str">
        <f t="array" ref="AD76">IF(X76="","",INDEX('Bills &amp; Invoices'!$U$5:$U$32,MATCH(X76,'Bills &amp; Invoices'!$B$5:$B$32,0)))</f>
        <v/>
      </c>
    </row>
    <row r="77" ht="14.25" customHeight="1">
      <c r="R7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Clearances'!$A$4:$Q$4)),FALSE)),ROWS(R$5:R77)))&amp;""  –  ""&amp;INDEX('Chemical Clearances'!$D$5:$D$169,MATCH(INDEX('Chemical Clearances'!$B$5:$B$169,LARGE(FILTER((ROW('Chemical Clearances'!$B$5:$B$169)-ROW('C"&amp;"hemical Clearances'!$A$4:$Q$4)),IFERROR((MATCH('Chemical Clearances'!$B$5:$B$169,'Chemical Clearances'!$B$5:$B$169,0)=ROW('Chemical Clearances'!$B$5:$B$169)-ROW('Chemical Clearances'!$A$4:$Q$4)),FALSE)),ROWS(R$5:R77))),'Chemical Clearances'!$B$5:$B$169,0)"&amp;"),"""")), 1, 1)"),"CLN-075  –  Bea Mountain Mining Corporation (BMMC)")</f>
        <v>CLN-075  –  Bea Mountain Mining Corporation (BMMC)</v>
      </c>
      <c r="X7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Invoices'!$A$4:$V$4)),FALSE)),ROWS(X$5:X77))),"""")), 1, 1)"),"")</f>
        <v/>
      </c>
      <c r="Y77" s="333" t="str">
        <f t="array" ref="Y77">IF(X77="","",X77&amp;"  –  "&amp;INDEX('Bills &amp; Invoices'!$D$5:$D$32,MATCH(X77,'Bills &amp; Invoices'!$B$5:$B$32,0))&amp;"  –  $"&amp;TEXT(SUMIFS('Bills &amp; Invoices'!$J$5:$J$32,'Bills &amp; Invoices'!$B$5:$B$32,X77),"#,##0"))</f>
        <v/>
      </c>
      <c r="Z77" s="333" t="str">
        <f t="array" ref="Z77">IF(X77="","",INDEX('Bills &amp; Invoices'!$D$5:$D$32,MATCH(X77,'Bills &amp; Invoices'!$B$5:$B$32,0)))</f>
        <v/>
      </c>
      <c r="AA77" s="334" t="str">
        <f t="array" ref="AA77">IF(X77="","",INDEX('Bills &amp; Invoices'!$K$5:$K$32,MATCH(X77,'Bills &amp; Invoices'!$B$5:$B$32,0)))</f>
        <v/>
      </c>
      <c r="AB77" s="335" t="str">
        <f>IF(X77="","",SUMIFS('Bills &amp; Invoices'!$J$5:$J$32,'Bills &amp; Invoices'!$B$5:$B$32,X77))</f>
        <v/>
      </c>
      <c r="AC77" s="335" t="str">
        <f>IF(X77="","",SUMIFS('Payments &amp; Receipts'!$F$5:$F$58,'Payments &amp; Receipts'!$L$5:$L$58,X77))</f>
        <v/>
      </c>
      <c r="AD77" s="333" t="str">
        <f t="array" ref="AD77">IF(X77="","",INDEX('Bills &amp; Invoices'!$U$5:$U$32,MATCH(X77,'Bills &amp; Invoices'!$B$5:$B$32,0)))</f>
        <v/>
      </c>
    </row>
    <row r="78" ht="14.25" customHeight="1">
      <c r="R7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Clearances'!$A$4:$Q$4)),FALSE)),ROWS(R$5:R78)))&amp;""  –  ""&amp;INDEX('Chemical Clearances'!$D$5:$D$169,MATCH(INDEX('Chemical Clearances'!$B$5:$B$169,LARGE(FILTER((ROW('Chemical Clearances'!$B$5:$B$169)-ROW('C"&amp;"hemical Clearances'!$A$4:$Q$4)),IFERROR((MATCH('Chemical Clearances'!$B$5:$B$169,'Chemical Clearances'!$B$5:$B$169,0)=ROW('Chemical Clearances'!$B$5:$B$169)-ROW('Chemical Clearances'!$A$4:$Q$4)),FALSE)),ROWS(R$5:R78))),'Chemical Clearances'!$B$5:$B$169,0)"&amp;"),"""")), 1, 1)"),"CLN-074  –  Bea Mountain Mining Corporation (BMMC)")</f>
        <v>CLN-074  –  Bea Mountain Mining Corporation (BMMC)</v>
      </c>
      <c r="X7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Invoices'!$A$4:$V$4)),FALSE)),ROWS(X$5:X78))),"""")), 1, 1)"),"")</f>
        <v/>
      </c>
      <c r="Y78" s="333" t="str">
        <f t="array" ref="Y78">IF(X78="","",X78&amp;"  –  "&amp;INDEX('Bills &amp; Invoices'!$D$5:$D$32,MATCH(X78,'Bills &amp; Invoices'!$B$5:$B$32,0))&amp;"  –  $"&amp;TEXT(SUMIFS('Bills &amp; Invoices'!$J$5:$J$32,'Bills &amp; Invoices'!$B$5:$B$32,X78),"#,##0"))</f>
        <v/>
      </c>
      <c r="Z78" s="333" t="str">
        <f t="array" ref="Z78">IF(X78="","",INDEX('Bills &amp; Invoices'!$D$5:$D$32,MATCH(X78,'Bills &amp; Invoices'!$B$5:$B$32,0)))</f>
        <v/>
      </c>
      <c r="AA78" s="334" t="str">
        <f t="array" ref="AA78">IF(X78="","",INDEX('Bills &amp; Invoices'!$K$5:$K$32,MATCH(X78,'Bills &amp; Invoices'!$B$5:$B$32,0)))</f>
        <v/>
      </c>
      <c r="AB78" s="335" t="str">
        <f>IF(X78="","",SUMIFS('Bills &amp; Invoices'!$J$5:$J$32,'Bills &amp; Invoices'!$B$5:$B$32,X78))</f>
        <v/>
      </c>
      <c r="AC78" s="335" t="str">
        <f>IF(X78="","",SUMIFS('Payments &amp; Receipts'!$F$5:$F$58,'Payments &amp; Receipts'!$L$5:$L$58,X78))</f>
        <v/>
      </c>
      <c r="AD78" s="333" t="str">
        <f t="array" ref="AD78">IF(X78="","",INDEX('Bills &amp; Invoices'!$U$5:$U$32,MATCH(X78,'Bills &amp; Invoices'!$B$5:$B$32,0)))</f>
        <v/>
      </c>
    </row>
    <row r="79" ht="14.25" customHeight="1">
      <c r="R7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Clearances'!$A$4:$Q$4)),FALSE)),ROWS(R$5:R79)))&amp;""  –  ""&amp;INDEX('Chemical Clearances'!$D$5:$D$169,MATCH(INDEX('Chemical Clearances'!$B$5:$B$169,LARGE(FILTER((ROW('Chemical Clearances'!$B$5:$B$169)-ROW('C"&amp;"hemical Clearances'!$A$4:$Q$4)),IFERROR((MATCH('Chemical Clearances'!$B$5:$B$169,'Chemical Clearances'!$B$5:$B$169,0)=ROW('Chemical Clearances'!$B$5:$B$169)-ROW('Chemical Clearances'!$A$4:$Q$4)),FALSE)),ROWS(R$5:R79))),'Chemical Clearances'!$B$5:$B$169,0)"&amp;"),"""")), 1, 1)"),"CLN-073  –  Bea Mountain Mining Corporation (BMMC)")</f>
        <v>CLN-073  –  Bea Mountain Mining Corporation (BMMC)</v>
      </c>
      <c r="X7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Invoices'!$A$4:$V$4)),FALSE)),ROWS(X$5:X79))),"""")), 1, 1)"),"")</f>
        <v/>
      </c>
      <c r="Y79" s="333" t="str">
        <f t="array" ref="Y79">IF(X79="","",X79&amp;"  –  "&amp;INDEX('Bills &amp; Invoices'!$D$5:$D$32,MATCH(X79,'Bills &amp; Invoices'!$B$5:$B$32,0))&amp;"  –  $"&amp;TEXT(SUMIFS('Bills &amp; Invoices'!$J$5:$J$32,'Bills &amp; Invoices'!$B$5:$B$32,X79),"#,##0"))</f>
        <v/>
      </c>
      <c r="Z79" s="333" t="str">
        <f t="array" ref="Z79">IF(X79="","",INDEX('Bills &amp; Invoices'!$D$5:$D$32,MATCH(X79,'Bills &amp; Invoices'!$B$5:$B$32,0)))</f>
        <v/>
      </c>
      <c r="AA79" s="334" t="str">
        <f t="array" ref="AA79">IF(X79="","",INDEX('Bills &amp; Invoices'!$K$5:$K$32,MATCH(X79,'Bills &amp; Invoices'!$B$5:$B$32,0)))</f>
        <v/>
      </c>
      <c r="AB79" s="335" t="str">
        <f>IF(X79="","",SUMIFS('Bills &amp; Invoices'!$J$5:$J$32,'Bills &amp; Invoices'!$B$5:$B$32,X79))</f>
        <v/>
      </c>
      <c r="AC79" s="335" t="str">
        <f>IF(X79="","",SUMIFS('Payments &amp; Receipts'!$F$5:$F$58,'Payments &amp; Receipts'!$L$5:$L$58,X79))</f>
        <v/>
      </c>
      <c r="AD79" s="333" t="str">
        <f t="array" ref="AD79">IF(X79="","",INDEX('Bills &amp; Invoices'!$U$5:$U$32,MATCH(X79,'Bills &amp; Invoices'!$B$5:$B$32,0)))</f>
        <v/>
      </c>
    </row>
    <row r="80" ht="14.25" customHeight="1">
      <c r="R8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Clearances'!$A$4:$Q$4)),FALSE)),ROWS(R$5:R80)))&amp;""  –  ""&amp;INDEX('Chemical Clearances'!$D$5:$D$169,MATCH(INDEX('Chemical Clearances'!$B$5:$B$169,LARGE(FILTER((ROW('Chemical Clearances'!$B$5:$B$169)-ROW('C"&amp;"hemical Clearances'!$A$4:$Q$4)),IFERROR((MATCH('Chemical Clearances'!$B$5:$B$169,'Chemical Clearances'!$B$5:$B$169,0)=ROW('Chemical Clearances'!$B$5:$B$169)-ROW('Chemical Clearances'!$A$4:$Q$4)),FALSE)),ROWS(R$5:R80))),'Chemical Clearances'!$B$5:$B$169,0)"&amp;"),"""")), 1, 1)"),"CLN-072  –  Bea Mountain Mining Corporation (BMMC)")</f>
        <v>CLN-072  –  Bea Mountain Mining Corporation (BMMC)</v>
      </c>
      <c r="X8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Invoices'!$A$4:$V$4)),FALSE)),ROWS(X$5:X80))),"""")), 1, 1)"),"")</f>
        <v/>
      </c>
      <c r="Y80" s="333" t="str">
        <f t="array" ref="Y80">IF(X80="","",X80&amp;"  –  "&amp;INDEX('Bills &amp; Invoices'!$D$5:$D$32,MATCH(X80,'Bills &amp; Invoices'!$B$5:$B$32,0))&amp;"  –  $"&amp;TEXT(SUMIFS('Bills &amp; Invoices'!$J$5:$J$32,'Bills &amp; Invoices'!$B$5:$B$32,X80),"#,##0"))</f>
        <v/>
      </c>
      <c r="Z80" s="333" t="str">
        <f t="array" ref="Z80">IF(X80="","",INDEX('Bills &amp; Invoices'!$D$5:$D$32,MATCH(X80,'Bills &amp; Invoices'!$B$5:$B$32,0)))</f>
        <v/>
      </c>
      <c r="AA80" s="334" t="str">
        <f t="array" ref="AA80">IF(X80="","",INDEX('Bills &amp; Invoices'!$K$5:$K$32,MATCH(X80,'Bills &amp; Invoices'!$B$5:$B$32,0)))</f>
        <v/>
      </c>
      <c r="AB80" s="335" t="str">
        <f>IF(X80="","",SUMIFS('Bills &amp; Invoices'!$J$5:$J$32,'Bills &amp; Invoices'!$B$5:$B$32,X80))</f>
        <v/>
      </c>
      <c r="AC80" s="335" t="str">
        <f>IF(X80="","",SUMIFS('Payments &amp; Receipts'!$F$5:$F$58,'Payments &amp; Receipts'!$L$5:$L$58,X80))</f>
        <v/>
      </c>
      <c r="AD80" s="333" t="str">
        <f t="array" ref="AD80">IF(X80="","",INDEX('Bills &amp; Invoices'!$U$5:$U$32,MATCH(X80,'Bills &amp; Invoices'!$B$5:$B$32,0)))</f>
        <v/>
      </c>
    </row>
    <row r="81" ht="14.25" customHeight="1">
      <c r="R8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Clearances'!$A$4:$Q$4)),FALSE)),ROWS(R$5:R81)))&amp;""  –  ""&amp;INDEX('Chemical Clearances'!$D$5:$D$169,MATCH(INDEX('Chemical Clearances'!$B$5:$B$169,LARGE(FILTER((ROW('Chemical Clearances'!$B$5:$B$169)-ROW('C"&amp;"hemical Clearances'!$A$4:$Q$4)),IFERROR((MATCH('Chemical Clearances'!$B$5:$B$169,'Chemical Clearances'!$B$5:$B$169,0)=ROW('Chemical Clearances'!$B$5:$B$169)-ROW('Chemical Clearances'!$A$4:$Q$4)),FALSE)),ROWS(R$5:R81))),'Chemical Clearances'!$B$5:$B$169,0)"&amp;"),"""")), 1, 1)"),"CLN-071  –  Bea Mountain Mining Corporation (BMMC)")</f>
        <v>CLN-071  –  Bea Mountain Mining Corporation (BMMC)</v>
      </c>
      <c r="X8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Invoices'!$A$4:$V$4)),FALSE)),ROWS(X$5:X81))),"""")), 1, 1)"),"")</f>
        <v/>
      </c>
      <c r="Y81" s="333" t="str">
        <f t="array" ref="Y81">IF(X81="","",X81&amp;"  –  "&amp;INDEX('Bills &amp; Invoices'!$D$5:$D$32,MATCH(X81,'Bills &amp; Invoices'!$B$5:$B$32,0))&amp;"  –  $"&amp;TEXT(SUMIFS('Bills &amp; Invoices'!$J$5:$J$32,'Bills &amp; Invoices'!$B$5:$B$32,X81),"#,##0"))</f>
        <v/>
      </c>
      <c r="Z81" s="333" t="str">
        <f t="array" ref="Z81">IF(X81="","",INDEX('Bills &amp; Invoices'!$D$5:$D$32,MATCH(X81,'Bills &amp; Invoices'!$B$5:$B$32,0)))</f>
        <v/>
      </c>
      <c r="AA81" s="334" t="str">
        <f t="array" ref="AA81">IF(X81="","",INDEX('Bills &amp; Invoices'!$K$5:$K$32,MATCH(X81,'Bills &amp; Invoices'!$B$5:$B$32,0)))</f>
        <v/>
      </c>
      <c r="AB81" s="335" t="str">
        <f>IF(X81="","",SUMIFS('Bills &amp; Invoices'!$J$5:$J$32,'Bills &amp; Invoices'!$B$5:$B$32,X81))</f>
        <v/>
      </c>
      <c r="AC81" s="335" t="str">
        <f>IF(X81="","",SUMIFS('Payments &amp; Receipts'!$F$5:$F$58,'Payments &amp; Receipts'!$L$5:$L$58,X81))</f>
        <v/>
      </c>
      <c r="AD81" s="333" t="str">
        <f t="array" ref="AD81">IF(X81="","",INDEX('Bills &amp; Invoices'!$U$5:$U$32,MATCH(X81,'Bills &amp; Invoices'!$B$5:$B$32,0)))</f>
        <v/>
      </c>
    </row>
    <row r="82" ht="14.25" customHeight="1">
      <c r="R8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Clearances'!$A$4:$Q$4)),FALSE)),ROWS(R$5:R82)))&amp;""  –  ""&amp;INDEX('Chemical Clearances'!$D$5:$D$169,MATCH(INDEX('Chemical Clearances'!$B$5:$B$169,LARGE(FILTER((ROW('Chemical Clearances'!$B$5:$B$169)-ROW('C"&amp;"hemical Clearances'!$A$4:$Q$4)),IFERROR((MATCH('Chemical Clearances'!$B$5:$B$169,'Chemical Clearances'!$B$5:$B$169,0)=ROW('Chemical Clearances'!$B$5:$B$169)-ROW('Chemical Clearances'!$A$4:$Q$4)),FALSE)),ROWS(R$5:R82))),'Chemical Clearances'!$B$5:$B$169,0)"&amp;"),"""")), 1, 1)"),"CLN-070  –  Bea Mountain Mining Corporation (BMMC)")</f>
        <v>CLN-070  –  Bea Mountain Mining Corporation (BMMC)</v>
      </c>
      <c r="X8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Invoices'!$A$4:$V$4)),FALSE)),ROWS(X$5:X82))),"""")), 1, 1)"),"")</f>
        <v/>
      </c>
      <c r="Y82" s="333" t="str">
        <f t="array" ref="Y82">IF(X82="","",X82&amp;"  –  "&amp;INDEX('Bills &amp; Invoices'!$D$5:$D$32,MATCH(X82,'Bills &amp; Invoices'!$B$5:$B$32,0))&amp;"  –  $"&amp;TEXT(SUMIFS('Bills &amp; Invoices'!$J$5:$J$32,'Bills &amp; Invoices'!$B$5:$B$32,X82),"#,##0"))</f>
        <v/>
      </c>
      <c r="Z82" s="333" t="str">
        <f t="array" ref="Z82">IF(X82="","",INDEX('Bills &amp; Invoices'!$D$5:$D$32,MATCH(X82,'Bills &amp; Invoices'!$B$5:$B$32,0)))</f>
        <v/>
      </c>
      <c r="AA82" s="334" t="str">
        <f t="array" ref="AA82">IF(X82="","",INDEX('Bills &amp; Invoices'!$K$5:$K$32,MATCH(X82,'Bills &amp; Invoices'!$B$5:$B$32,0)))</f>
        <v/>
      </c>
      <c r="AB82" s="335" t="str">
        <f>IF(X82="","",SUMIFS('Bills &amp; Invoices'!$J$5:$J$32,'Bills &amp; Invoices'!$B$5:$B$32,X82))</f>
        <v/>
      </c>
      <c r="AC82" s="335" t="str">
        <f>IF(X82="","",SUMIFS('Payments &amp; Receipts'!$F$5:$F$58,'Payments &amp; Receipts'!$L$5:$L$58,X82))</f>
        <v/>
      </c>
      <c r="AD82" s="333" t="str">
        <f t="array" ref="AD82">IF(X82="","",INDEX('Bills &amp; Invoices'!$U$5:$U$32,MATCH(X82,'Bills &amp; Invoices'!$B$5:$B$32,0)))</f>
        <v/>
      </c>
    </row>
    <row r="83" ht="14.25" customHeight="1">
      <c r="R8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Clearances'!$A$4:$Q$4)),FALSE)),ROWS(R$5:R83)))&amp;""  –  ""&amp;INDEX('Chemical Clearances'!$D$5:$D$169,MATCH(INDEX('Chemical Clearances'!$B$5:$B$169,LARGE(FILTER((ROW('Chemical Clearances'!$B$5:$B$169)-ROW('C"&amp;"hemical Clearances'!$A$4:$Q$4)),IFERROR((MATCH('Chemical Clearances'!$B$5:$B$169,'Chemical Clearances'!$B$5:$B$169,0)=ROW('Chemical Clearances'!$B$5:$B$169)-ROW('Chemical Clearances'!$A$4:$Q$4)),FALSE)),ROWS(R$5:R83))),'Chemical Clearances'!$B$5:$B$169,0)"&amp;"),"""")), 1, 1)"),"CLN-069  –  Bea Mountain Mining Corporation (BMMC)")</f>
        <v>CLN-069  –  Bea Mountain Mining Corporation (BMMC)</v>
      </c>
      <c r="X8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Invoices'!$A$4:$V$4)),FALSE)),ROWS(X$5:X83))),"""")), 1, 1)"),"")</f>
        <v/>
      </c>
      <c r="Y83" s="333" t="str">
        <f t="array" ref="Y83">IF(X83="","",X83&amp;"  –  "&amp;INDEX('Bills &amp; Invoices'!$D$5:$D$32,MATCH(X83,'Bills &amp; Invoices'!$B$5:$B$32,0))&amp;"  –  $"&amp;TEXT(SUMIFS('Bills &amp; Invoices'!$J$5:$J$32,'Bills &amp; Invoices'!$B$5:$B$32,X83),"#,##0"))</f>
        <v/>
      </c>
      <c r="Z83" s="333" t="str">
        <f t="array" ref="Z83">IF(X83="","",INDEX('Bills &amp; Invoices'!$D$5:$D$32,MATCH(X83,'Bills &amp; Invoices'!$B$5:$B$32,0)))</f>
        <v/>
      </c>
      <c r="AA83" s="334" t="str">
        <f t="array" ref="AA83">IF(X83="","",INDEX('Bills &amp; Invoices'!$K$5:$K$32,MATCH(X83,'Bills &amp; Invoices'!$B$5:$B$32,0)))</f>
        <v/>
      </c>
      <c r="AB83" s="335" t="str">
        <f>IF(X83="","",SUMIFS('Bills &amp; Invoices'!$J$5:$J$32,'Bills &amp; Invoices'!$B$5:$B$32,X83))</f>
        <v/>
      </c>
      <c r="AC83" s="335" t="str">
        <f>IF(X83="","",SUMIFS('Payments &amp; Receipts'!$F$5:$F$58,'Payments &amp; Receipts'!$L$5:$L$58,X83))</f>
        <v/>
      </c>
      <c r="AD83" s="333" t="str">
        <f t="array" ref="AD83">IF(X83="","",INDEX('Bills &amp; Invoices'!$U$5:$U$32,MATCH(X83,'Bills &amp; Invoices'!$B$5:$B$32,0)))</f>
        <v/>
      </c>
    </row>
    <row r="84" ht="14.25" customHeight="1">
      <c r="R8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Clearances'!$A$4:$Q$4)),FALSE)),ROWS(R$5:R84)))&amp;""  –  ""&amp;INDEX('Chemical Clearances'!$D$5:$D$169,MATCH(INDEX('Chemical Clearances'!$B$5:$B$169,LARGE(FILTER((ROW('Chemical Clearances'!$B$5:$B$169)-ROW('C"&amp;"hemical Clearances'!$A$4:$Q$4)),IFERROR((MATCH('Chemical Clearances'!$B$5:$B$169,'Chemical Clearances'!$B$5:$B$169,0)=ROW('Chemical Clearances'!$B$5:$B$169)-ROW('Chemical Clearances'!$A$4:$Q$4)),FALSE)),ROWS(R$5:R84))),'Chemical Clearances'!$B$5:$B$169,0)"&amp;"),"""")), 1, 1)"),"CLN-068  –  Bea Mountain Mining Corporation (BMMC)")</f>
        <v>CLN-068  –  Bea Mountain Mining Corporation (BMMC)</v>
      </c>
      <c r="X8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Invoices'!$A$4:$V$4)),FALSE)),ROWS(X$5:X84))),"""")), 1, 1)"),"")</f>
        <v/>
      </c>
      <c r="Y84" s="333" t="str">
        <f t="array" ref="Y84">IF(X84="","",X84&amp;"  –  "&amp;INDEX('Bills &amp; Invoices'!$D$5:$D$32,MATCH(X84,'Bills &amp; Invoices'!$B$5:$B$32,0))&amp;"  –  $"&amp;TEXT(SUMIFS('Bills &amp; Invoices'!$J$5:$J$32,'Bills &amp; Invoices'!$B$5:$B$32,X84),"#,##0"))</f>
        <v/>
      </c>
      <c r="Z84" s="333" t="str">
        <f t="array" ref="Z84">IF(X84="","",INDEX('Bills &amp; Invoices'!$D$5:$D$32,MATCH(X84,'Bills &amp; Invoices'!$B$5:$B$32,0)))</f>
        <v/>
      </c>
      <c r="AA84" s="334" t="str">
        <f t="array" ref="AA84">IF(X84="","",INDEX('Bills &amp; Invoices'!$K$5:$K$32,MATCH(X84,'Bills &amp; Invoices'!$B$5:$B$32,0)))</f>
        <v/>
      </c>
      <c r="AB84" s="335" t="str">
        <f>IF(X84="","",SUMIFS('Bills &amp; Invoices'!$J$5:$J$32,'Bills &amp; Invoices'!$B$5:$B$32,X84))</f>
        <v/>
      </c>
      <c r="AC84" s="335" t="str">
        <f>IF(X84="","",SUMIFS('Payments &amp; Receipts'!$F$5:$F$58,'Payments &amp; Receipts'!$L$5:$L$58,X84))</f>
        <v/>
      </c>
      <c r="AD84" s="333" t="str">
        <f t="array" ref="AD84">IF(X84="","",INDEX('Bills &amp; Invoices'!$U$5:$U$32,MATCH(X84,'Bills &amp; Invoices'!$B$5:$B$32,0)))</f>
        <v/>
      </c>
    </row>
    <row r="85" ht="14.25" customHeight="1">
      <c r="R8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Clearances'!$A$4:$Q$4)),FALSE)),ROWS(R$5:R85)))&amp;""  –  ""&amp;INDEX('Chemical Clearances'!$D$5:$D$169,MATCH(INDEX('Chemical Clearances'!$B$5:$B$169,LARGE(FILTER((ROW('Chemical Clearances'!$B$5:$B$169)-ROW('C"&amp;"hemical Clearances'!$A$4:$Q$4)),IFERROR((MATCH('Chemical Clearances'!$B$5:$B$169,'Chemical Clearances'!$B$5:$B$169,0)=ROW('Chemical Clearances'!$B$5:$B$169)-ROW('Chemical Clearances'!$A$4:$Q$4)),FALSE)),ROWS(R$5:R85))),'Chemical Clearances'!$B$5:$B$169,0)"&amp;"),"""")), 1, 1)"),"CLN-067  –  Bea Mountain Mining Corporation (BMMC)")</f>
        <v>CLN-067  –  Bea Mountain Mining Corporation (BMMC)</v>
      </c>
      <c r="X8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Invoices'!$A$4:$V$4)),FALSE)),ROWS(X$5:X85))),"""")), 1, 1)"),"")</f>
        <v/>
      </c>
      <c r="Y85" s="333" t="str">
        <f t="array" ref="Y85">IF(X85="","",X85&amp;"  –  "&amp;INDEX('Bills &amp; Invoices'!$D$5:$D$32,MATCH(X85,'Bills &amp; Invoices'!$B$5:$B$32,0))&amp;"  –  $"&amp;TEXT(SUMIFS('Bills &amp; Invoices'!$J$5:$J$32,'Bills &amp; Invoices'!$B$5:$B$32,X85),"#,##0"))</f>
        <v/>
      </c>
      <c r="Z85" s="333" t="str">
        <f t="array" ref="Z85">IF(X85="","",INDEX('Bills &amp; Invoices'!$D$5:$D$32,MATCH(X85,'Bills &amp; Invoices'!$B$5:$B$32,0)))</f>
        <v/>
      </c>
      <c r="AA85" s="334" t="str">
        <f t="array" ref="AA85">IF(X85="","",INDEX('Bills &amp; Invoices'!$K$5:$K$32,MATCH(X85,'Bills &amp; Invoices'!$B$5:$B$32,0)))</f>
        <v/>
      </c>
      <c r="AB85" s="335" t="str">
        <f>IF(X85="","",SUMIFS('Bills &amp; Invoices'!$J$5:$J$32,'Bills &amp; Invoices'!$B$5:$B$32,X85))</f>
        <v/>
      </c>
      <c r="AC85" s="335" t="str">
        <f>IF(X85="","",SUMIFS('Payments &amp; Receipts'!$F$5:$F$58,'Payments &amp; Receipts'!$L$5:$L$58,X85))</f>
        <v/>
      </c>
      <c r="AD85" s="333" t="str">
        <f t="array" ref="AD85">IF(X85="","",INDEX('Bills &amp; Invoices'!$U$5:$U$32,MATCH(X85,'Bills &amp; Invoices'!$B$5:$B$32,0)))</f>
        <v/>
      </c>
    </row>
    <row r="86" ht="14.25" customHeight="1">
      <c r="R8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Clearances'!$A$4:$Q$4)),FALSE)),ROWS(R$5:R86)))&amp;""  –  ""&amp;INDEX('Chemical Clearances'!$D$5:$D$169,MATCH(INDEX('Chemical Clearances'!$B$5:$B$169,LARGE(FILTER((ROW('Chemical Clearances'!$B$5:$B$169)-ROW('C"&amp;"hemical Clearances'!$A$4:$Q$4)),IFERROR((MATCH('Chemical Clearances'!$B$5:$B$169,'Chemical Clearances'!$B$5:$B$169,0)=ROW('Chemical Clearances'!$B$5:$B$169)-ROW('Chemical Clearances'!$A$4:$Q$4)),FALSE)),ROWS(R$5:R86))),'Chemical Clearances'!$B$5:$B$169,0)"&amp;"),"""")), 1, 1)"),"CLN-066  –  Bea Mountain Mining Corporation (BMMC)")</f>
        <v>CLN-066  –  Bea Mountain Mining Corporation (BMMC)</v>
      </c>
      <c r="X8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Invoices'!$A$4:$V$4)),FALSE)),ROWS(X$5:X86))),"""")), 1, 1)"),"")</f>
        <v/>
      </c>
      <c r="Y86" s="333" t="str">
        <f t="array" ref="Y86">IF(X86="","",X86&amp;"  –  "&amp;INDEX('Bills &amp; Invoices'!$D$5:$D$32,MATCH(X86,'Bills &amp; Invoices'!$B$5:$B$32,0))&amp;"  –  $"&amp;TEXT(SUMIFS('Bills &amp; Invoices'!$J$5:$J$32,'Bills &amp; Invoices'!$B$5:$B$32,X86),"#,##0"))</f>
        <v/>
      </c>
      <c r="Z86" s="333" t="str">
        <f t="array" ref="Z86">IF(X86="","",INDEX('Bills &amp; Invoices'!$D$5:$D$32,MATCH(X86,'Bills &amp; Invoices'!$B$5:$B$32,0)))</f>
        <v/>
      </c>
      <c r="AA86" s="334" t="str">
        <f t="array" ref="AA86">IF(X86="","",INDEX('Bills &amp; Invoices'!$K$5:$K$32,MATCH(X86,'Bills &amp; Invoices'!$B$5:$B$32,0)))</f>
        <v/>
      </c>
      <c r="AB86" s="335" t="str">
        <f>IF(X86="","",SUMIFS('Bills &amp; Invoices'!$J$5:$J$32,'Bills &amp; Invoices'!$B$5:$B$32,X86))</f>
        <v/>
      </c>
      <c r="AC86" s="335" t="str">
        <f>IF(X86="","",SUMIFS('Payments &amp; Receipts'!$F$5:$F$58,'Payments &amp; Receipts'!$L$5:$L$58,X86))</f>
        <v/>
      </c>
      <c r="AD86" s="333" t="str">
        <f t="array" ref="AD86">IF(X86="","",INDEX('Bills &amp; Invoices'!$U$5:$U$32,MATCH(X86,'Bills &amp; Invoices'!$B$5:$B$32,0)))</f>
        <v/>
      </c>
    </row>
    <row r="87" ht="14.25" customHeight="1">
      <c r="R8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Clearances'!$A$4:$Q$4)),FALSE)),ROWS(R$5:R87)))&amp;""  –  ""&amp;INDEX('Chemical Clearances'!$D$5:$D$169,MATCH(INDEX('Chemical Clearances'!$B$5:$B$169,LARGE(FILTER((ROW('Chemical Clearances'!$B$5:$B$169)-ROW('C"&amp;"hemical Clearances'!$A$4:$Q$4)),IFERROR((MATCH('Chemical Clearances'!$B$5:$B$169,'Chemical Clearances'!$B$5:$B$169,0)=ROW('Chemical Clearances'!$B$5:$B$169)-ROW('Chemical Clearances'!$A$4:$Q$4)),FALSE)),ROWS(R$5:R87))),'Chemical Clearances'!$B$5:$B$169,0)"&amp;"),"""")), 1, 1)"),"CLN-065  –  Bea Mountain Mining Corporation (BMMC)")</f>
        <v>CLN-065  –  Bea Mountain Mining Corporation (BMMC)</v>
      </c>
      <c r="X8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Invoices'!$A$4:$V$4)),FALSE)),ROWS(X$5:X87))),"""")), 1, 1)"),"")</f>
        <v/>
      </c>
      <c r="Y87" s="333" t="str">
        <f t="array" ref="Y87">IF(X87="","",X87&amp;"  –  "&amp;INDEX('Bills &amp; Invoices'!$D$5:$D$32,MATCH(X87,'Bills &amp; Invoices'!$B$5:$B$32,0))&amp;"  –  $"&amp;TEXT(SUMIFS('Bills &amp; Invoices'!$J$5:$J$32,'Bills &amp; Invoices'!$B$5:$B$32,X87),"#,##0"))</f>
        <v/>
      </c>
      <c r="Z87" s="333" t="str">
        <f t="array" ref="Z87">IF(X87="","",INDEX('Bills &amp; Invoices'!$D$5:$D$32,MATCH(X87,'Bills &amp; Invoices'!$B$5:$B$32,0)))</f>
        <v/>
      </c>
      <c r="AA87" s="334" t="str">
        <f t="array" ref="AA87">IF(X87="","",INDEX('Bills &amp; Invoices'!$K$5:$K$32,MATCH(X87,'Bills &amp; Invoices'!$B$5:$B$32,0)))</f>
        <v/>
      </c>
      <c r="AB87" s="335" t="str">
        <f>IF(X87="","",SUMIFS('Bills &amp; Invoices'!$J$5:$J$32,'Bills &amp; Invoices'!$B$5:$B$32,X87))</f>
        <v/>
      </c>
      <c r="AC87" s="335" t="str">
        <f>IF(X87="","",SUMIFS('Payments &amp; Receipts'!$F$5:$F$58,'Payments &amp; Receipts'!$L$5:$L$58,X87))</f>
        <v/>
      </c>
      <c r="AD87" s="333" t="str">
        <f t="array" ref="AD87">IF(X87="","",INDEX('Bills &amp; Invoices'!$U$5:$U$32,MATCH(X87,'Bills &amp; Invoices'!$B$5:$B$32,0)))</f>
        <v/>
      </c>
    </row>
    <row r="88" ht="14.25" customHeight="1">
      <c r="R8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Clearances'!$A$4:$Q$4)),FALSE)),ROWS(R$5:R88)))&amp;""  –  ""&amp;INDEX('Chemical Clearances'!$D$5:$D$169,MATCH(INDEX('Chemical Clearances'!$B$5:$B$169,LARGE(FILTER((ROW('Chemical Clearances'!$B$5:$B$169)-ROW('C"&amp;"hemical Clearances'!$A$4:$Q$4)),IFERROR((MATCH('Chemical Clearances'!$B$5:$B$169,'Chemical Clearances'!$B$5:$B$169,0)=ROW('Chemical Clearances'!$B$5:$B$169)-ROW('Chemical Clearances'!$A$4:$Q$4)),FALSE)),ROWS(R$5:R88))),'Chemical Clearances'!$B$5:$B$169,0)"&amp;"),"""")), 1, 1)"),"CLN-064  –  Bea Mountain Mining Corporation (BMMC)")</f>
        <v>CLN-064  –  Bea Mountain Mining Corporation (BMMC)</v>
      </c>
      <c r="X8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Invoices'!$A$4:$V$4)),FALSE)),ROWS(X$5:X88))),"""")), 1, 1)"),"")</f>
        <v/>
      </c>
      <c r="Y88" s="333" t="str">
        <f t="array" ref="Y88">IF(X88="","",X88&amp;"  –  "&amp;INDEX('Bills &amp; Invoices'!$D$5:$D$32,MATCH(X88,'Bills &amp; Invoices'!$B$5:$B$32,0))&amp;"  –  $"&amp;TEXT(SUMIFS('Bills &amp; Invoices'!$J$5:$J$32,'Bills &amp; Invoices'!$B$5:$B$32,X88),"#,##0"))</f>
        <v/>
      </c>
      <c r="Z88" s="333" t="str">
        <f t="array" ref="Z88">IF(X88="","",INDEX('Bills &amp; Invoices'!$D$5:$D$32,MATCH(X88,'Bills &amp; Invoices'!$B$5:$B$32,0)))</f>
        <v/>
      </c>
      <c r="AA88" s="334" t="str">
        <f t="array" ref="AA88">IF(X88="","",INDEX('Bills &amp; Invoices'!$K$5:$K$32,MATCH(X88,'Bills &amp; Invoices'!$B$5:$B$32,0)))</f>
        <v/>
      </c>
      <c r="AB88" s="335" t="str">
        <f>IF(X88="","",SUMIFS('Bills &amp; Invoices'!$J$5:$J$32,'Bills &amp; Invoices'!$B$5:$B$32,X88))</f>
        <v/>
      </c>
      <c r="AC88" s="335" t="str">
        <f>IF(X88="","",SUMIFS('Payments &amp; Receipts'!$F$5:$F$58,'Payments &amp; Receipts'!$L$5:$L$58,X88))</f>
        <v/>
      </c>
      <c r="AD88" s="333" t="str">
        <f t="array" ref="AD88">IF(X88="","",INDEX('Bills &amp; Invoices'!$U$5:$U$32,MATCH(X88,'Bills &amp; Invoices'!$B$5:$B$32,0)))</f>
        <v/>
      </c>
    </row>
    <row r="89" ht="14.25" customHeight="1">
      <c r="R8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Clearances'!$A$4:$Q$4)),FALSE)),ROWS(R$5:R89)))&amp;""  –  ""&amp;INDEX('Chemical Clearances'!$D$5:$D$169,MATCH(INDEX('Chemical Clearances'!$B$5:$B$169,LARGE(FILTER((ROW('Chemical Clearances'!$B$5:$B$169)-ROW('C"&amp;"hemical Clearances'!$A$4:$Q$4)),IFERROR((MATCH('Chemical Clearances'!$B$5:$B$169,'Chemical Clearances'!$B$5:$B$169,0)=ROW('Chemical Clearances'!$B$5:$B$169)-ROW('Chemical Clearances'!$A$4:$Q$4)),FALSE)),ROWS(R$5:R89))),'Chemical Clearances'!$B$5:$B$169,0)"&amp;"),"""")), 1, 1)"),"CLN-063  –  Bea Mountain Mining Corporation (BMMC)")</f>
        <v>CLN-063  –  Bea Mountain Mining Corporation (BMMC)</v>
      </c>
      <c r="X8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Invoices'!$A$4:$V$4)),FALSE)),ROWS(X$5:X89))),"""")), 1, 1)"),"")</f>
        <v/>
      </c>
      <c r="Y89" s="333" t="str">
        <f t="array" ref="Y89">IF(X89="","",X89&amp;"  –  "&amp;INDEX('Bills &amp; Invoices'!$D$5:$D$32,MATCH(X89,'Bills &amp; Invoices'!$B$5:$B$32,0))&amp;"  –  $"&amp;TEXT(SUMIFS('Bills &amp; Invoices'!$J$5:$J$32,'Bills &amp; Invoices'!$B$5:$B$32,X89),"#,##0"))</f>
        <v/>
      </c>
      <c r="Z89" s="333" t="str">
        <f t="array" ref="Z89">IF(X89="","",INDEX('Bills &amp; Invoices'!$D$5:$D$32,MATCH(X89,'Bills &amp; Invoices'!$B$5:$B$32,0)))</f>
        <v/>
      </c>
      <c r="AA89" s="334" t="str">
        <f t="array" ref="AA89">IF(X89="","",INDEX('Bills &amp; Invoices'!$K$5:$K$32,MATCH(X89,'Bills &amp; Invoices'!$B$5:$B$32,0)))</f>
        <v/>
      </c>
      <c r="AB89" s="335" t="str">
        <f>IF(X89="","",SUMIFS('Bills &amp; Invoices'!$J$5:$J$32,'Bills &amp; Invoices'!$B$5:$B$32,X89))</f>
        <v/>
      </c>
      <c r="AC89" s="335" t="str">
        <f>IF(X89="","",SUMIFS('Payments &amp; Receipts'!$F$5:$F$58,'Payments &amp; Receipts'!$L$5:$L$58,X89))</f>
        <v/>
      </c>
      <c r="AD89" s="333" t="str">
        <f t="array" ref="AD89">IF(X89="","",INDEX('Bills &amp; Invoices'!$U$5:$U$32,MATCH(X89,'Bills &amp; Invoices'!$B$5:$B$32,0)))</f>
        <v/>
      </c>
    </row>
    <row r="90" ht="14.25" customHeight="1">
      <c r="R9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Clearances'!$A$4:$Q$4)),FALSE)),ROWS(R$5:R90)))&amp;""  –  ""&amp;INDEX('Chemical Clearances'!$D$5:$D$169,MATCH(INDEX('Chemical Clearances'!$B$5:$B$169,LARGE(FILTER((ROW('Chemical Clearances'!$B$5:$B$169)-ROW('C"&amp;"hemical Clearances'!$A$4:$Q$4)),IFERROR((MATCH('Chemical Clearances'!$B$5:$B$169,'Chemical Clearances'!$B$5:$B$169,0)=ROW('Chemical Clearances'!$B$5:$B$169)-ROW('Chemical Clearances'!$A$4:$Q$4)),FALSE)),ROWS(R$5:R90))),'Chemical Clearances'!$B$5:$B$169,0)"&amp;"),"""")), 1, 1)"),"CLN-062  –  Bea Mountain Mining Corporation (BMMC)")</f>
        <v>CLN-062  –  Bea Mountain Mining Corporation (BMMC)</v>
      </c>
      <c r="X9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Invoices'!$A$4:$V$4)),FALSE)),ROWS(X$5:X90))),"""")), 1, 1)"),"")</f>
        <v/>
      </c>
      <c r="Y90" s="333" t="str">
        <f t="array" ref="Y90">IF(X90="","",X90&amp;"  –  "&amp;INDEX('Bills &amp; Invoices'!$D$5:$D$32,MATCH(X90,'Bills &amp; Invoices'!$B$5:$B$32,0))&amp;"  –  $"&amp;TEXT(SUMIFS('Bills &amp; Invoices'!$J$5:$J$32,'Bills &amp; Invoices'!$B$5:$B$32,X90),"#,##0"))</f>
        <v/>
      </c>
      <c r="Z90" s="333" t="str">
        <f t="array" ref="Z90">IF(X90="","",INDEX('Bills &amp; Invoices'!$D$5:$D$32,MATCH(X90,'Bills &amp; Invoices'!$B$5:$B$32,0)))</f>
        <v/>
      </c>
      <c r="AA90" s="334" t="str">
        <f t="array" ref="AA90">IF(X90="","",INDEX('Bills &amp; Invoices'!$K$5:$K$32,MATCH(X90,'Bills &amp; Invoices'!$B$5:$B$32,0)))</f>
        <v/>
      </c>
      <c r="AB90" s="335" t="str">
        <f>IF(X90="","",SUMIFS('Bills &amp; Invoices'!$J$5:$J$32,'Bills &amp; Invoices'!$B$5:$B$32,X90))</f>
        <v/>
      </c>
      <c r="AC90" s="335" t="str">
        <f>IF(X90="","",SUMIFS('Payments &amp; Receipts'!$F$5:$F$58,'Payments &amp; Receipts'!$L$5:$L$58,X90))</f>
        <v/>
      </c>
      <c r="AD90" s="333" t="str">
        <f t="array" ref="AD90">IF(X90="","",INDEX('Bills &amp; Invoices'!$U$5:$U$32,MATCH(X90,'Bills &amp; Invoices'!$B$5:$B$32,0)))</f>
        <v/>
      </c>
    </row>
    <row r="91" ht="14.25" customHeight="1">
      <c r="R9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Clearances'!$A$4:$Q$4)),FALSE)),ROWS(R$5:R91)))&amp;""  –  ""&amp;INDEX('Chemical Clearances'!$D$5:$D$169,MATCH(INDEX('Chemical Clearances'!$B$5:$B$169,LARGE(FILTER((ROW('Chemical Clearances'!$B$5:$B$169)-ROW('C"&amp;"hemical Clearances'!$A$4:$Q$4)),IFERROR((MATCH('Chemical Clearances'!$B$5:$B$169,'Chemical Clearances'!$B$5:$B$169,0)=ROW('Chemical Clearances'!$B$5:$B$169)-ROW('Chemical Clearances'!$A$4:$Q$4)),FALSE)),ROWS(R$5:R91))),'Chemical Clearances'!$B$5:$B$169,0)"&amp;"),"""")), 1, 1)"),"CLN-061  –  Bea Mountain Mining Corporation (BMMC)")</f>
        <v>CLN-061  –  Bea Mountain Mining Corporation (BMMC)</v>
      </c>
      <c r="X9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Invoices'!$A$4:$V$4)),FALSE)),ROWS(X$5:X91))),"""")), 1, 1)"),"")</f>
        <v/>
      </c>
      <c r="Y91" s="333" t="str">
        <f t="array" ref="Y91">IF(X91="","",X91&amp;"  –  "&amp;INDEX('Bills &amp; Invoices'!$D$5:$D$32,MATCH(X91,'Bills &amp; Invoices'!$B$5:$B$32,0))&amp;"  –  $"&amp;TEXT(SUMIFS('Bills &amp; Invoices'!$J$5:$J$32,'Bills &amp; Invoices'!$B$5:$B$32,X91),"#,##0"))</f>
        <v/>
      </c>
      <c r="Z91" s="333" t="str">
        <f t="array" ref="Z91">IF(X91="","",INDEX('Bills &amp; Invoices'!$D$5:$D$32,MATCH(X91,'Bills &amp; Invoices'!$B$5:$B$32,0)))</f>
        <v/>
      </c>
      <c r="AA91" s="334" t="str">
        <f t="array" ref="AA91">IF(X91="","",INDEX('Bills &amp; Invoices'!$K$5:$K$32,MATCH(X91,'Bills &amp; Invoices'!$B$5:$B$32,0)))</f>
        <v/>
      </c>
      <c r="AB91" s="335" t="str">
        <f>IF(X91="","",SUMIFS('Bills &amp; Invoices'!$J$5:$J$32,'Bills &amp; Invoices'!$B$5:$B$32,X91))</f>
        <v/>
      </c>
      <c r="AC91" s="335" t="str">
        <f>IF(X91="","",SUMIFS('Payments &amp; Receipts'!$F$5:$F$58,'Payments &amp; Receipts'!$L$5:$L$58,X91))</f>
        <v/>
      </c>
      <c r="AD91" s="333" t="str">
        <f t="array" ref="AD91">IF(X91="","",INDEX('Bills &amp; Invoices'!$U$5:$U$32,MATCH(X91,'Bills &amp; Invoices'!$B$5:$B$32,0)))</f>
        <v/>
      </c>
    </row>
    <row r="92" ht="14.25" customHeight="1">
      <c r="R9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Clearances'!$A$4:$Q$4)),FALSE)),ROWS(R$5:R92)))&amp;""  –  ""&amp;INDEX('Chemical Clearances'!$D$5:$D$169,MATCH(INDEX('Chemical Clearances'!$B$5:$B$169,LARGE(FILTER((ROW('Chemical Clearances'!$B$5:$B$169)-ROW('C"&amp;"hemical Clearances'!$A$4:$Q$4)),IFERROR((MATCH('Chemical Clearances'!$B$5:$B$169,'Chemical Clearances'!$B$5:$B$169,0)=ROW('Chemical Clearances'!$B$5:$B$169)-ROW('Chemical Clearances'!$A$4:$Q$4)),FALSE)),ROWS(R$5:R92))),'Chemical Clearances'!$B$5:$B$169,0)"&amp;"),"""")), 1, 1)"),"CLN-060  –  Bea Mountain Mining Corporation (BMMC)")</f>
        <v>CLN-060  –  Bea Mountain Mining Corporation (BMMC)</v>
      </c>
      <c r="X9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Invoices'!$A$4:$V$4)),FALSE)),ROWS(X$5:X92))),"""")), 1, 1)"),"")</f>
        <v/>
      </c>
      <c r="Y92" s="333" t="str">
        <f t="array" ref="Y92">IF(X92="","",X92&amp;"  –  "&amp;INDEX('Bills &amp; Invoices'!$D$5:$D$32,MATCH(X92,'Bills &amp; Invoices'!$B$5:$B$32,0))&amp;"  –  $"&amp;TEXT(SUMIFS('Bills &amp; Invoices'!$J$5:$J$32,'Bills &amp; Invoices'!$B$5:$B$32,X92),"#,##0"))</f>
        <v/>
      </c>
      <c r="Z92" s="333" t="str">
        <f t="array" ref="Z92">IF(X92="","",INDEX('Bills &amp; Invoices'!$D$5:$D$32,MATCH(X92,'Bills &amp; Invoices'!$B$5:$B$32,0)))</f>
        <v/>
      </c>
      <c r="AA92" s="334" t="str">
        <f t="array" ref="AA92">IF(X92="","",INDEX('Bills &amp; Invoices'!$K$5:$K$32,MATCH(X92,'Bills &amp; Invoices'!$B$5:$B$32,0)))</f>
        <v/>
      </c>
      <c r="AB92" s="335" t="str">
        <f>IF(X92="","",SUMIFS('Bills &amp; Invoices'!$J$5:$J$32,'Bills &amp; Invoices'!$B$5:$B$32,X92))</f>
        <v/>
      </c>
      <c r="AC92" s="335" t="str">
        <f>IF(X92="","",SUMIFS('Payments &amp; Receipts'!$F$5:$F$58,'Payments &amp; Receipts'!$L$5:$L$58,X92))</f>
        <v/>
      </c>
      <c r="AD92" s="333" t="str">
        <f t="array" ref="AD92">IF(X92="","",INDEX('Bills &amp; Invoices'!$U$5:$U$32,MATCH(X92,'Bills &amp; Invoices'!$B$5:$B$32,0)))</f>
        <v/>
      </c>
    </row>
    <row r="93" ht="14.25" customHeight="1">
      <c r="R9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Clearances'!$A$4:$Q$4)),FALSE)),ROWS(R$5:R93)))&amp;""  –  ""&amp;INDEX('Chemical Clearances'!$D$5:$D$169,MATCH(INDEX('Chemical Clearances'!$B$5:$B$169,LARGE(FILTER((ROW('Chemical Clearances'!$B$5:$B$169)-ROW('C"&amp;"hemical Clearances'!$A$4:$Q$4)),IFERROR((MATCH('Chemical Clearances'!$B$5:$B$169,'Chemical Clearances'!$B$5:$B$169,0)=ROW('Chemical Clearances'!$B$5:$B$169)-ROW('Chemical Clearances'!$A$4:$Q$4)),FALSE)),ROWS(R$5:R93))),'Chemical Clearances'!$B$5:$B$169,0)"&amp;"),"""")), 1, 1)"),"CLN-059  –  Bea Mountain Mining Corporation (BMMC)")</f>
        <v>CLN-059  –  Bea Mountain Mining Corporation (BMMC)</v>
      </c>
      <c r="X9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Invoices'!$A$4:$V$4)),FALSE)),ROWS(X$5:X93))),"""")), 1, 1)"),"")</f>
        <v/>
      </c>
      <c r="Y93" s="333" t="str">
        <f t="array" ref="Y93">IF(X93="","",X93&amp;"  –  "&amp;INDEX('Bills &amp; Invoices'!$D$5:$D$32,MATCH(X93,'Bills &amp; Invoices'!$B$5:$B$32,0))&amp;"  –  $"&amp;TEXT(SUMIFS('Bills &amp; Invoices'!$J$5:$J$32,'Bills &amp; Invoices'!$B$5:$B$32,X93),"#,##0"))</f>
        <v/>
      </c>
      <c r="Z93" s="333" t="str">
        <f t="array" ref="Z93">IF(X93="","",INDEX('Bills &amp; Invoices'!$D$5:$D$32,MATCH(X93,'Bills &amp; Invoices'!$B$5:$B$32,0)))</f>
        <v/>
      </c>
      <c r="AA93" s="334" t="str">
        <f t="array" ref="AA93">IF(X93="","",INDEX('Bills &amp; Invoices'!$K$5:$K$32,MATCH(X93,'Bills &amp; Invoices'!$B$5:$B$32,0)))</f>
        <v/>
      </c>
      <c r="AB93" s="335" t="str">
        <f>IF(X93="","",SUMIFS('Bills &amp; Invoices'!$J$5:$J$32,'Bills &amp; Invoices'!$B$5:$B$32,X93))</f>
        <v/>
      </c>
      <c r="AC93" s="335" t="str">
        <f>IF(X93="","",SUMIFS('Payments &amp; Receipts'!$F$5:$F$58,'Payments &amp; Receipts'!$L$5:$L$58,X93))</f>
        <v/>
      </c>
      <c r="AD93" s="333" t="str">
        <f t="array" ref="AD93">IF(X93="","",INDEX('Bills &amp; Invoices'!$U$5:$U$32,MATCH(X93,'Bills &amp; Invoices'!$B$5:$B$32,0)))</f>
        <v/>
      </c>
    </row>
    <row r="94" ht="14.25" customHeight="1">
      <c r="R9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Clearances'!$A$4:$Q$4)),FALSE)),ROWS(R$5:R94)))&amp;""  –  ""&amp;INDEX('Chemical Clearances'!$D$5:$D$169,MATCH(INDEX('Chemical Clearances'!$B$5:$B$169,LARGE(FILTER((ROW('Chemical Clearances'!$B$5:$B$169)-ROW('C"&amp;"hemical Clearances'!$A$4:$Q$4)),IFERROR((MATCH('Chemical Clearances'!$B$5:$B$169,'Chemical Clearances'!$B$5:$B$169,0)=ROW('Chemical Clearances'!$B$5:$B$169)-ROW('Chemical Clearances'!$A$4:$Q$4)),FALSE)),ROWS(R$5:R94))),'Chemical Clearances'!$B$5:$B$169,0)"&amp;"),"""")), 1, 1)"),"CLN-058  –  Bea Mountain Mining Corporation (BMMC)")</f>
        <v>CLN-058  –  Bea Mountain Mining Corporation (BMMC)</v>
      </c>
      <c r="X9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Invoices'!$A$4:$V$4)),FALSE)),ROWS(X$5:X94))),"""")), 1, 1)"),"")</f>
        <v/>
      </c>
      <c r="Y94" s="333" t="str">
        <f t="array" ref="Y94">IF(X94="","",X94&amp;"  –  "&amp;INDEX('Bills &amp; Invoices'!$D$5:$D$32,MATCH(X94,'Bills &amp; Invoices'!$B$5:$B$32,0))&amp;"  –  $"&amp;TEXT(SUMIFS('Bills &amp; Invoices'!$J$5:$J$32,'Bills &amp; Invoices'!$B$5:$B$32,X94),"#,##0"))</f>
        <v/>
      </c>
      <c r="Z94" s="333" t="str">
        <f t="array" ref="Z94">IF(X94="","",INDEX('Bills &amp; Invoices'!$D$5:$D$32,MATCH(X94,'Bills &amp; Invoices'!$B$5:$B$32,0)))</f>
        <v/>
      </c>
      <c r="AA94" s="334" t="str">
        <f t="array" ref="AA94">IF(X94="","",INDEX('Bills &amp; Invoices'!$K$5:$K$32,MATCH(X94,'Bills &amp; Invoices'!$B$5:$B$32,0)))</f>
        <v/>
      </c>
      <c r="AB94" s="335" t="str">
        <f>IF(X94="","",SUMIFS('Bills &amp; Invoices'!$J$5:$J$32,'Bills &amp; Invoices'!$B$5:$B$32,X94))</f>
        <v/>
      </c>
      <c r="AC94" s="335" t="str">
        <f>IF(X94="","",SUMIFS('Payments &amp; Receipts'!$F$5:$F$58,'Payments &amp; Receipts'!$L$5:$L$58,X94))</f>
        <v/>
      </c>
      <c r="AD94" s="333" t="str">
        <f t="array" ref="AD94">IF(X94="","",INDEX('Bills &amp; Invoices'!$U$5:$U$32,MATCH(X94,'Bills &amp; Invoices'!$B$5:$B$32,0)))</f>
        <v/>
      </c>
    </row>
    <row r="95" ht="14.25" customHeight="1">
      <c r="R9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Clearances'!$A$4:$Q$4)),FALSE)),ROWS(R$5:R95)))&amp;""  –  ""&amp;INDEX('Chemical Clearances'!$D$5:$D$169,MATCH(INDEX('Chemical Clearances'!$B$5:$B$169,LARGE(FILTER((ROW('Chemical Clearances'!$B$5:$B$169)-ROW('C"&amp;"hemical Clearances'!$A$4:$Q$4)),IFERROR((MATCH('Chemical Clearances'!$B$5:$B$169,'Chemical Clearances'!$B$5:$B$169,0)=ROW('Chemical Clearances'!$B$5:$B$169)-ROW('Chemical Clearances'!$A$4:$Q$4)),FALSE)),ROWS(R$5:R95))),'Chemical Clearances'!$B$5:$B$169,0)"&amp;"),"""")), 1, 1)"),"CLN-057  –  Bea Mountain Mining Corporation (BMMC)")</f>
        <v>CLN-057  –  Bea Mountain Mining Corporation (BMMC)</v>
      </c>
      <c r="X9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Invoices'!$A$4:$V$4)),FALSE)),ROWS(X$5:X95))),"""")), 1, 1)"),"")</f>
        <v/>
      </c>
      <c r="Y95" s="333" t="str">
        <f t="array" ref="Y95">IF(X95="","",X95&amp;"  –  "&amp;INDEX('Bills &amp; Invoices'!$D$5:$D$32,MATCH(X95,'Bills &amp; Invoices'!$B$5:$B$32,0))&amp;"  –  $"&amp;TEXT(SUMIFS('Bills &amp; Invoices'!$J$5:$J$32,'Bills &amp; Invoices'!$B$5:$B$32,X95),"#,##0"))</f>
        <v/>
      </c>
      <c r="Z95" s="333" t="str">
        <f t="array" ref="Z95">IF(X95="","",INDEX('Bills &amp; Invoices'!$D$5:$D$32,MATCH(X95,'Bills &amp; Invoices'!$B$5:$B$32,0)))</f>
        <v/>
      </c>
      <c r="AA95" s="334" t="str">
        <f t="array" ref="AA95">IF(X95="","",INDEX('Bills &amp; Invoices'!$K$5:$K$32,MATCH(X95,'Bills &amp; Invoices'!$B$5:$B$32,0)))</f>
        <v/>
      </c>
      <c r="AB95" s="335" t="str">
        <f>IF(X95="","",SUMIFS('Bills &amp; Invoices'!$J$5:$J$32,'Bills &amp; Invoices'!$B$5:$B$32,X95))</f>
        <v/>
      </c>
      <c r="AC95" s="335" t="str">
        <f>IF(X95="","",SUMIFS('Payments &amp; Receipts'!$F$5:$F$58,'Payments &amp; Receipts'!$L$5:$L$58,X95))</f>
        <v/>
      </c>
      <c r="AD95" s="333" t="str">
        <f t="array" ref="AD95">IF(X95="","",INDEX('Bills &amp; Invoices'!$U$5:$U$32,MATCH(X95,'Bills &amp; Invoices'!$B$5:$B$32,0)))</f>
        <v/>
      </c>
    </row>
    <row r="96" ht="14.25" customHeight="1">
      <c r="R9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Clearances'!$A$4:$Q$4)),FALSE)),ROWS(R$5:R96)))&amp;""  –  ""&amp;INDEX('Chemical Clearances'!$D$5:$D$169,MATCH(INDEX('Chemical Clearances'!$B$5:$B$169,LARGE(FILTER((ROW('Chemical Clearances'!$B$5:$B$169)-ROW('C"&amp;"hemical Clearances'!$A$4:$Q$4)),IFERROR((MATCH('Chemical Clearances'!$B$5:$B$169,'Chemical Clearances'!$B$5:$B$169,0)=ROW('Chemical Clearances'!$B$5:$B$169)-ROW('Chemical Clearances'!$A$4:$Q$4)),FALSE)),ROWS(R$5:R96))),'Chemical Clearances'!$B$5:$B$169,0)"&amp;"),"""")), 1, 1)"),"CLN-056  –  Bea Mountain Mining Corporation (BMMC)")</f>
        <v>CLN-056  –  Bea Mountain Mining Corporation (BMMC)</v>
      </c>
      <c r="X9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Invoices'!$A$4:$V$4)),FALSE)),ROWS(X$5:X96))),"""")), 1, 1)"),"")</f>
        <v/>
      </c>
      <c r="Y96" s="333" t="str">
        <f t="array" ref="Y96">IF(X96="","",X96&amp;"  –  "&amp;INDEX('Bills &amp; Invoices'!$D$5:$D$32,MATCH(X96,'Bills &amp; Invoices'!$B$5:$B$32,0))&amp;"  –  $"&amp;TEXT(SUMIFS('Bills &amp; Invoices'!$J$5:$J$32,'Bills &amp; Invoices'!$B$5:$B$32,X96),"#,##0"))</f>
        <v/>
      </c>
      <c r="Z96" s="333" t="str">
        <f t="array" ref="Z96">IF(X96="","",INDEX('Bills &amp; Invoices'!$D$5:$D$32,MATCH(X96,'Bills &amp; Invoices'!$B$5:$B$32,0)))</f>
        <v/>
      </c>
      <c r="AA96" s="334" t="str">
        <f t="array" ref="AA96">IF(X96="","",INDEX('Bills &amp; Invoices'!$K$5:$K$32,MATCH(X96,'Bills &amp; Invoices'!$B$5:$B$32,0)))</f>
        <v/>
      </c>
      <c r="AB96" s="335" t="str">
        <f>IF(X96="","",SUMIFS('Bills &amp; Invoices'!$J$5:$J$32,'Bills &amp; Invoices'!$B$5:$B$32,X96))</f>
        <v/>
      </c>
      <c r="AC96" s="335" t="str">
        <f>IF(X96="","",SUMIFS('Payments &amp; Receipts'!$F$5:$F$58,'Payments &amp; Receipts'!$L$5:$L$58,X96))</f>
        <v/>
      </c>
      <c r="AD96" s="333" t="str">
        <f t="array" ref="AD96">IF(X96="","",INDEX('Bills &amp; Invoices'!$U$5:$U$32,MATCH(X96,'Bills &amp; Invoices'!$B$5:$B$32,0)))</f>
        <v/>
      </c>
    </row>
    <row r="97" ht="14.25" customHeight="1">
      <c r="R9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Clearances'!$A$4:$Q$4)),FALSE)),ROWS(R$5:R97)))&amp;""  –  ""&amp;INDEX('Chemical Clearances'!$D$5:$D$169,MATCH(INDEX('Chemical Clearances'!$B$5:$B$169,LARGE(FILTER((ROW('Chemical Clearances'!$B$5:$B$169)-ROW('C"&amp;"hemical Clearances'!$A$4:$Q$4)),IFERROR((MATCH('Chemical Clearances'!$B$5:$B$169,'Chemical Clearances'!$B$5:$B$169,0)=ROW('Chemical Clearances'!$B$5:$B$169)-ROW('Chemical Clearances'!$A$4:$Q$4)),FALSE)),ROWS(R$5:R97))),'Chemical Clearances'!$B$5:$B$169,0)"&amp;"),"""")), 1, 1)"),"CLN-055  –  Bea Mountain Mining Corporation (BMMC)")</f>
        <v>CLN-055  –  Bea Mountain Mining Corporation (BMMC)</v>
      </c>
      <c r="X9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Invoices'!$A$4:$V$4)),FALSE)),ROWS(X$5:X97))),"""")), 1, 1)"),"")</f>
        <v/>
      </c>
      <c r="Y97" s="333" t="str">
        <f t="array" ref="Y97">IF(X97="","",X97&amp;"  –  "&amp;INDEX('Bills &amp; Invoices'!$D$5:$D$32,MATCH(X97,'Bills &amp; Invoices'!$B$5:$B$32,0))&amp;"  –  $"&amp;TEXT(SUMIFS('Bills &amp; Invoices'!$J$5:$J$32,'Bills &amp; Invoices'!$B$5:$B$32,X97),"#,##0"))</f>
        <v/>
      </c>
      <c r="Z97" s="333" t="str">
        <f t="array" ref="Z97">IF(X97="","",INDEX('Bills &amp; Invoices'!$D$5:$D$32,MATCH(X97,'Bills &amp; Invoices'!$B$5:$B$32,0)))</f>
        <v/>
      </c>
      <c r="AA97" s="334" t="str">
        <f t="array" ref="AA97">IF(X97="","",INDEX('Bills &amp; Invoices'!$K$5:$K$32,MATCH(X97,'Bills &amp; Invoices'!$B$5:$B$32,0)))</f>
        <v/>
      </c>
      <c r="AB97" s="335" t="str">
        <f>IF(X97="","",SUMIFS('Bills &amp; Invoices'!$J$5:$J$32,'Bills &amp; Invoices'!$B$5:$B$32,X97))</f>
        <v/>
      </c>
      <c r="AC97" s="335" t="str">
        <f>IF(X97="","",SUMIFS('Payments &amp; Receipts'!$F$5:$F$58,'Payments &amp; Receipts'!$L$5:$L$58,X97))</f>
        <v/>
      </c>
      <c r="AD97" s="333" t="str">
        <f t="array" ref="AD97">IF(X97="","",INDEX('Bills &amp; Invoices'!$U$5:$U$32,MATCH(X97,'Bills &amp; Invoices'!$B$5:$B$32,0)))</f>
        <v/>
      </c>
    </row>
    <row r="98" ht="14.25" customHeight="1">
      <c r="R9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Clearances'!$A$4:$Q$4)),FALSE)),ROWS(R$5:R98)))&amp;""  –  ""&amp;INDEX('Chemical Clearances'!$D$5:$D$169,MATCH(INDEX('Chemical Clearances'!$B$5:$B$169,LARGE(FILTER((ROW('Chemical Clearances'!$B$5:$B$169)-ROW('C"&amp;"hemical Clearances'!$A$4:$Q$4)),IFERROR((MATCH('Chemical Clearances'!$B$5:$B$169,'Chemical Clearances'!$B$5:$B$169,0)=ROW('Chemical Clearances'!$B$5:$B$169)-ROW('Chemical Clearances'!$A$4:$Q$4)),FALSE)),ROWS(R$5:R98))),'Chemical Clearances'!$B$5:$B$169,0)"&amp;"),"""")), 1, 1)"),"CLN-054  –  Bea Mountain Mining Corporation (BMMC)")</f>
        <v>CLN-054  –  Bea Mountain Mining Corporation (BMMC)</v>
      </c>
      <c r="X9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Invoices'!$A$4:$V$4)),FALSE)),ROWS(X$5:X98))),"""")), 1, 1)"),"")</f>
        <v/>
      </c>
      <c r="Y98" s="333" t="str">
        <f t="array" ref="Y98">IF(X98="","",X98&amp;"  –  "&amp;INDEX('Bills &amp; Invoices'!$D$5:$D$32,MATCH(X98,'Bills &amp; Invoices'!$B$5:$B$32,0))&amp;"  –  $"&amp;TEXT(SUMIFS('Bills &amp; Invoices'!$J$5:$J$32,'Bills &amp; Invoices'!$B$5:$B$32,X98),"#,##0"))</f>
        <v/>
      </c>
      <c r="Z98" s="333" t="str">
        <f t="array" ref="Z98">IF(X98="","",INDEX('Bills &amp; Invoices'!$D$5:$D$32,MATCH(X98,'Bills &amp; Invoices'!$B$5:$B$32,0)))</f>
        <v/>
      </c>
      <c r="AA98" s="334" t="str">
        <f t="array" ref="AA98">IF(X98="","",INDEX('Bills &amp; Invoices'!$K$5:$K$32,MATCH(X98,'Bills &amp; Invoices'!$B$5:$B$32,0)))</f>
        <v/>
      </c>
      <c r="AB98" s="335" t="str">
        <f>IF(X98="","",SUMIFS('Bills &amp; Invoices'!$J$5:$J$32,'Bills &amp; Invoices'!$B$5:$B$32,X98))</f>
        <v/>
      </c>
      <c r="AC98" s="335" t="str">
        <f>IF(X98="","",SUMIFS('Payments &amp; Receipts'!$F$5:$F$58,'Payments &amp; Receipts'!$L$5:$L$58,X98))</f>
        <v/>
      </c>
      <c r="AD98" s="333" t="str">
        <f t="array" ref="AD98">IF(X98="","",INDEX('Bills &amp; Invoices'!$U$5:$U$32,MATCH(X98,'Bills &amp; Invoices'!$B$5:$B$32,0)))</f>
        <v/>
      </c>
    </row>
    <row r="99" ht="14.25" customHeight="1">
      <c r="R9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Clearances'!$A$4:$Q$4)),FALSE)),ROWS(R$5:R99)))&amp;""  –  ""&amp;INDEX('Chemical Clearances'!$D$5:$D$169,MATCH(INDEX('Chemical Clearances'!$B$5:$B$169,LARGE(FILTER((ROW('Chemical Clearances'!$B$5:$B$169)-ROW('C"&amp;"hemical Clearances'!$A$4:$Q$4)),IFERROR((MATCH('Chemical Clearances'!$B$5:$B$169,'Chemical Clearances'!$B$5:$B$169,0)=ROW('Chemical Clearances'!$B$5:$B$169)-ROW('Chemical Clearances'!$A$4:$Q$4)),FALSE)),ROWS(R$5:R99))),'Chemical Clearances'!$B$5:$B$169,0)"&amp;"),"""")), 1, 1)"),"CLN-053  –  Bea Mountain Mining Corporation (BMMC)")</f>
        <v>CLN-053  –  Bea Mountain Mining Corporation (BMMC)</v>
      </c>
      <c r="X9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Invoices'!$A$4:$V$4)),FALSE)),ROWS(X$5:X99))),"""")), 1, 1)"),"")</f>
        <v/>
      </c>
      <c r="Y99" s="333" t="str">
        <f t="array" ref="Y99">IF(X99="","",X99&amp;"  –  "&amp;INDEX('Bills &amp; Invoices'!$D$5:$D$32,MATCH(X99,'Bills &amp; Invoices'!$B$5:$B$32,0))&amp;"  –  $"&amp;TEXT(SUMIFS('Bills &amp; Invoices'!$J$5:$J$32,'Bills &amp; Invoices'!$B$5:$B$32,X99),"#,##0"))</f>
        <v/>
      </c>
      <c r="Z99" s="333" t="str">
        <f t="array" ref="Z99">IF(X99="","",INDEX('Bills &amp; Invoices'!$D$5:$D$32,MATCH(X99,'Bills &amp; Invoices'!$B$5:$B$32,0)))</f>
        <v/>
      </c>
      <c r="AA99" s="334" t="str">
        <f t="array" ref="AA99">IF(X99="","",INDEX('Bills &amp; Invoices'!$K$5:$K$32,MATCH(X99,'Bills &amp; Invoices'!$B$5:$B$32,0)))</f>
        <v/>
      </c>
      <c r="AB99" s="335" t="str">
        <f>IF(X99="","",SUMIFS('Bills &amp; Invoices'!$J$5:$J$32,'Bills &amp; Invoices'!$B$5:$B$32,X99))</f>
        <v/>
      </c>
      <c r="AC99" s="335" t="str">
        <f>IF(X99="","",SUMIFS('Payments &amp; Receipts'!$F$5:$F$58,'Payments &amp; Receipts'!$L$5:$L$58,X99))</f>
        <v/>
      </c>
      <c r="AD99" s="333" t="str">
        <f t="array" ref="AD99">IF(X99="","",INDEX('Bills &amp; Invoices'!$U$5:$U$32,MATCH(X99,'Bills &amp; Invoices'!$B$5:$B$32,0)))</f>
        <v/>
      </c>
    </row>
    <row r="100" ht="14.25" customHeight="1">
      <c r="R10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Clearances'!$A$4:$Q$4)),FALSE)),ROWS(R$5:R100)))&amp;""  –  ""&amp;INDEX('Chemical Clearances'!$D$5:$D$169,MATCH(INDEX('Chemical Clearances'!$B$5:$B$169,LARGE(FILTER((ROW('Chemical Clearances'!$B$5:$B$169)-ROW('"&amp;"Chemical Clearances'!$A$4:$Q$4)),IFERROR((MATCH('Chemical Clearances'!$B$5:$B$169,'Chemical Clearances'!$B$5:$B$169,0)=ROW('Chemical Clearances'!$B$5:$B$169)-ROW('Chemical Clearances'!$A$4:$Q$4)),FALSE)),ROWS(R$5:R100))),'Chemical Clearances'!$B$5:$B$169,"&amp;"0)),"""")), 1, 1)"),"CLN-052  –  Bea Mountain Mining Corporation (BMMC)")</f>
        <v>CLN-052  –  Bea Mountain Mining Corporation (BMMC)</v>
      </c>
      <c r="X10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Invoices'!$A$4:$V$4)),FALSE)),ROWS(X$5:X100))),"""")), 1, 1)"),"")</f>
        <v/>
      </c>
      <c r="Y100" s="333" t="str">
        <f t="array" ref="Y100">IF(X100="","",X100&amp;"  –  "&amp;INDEX('Bills &amp; Invoices'!$D$5:$D$32,MATCH(X100,'Bills &amp; Invoices'!$B$5:$B$32,0))&amp;"  –  $"&amp;TEXT(SUMIFS('Bills &amp; Invoices'!$J$5:$J$32,'Bills &amp; Invoices'!$B$5:$B$32,X100),"#,##0"))</f>
        <v/>
      </c>
      <c r="Z100" s="333" t="str">
        <f t="array" ref="Z100">IF(X100="","",INDEX('Bills &amp; Invoices'!$D$5:$D$32,MATCH(X100,'Bills &amp; Invoices'!$B$5:$B$32,0)))</f>
        <v/>
      </c>
      <c r="AA100" s="334" t="str">
        <f t="array" ref="AA100">IF(X100="","",INDEX('Bills &amp; Invoices'!$K$5:$K$32,MATCH(X100,'Bills &amp; Invoices'!$B$5:$B$32,0)))</f>
        <v/>
      </c>
      <c r="AB100" s="335" t="str">
        <f>IF(X100="","",SUMIFS('Bills &amp; Invoices'!$J$5:$J$32,'Bills &amp; Invoices'!$B$5:$B$32,X100))</f>
        <v/>
      </c>
      <c r="AC100" s="335" t="str">
        <f>IF(X100="","",SUMIFS('Payments &amp; Receipts'!$F$5:$F$58,'Payments &amp; Receipts'!$L$5:$L$58,X100))</f>
        <v/>
      </c>
      <c r="AD100" s="333" t="str">
        <f t="array" ref="AD100">IF(X100="","",INDEX('Bills &amp; Invoices'!$U$5:$U$32,MATCH(X100,'Bills &amp; Invoices'!$B$5:$B$32,0)))</f>
        <v/>
      </c>
    </row>
    <row r="101" ht="14.25" customHeight="1">
      <c r="R10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Clearances'!$A$4:$Q$4)),FALSE)),ROWS(R$5:R101)))&amp;""  –  ""&amp;INDEX('Chemical Clearances'!$D$5:$D$169,MATCH(INDEX('Chemical Clearances'!$B$5:$B$169,LARGE(FILTER((ROW('Chemical Clearances'!$B$5:$B$169)-ROW('"&amp;"Chemical Clearances'!$A$4:$Q$4)),IFERROR((MATCH('Chemical Clearances'!$B$5:$B$169,'Chemical Clearances'!$B$5:$B$169,0)=ROW('Chemical Clearances'!$B$5:$B$169)-ROW('Chemical Clearances'!$A$4:$Q$4)),FALSE)),ROWS(R$5:R101))),'Chemical Clearances'!$B$5:$B$169,"&amp;"0)),"""")), 1, 1)"),"CLN-051  –  Bea Mountain Mining Corporation (BMMC)")</f>
        <v>CLN-051  –  Bea Mountain Mining Corporation (BMMC)</v>
      </c>
      <c r="X10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Invoices'!$A$4:$V$4)),FALSE)),ROWS(X$5:X101))),"""")), 1, 1)"),"")</f>
        <v/>
      </c>
      <c r="Y101" s="333" t="str">
        <f t="array" ref="Y101">IF(X101="","",X101&amp;"  –  "&amp;INDEX('Bills &amp; Invoices'!$D$5:$D$32,MATCH(X101,'Bills &amp; Invoices'!$B$5:$B$32,0))&amp;"  –  $"&amp;TEXT(SUMIFS('Bills &amp; Invoices'!$J$5:$J$32,'Bills &amp; Invoices'!$B$5:$B$32,X101),"#,##0"))</f>
        <v/>
      </c>
      <c r="Z101" s="333" t="str">
        <f t="array" ref="Z101">IF(X101="","",INDEX('Bills &amp; Invoices'!$D$5:$D$32,MATCH(X101,'Bills &amp; Invoices'!$B$5:$B$32,0)))</f>
        <v/>
      </c>
      <c r="AA101" s="334" t="str">
        <f t="array" ref="AA101">IF(X101="","",INDEX('Bills &amp; Invoices'!$K$5:$K$32,MATCH(X101,'Bills &amp; Invoices'!$B$5:$B$32,0)))</f>
        <v/>
      </c>
      <c r="AB101" s="335" t="str">
        <f>IF(X101="","",SUMIFS('Bills &amp; Invoices'!$J$5:$J$32,'Bills &amp; Invoices'!$B$5:$B$32,X101))</f>
        <v/>
      </c>
      <c r="AC101" s="335" t="str">
        <f>IF(X101="","",SUMIFS('Payments &amp; Receipts'!$F$5:$F$58,'Payments &amp; Receipts'!$L$5:$L$58,X101))</f>
        <v/>
      </c>
      <c r="AD101" s="333" t="str">
        <f t="array" ref="AD101">IF(X101="","",INDEX('Bills &amp; Invoices'!$U$5:$U$32,MATCH(X101,'Bills &amp; Invoices'!$B$5:$B$32,0)))</f>
        <v/>
      </c>
    </row>
    <row r="102" ht="14.25" customHeight="1">
      <c r="R10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Clearances'!$A$4:$Q$4)),FALSE)),ROWS(R$5:R102)))&amp;""  –  ""&amp;INDEX('Chemical Clearances'!$D$5:$D$169,MATCH(INDEX('Chemical Clearances'!$B$5:$B$169,LARGE(FILTER((ROW('Chemical Clearances'!$B$5:$B$169)-ROW('"&amp;"Chemical Clearances'!$A$4:$Q$4)),IFERROR((MATCH('Chemical Clearances'!$B$5:$B$169,'Chemical Clearances'!$B$5:$B$169,0)=ROW('Chemical Clearances'!$B$5:$B$169)-ROW('Chemical Clearances'!$A$4:$Q$4)),FALSE)),ROWS(R$5:R102))),'Chemical Clearances'!$B$5:$B$169,"&amp;"0)),"""")), 1, 1)"),"CLN-050  –  Bea Mountain Mining Corporation (BMMC)")</f>
        <v>CLN-050  –  Bea Mountain Mining Corporation (BMMC)</v>
      </c>
      <c r="X10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Invoices'!$A$4:$V$4)),FALSE)),ROWS(X$5:X102))),"""")), 1, 1)"),"")</f>
        <v/>
      </c>
      <c r="Y102" s="333" t="str">
        <f t="array" ref="Y102">IF(X102="","",X102&amp;"  –  "&amp;INDEX('Bills &amp; Invoices'!$D$5:$D$32,MATCH(X102,'Bills &amp; Invoices'!$B$5:$B$32,0))&amp;"  –  $"&amp;TEXT(SUMIFS('Bills &amp; Invoices'!$J$5:$J$32,'Bills &amp; Invoices'!$B$5:$B$32,X102),"#,##0"))</f>
        <v/>
      </c>
      <c r="Z102" s="333" t="str">
        <f t="array" ref="Z102">IF(X102="","",INDEX('Bills &amp; Invoices'!$D$5:$D$32,MATCH(X102,'Bills &amp; Invoices'!$B$5:$B$32,0)))</f>
        <v/>
      </c>
      <c r="AA102" s="334" t="str">
        <f t="array" ref="AA102">IF(X102="","",INDEX('Bills &amp; Invoices'!$K$5:$K$32,MATCH(X102,'Bills &amp; Invoices'!$B$5:$B$32,0)))</f>
        <v/>
      </c>
      <c r="AB102" s="335" t="str">
        <f>IF(X102="","",SUMIFS('Bills &amp; Invoices'!$J$5:$J$32,'Bills &amp; Invoices'!$B$5:$B$32,X102))</f>
        <v/>
      </c>
      <c r="AC102" s="335" t="str">
        <f>IF(X102="","",SUMIFS('Payments &amp; Receipts'!$F$5:$F$58,'Payments &amp; Receipts'!$L$5:$L$58,X102))</f>
        <v/>
      </c>
      <c r="AD102" s="333" t="str">
        <f t="array" ref="AD102">IF(X102="","",INDEX('Bills &amp; Invoices'!$U$5:$U$32,MATCH(X102,'Bills &amp; Invoices'!$B$5:$B$32,0)))</f>
        <v/>
      </c>
    </row>
    <row r="103" ht="14.25" customHeight="1">
      <c r="R10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Clearances'!$A$4:$Q$4)),FALSE)),ROWS(R$5:R103)))&amp;""  –  ""&amp;INDEX('Chemical Clearances'!$D$5:$D$169,MATCH(INDEX('Chemical Clearances'!$B$5:$B$169,LARGE(FILTER((ROW('Chemical Clearances'!$B$5:$B$169)-ROW('"&amp;"Chemical Clearances'!$A$4:$Q$4)),IFERROR((MATCH('Chemical Clearances'!$B$5:$B$169,'Chemical Clearances'!$B$5:$B$169,0)=ROW('Chemical Clearances'!$B$5:$B$169)-ROW('Chemical Clearances'!$A$4:$Q$4)),FALSE)),ROWS(R$5:R103))),'Chemical Clearances'!$B$5:$B$169,"&amp;"0)),"""")), 1, 1)"),"CLN-049  –  Bea Mountain Mining Corporation (BMMC)")</f>
        <v>CLN-049  –  Bea Mountain Mining Corporation (BMMC)</v>
      </c>
      <c r="X10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Invoices'!$A$4:$V$4)),FALSE)),ROWS(X$5:X103))),"""")), 1, 1)"),"")</f>
        <v/>
      </c>
      <c r="Y103" s="333" t="str">
        <f t="array" ref="Y103">IF(X103="","",X103&amp;"  –  "&amp;INDEX('Bills &amp; Invoices'!$D$5:$D$32,MATCH(X103,'Bills &amp; Invoices'!$B$5:$B$32,0))&amp;"  –  $"&amp;TEXT(SUMIFS('Bills &amp; Invoices'!$J$5:$J$32,'Bills &amp; Invoices'!$B$5:$B$32,X103),"#,##0"))</f>
        <v/>
      </c>
      <c r="Z103" s="333" t="str">
        <f t="array" ref="Z103">IF(X103="","",INDEX('Bills &amp; Invoices'!$D$5:$D$32,MATCH(X103,'Bills &amp; Invoices'!$B$5:$B$32,0)))</f>
        <v/>
      </c>
      <c r="AA103" s="334" t="str">
        <f t="array" ref="AA103">IF(X103="","",INDEX('Bills &amp; Invoices'!$K$5:$K$32,MATCH(X103,'Bills &amp; Invoices'!$B$5:$B$32,0)))</f>
        <v/>
      </c>
      <c r="AB103" s="335" t="str">
        <f>IF(X103="","",SUMIFS('Bills &amp; Invoices'!$J$5:$J$32,'Bills &amp; Invoices'!$B$5:$B$32,X103))</f>
        <v/>
      </c>
      <c r="AC103" s="335" t="str">
        <f>IF(X103="","",SUMIFS('Payments &amp; Receipts'!$F$5:$F$58,'Payments &amp; Receipts'!$L$5:$L$58,X103))</f>
        <v/>
      </c>
      <c r="AD103" s="333" t="str">
        <f t="array" ref="AD103">IF(X103="","",INDEX('Bills &amp; Invoices'!$U$5:$U$32,MATCH(X103,'Bills &amp; Invoices'!$B$5:$B$32,0)))</f>
        <v/>
      </c>
    </row>
    <row r="104" ht="14.25" customHeight="1">
      <c r="R10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Clearances'!$A$4:$Q$4)),FALSE)),ROWS(R$5:R104)))&amp;""  –  ""&amp;INDEX('Chemical Clearances'!$D$5:$D$169,MATCH(INDEX('Chemical Clearances'!$B$5:$B$169,LARGE(FILTER((ROW('Chemical Clearances'!$B$5:$B$169)-ROW('"&amp;"Chemical Clearances'!$A$4:$Q$4)),IFERROR((MATCH('Chemical Clearances'!$B$5:$B$169,'Chemical Clearances'!$B$5:$B$169,0)=ROW('Chemical Clearances'!$B$5:$B$169)-ROW('Chemical Clearances'!$A$4:$Q$4)),FALSE)),ROWS(R$5:R104))),'Chemical Clearances'!$B$5:$B$169,"&amp;"0)),"""")), 1, 1)"),"CLN-048  –  Bea Mountain Mining Corporation (BMMC)")</f>
        <v>CLN-048  –  Bea Mountain Mining Corporation (BMMC)</v>
      </c>
      <c r="X10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Invoices'!$A$4:$V$4)),FALSE)),ROWS(X$5:X104))),"""")), 1, 1)"),"")</f>
        <v/>
      </c>
      <c r="Y104" s="333" t="str">
        <f t="array" ref="Y104">IF(X104="","",X104&amp;"  –  "&amp;INDEX('Bills &amp; Invoices'!$D$5:$D$32,MATCH(X104,'Bills &amp; Invoices'!$B$5:$B$32,0))&amp;"  –  $"&amp;TEXT(SUMIFS('Bills &amp; Invoices'!$J$5:$J$32,'Bills &amp; Invoices'!$B$5:$B$32,X104),"#,##0"))</f>
        <v/>
      </c>
      <c r="Z104" s="333" t="str">
        <f t="array" ref="Z104">IF(X104="","",INDEX('Bills &amp; Invoices'!$D$5:$D$32,MATCH(X104,'Bills &amp; Invoices'!$B$5:$B$32,0)))</f>
        <v/>
      </c>
      <c r="AA104" s="334" t="str">
        <f t="array" ref="AA104">IF(X104="","",INDEX('Bills &amp; Invoices'!$K$5:$K$32,MATCH(X104,'Bills &amp; Invoices'!$B$5:$B$32,0)))</f>
        <v/>
      </c>
      <c r="AB104" s="335" t="str">
        <f>IF(X104="","",SUMIFS('Bills &amp; Invoices'!$J$5:$J$32,'Bills &amp; Invoices'!$B$5:$B$32,X104))</f>
        <v/>
      </c>
      <c r="AC104" s="335" t="str">
        <f>IF(X104="","",SUMIFS('Payments &amp; Receipts'!$F$5:$F$58,'Payments &amp; Receipts'!$L$5:$L$58,X104))</f>
        <v/>
      </c>
      <c r="AD104" s="333" t="str">
        <f t="array" ref="AD104">IF(X104="","",INDEX('Bills &amp; Invoices'!$U$5:$U$32,MATCH(X104,'Bills &amp; Invoices'!$B$5:$B$32,0)))</f>
        <v/>
      </c>
    </row>
    <row r="105" ht="14.25" customHeight="1">
      <c r="R10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Clearances'!$A$4:$Q$4)),FALSE)),ROWS(R$5:R105)))&amp;""  –  ""&amp;INDEX('Chemical Clearances'!$D$5:$D$169,MATCH(INDEX('Chemical Clearances'!$B$5:$B$169,LARGE(FILTER((ROW('Chemical Clearances'!$B$5:$B$169)-ROW('"&amp;"Chemical Clearances'!$A$4:$Q$4)),IFERROR((MATCH('Chemical Clearances'!$B$5:$B$169,'Chemical Clearances'!$B$5:$B$169,0)=ROW('Chemical Clearances'!$B$5:$B$169)-ROW('Chemical Clearances'!$A$4:$Q$4)),FALSE)),ROWS(R$5:R105))),'Chemical Clearances'!$B$5:$B$169,"&amp;"0)),"""")), 1, 1)"),"CLN-047  –  Bea Mountain Mining Corporation (BMMC)")</f>
        <v>CLN-047  –  Bea Mountain Mining Corporation (BMMC)</v>
      </c>
      <c r="X10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Invoices'!$A$4:$V$4)),FALSE)),ROWS(X$5:X105))),"""")), 1, 1)"),"")</f>
        <v/>
      </c>
      <c r="Y105" s="333" t="str">
        <f t="array" ref="Y105">IF(X105="","",X105&amp;"  –  "&amp;INDEX('Bills &amp; Invoices'!$D$5:$D$32,MATCH(X105,'Bills &amp; Invoices'!$B$5:$B$32,0))&amp;"  –  $"&amp;TEXT(SUMIFS('Bills &amp; Invoices'!$J$5:$J$32,'Bills &amp; Invoices'!$B$5:$B$32,X105),"#,##0"))</f>
        <v/>
      </c>
      <c r="Z105" s="333" t="str">
        <f t="array" ref="Z105">IF(X105="","",INDEX('Bills &amp; Invoices'!$D$5:$D$32,MATCH(X105,'Bills &amp; Invoices'!$B$5:$B$32,0)))</f>
        <v/>
      </c>
      <c r="AA105" s="334" t="str">
        <f t="array" ref="AA105">IF(X105="","",INDEX('Bills &amp; Invoices'!$K$5:$K$32,MATCH(X105,'Bills &amp; Invoices'!$B$5:$B$32,0)))</f>
        <v/>
      </c>
      <c r="AB105" s="335" t="str">
        <f>IF(X105="","",SUMIFS('Bills &amp; Invoices'!$J$5:$J$32,'Bills &amp; Invoices'!$B$5:$B$32,X105))</f>
        <v/>
      </c>
      <c r="AC105" s="335" t="str">
        <f>IF(X105="","",SUMIFS('Payments &amp; Receipts'!$F$5:$F$58,'Payments &amp; Receipts'!$L$5:$L$58,X105))</f>
        <v/>
      </c>
      <c r="AD105" s="333" t="str">
        <f t="array" ref="AD105">IF(X105="","",INDEX('Bills &amp; Invoices'!$U$5:$U$32,MATCH(X105,'Bills &amp; Invoices'!$B$5:$B$32,0)))</f>
        <v/>
      </c>
    </row>
    <row r="106" ht="14.25" customHeight="1">
      <c r="R10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Clearances'!$A$4:$Q$4)),FALSE)),ROWS(R$5:R106)))&amp;""  –  ""&amp;INDEX('Chemical Clearances'!$D$5:$D$169,MATCH(INDEX('Chemical Clearances'!$B$5:$B$169,LARGE(FILTER((ROW('Chemical Clearances'!$B$5:$B$169)-ROW('"&amp;"Chemical Clearances'!$A$4:$Q$4)),IFERROR((MATCH('Chemical Clearances'!$B$5:$B$169,'Chemical Clearances'!$B$5:$B$169,0)=ROW('Chemical Clearances'!$B$5:$B$169)-ROW('Chemical Clearances'!$A$4:$Q$4)),FALSE)),ROWS(R$5:R106))),'Chemical Clearances'!$B$5:$B$169,"&amp;"0)),"""")), 1, 1)"),"CLN-046  –  Bea Mountain Mining Corporation (BMMC)")</f>
        <v>CLN-046  –  Bea Mountain Mining Corporation (BMMC)</v>
      </c>
      <c r="X10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Invoices'!$A$4:$V$4)),FALSE)),ROWS(X$5:X106))),"""")), 1, 1)"),"")</f>
        <v/>
      </c>
      <c r="Y106" s="333" t="str">
        <f t="array" ref="Y106">IF(X106="","",X106&amp;"  –  "&amp;INDEX('Bills &amp; Invoices'!$D$5:$D$32,MATCH(X106,'Bills &amp; Invoices'!$B$5:$B$32,0))&amp;"  –  $"&amp;TEXT(SUMIFS('Bills &amp; Invoices'!$J$5:$J$32,'Bills &amp; Invoices'!$B$5:$B$32,X106),"#,##0"))</f>
        <v/>
      </c>
      <c r="Z106" s="333" t="str">
        <f t="array" ref="Z106">IF(X106="","",INDEX('Bills &amp; Invoices'!$D$5:$D$32,MATCH(X106,'Bills &amp; Invoices'!$B$5:$B$32,0)))</f>
        <v/>
      </c>
      <c r="AA106" s="334" t="str">
        <f t="array" ref="AA106">IF(X106="","",INDEX('Bills &amp; Invoices'!$K$5:$K$32,MATCH(X106,'Bills &amp; Invoices'!$B$5:$B$32,0)))</f>
        <v/>
      </c>
      <c r="AB106" s="335" t="str">
        <f>IF(X106="","",SUMIFS('Bills &amp; Invoices'!$J$5:$J$32,'Bills &amp; Invoices'!$B$5:$B$32,X106))</f>
        <v/>
      </c>
      <c r="AC106" s="335" t="str">
        <f>IF(X106="","",SUMIFS('Payments &amp; Receipts'!$F$5:$F$58,'Payments &amp; Receipts'!$L$5:$L$58,X106))</f>
        <v/>
      </c>
      <c r="AD106" s="333" t="str">
        <f t="array" ref="AD106">IF(X106="","",INDEX('Bills &amp; Invoices'!$U$5:$U$32,MATCH(X106,'Bills &amp; Invoices'!$B$5:$B$32,0)))</f>
        <v/>
      </c>
    </row>
    <row r="107" ht="14.25" customHeight="1">
      <c r="R10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Clearances'!$A$4:$Q$4)),FALSE)),ROWS(R$5:R107)))&amp;""  –  ""&amp;INDEX('Chemical Clearances'!$D$5:$D$169,MATCH(INDEX('Chemical Clearances'!$B$5:$B$169,LARGE(FILTER((ROW('Chemical Clearances'!$B$5:$B$169)-ROW('"&amp;"Chemical Clearances'!$A$4:$Q$4)),IFERROR((MATCH('Chemical Clearances'!$B$5:$B$169,'Chemical Clearances'!$B$5:$B$169,0)=ROW('Chemical Clearances'!$B$5:$B$169)-ROW('Chemical Clearances'!$A$4:$Q$4)),FALSE)),ROWS(R$5:R107))),'Chemical Clearances'!$B$5:$B$169,"&amp;"0)),"""")), 1, 1)"),"CLN-045  –  Bea Mountain Mining Corporation (BMMC)")</f>
        <v>CLN-045  –  Bea Mountain Mining Corporation (BMMC)</v>
      </c>
      <c r="X10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Invoices'!$A$4:$V$4)),FALSE)),ROWS(X$5:X107))),"""")), 1, 1)"),"")</f>
        <v/>
      </c>
      <c r="Y107" s="333" t="str">
        <f t="array" ref="Y107">IF(X107="","",X107&amp;"  –  "&amp;INDEX('Bills &amp; Invoices'!$D$5:$D$32,MATCH(X107,'Bills &amp; Invoices'!$B$5:$B$32,0))&amp;"  –  $"&amp;TEXT(SUMIFS('Bills &amp; Invoices'!$J$5:$J$32,'Bills &amp; Invoices'!$B$5:$B$32,X107),"#,##0"))</f>
        <v/>
      </c>
      <c r="Z107" s="333" t="str">
        <f t="array" ref="Z107">IF(X107="","",INDEX('Bills &amp; Invoices'!$D$5:$D$32,MATCH(X107,'Bills &amp; Invoices'!$B$5:$B$32,0)))</f>
        <v/>
      </c>
      <c r="AA107" s="334" t="str">
        <f t="array" ref="AA107">IF(X107="","",INDEX('Bills &amp; Invoices'!$K$5:$K$32,MATCH(X107,'Bills &amp; Invoices'!$B$5:$B$32,0)))</f>
        <v/>
      </c>
      <c r="AB107" s="335" t="str">
        <f>IF(X107="","",SUMIFS('Bills &amp; Invoices'!$J$5:$J$32,'Bills &amp; Invoices'!$B$5:$B$32,X107))</f>
        <v/>
      </c>
      <c r="AC107" s="335" t="str">
        <f>IF(X107="","",SUMIFS('Payments &amp; Receipts'!$F$5:$F$58,'Payments &amp; Receipts'!$L$5:$L$58,X107))</f>
        <v/>
      </c>
      <c r="AD107" s="333" t="str">
        <f t="array" ref="AD107">IF(X107="","",INDEX('Bills &amp; Invoices'!$U$5:$U$32,MATCH(X107,'Bills &amp; Invoices'!$B$5:$B$32,0)))</f>
        <v/>
      </c>
    </row>
    <row r="108" ht="14.25" customHeight="1">
      <c r="R10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Clearances'!$A$4:$Q$4)),FALSE)),ROWS(R$5:R108)))&amp;""  –  ""&amp;INDEX('Chemical Clearances'!$D$5:$D$169,MATCH(INDEX('Chemical Clearances'!$B$5:$B$169,LARGE(FILTER((ROW('Chemical Clearances'!$B$5:$B$169)-ROW('"&amp;"Chemical Clearances'!$A$4:$Q$4)),IFERROR((MATCH('Chemical Clearances'!$B$5:$B$169,'Chemical Clearances'!$B$5:$B$169,0)=ROW('Chemical Clearances'!$B$5:$B$169)-ROW('Chemical Clearances'!$A$4:$Q$4)),FALSE)),ROWS(R$5:R108))),'Chemical Clearances'!$B$5:$B$169,"&amp;"0)),"""")), 1, 1)"),"CLN-044  –  Bea Mountain Mining Corporation (BMMC)")</f>
        <v>CLN-044  –  Bea Mountain Mining Corporation (BMMC)</v>
      </c>
      <c r="X10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Invoices'!$A$4:$V$4)),FALSE)),ROWS(X$5:X108))),"""")), 1, 1)"),"")</f>
        <v/>
      </c>
      <c r="Y108" s="333" t="str">
        <f t="array" ref="Y108">IF(X108="","",X108&amp;"  –  "&amp;INDEX('Bills &amp; Invoices'!$D$5:$D$32,MATCH(X108,'Bills &amp; Invoices'!$B$5:$B$32,0))&amp;"  –  $"&amp;TEXT(SUMIFS('Bills &amp; Invoices'!$J$5:$J$32,'Bills &amp; Invoices'!$B$5:$B$32,X108),"#,##0"))</f>
        <v/>
      </c>
      <c r="Z108" s="333" t="str">
        <f t="array" ref="Z108">IF(X108="","",INDEX('Bills &amp; Invoices'!$D$5:$D$32,MATCH(X108,'Bills &amp; Invoices'!$B$5:$B$32,0)))</f>
        <v/>
      </c>
      <c r="AA108" s="334" t="str">
        <f t="array" ref="AA108">IF(X108="","",INDEX('Bills &amp; Invoices'!$K$5:$K$32,MATCH(X108,'Bills &amp; Invoices'!$B$5:$B$32,0)))</f>
        <v/>
      </c>
      <c r="AB108" s="335" t="str">
        <f>IF(X108="","",SUMIFS('Bills &amp; Invoices'!$J$5:$J$32,'Bills &amp; Invoices'!$B$5:$B$32,X108))</f>
        <v/>
      </c>
      <c r="AC108" s="335" t="str">
        <f>IF(X108="","",SUMIFS('Payments &amp; Receipts'!$F$5:$F$58,'Payments &amp; Receipts'!$L$5:$L$58,X108))</f>
        <v/>
      </c>
      <c r="AD108" s="333" t="str">
        <f t="array" ref="AD108">IF(X108="","",INDEX('Bills &amp; Invoices'!$U$5:$U$32,MATCH(X108,'Bills &amp; Invoices'!$B$5:$B$32,0)))</f>
        <v/>
      </c>
    </row>
    <row r="109" ht="14.25" customHeight="1">
      <c r="R10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Clearances'!$A$4:$Q$4)),FALSE)),ROWS(R$5:R109)))&amp;""  –  ""&amp;INDEX('Chemical Clearances'!$D$5:$D$169,MATCH(INDEX('Chemical Clearances'!$B$5:$B$169,LARGE(FILTER((ROW('Chemical Clearances'!$B$5:$B$169)-ROW('"&amp;"Chemical Clearances'!$A$4:$Q$4)),IFERROR((MATCH('Chemical Clearances'!$B$5:$B$169,'Chemical Clearances'!$B$5:$B$169,0)=ROW('Chemical Clearances'!$B$5:$B$169)-ROW('Chemical Clearances'!$A$4:$Q$4)),FALSE)),ROWS(R$5:R109))),'Chemical Clearances'!$B$5:$B$169,"&amp;"0)),"""")), 1, 1)"),"CLN-043  –  Bea Mountain Mining Corporation (BMMC)")</f>
        <v>CLN-043  –  Bea Mountain Mining Corporation (BMMC)</v>
      </c>
      <c r="X10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Invoices'!$A$4:$V$4)),FALSE)),ROWS(X$5:X109))),"""")), 1, 1)"),"")</f>
        <v/>
      </c>
      <c r="Y109" s="333" t="str">
        <f t="array" ref="Y109">IF(X109="","",X109&amp;"  –  "&amp;INDEX('Bills &amp; Invoices'!$D$5:$D$32,MATCH(X109,'Bills &amp; Invoices'!$B$5:$B$32,0))&amp;"  –  $"&amp;TEXT(SUMIFS('Bills &amp; Invoices'!$J$5:$J$32,'Bills &amp; Invoices'!$B$5:$B$32,X109),"#,##0"))</f>
        <v/>
      </c>
      <c r="Z109" s="333" t="str">
        <f t="array" ref="Z109">IF(X109="","",INDEX('Bills &amp; Invoices'!$D$5:$D$32,MATCH(X109,'Bills &amp; Invoices'!$B$5:$B$32,0)))</f>
        <v/>
      </c>
      <c r="AA109" s="334" t="str">
        <f t="array" ref="AA109">IF(X109="","",INDEX('Bills &amp; Invoices'!$K$5:$K$32,MATCH(X109,'Bills &amp; Invoices'!$B$5:$B$32,0)))</f>
        <v/>
      </c>
      <c r="AB109" s="335" t="str">
        <f>IF(X109="","",SUMIFS('Bills &amp; Invoices'!$J$5:$J$32,'Bills &amp; Invoices'!$B$5:$B$32,X109))</f>
        <v/>
      </c>
      <c r="AC109" s="335" t="str">
        <f>IF(X109="","",SUMIFS('Payments &amp; Receipts'!$F$5:$F$58,'Payments &amp; Receipts'!$L$5:$L$58,X109))</f>
        <v/>
      </c>
      <c r="AD109" s="333" t="str">
        <f t="array" ref="AD109">IF(X109="","",INDEX('Bills &amp; Invoices'!$U$5:$U$32,MATCH(X109,'Bills &amp; Invoices'!$B$5:$B$32,0)))</f>
        <v/>
      </c>
    </row>
    <row r="110" ht="14.25" customHeight="1">
      <c r="R11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Clearances'!$A$4:$Q$4)),FALSE)),ROWS(R$5:R110)))&amp;""  –  ""&amp;INDEX('Chemical Clearances'!$D$5:$D$169,MATCH(INDEX('Chemical Clearances'!$B$5:$B$169,LARGE(FILTER((ROW('Chemical Clearances'!$B$5:$B$169)-ROW('"&amp;"Chemical Clearances'!$A$4:$Q$4)),IFERROR((MATCH('Chemical Clearances'!$B$5:$B$169,'Chemical Clearances'!$B$5:$B$169,0)=ROW('Chemical Clearances'!$B$5:$B$169)-ROW('Chemical Clearances'!$A$4:$Q$4)),FALSE)),ROWS(R$5:R110))),'Chemical Clearances'!$B$5:$B$169,"&amp;"0)),"""")), 1, 1)"),"CLN-042  –  Bea Mountain Mining Corporation (BMMC)")</f>
        <v>CLN-042  –  Bea Mountain Mining Corporation (BMMC)</v>
      </c>
      <c r="X11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Invoices'!$A$4:$V$4)),FALSE)),ROWS(X$5:X110))),"""")), 1, 1)"),"")</f>
        <v/>
      </c>
      <c r="Y110" s="333" t="str">
        <f t="array" ref="Y110">IF(X110="","",X110&amp;"  –  "&amp;INDEX('Bills &amp; Invoices'!$D$5:$D$32,MATCH(X110,'Bills &amp; Invoices'!$B$5:$B$32,0))&amp;"  –  $"&amp;TEXT(SUMIFS('Bills &amp; Invoices'!$J$5:$J$32,'Bills &amp; Invoices'!$B$5:$B$32,X110),"#,##0"))</f>
        <v/>
      </c>
      <c r="Z110" s="333" t="str">
        <f t="array" ref="Z110">IF(X110="","",INDEX('Bills &amp; Invoices'!$D$5:$D$32,MATCH(X110,'Bills &amp; Invoices'!$B$5:$B$32,0)))</f>
        <v/>
      </c>
      <c r="AA110" s="334" t="str">
        <f t="array" ref="AA110">IF(X110="","",INDEX('Bills &amp; Invoices'!$K$5:$K$32,MATCH(X110,'Bills &amp; Invoices'!$B$5:$B$32,0)))</f>
        <v/>
      </c>
      <c r="AB110" s="335" t="str">
        <f>IF(X110="","",SUMIFS('Bills &amp; Invoices'!$J$5:$J$32,'Bills &amp; Invoices'!$B$5:$B$32,X110))</f>
        <v/>
      </c>
      <c r="AC110" s="335" t="str">
        <f>IF(X110="","",SUMIFS('Payments &amp; Receipts'!$F$5:$F$58,'Payments &amp; Receipts'!$L$5:$L$58,X110))</f>
        <v/>
      </c>
      <c r="AD110" s="333" t="str">
        <f t="array" ref="AD110">IF(X110="","",INDEX('Bills &amp; Invoices'!$U$5:$U$32,MATCH(X110,'Bills &amp; Invoices'!$B$5:$B$32,0)))</f>
        <v/>
      </c>
    </row>
    <row r="111" ht="14.25" customHeight="1">
      <c r="R11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Clearances'!$A$4:$Q$4)),FALSE)),ROWS(R$5:R111)))&amp;""  –  ""&amp;INDEX('Chemical Clearances'!$D$5:$D$169,MATCH(INDEX('Chemical Clearances'!$B$5:$B$169,LARGE(FILTER((ROW('Chemical Clearances'!$B$5:$B$169)-ROW('"&amp;"Chemical Clearances'!$A$4:$Q$4)),IFERROR((MATCH('Chemical Clearances'!$B$5:$B$169,'Chemical Clearances'!$B$5:$B$169,0)=ROW('Chemical Clearances'!$B$5:$B$169)-ROW('Chemical Clearances'!$A$4:$Q$4)),FALSE)),ROWS(R$5:R111))),'Chemical Clearances'!$B$5:$B$169,"&amp;"0)),"""")), 1, 1)"),"CLN-041  –  Bea Mountain Mining Corporation (BMMC)")</f>
        <v>CLN-041  –  Bea Mountain Mining Corporation (BMMC)</v>
      </c>
      <c r="X11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Invoices'!$A$4:$V$4)),FALSE)),ROWS(X$5:X111))),"""")), 1, 1)"),"")</f>
        <v/>
      </c>
      <c r="Y111" s="333" t="str">
        <f t="array" ref="Y111">IF(X111="","",X111&amp;"  –  "&amp;INDEX('Bills &amp; Invoices'!$D$5:$D$32,MATCH(X111,'Bills &amp; Invoices'!$B$5:$B$32,0))&amp;"  –  $"&amp;TEXT(SUMIFS('Bills &amp; Invoices'!$J$5:$J$32,'Bills &amp; Invoices'!$B$5:$B$32,X111),"#,##0"))</f>
        <v/>
      </c>
      <c r="Z111" s="333" t="str">
        <f t="array" ref="Z111">IF(X111="","",INDEX('Bills &amp; Invoices'!$D$5:$D$32,MATCH(X111,'Bills &amp; Invoices'!$B$5:$B$32,0)))</f>
        <v/>
      </c>
      <c r="AA111" s="334" t="str">
        <f t="array" ref="AA111">IF(X111="","",INDEX('Bills &amp; Invoices'!$K$5:$K$32,MATCH(X111,'Bills &amp; Invoices'!$B$5:$B$32,0)))</f>
        <v/>
      </c>
      <c r="AB111" s="335" t="str">
        <f>IF(X111="","",SUMIFS('Bills &amp; Invoices'!$J$5:$J$32,'Bills &amp; Invoices'!$B$5:$B$32,X111))</f>
        <v/>
      </c>
      <c r="AC111" s="335" t="str">
        <f>IF(X111="","",SUMIFS('Payments &amp; Receipts'!$F$5:$F$58,'Payments &amp; Receipts'!$L$5:$L$58,X111))</f>
        <v/>
      </c>
      <c r="AD111" s="333" t="str">
        <f t="array" ref="AD111">IF(X111="","",INDEX('Bills &amp; Invoices'!$U$5:$U$32,MATCH(X111,'Bills &amp; Invoices'!$B$5:$B$32,0)))</f>
        <v/>
      </c>
    </row>
    <row r="112" ht="14.25" customHeight="1">
      <c r="R11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Clearances'!$A$4:$Q$4)),FALSE)),ROWS(R$5:R112)))&amp;""  –  ""&amp;INDEX('Chemical Clearances'!$D$5:$D$169,MATCH(INDEX('Chemical Clearances'!$B$5:$B$169,LARGE(FILTER((ROW('Chemical Clearances'!$B$5:$B$169)-ROW('"&amp;"Chemical Clearances'!$A$4:$Q$4)),IFERROR((MATCH('Chemical Clearances'!$B$5:$B$169,'Chemical Clearances'!$B$5:$B$169,0)=ROW('Chemical Clearances'!$B$5:$B$169)-ROW('Chemical Clearances'!$A$4:$Q$4)),FALSE)),ROWS(R$5:R112))),'Chemical Clearances'!$B$5:$B$169,"&amp;"0)),"""")), 1, 1)"),"CLN-040  –  Bea Mountain Mining Corporation (BMMC)")</f>
        <v>CLN-040  –  Bea Mountain Mining Corporation (BMMC)</v>
      </c>
      <c r="X11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Invoices'!$A$4:$V$4)),FALSE)),ROWS(X$5:X112))),"""")), 1, 1)"),"")</f>
        <v/>
      </c>
      <c r="Y112" s="333" t="str">
        <f t="array" ref="Y112">IF(X112="","",X112&amp;"  –  "&amp;INDEX('Bills &amp; Invoices'!$D$5:$D$32,MATCH(X112,'Bills &amp; Invoices'!$B$5:$B$32,0))&amp;"  –  $"&amp;TEXT(SUMIFS('Bills &amp; Invoices'!$J$5:$J$32,'Bills &amp; Invoices'!$B$5:$B$32,X112),"#,##0"))</f>
        <v/>
      </c>
      <c r="Z112" s="333" t="str">
        <f t="array" ref="Z112">IF(X112="","",INDEX('Bills &amp; Invoices'!$D$5:$D$32,MATCH(X112,'Bills &amp; Invoices'!$B$5:$B$32,0)))</f>
        <v/>
      </c>
      <c r="AA112" s="334" t="str">
        <f t="array" ref="AA112">IF(X112="","",INDEX('Bills &amp; Invoices'!$K$5:$K$32,MATCH(X112,'Bills &amp; Invoices'!$B$5:$B$32,0)))</f>
        <v/>
      </c>
      <c r="AB112" s="335" t="str">
        <f>IF(X112="","",SUMIFS('Bills &amp; Invoices'!$J$5:$J$32,'Bills &amp; Invoices'!$B$5:$B$32,X112))</f>
        <v/>
      </c>
      <c r="AC112" s="335" t="str">
        <f>IF(X112="","",SUMIFS('Payments &amp; Receipts'!$F$5:$F$58,'Payments &amp; Receipts'!$L$5:$L$58,X112))</f>
        <v/>
      </c>
      <c r="AD112" s="333" t="str">
        <f t="array" ref="AD112">IF(X112="","",INDEX('Bills &amp; Invoices'!$U$5:$U$32,MATCH(X112,'Bills &amp; Invoices'!$B$5:$B$32,0)))</f>
        <v/>
      </c>
    </row>
    <row r="113" ht="14.25" customHeight="1">
      <c r="R11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Clearances'!$A$4:$Q$4)),FALSE)),ROWS(R$5:R113)))&amp;""  –  ""&amp;INDEX('Chemical Clearances'!$D$5:$D$169,MATCH(INDEX('Chemical Clearances'!$B$5:$B$169,LARGE(FILTER((ROW('Chemical Clearances'!$B$5:$B$169)-ROW('"&amp;"Chemical Clearances'!$A$4:$Q$4)),IFERROR((MATCH('Chemical Clearances'!$B$5:$B$169,'Chemical Clearances'!$B$5:$B$169,0)=ROW('Chemical Clearances'!$B$5:$B$169)-ROW('Chemical Clearances'!$A$4:$Q$4)),FALSE)),ROWS(R$5:R113))),'Chemical Clearances'!$B$5:$B$169,"&amp;"0)),"""")), 1, 1)"),"CLN-039  –  Bea Mountain Mining Corporation (BMMC)")</f>
        <v>CLN-039  –  Bea Mountain Mining Corporation (BMMC)</v>
      </c>
      <c r="X11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Invoices'!$A$4:$V$4)),FALSE)),ROWS(X$5:X113))),"""")), 1, 1)"),"")</f>
        <v/>
      </c>
      <c r="Y113" s="333" t="str">
        <f t="array" ref="Y113">IF(X113="","",X113&amp;"  –  "&amp;INDEX('Bills &amp; Invoices'!$D$5:$D$32,MATCH(X113,'Bills &amp; Invoices'!$B$5:$B$32,0))&amp;"  –  $"&amp;TEXT(SUMIFS('Bills &amp; Invoices'!$J$5:$J$32,'Bills &amp; Invoices'!$B$5:$B$32,X113),"#,##0"))</f>
        <v/>
      </c>
      <c r="Z113" s="333" t="str">
        <f t="array" ref="Z113">IF(X113="","",INDEX('Bills &amp; Invoices'!$D$5:$D$32,MATCH(X113,'Bills &amp; Invoices'!$B$5:$B$32,0)))</f>
        <v/>
      </c>
      <c r="AA113" s="334" t="str">
        <f t="array" ref="AA113">IF(X113="","",INDEX('Bills &amp; Invoices'!$K$5:$K$32,MATCH(X113,'Bills &amp; Invoices'!$B$5:$B$32,0)))</f>
        <v/>
      </c>
      <c r="AB113" s="335" t="str">
        <f>IF(X113="","",SUMIFS('Bills &amp; Invoices'!$J$5:$J$32,'Bills &amp; Invoices'!$B$5:$B$32,X113))</f>
        <v/>
      </c>
      <c r="AC113" s="335" t="str">
        <f>IF(X113="","",SUMIFS('Payments &amp; Receipts'!$F$5:$F$58,'Payments &amp; Receipts'!$L$5:$L$58,X113))</f>
        <v/>
      </c>
      <c r="AD113" s="333" t="str">
        <f t="array" ref="AD113">IF(X113="","",INDEX('Bills &amp; Invoices'!$U$5:$U$32,MATCH(X113,'Bills &amp; Invoices'!$B$5:$B$32,0)))</f>
        <v/>
      </c>
    </row>
    <row r="114" ht="14.25" customHeight="1">
      <c r="R11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Clearances'!$A$4:$Q$4)),FALSE)),ROWS(R$5:R114)))&amp;""  –  ""&amp;INDEX('Chemical Clearances'!$D$5:$D$169,MATCH(INDEX('Chemical Clearances'!$B$5:$B$169,LARGE(FILTER((ROW('Chemical Clearances'!$B$5:$B$169)-ROW('"&amp;"Chemical Clearances'!$A$4:$Q$4)),IFERROR((MATCH('Chemical Clearances'!$B$5:$B$169,'Chemical Clearances'!$B$5:$B$169,0)=ROW('Chemical Clearances'!$B$5:$B$169)-ROW('Chemical Clearances'!$A$4:$Q$4)),FALSE)),ROWS(R$5:R114))),'Chemical Clearances'!$B$5:$B$169,"&amp;"0)),"""")), 1, 1)"),"CLN-038  –  Bea Mountain Mining Corporation (BMMC)")</f>
        <v>CLN-038  –  Bea Mountain Mining Corporation (BMMC)</v>
      </c>
      <c r="X11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Invoices'!$A$4:$V$4)),FALSE)),ROWS(X$5:X114))),"""")), 1, 1)"),"")</f>
        <v/>
      </c>
      <c r="Y114" s="333" t="str">
        <f t="array" ref="Y114">IF(X114="","",X114&amp;"  –  "&amp;INDEX('Bills &amp; Invoices'!$D$5:$D$32,MATCH(X114,'Bills &amp; Invoices'!$B$5:$B$32,0))&amp;"  –  $"&amp;TEXT(SUMIFS('Bills &amp; Invoices'!$J$5:$J$32,'Bills &amp; Invoices'!$B$5:$B$32,X114),"#,##0"))</f>
        <v/>
      </c>
      <c r="Z114" s="333" t="str">
        <f t="array" ref="Z114">IF(X114="","",INDEX('Bills &amp; Invoices'!$D$5:$D$32,MATCH(X114,'Bills &amp; Invoices'!$B$5:$B$32,0)))</f>
        <v/>
      </c>
      <c r="AA114" s="334" t="str">
        <f t="array" ref="AA114">IF(X114="","",INDEX('Bills &amp; Invoices'!$K$5:$K$32,MATCH(X114,'Bills &amp; Invoices'!$B$5:$B$32,0)))</f>
        <v/>
      </c>
      <c r="AB114" s="335" t="str">
        <f>IF(X114="","",SUMIFS('Bills &amp; Invoices'!$J$5:$J$32,'Bills &amp; Invoices'!$B$5:$B$32,X114))</f>
        <v/>
      </c>
      <c r="AC114" s="335" t="str">
        <f>IF(X114="","",SUMIFS('Payments &amp; Receipts'!$F$5:$F$58,'Payments &amp; Receipts'!$L$5:$L$58,X114))</f>
        <v/>
      </c>
      <c r="AD114" s="333" t="str">
        <f t="array" ref="AD114">IF(X114="","",INDEX('Bills &amp; Invoices'!$U$5:$U$32,MATCH(X114,'Bills &amp; Invoices'!$B$5:$B$32,0)))</f>
        <v/>
      </c>
    </row>
    <row r="115" ht="14.25" customHeight="1">
      <c r="R11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Clearances'!$A$4:$Q$4)),FALSE)),ROWS(R$5:R115)))&amp;""  –  ""&amp;INDEX('Chemical Clearances'!$D$5:$D$169,MATCH(INDEX('Chemical Clearances'!$B$5:$B$169,LARGE(FILTER((ROW('Chemical Clearances'!$B$5:$B$169)-ROW('"&amp;"Chemical Clearances'!$A$4:$Q$4)),IFERROR((MATCH('Chemical Clearances'!$B$5:$B$169,'Chemical Clearances'!$B$5:$B$169,0)=ROW('Chemical Clearances'!$B$5:$B$169)-ROW('Chemical Clearances'!$A$4:$Q$4)),FALSE)),ROWS(R$5:R115))),'Chemical Clearances'!$B$5:$B$169,"&amp;"0)),"""")), 1, 1)"),"CLN-037  –  Bea Mountain Mining Corporation (BMMC)")</f>
        <v>CLN-037  –  Bea Mountain Mining Corporation (BMMC)</v>
      </c>
      <c r="X11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Invoices'!$A$4:$V$4)),FALSE)),ROWS(X$5:X115))),"""")), 1, 1)"),"")</f>
        <v/>
      </c>
      <c r="Y115" s="333" t="str">
        <f t="array" ref="Y115">IF(X115="","",X115&amp;"  –  "&amp;INDEX('Bills &amp; Invoices'!$D$5:$D$32,MATCH(X115,'Bills &amp; Invoices'!$B$5:$B$32,0))&amp;"  –  $"&amp;TEXT(SUMIFS('Bills &amp; Invoices'!$J$5:$J$32,'Bills &amp; Invoices'!$B$5:$B$32,X115),"#,##0"))</f>
        <v/>
      </c>
      <c r="Z115" s="333" t="str">
        <f t="array" ref="Z115">IF(X115="","",INDEX('Bills &amp; Invoices'!$D$5:$D$32,MATCH(X115,'Bills &amp; Invoices'!$B$5:$B$32,0)))</f>
        <v/>
      </c>
      <c r="AA115" s="334" t="str">
        <f t="array" ref="AA115">IF(X115="","",INDEX('Bills &amp; Invoices'!$K$5:$K$32,MATCH(X115,'Bills &amp; Invoices'!$B$5:$B$32,0)))</f>
        <v/>
      </c>
      <c r="AB115" s="335" t="str">
        <f>IF(X115="","",SUMIFS('Bills &amp; Invoices'!$J$5:$J$32,'Bills &amp; Invoices'!$B$5:$B$32,X115))</f>
        <v/>
      </c>
      <c r="AC115" s="335" t="str">
        <f>IF(X115="","",SUMIFS('Payments &amp; Receipts'!$F$5:$F$58,'Payments &amp; Receipts'!$L$5:$L$58,X115))</f>
        <v/>
      </c>
      <c r="AD115" s="333" t="str">
        <f t="array" ref="AD115">IF(X115="","",INDEX('Bills &amp; Invoices'!$U$5:$U$32,MATCH(X115,'Bills &amp; Invoices'!$B$5:$B$32,0)))</f>
        <v/>
      </c>
    </row>
    <row r="116" ht="14.25" customHeight="1">
      <c r="R11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Clearances'!$A$4:$Q$4)),FALSE)),ROWS(R$5:R116)))&amp;""  –  ""&amp;INDEX('Chemical Clearances'!$D$5:$D$169,MATCH(INDEX('Chemical Clearances'!$B$5:$B$169,LARGE(FILTER((ROW('Chemical Clearances'!$B$5:$B$169)-ROW('"&amp;"Chemical Clearances'!$A$4:$Q$4)),IFERROR((MATCH('Chemical Clearances'!$B$5:$B$169,'Chemical Clearances'!$B$5:$B$169,0)=ROW('Chemical Clearances'!$B$5:$B$169)-ROW('Chemical Clearances'!$A$4:$Q$4)),FALSE)),ROWS(R$5:R116))),'Chemical Clearances'!$B$5:$B$169,"&amp;"0)),"""")), 1, 1)"),"CLN-036  –  Bea Mountain Mining Corporation (BMMC)")</f>
        <v>CLN-036  –  Bea Mountain Mining Corporation (BMMC)</v>
      </c>
      <c r="X11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Invoices'!$A$4:$V$4)),FALSE)),ROWS(X$5:X116))),"""")), 1, 1)"),"")</f>
        <v/>
      </c>
      <c r="Y116" s="333" t="str">
        <f t="array" ref="Y116">IF(X116="","",X116&amp;"  –  "&amp;INDEX('Bills &amp; Invoices'!$D$5:$D$32,MATCH(X116,'Bills &amp; Invoices'!$B$5:$B$32,0))&amp;"  –  $"&amp;TEXT(SUMIFS('Bills &amp; Invoices'!$J$5:$J$32,'Bills &amp; Invoices'!$B$5:$B$32,X116),"#,##0"))</f>
        <v/>
      </c>
      <c r="Z116" s="333" t="str">
        <f t="array" ref="Z116">IF(X116="","",INDEX('Bills &amp; Invoices'!$D$5:$D$32,MATCH(X116,'Bills &amp; Invoices'!$B$5:$B$32,0)))</f>
        <v/>
      </c>
      <c r="AA116" s="334" t="str">
        <f t="array" ref="AA116">IF(X116="","",INDEX('Bills &amp; Invoices'!$K$5:$K$32,MATCH(X116,'Bills &amp; Invoices'!$B$5:$B$32,0)))</f>
        <v/>
      </c>
      <c r="AB116" s="335" t="str">
        <f>IF(X116="","",SUMIFS('Bills &amp; Invoices'!$J$5:$J$32,'Bills &amp; Invoices'!$B$5:$B$32,X116))</f>
        <v/>
      </c>
      <c r="AC116" s="335" t="str">
        <f>IF(X116="","",SUMIFS('Payments &amp; Receipts'!$F$5:$F$58,'Payments &amp; Receipts'!$L$5:$L$58,X116))</f>
        <v/>
      </c>
      <c r="AD116" s="333" t="str">
        <f t="array" ref="AD116">IF(X116="","",INDEX('Bills &amp; Invoices'!$U$5:$U$32,MATCH(X116,'Bills &amp; Invoices'!$B$5:$B$32,0)))</f>
        <v/>
      </c>
    </row>
    <row r="117" ht="14.25" customHeight="1">
      <c r="R11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Clearances'!$A$4:$Q$4)),FALSE)),ROWS(R$5:R117)))&amp;""  –  ""&amp;INDEX('Chemical Clearances'!$D$5:$D$169,MATCH(INDEX('Chemical Clearances'!$B$5:$B$169,LARGE(FILTER((ROW('Chemical Clearances'!$B$5:$B$169)-ROW('"&amp;"Chemical Clearances'!$A$4:$Q$4)),IFERROR((MATCH('Chemical Clearances'!$B$5:$B$169,'Chemical Clearances'!$B$5:$B$169,0)=ROW('Chemical Clearances'!$B$5:$B$169)-ROW('Chemical Clearances'!$A$4:$Q$4)),FALSE)),ROWS(R$5:R117))),'Chemical Clearances'!$B$5:$B$169,"&amp;"0)),"""")), 1, 1)"),"CLN-035  –  Bea Mountain Mining Corporation (BMMC)")</f>
        <v>CLN-035  –  Bea Mountain Mining Corporation (BMMC)</v>
      </c>
      <c r="X11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Invoices'!$A$4:$V$4)),FALSE)),ROWS(X$5:X117))),"""")), 1, 1)"),"")</f>
        <v/>
      </c>
      <c r="Y117" s="333" t="str">
        <f t="array" ref="Y117">IF(X117="","",X117&amp;"  –  "&amp;INDEX('Bills &amp; Invoices'!$D$5:$D$32,MATCH(X117,'Bills &amp; Invoices'!$B$5:$B$32,0))&amp;"  –  $"&amp;TEXT(SUMIFS('Bills &amp; Invoices'!$J$5:$J$32,'Bills &amp; Invoices'!$B$5:$B$32,X117),"#,##0"))</f>
        <v/>
      </c>
      <c r="Z117" s="333" t="str">
        <f t="array" ref="Z117">IF(X117="","",INDEX('Bills &amp; Invoices'!$D$5:$D$32,MATCH(X117,'Bills &amp; Invoices'!$B$5:$B$32,0)))</f>
        <v/>
      </c>
      <c r="AA117" s="334" t="str">
        <f t="array" ref="AA117">IF(X117="","",INDEX('Bills &amp; Invoices'!$K$5:$K$32,MATCH(X117,'Bills &amp; Invoices'!$B$5:$B$32,0)))</f>
        <v/>
      </c>
      <c r="AB117" s="335" t="str">
        <f>IF(X117="","",SUMIFS('Bills &amp; Invoices'!$J$5:$J$32,'Bills &amp; Invoices'!$B$5:$B$32,X117))</f>
        <v/>
      </c>
      <c r="AC117" s="335" t="str">
        <f>IF(X117="","",SUMIFS('Payments &amp; Receipts'!$F$5:$F$58,'Payments &amp; Receipts'!$L$5:$L$58,X117))</f>
        <v/>
      </c>
      <c r="AD117" s="333" t="str">
        <f t="array" ref="AD117">IF(X117="","",INDEX('Bills &amp; Invoices'!$U$5:$U$32,MATCH(X117,'Bills &amp; Invoices'!$B$5:$B$32,0)))</f>
        <v/>
      </c>
    </row>
    <row r="118" ht="14.25" customHeight="1">
      <c r="R11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Clearances'!$A$4:$Q$4)),FALSE)),ROWS(R$5:R118)))&amp;""  –  ""&amp;INDEX('Chemical Clearances'!$D$5:$D$169,MATCH(INDEX('Chemical Clearances'!$B$5:$B$169,LARGE(FILTER((ROW('Chemical Clearances'!$B$5:$B$169)-ROW('"&amp;"Chemical Clearances'!$A$4:$Q$4)),IFERROR((MATCH('Chemical Clearances'!$B$5:$B$169,'Chemical Clearances'!$B$5:$B$169,0)=ROW('Chemical Clearances'!$B$5:$B$169)-ROW('Chemical Clearances'!$A$4:$Q$4)),FALSE)),ROWS(R$5:R118))),'Chemical Clearances'!$B$5:$B$169,"&amp;"0)),"""")), 1, 1)"),"CLN-034  –  Bea Mountain Mining Corporation (BMMC)")</f>
        <v>CLN-034  –  Bea Mountain Mining Corporation (BMMC)</v>
      </c>
      <c r="X11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Invoices'!$A$4:$V$4)),FALSE)),ROWS(X$5:X118))),"""")), 1, 1)"),"")</f>
        <v/>
      </c>
      <c r="Y118" s="333" t="str">
        <f t="array" ref="Y118">IF(X118="","",X118&amp;"  –  "&amp;INDEX('Bills &amp; Invoices'!$D$5:$D$32,MATCH(X118,'Bills &amp; Invoices'!$B$5:$B$32,0))&amp;"  –  $"&amp;TEXT(SUMIFS('Bills &amp; Invoices'!$J$5:$J$32,'Bills &amp; Invoices'!$B$5:$B$32,X118),"#,##0"))</f>
        <v/>
      </c>
      <c r="Z118" s="333" t="str">
        <f t="array" ref="Z118">IF(X118="","",INDEX('Bills &amp; Invoices'!$D$5:$D$32,MATCH(X118,'Bills &amp; Invoices'!$B$5:$B$32,0)))</f>
        <v/>
      </c>
      <c r="AA118" s="334" t="str">
        <f t="array" ref="AA118">IF(X118="","",INDEX('Bills &amp; Invoices'!$K$5:$K$32,MATCH(X118,'Bills &amp; Invoices'!$B$5:$B$32,0)))</f>
        <v/>
      </c>
      <c r="AB118" s="335" t="str">
        <f>IF(X118="","",SUMIFS('Bills &amp; Invoices'!$J$5:$J$32,'Bills &amp; Invoices'!$B$5:$B$32,X118))</f>
        <v/>
      </c>
      <c r="AC118" s="335" t="str">
        <f>IF(X118="","",SUMIFS('Payments &amp; Receipts'!$F$5:$F$58,'Payments &amp; Receipts'!$L$5:$L$58,X118))</f>
        <v/>
      </c>
      <c r="AD118" s="333" t="str">
        <f t="array" ref="AD118">IF(X118="","",INDEX('Bills &amp; Invoices'!$U$5:$U$32,MATCH(X118,'Bills &amp; Invoices'!$B$5:$B$32,0)))</f>
        <v/>
      </c>
    </row>
    <row r="119" ht="14.25" customHeight="1">
      <c r="R11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Clearances'!$A$4:$Q$4)),FALSE)),ROWS(R$5:R119)))&amp;""  –  ""&amp;INDEX('Chemical Clearances'!$D$5:$D$169,MATCH(INDEX('Chemical Clearances'!$B$5:$B$169,LARGE(FILTER((ROW('Chemical Clearances'!$B$5:$B$169)-ROW('"&amp;"Chemical Clearances'!$A$4:$Q$4)),IFERROR((MATCH('Chemical Clearances'!$B$5:$B$169,'Chemical Clearances'!$B$5:$B$169,0)=ROW('Chemical Clearances'!$B$5:$B$169)-ROW('Chemical Clearances'!$A$4:$Q$4)),FALSE)),ROWS(R$5:R119))),'Chemical Clearances'!$B$5:$B$169,"&amp;"0)),"""")), 1, 1)"),"CLN-033  –  Bea Mountain Mining Corporation (BMMC)")</f>
        <v>CLN-033  –  Bea Mountain Mining Corporation (BMMC)</v>
      </c>
      <c r="X11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Invoices'!$A$4:$V$4)),FALSE)),ROWS(X$5:X119))),"""")), 1, 1)"),"")</f>
        <v/>
      </c>
      <c r="Y119" s="333" t="str">
        <f t="array" ref="Y119">IF(X119="","",X119&amp;"  –  "&amp;INDEX('Bills &amp; Invoices'!$D$5:$D$32,MATCH(X119,'Bills &amp; Invoices'!$B$5:$B$32,0))&amp;"  –  $"&amp;TEXT(SUMIFS('Bills &amp; Invoices'!$J$5:$J$32,'Bills &amp; Invoices'!$B$5:$B$32,X119),"#,##0"))</f>
        <v/>
      </c>
      <c r="Z119" s="333" t="str">
        <f t="array" ref="Z119">IF(X119="","",INDEX('Bills &amp; Invoices'!$D$5:$D$32,MATCH(X119,'Bills &amp; Invoices'!$B$5:$B$32,0)))</f>
        <v/>
      </c>
      <c r="AA119" s="334" t="str">
        <f t="array" ref="AA119">IF(X119="","",INDEX('Bills &amp; Invoices'!$K$5:$K$32,MATCH(X119,'Bills &amp; Invoices'!$B$5:$B$32,0)))</f>
        <v/>
      </c>
      <c r="AB119" s="335" t="str">
        <f>IF(X119="","",SUMIFS('Bills &amp; Invoices'!$J$5:$J$32,'Bills &amp; Invoices'!$B$5:$B$32,X119))</f>
        <v/>
      </c>
      <c r="AC119" s="335" t="str">
        <f>IF(X119="","",SUMIFS('Payments &amp; Receipts'!$F$5:$F$58,'Payments &amp; Receipts'!$L$5:$L$58,X119))</f>
        <v/>
      </c>
      <c r="AD119" s="333" t="str">
        <f t="array" ref="AD119">IF(X119="","",INDEX('Bills &amp; Invoices'!$U$5:$U$32,MATCH(X119,'Bills &amp; Invoices'!$B$5:$B$32,0)))</f>
        <v/>
      </c>
    </row>
    <row r="120" ht="14.25" customHeight="1">
      <c r="R12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Clearances'!$A$4:$Q$4)),FALSE)),ROWS(R$5:R120)))&amp;""  –  ""&amp;INDEX('Chemical Clearances'!$D$5:$D$169,MATCH(INDEX('Chemical Clearances'!$B$5:$B$169,LARGE(FILTER((ROW('Chemical Clearances'!$B$5:$B$169)-ROW('"&amp;"Chemical Clearances'!$A$4:$Q$4)),IFERROR((MATCH('Chemical Clearances'!$B$5:$B$169,'Chemical Clearances'!$B$5:$B$169,0)=ROW('Chemical Clearances'!$B$5:$B$169)-ROW('Chemical Clearances'!$A$4:$Q$4)),FALSE)),ROWS(R$5:R120))),'Chemical Clearances'!$B$5:$B$169,"&amp;"0)),"""")), 1, 1)"),"CLN-032  –  Bea Mountain Mining Corporation (BMMC)")</f>
        <v>CLN-032  –  Bea Mountain Mining Corporation (BMMC)</v>
      </c>
      <c r="X12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Invoices'!$A$4:$V$4)),FALSE)),ROWS(X$5:X120))),"""")), 1, 1)"),"")</f>
        <v/>
      </c>
      <c r="Y120" s="333" t="str">
        <f t="array" ref="Y120">IF(X120="","",X120&amp;"  –  "&amp;INDEX('Bills &amp; Invoices'!$D$5:$D$32,MATCH(X120,'Bills &amp; Invoices'!$B$5:$B$32,0))&amp;"  –  $"&amp;TEXT(SUMIFS('Bills &amp; Invoices'!$J$5:$J$32,'Bills &amp; Invoices'!$B$5:$B$32,X120),"#,##0"))</f>
        <v/>
      </c>
      <c r="Z120" s="333" t="str">
        <f t="array" ref="Z120">IF(X120="","",INDEX('Bills &amp; Invoices'!$D$5:$D$32,MATCH(X120,'Bills &amp; Invoices'!$B$5:$B$32,0)))</f>
        <v/>
      </c>
      <c r="AA120" s="334" t="str">
        <f t="array" ref="AA120">IF(X120="","",INDEX('Bills &amp; Invoices'!$K$5:$K$32,MATCH(X120,'Bills &amp; Invoices'!$B$5:$B$32,0)))</f>
        <v/>
      </c>
      <c r="AB120" s="335" t="str">
        <f>IF(X120="","",SUMIFS('Bills &amp; Invoices'!$J$5:$J$32,'Bills &amp; Invoices'!$B$5:$B$32,X120))</f>
        <v/>
      </c>
      <c r="AC120" s="335" t="str">
        <f>IF(X120="","",SUMIFS('Payments &amp; Receipts'!$F$5:$F$58,'Payments &amp; Receipts'!$L$5:$L$58,X120))</f>
        <v/>
      </c>
      <c r="AD120" s="333" t="str">
        <f t="array" ref="AD120">IF(X120="","",INDEX('Bills &amp; Invoices'!$U$5:$U$32,MATCH(X120,'Bills &amp; Invoices'!$B$5:$B$32,0)))</f>
        <v/>
      </c>
    </row>
    <row r="121" ht="14.25" customHeight="1">
      <c r="R12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Clearances'!$A$4:$Q$4)),FALSE)),ROWS(R$5:R121)))&amp;""  –  ""&amp;INDEX('Chemical Clearances'!$D$5:$D$169,MATCH(INDEX('Chemical Clearances'!$B$5:$B$169,LARGE(FILTER((ROW('Chemical Clearances'!$B$5:$B$169)-ROW('"&amp;"Chemical Clearances'!$A$4:$Q$4)),IFERROR((MATCH('Chemical Clearances'!$B$5:$B$169,'Chemical Clearances'!$B$5:$B$169,0)=ROW('Chemical Clearances'!$B$5:$B$169)-ROW('Chemical Clearances'!$A$4:$Q$4)),FALSE)),ROWS(R$5:R121))),'Chemical Clearances'!$B$5:$B$169,"&amp;"0)),"""")), 1, 1)"),"CLN-031  –  Bea Mountain Mining Corporation (BMMC)")</f>
        <v>CLN-031  –  Bea Mountain Mining Corporation (BMMC)</v>
      </c>
      <c r="X12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Invoices'!$A$4:$V$4)),FALSE)),ROWS(X$5:X121))),"""")), 1, 1)"),"")</f>
        <v/>
      </c>
      <c r="Y121" s="333" t="str">
        <f t="array" ref="Y121">IF(X121="","",X121&amp;"  –  "&amp;INDEX('Bills &amp; Invoices'!$D$5:$D$32,MATCH(X121,'Bills &amp; Invoices'!$B$5:$B$32,0))&amp;"  –  $"&amp;TEXT(SUMIFS('Bills &amp; Invoices'!$J$5:$J$32,'Bills &amp; Invoices'!$B$5:$B$32,X121),"#,##0"))</f>
        <v/>
      </c>
      <c r="Z121" s="333" t="str">
        <f t="array" ref="Z121">IF(X121="","",INDEX('Bills &amp; Invoices'!$D$5:$D$32,MATCH(X121,'Bills &amp; Invoices'!$B$5:$B$32,0)))</f>
        <v/>
      </c>
      <c r="AA121" s="334" t="str">
        <f t="array" ref="AA121">IF(X121="","",INDEX('Bills &amp; Invoices'!$K$5:$K$32,MATCH(X121,'Bills &amp; Invoices'!$B$5:$B$32,0)))</f>
        <v/>
      </c>
      <c r="AB121" s="335" t="str">
        <f>IF(X121="","",SUMIFS('Bills &amp; Invoices'!$J$5:$J$32,'Bills &amp; Invoices'!$B$5:$B$32,X121))</f>
        <v/>
      </c>
      <c r="AC121" s="335" t="str">
        <f>IF(X121="","",SUMIFS('Payments &amp; Receipts'!$F$5:$F$58,'Payments &amp; Receipts'!$L$5:$L$58,X121))</f>
        <v/>
      </c>
      <c r="AD121" s="333" t="str">
        <f t="array" ref="AD121">IF(X121="","",INDEX('Bills &amp; Invoices'!$U$5:$U$32,MATCH(X121,'Bills &amp; Invoices'!$B$5:$B$32,0)))</f>
        <v/>
      </c>
    </row>
    <row r="122" ht="14.25" customHeight="1">
      <c r="R12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Clearances'!$A$4:$Q$4)),FALSE)),ROWS(R$5:R122)))&amp;""  –  ""&amp;INDEX('Chemical Clearances'!$D$5:$D$169,MATCH(INDEX('Chemical Clearances'!$B$5:$B$169,LARGE(FILTER((ROW('Chemical Clearances'!$B$5:$B$169)-ROW('"&amp;"Chemical Clearances'!$A$4:$Q$4)),IFERROR((MATCH('Chemical Clearances'!$B$5:$B$169,'Chemical Clearances'!$B$5:$B$169,0)=ROW('Chemical Clearances'!$B$5:$B$169)-ROW('Chemical Clearances'!$A$4:$Q$4)),FALSE)),ROWS(R$5:R122))),'Chemical Clearances'!$B$5:$B$169,"&amp;"0)),"""")), 1, 1)"),"CLN-030  –  Bea Mountain Mining Corporation (BMMC)")</f>
        <v>CLN-030  –  Bea Mountain Mining Corporation (BMMC)</v>
      </c>
      <c r="X12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Invoices'!$A$4:$V$4)),FALSE)),ROWS(X$5:X122))),"""")), 1, 1)"),"")</f>
        <v/>
      </c>
      <c r="Y122" s="333" t="str">
        <f t="array" ref="Y122">IF(X122="","",X122&amp;"  –  "&amp;INDEX('Bills &amp; Invoices'!$D$5:$D$32,MATCH(X122,'Bills &amp; Invoices'!$B$5:$B$32,0))&amp;"  –  $"&amp;TEXT(SUMIFS('Bills &amp; Invoices'!$J$5:$J$32,'Bills &amp; Invoices'!$B$5:$B$32,X122),"#,##0"))</f>
        <v/>
      </c>
      <c r="Z122" s="333" t="str">
        <f t="array" ref="Z122">IF(X122="","",INDEX('Bills &amp; Invoices'!$D$5:$D$32,MATCH(X122,'Bills &amp; Invoices'!$B$5:$B$32,0)))</f>
        <v/>
      </c>
      <c r="AA122" s="334" t="str">
        <f t="array" ref="AA122">IF(X122="","",INDEX('Bills &amp; Invoices'!$K$5:$K$32,MATCH(X122,'Bills &amp; Invoices'!$B$5:$B$32,0)))</f>
        <v/>
      </c>
      <c r="AB122" s="335" t="str">
        <f>IF(X122="","",SUMIFS('Bills &amp; Invoices'!$J$5:$J$32,'Bills &amp; Invoices'!$B$5:$B$32,X122))</f>
        <v/>
      </c>
      <c r="AC122" s="335" t="str">
        <f>IF(X122="","",SUMIFS('Payments &amp; Receipts'!$F$5:$F$58,'Payments &amp; Receipts'!$L$5:$L$58,X122))</f>
        <v/>
      </c>
      <c r="AD122" s="333" t="str">
        <f t="array" ref="AD122">IF(X122="","",INDEX('Bills &amp; Invoices'!$U$5:$U$32,MATCH(X122,'Bills &amp; Invoices'!$B$5:$B$32,0)))</f>
        <v/>
      </c>
    </row>
    <row r="123" ht="14.25" customHeight="1">
      <c r="R12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Clearances'!$A$4:$Q$4)),FALSE)),ROWS(R$5:R123)))&amp;""  –  ""&amp;INDEX('Chemical Clearances'!$D$5:$D$169,MATCH(INDEX('Chemical Clearances'!$B$5:$B$169,LARGE(FILTER((ROW('Chemical Clearances'!$B$5:$B$169)-ROW('"&amp;"Chemical Clearances'!$A$4:$Q$4)),IFERROR((MATCH('Chemical Clearances'!$B$5:$B$169,'Chemical Clearances'!$B$5:$B$169,0)=ROW('Chemical Clearances'!$B$5:$B$169)-ROW('Chemical Clearances'!$A$4:$Q$4)),FALSE)),ROWS(R$5:R123))),'Chemical Clearances'!$B$5:$B$169,"&amp;"0)),"""")), 1, 1)"),"CLN-029  –  Bea Mountain Mining Corporation (BMMC)")</f>
        <v>CLN-029  –  Bea Mountain Mining Corporation (BMMC)</v>
      </c>
      <c r="X12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Invoices'!$A$4:$V$4)),FALSE)),ROWS(X$5:X123))),"""")), 1, 1)"),"")</f>
        <v/>
      </c>
      <c r="Y123" s="333" t="str">
        <f t="array" ref="Y123">IF(X123="","",X123&amp;"  –  "&amp;INDEX('Bills &amp; Invoices'!$D$5:$D$32,MATCH(X123,'Bills &amp; Invoices'!$B$5:$B$32,0))&amp;"  –  $"&amp;TEXT(SUMIFS('Bills &amp; Invoices'!$J$5:$J$32,'Bills &amp; Invoices'!$B$5:$B$32,X123),"#,##0"))</f>
        <v/>
      </c>
      <c r="Z123" s="333" t="str">
        <f t="array" ref="Z123">IF(X123="","",INDEX('Bills &amp; Invoices'!$D$5:$D$32,MATCH(X123,'Bills &amp; Invoices'!$B$5:$B$32,0)))</f>
        <v/>
      </c>
      <c r="AA123" s="334" t="str">
        <f t="array" ref="AA123">IF(X123="","",INDEX('Bills &amp; Invoices'!$K$5:$K$32,MATCH(X123,'Bills &amp; Invoices'!$B$5:$B$32,0)))</f>
        <v/>
      </c>
      <c r="AB123" s="335" t="str">
        <f>IF(X123="","",SUMIFS('Bills &amp; Invoices'!$J$5:$J$32,'Bills &amp; Invoices'!$B$5:$B$32,X123))</f>
        <v/>
      </c>
      <c r="AC123" s="335" t="str">
        <f>IF(X123="","",SUMIFS('Payments &amp; Receipts'!$F$5:$F$58,'Payments &amp; Receipts'!$L$5:$L$58,X123))</f>
        <v/>
      </c>
      <c r="AD123" s="333" t="str">
        <f t="array" ref="AD123">IF(X123="","",INDEX('Bills &amp; Invoices'!$U$5:$U$32,MATCH(X123,'Bills &amp; Invoices'!$B$5:$B$32,0)))</f>
        <v/>
      </c>
    </row>
    <row r="124" ht="14.25" customHeight="1">
      <c r="R12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Clearances'!$A$4:$Q$4)),FALSE)),ROWS(R$5:R124)))&amp;""  –  ""&amp;INDEX('Chemical Clearances'!$D$5:$D$169,MATCH(INDEX('Chemical Clearances'!$B$5:$B$169,LARGE(FILTER((ROW('Chemical Clearances'!$B$5:$B$169)-ROW('"&amp;"Chemical Clearances'!$A$4:$Q$4)),IFERROR((MATCH('Chemical Clearances'!$B$5:$B$169,'Chemical Clearances'!$B$5:$B$169,0)=ROW('Chemical Clearances'!$B$5:$B$169)-ROW('Chemical Clearances'!$A$4:$Q$4)),FALSE)),ROWS(R$5:R124))),'Chemical Clearances'!$B$5:$B$169,"&amp;"0)),"""")), 1, 1)"),"CLN-028  –  Bea Mountain Mining Corporation (BMMC)")</f>
        <v>CLN-028  –  Bea Mountain Mining Corporation (BMMC)</v>
      </c>
      <c r="X12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Invoices'!$A$4:$V$4)),FALSE)),ROWS(X$5:X124))),"""")), 1, 1)"),"")</f>
        <v/>
      </c>
      <c r="Y124" s="333" t="str">
        <f t="array" ref="Y124">IF(X124="","",X124&amp;"  –  "&amp;INDEX('Bills &amp; Invoices'!$D$5:$D$32,MATCH(X124,'Bills &amp; Invoices'!$B$5:$B$32,0))&amp;"  –  $"&amp;TEXT(SUMIFS('Bills &amp; Invoices'!$J$5:$J$32,'Bills &amp; Invoices'!$B$5:$B$32,X124),"#,##0"))</f>
        <v/>
      </c>
      <c r="Z124" s="333" t="str">
        <f t="array" ref="Z124">IF(X124="","",INDEX('Bills &amp; Invoices'!$D$5:$D$32,MATCH(X124,'Bills &amp; Invoices'!$B$5:$B$32,0)))</f>
        <v/>
      </c>
      <c r="AA124" s="334" t="str">
        <f t="array" ref="AA124">IF(X124="","",INDEX('Bills &amp; Invoices'!$K$5:$K$32,MATCH(X124,'Bills &amp; Invoices'!$B$5:$B$32,0)))</f>
        <v/>
      </c>
      <c r="AB124" s="335" t="str">
        <f>IF(X124="","",SUMIFS('Bills &amp; Invoices'!$J$5:$J$32,'Bills &amp; Invoices'!$B$5:$B$32,X124))</f>
        <v/>
      </c>
      <c r="AC124" s="335" t="str">
        <f>IF(X124="","",SUMIFS('Payments &amp; Receipts'!$F$5:$F$58,'Payments &amp; Receipts'!$L$5:$L$58,X124))</f>
        <v/>
      </c>
      <c r="AD124" s="333" t="str">
        <f t="array" ref="AD124">IF(X124="","",INDEX('Bills &amp; Invoices'!$U$5:$U$32,MATCH(X124,'Bills &amp; Invoices'!$B$5:$B$32,0)))</f>
        <v/>
      </c>
    </row>
    <row r="125" ht="14.25" customHeight="1">
      <c r="R12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Clearances'!$A$4:$Q$4)),FALSE)),ROWS(R$5:R125)))&amp;""  –  ""&amp;INDEX('Chemical Clearances'!$D$5:$D$169,MATCH(INDEX('Chemical Clearances'!$B$5:$B$169,LARGE(FILTER((ROW('Chemical Clearances'!$B$5:$B$169)-ROW('"&amp;"Chemical Clearances'!$A$4:$Q$4)),IFERROR((MATCH('Chemical Clearances'!$B$5:$B$169,'Chemical Clearances'!$B$5:$B$169,0)=ROW('Chemical Clearances'!$B$5:$B$169)-ROW('Chemical Clearances'!$A$4:$Q$4)),FALSE)),ROWS(R$5:R125))),'Chemical Clearances'!$B$5:$B$169,"&amp;"0)),"""")), 1, 1)"),"CLN-027  –  Bea Mountain Mining Corporation (BMMC)")</f>
        <v>CLN-027  –  Bea Mountain Mining Corporation (BMMC)</v>
      </c>
      <c r="X12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Invoices'!$A$4:$V$4)),FALSE)),ROWS(X$5:X125))),"""")), 1, 1)"),"")</f>
        <v/>
      </c>
      <c r="Y125" s="333" t="str">
        <f t="array" ref="Y125">IF(X125="","",X125&amp;"  –  "&amp;INDEX('Bills &amp; Invoices'!$D$5:$D$32,MATCH(X125,'Bills &amp; Invoices'!$B$5:$B$32,0))&amp;"  –  $"&amp;TEXT(SUMIFS('Bills &amp; Invoices'!$J$5:$J$32,'Bills &amp; Invoices'!$B$5:$B$32,X125),"#,##0"))</f>
        <v/>
      </c>
      <c r="Z125" s="333" t="str">
        <f t="array" ref="Z125">IF(X125="","",INDEX('Bills &amp; Invoices'!$D$5:$D$32,MATCH(X125,'Bills &amp; Invoices'!$B$5:$B$32,0)))</f>
        <v/>
      </c>
      <c r="AA125" s="334" t="str">
        <f t="array" ref="AA125">IF(X125="","",INDEX('Bills &amp; Invoices'!$K$5:$K$32,MATCH(X125,'Bills &amp; Invoices'!$B$5:$B$32,0)))</f>
        <v/>
      </c>
      <c r="AB125" s="335" t="str">
        <f>IF(X125="","",SUMIFS('Bills &amp; Invoices'!$J$5:$J$32,'Bills &amp; Invoices'!$B$5:$B$32,X125))</f>
        <v/>
      </c>
      <c r="AC125" s="335" t="str">
        <f>IF(X125="","",SUMIFS('Payments &amp; Receipts'!$F$5:$F$58,'Payments &amp; Receipts'!$L$5:$L$58,X125))</f>
        <v/>
      </c>
      <c r="AD125" s="333" t="str">
        <f t="array" ref="AD125">IF(X125="","",INDEX('Bills &amp; Invoices'!$U$5:$U$32,MATCH(X125,'Bills &amp; Invoices'!$B$5:$B$32,0)))</f>
        <v/>
      </c>
    </row>
    <row r="126" ht="14.25" customHeight="1">
      <c r="R12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Clearances'!$A$4:$Q$4)),FALSE)),ROWS(R$5:R126)))&amp;""  –  ""&amp;INDEX('Chemical Clearances'!$D$5:$D$169,MATCH(INDEX('Chemical Clearances'!$B$5:$B$169,LARGE(FILTER((ROW('Chemical Clearances'!$B$5:$B$169)-ROW('"&amp;"Chemical Clearances'!$A$4:$Q$4)),IFERROR((MATCH('Chemical Clearances'!$B$5:$B$169,'Chemical Clearances'!$B$5:$B$169,0)=ROW('Chemical Clearances'!$B$5:$B$169)-ROW('Chemical Clearances'!$A$4:$Q$4)),FALSE)),ROWS(R$5:R126))),'Chemical Clearances'!$B$5:$B$169,"&amp;"0)),"""")), 1, 1)"),"CLN-026  –  Bea Mountain Mining Corporation (BMMC)")</f>
        <v>CLN-026  –  Bea Mountain Mining Corporation (BMMC)</v>
      </c>
      <c r="X12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Invoices'!$A$4:$V$4)),FALSE)),ROWS(X$5:X126))),"""")), 1, 1)"),"")</f>
        <v/>
      </c>
      <c r="Y126" s="333" t="str">
        <f t="array" ref="Y126">IF(X126="","",X126&amp;"  –  "&amp;INDEX('Bills &amp; Invoices'!$D$5:$D$32,MATCH(X126,'Bills &amp; Invoices'!$B$5:$B$32,0))&amp;"  –  $"&amp;TEXT(SUMIFS('Bills &amp; Invoices'!$J$5:$J$32,'Bills &amp; Invoices'!$B$5:$B$32,X126),"#,##0"))</f>
        <v/>
      </c>
      <c r="Z126" s="333" t="str">
        <f t="array" ref="Z126">IF(X126="","",INDEX('Bills &amp; Invoices'!$D$5:$D$32,MATCH(X126,'Bills &amp; Invoices'!$B$5:$B$32,0)))</f>
        <v/>
      </c>
      <c r="AA126" s="334" t="str">
        <f t="array" ref="AA126">IF(X126="","",INDEX('Bills &amp; Invoices'!$K$5:$K$32,MATCH(X126,'Bills &amp; Invoices'!$B$5:$B$32,0)))</f>
        <v/>
      </c>
      <c r="AB126" s="335" t="str">
        <f>IF(X126="","",SUMIFS('Bills &amp; Invoices'!$J$5:$J$32,'Bills &amp; Invoices'!$B$5:$B$32,X126))</f>
        <v/>
      </c>
      <c r="AC126" s="335" t="str">
        <f>IF(X126="","",SUMIFS('Payments &amp; Receipts'!$F$5:$F$58,'Payments &amp; Receipts'!$L$5:$L$58,X126))</f>
        <v/>
      </c>
      <c r="AD126" s="333" t="str">
        <f t="array" ref="AD126">IF(X126="","",INDEX('Bills &amp; Invoices'!$U$5:$U$32,MATCH(X126,'Bills &amp; Invoices'!$B$5:$B$32,0)))</f>
        <v/>
      </c>
    </row>
    <row r="127" ht="14.25" customHeight="1">
      <c r="R12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Clearances'!$A$4:$Q$4)),FALSE)),ROWS(R$5:R127)))&amp;""  –  ""&amp;INDEX('Chemical Clearances'!$D$5:$D$169,MATCH(INDEX('Chemical Clearances'!$B$5:$B$169,LARGE(FILTER((ROW('Chemical Clearances'!$B$5:$B$169)-ROW('"&amp;"Chemical Clearances'!$A$4:$Q$4)),IFERROR((MATCH('Chemical Clearances'!$B$5:$B$169,'Chemical Clearances'!$B$5:$B$169,0)=ROW('Chemical Clearances'!$B$5:$B$169)-ROW('Chemical Clearances'!$A$4:$Q$4)),FALSE)),ROWS(R$5:R127))),'Chemical Clearances'!$B$5:$B$169,"&amp;"0)),"""")), 1, 1)"),"CLN-025  –  Bea Mountain Mining Corporation (BMMC)")</f>
        <v>CLN-025  –  Bea Mountain Mining Corporation (BMMC)</v>
      </c>
      <c r="X12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Invoices'!$A$4:$V$4)),FALSE)),ROWS(X$5:X127))),"""")), 1, 1)"),"")</f>
        <v/>
      </c>
      <c r="Y127" s="333" t="str">
        <f t="array" ref="Y127">IF(X127="","",X127&amp;"  –  "&amp;INDEX('Bills &amp; Invoices'!$D$5:$D$32,MATCH(X127,'Bills &amp; Invoices'!$B$5:$B$32,0))&amp;"  –  $"&amp;TEXT(SUMIFS('Bills &amp; Invoices'!$J$5:$J$32,'Bills &amp; Invoices'!$B$5:$B$32,X127),"#,##0"))</f>
        <v/>
      </c>
      <c r="Z127" s="333" t="str">
        <f t="array" ref="Z127">IF(X127="","",INDEX('Bills &amp; Invoices'!$D$5:$D$32,MATCH(X127,'Bills &amp; Invoices'!$B$5:$B$32,0)))</f>
        <v/>
      </c>
      <c r="AA127" s="334" t="str">
        <f t="array" ref="AA127">IF(X127="","",INDEX('Bills &amp; Invoices'!$K$5:$K$32,MATCH(X127,'Bills &amp; Invoices'!$B$5:$B$32,0)))</f>
        <v/>
      </c>
      <c r="AB127" s="335" t="str">
        <f>IF(X127="","",SUMIFS('Bills &amp; Invoices'!$J$5:$J$32,'Bills &amp; Invoices'!$B$5:$B$32,X127))</f>
        <v/>
      </c>
      <c r="AC127" s="335" t="str">
        <f>IF(X127="","",SUMIFS('Payments &amp; Receipts'!$F$5:$F$58,'Payments &amp; Receipts'!$L$5:$L$58,X127))</f>
        <v/>
      </c>
      <c r="AD127" s="333" t="str">
        <f t="array" ref="AD127">IF(X127="","",INDEX('Bills &amp; Invoices'!$U$5:$U$32,MATCH(X127,'Bills &amp; Invoices'!$B$5:$B$32,0)))</f>
        <v/>
      </c>
    </row>
    <row r="128" ht="14.25" customHeight="1">
      <c r="R12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Clearances'!$A$4:$Q$4)),FALSE)),ROWS(R$5:R128)))&amp;""  –  ""&amp;INDEX('Chemical Clearances'!$D$5:$D$169,MATCH(INDEX('Chemical Clearances'!$B$5:$B$169,LARGE(FILTER((ROW('Chemical Clearances'!$B$5:$B$169)-ROW('"&amp;"Chemical Clearances'!$A$4:$Q$4)),IFERROR((MATCH('Chemical Clearances'!$B$5:$B$169,'Chemical Clearances'!$B$5:$B$169,0)=ROW('Chemical Clearances'!$B$5:$B$169)-ROW('Chemical Clearances'!$A$4:$Q$4)),FALSE)),ROWS(R$5:R128))),'Chemical Clearances'!$B$5:$B$169,"&amp;"0)),"""")), 1, 1)"),"CLN-024  –  Bea Mountain Mining Corporation (BMMC)")</f>
        <v>CLN-024  –  Bea Mountain Mining Corporation (BMMC)</v>
      </c>
      <c r="X12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Invoices'!$A$4:$V$4)),FALSE)),ROWS(X$5:X128))),"""")), 1, 1)"),"")</f>
        <v/>
      </c>
      <c r="Y128" s="333" t="str">
        <f t="array" ref="Y128">IF(X128="","",X128&amp;"  –  "&amp;INDEX('Bills &amp; Invoices'!$D$5:$D$32,MATCH(X128,'Bills &amp; Invoices'!$B$5:$B$32,0))&amp;"  –  $"&amp;TEXT(SUMIFS('Bills &amp; Invoices'!$J$5:$J$32,'Bills &amp; Invoices'!$B$5:$B$32,X128),"#,##0"))</f>
        <v/>
      </c>
      <c r="Z128" s="333" t="str">
        <f t="array" ref="Z128">IF(X128="","",INDEX('Bills &amp; Invoices'!$D$5:$D$32,MATCH(X128,'Bills &amp; Invoices'!$B$5:$B$32,0)))</f>
        <v/>
      </c>
      <c r="AA128" s="334" t="str">
        <f t="array" ref="AA128">IF(X128="","",INDEX('Bills &amp; Invoices'!$K$5:$K$32,MATCH(X128,'Bills &amp; Invoices'!$B$5:$B$32,0)))</f>
        <v/>
      </c>
      <c r="AB128" s="335" t="str">
        <f>IF(X128="","",SUMIFS('Bills &amp; Invoices'!$J$5:$J$32,'Bills &amp; Invoices'!$B$5:$B$32,X128))</f>
        <v/>
      </c>
      <c r="AC128" s="335" t="str">
        <f>IF(X128="","",SUMIFS('Payments &amp; Receipts'!$F$5:$F$58,'Payments &amp; Receipts'!$L$5:$L$58,X128))</f>
        <v/>
      </c>
      <c r="AD128" s="333" t="str">
        <f t="array" ref="AD128">IF(X128="","",INDEX('Bills &amp; Invoices'!$U$5:$U$32,MATCH(X128,'Bills &amp; Invoices'!$B$5:$B$32,0)))</f>
        <v/>
      </c>
    </row>
    <row r="129" ht="14.25" customHeight="1">
      <c r="R12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Clearances'!$A$4:$Q$4)),FALSE)),ROWS(R$5:R129)))&amp;""  –  ""&amp;INDEX('Chemical Clearances'!$D$5:$D$169,MATCH(INDEX('Chemical Clearances'!$B$5:$B$169,LARGE(FILTER((ROW('Chemical Clearances'!$B$5:$B$169)-ROW('"&amp;"Chemical Clearances'!$A$4:$Q$4)),IFERROR((MATCH('Chemical Clearances'!$B$5:$B$169,'Chemical Clearances'!$B$5:$B$169,0)=ROW('Chemical Clearances'!$B$5:$B$169)-ROW('Chemical Clearances'!$A$4:$Q$4)),FALSE)),ROWS(R$5:R129))),'Chemical Clearances'!$B$5:$B$169,"&amp;"0)),"""")), 1, 1)"),"CLN-023  –  Bea Mountain Mining Corporation (BMMC)")</f>
        <v>CLN-023  –  Bea Mountain Mining Corporation (BMMC)</v>
      </c>
      <c r="X12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Invoices'!$A$4:$V$4)),FALSE)),ROWS(X$5:X129))),"""")), 1, 1)"),"")</f>
        <v/>
      </c>
      <c r="Y129" s="333" t="str">
        <f t="array" ref="Y129">IF(X129="","",X129&amp;"  –  "&amp;INDEX('Bills &amp; Invoices'!$D$5:$D$32,MATCH(X129,'Bills &amp; Invoices'!$B$5:$B$32,0))&amp;"  –  $"&amp;TEXT(SUMIFS('Bills &amp; Invoices'!$J$5:$J$32,'Bills &amp; Invoices'!$B$5:$B$32,X129),"#,##0"))</f>
        <v/>
      </c>
      <c r="Z129" s="333" t="str">
        <f t="array" ref="Z129">IF(X129="","",INDEX('Bills &amp; Invoices'!$D$5:$D$32,MATCH(X129,'Bills &amp; Invoices'!$B$5:$B$32,0)))</f>
        <v/>
      </c>
      <c r="AA129" s="334" t="str">
        <f t="array" ref="AA129">IF(X129="","",INDEX('Bills &amp; Invoices'!$K$5:$K$32,MATCH(X129,'Bills &amp; Invoices'!$B$5:$B$32,0)))</f>
        <v/>
      </c>
      <c r="AB129" s="335" t="str">
        <f>IF(X129="","",SUMIFS('Bills &amp; Invoices'!$J$5:$J$32,'Bills &amp; Invoices'!$B$5:$B$32,X129))</f>
        <v/>
      </c>
      <c r="AC129" s="335" t="str">
        <f>IF(X129="","",SUMIFS('Payments &amp; Receipts'!$F$5:$F$58,'Payments &amp; Receipts'!$L$5:$L$58,X129))</f>
        <v/>
      </c>
      <c r="AD129" s="333" t="str">
        <f t="array" ref="AD129">IF(X129="","",INDEX('Bills &amp; Invoices'!$U$5:$U$32,MATCH(X129,'Bills &amp; Invoices'!$B$5:$B$32,0)))</f>
        <v/>
      </c>
    </row>
    <row r="130" ht="14.25" customHeight="1">
      <c r="R13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Clearances'!$A$4:$Q$4)),FALSE)),ROWS(R$5:R130)))&amp;""  –  ""&amp;INDEX('Chemical Clearances'!$D$5:$D$169,MATCH(INDEX('Chemical Clearances'!$B$5:$B$169,LARGE(FILTER((ROW('Chemical Clearances'!$B$5:$B$169)-ROW('"&amp;"Chemical Clearances'!$A$4:$Q$4)),IFERROR((MATCH('Chemical Clearances'!$B$5:$B$169,'Chemical Clearances'!$B$5:$B$169,0)=ROW('Chemical Clearances'!$B$5:$B$169)-ROW('Chemical Clearances'!$A$4:$Q$4)),FALSE)),ROWS(R$5:R130))),'Chemical Clearances'!$B$5:$B$169,"&amp;"0)),"""")), 1, 1)"),"CLN-022  –  Bea Mountain Mining Corporation (BMMC)")</f>
        <v>CLN-022  –  Bea Mountain Mining Corporation (BMMC)</v>
      </c>
      <c r="X13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Invoices'!$A$4:$V$4)),FALSE)),ROWS(X$5:X130))),"""")), 1, 1)"),"")</f>
        <v/>
      </c>
      <c r="Y130" s="333" t="str">
        <f t="array" ref="Y130">IF(X130="","",X130&amp;"  –  "&amp;INDEX('Bills &amp; Invoices'!$D$5:$D$32,MATCH(X130,'Bills &amp; Invoices'!$B$5:$B$32,0))&amp;"  –  $"&amp;TEXT(SUMIFS('Bills &amp; Invoices'!$J$5:$J$32,'Bills &amp; Invoices'!$B$5:$B$32,X130),"#,##0"))</f>
        <v/>
      </c>
      <c r="Z130" s="333" t="str">
        <f t="array" ref="Z130">IF(X130="","",INDEX('Bills &amp; Invoices'!$D$5:$D$32,MATCH(X130,'Bills &amp; Invoices'!$B$5:$B$32,0)))</f>
        <v/>
      </c>
      <c r="AA130" s="334" t="str">
        <f t="array" ref="AA130">IF(X130="","",INDEX('Bills &amp; Invoices'!$K$5:$K$32,MATCH(X130,'Bills &amp; Invoices'!$B$5:$B$32,0)))</f>
        <v/>
      </c>
      <c r="AB130" s="335" t="str">
        <f>IF(X130="","",SUMIFS('Bills &amp; Invoices'!$J$5:$J$32,'Bills &amp; Invoices'!$B$5:$B$32,X130))</f>
        <v/>
      </c>
      <c r="AC130" s="335" t="str">
        <f>IF(X130="","",SUMIFS('Payments &amp; Receipts'!$F$5:$F$58,'Payments &amp; Receipts'!$L$5:$L$58,X130))</f>
        <v/>
      </c>
      <c r="AD130" s="333" t="str">
        <f t="array" ref="AD130">IF(X130="","",INDEX('Bills &amp; Invoices'!$U$5:$U$32,MATCH(X130,'Bills &amp; Invoices'!$B$5:$B$32,0)))</f>
        <v/>
      </c>
    </row>
    <row r="131" ht="14.25" customHeight="1">
      <c r="R13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Clearances'!$A$4:$Q$4)),FALSE)),ROWS(R$5:R131)))&amp;""  –  ""&amp;INDEX('Chemical Clearances'!$D$5:$D$169,MATCH(INDEX('Chemical Clearances'!$B$5:$B$169,LARGE(FILTER((ROW('Chemical Clearances'!$B$5:$B$169)-ROW('"&amp;"Chemical Clearances'!$A$4:$Q$4)),IFERROR((MATCH('Chemical Clearances'!$B$5:$B$169,'Chemical Clearances'!$B$5:$B$169,0)=ROW('Chemical Clearances'!$B$5:$B$169)-ROW('Chemical Clearances'!$A$4:$Q$4)),FALSE)),ROWS(R$5:R131))),'Chemical Clearances'!$B$5:$B$169,"&amp;"0)),"""")), 1, 1)"),"CLN-021  –  Bea Mountain Mining Corporation (BMMC)")</f>
        <v>CLN-021  –  Bea Mountain Mining Corporation (BMMC)</v>
      </c>
      <c r="X13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Invoices'!$A$4:$V$4)),FALSE)),ROWS(X$5:X131))),"""")), 1, 1)"),"")</f>
        <v/>
      </c>
      <c r="Y131" s="333" t="str">
        <f t="array" ref="Y131">IF(X131="","",X131&amp;"  –  "&amp;INDEX('Bills &amp; Invoices'!$D$5:$D$32,MATCH(X131,'Bills &amp; Invoices'!$B$5:$B$32,0))&amp;"  –  $"&amp;TEXT(SUMIFS('Bills &amp; Invoices'!$J$5:$J$32,'Bills &amp; Invoices'!$B$5:$B$32,X131),"#,##0"))</f>
        <v/>
      </c>
      <c r="Z131" s="333" t="str">
        <f t="array" ref="Z131">IF(X131="","",INDEX('Bills &amp; Invoices'!$D$5:$D$32,MATCH(X131,'Bills &amp; Invoices'!$B$5:$B$32,0)))</f>
        <v/>
      </c>
      <c r="AA131" s="334" t="str">
        <f t="array" ref="AA131">IF(X131="","",INDEX('Bills &amp; Invoices'!$K$5:$K$32,MATCH(X131,'Bills &amp; Invoices'!$B$5:$B$32,0)))</f>
        <v/>
      </c>
      <c r="AB131" s="335" t="str">
        <f>IF(X131="","",SUMIFS('Bills &amp; Invoices'!$J$5:$J$32,'Bills &amp; Invoices'!$B$5:$B$32,X131))</f>
        <v/>
      </c>
      <c r="AC131" s="335" t="str">
        <f>IF(X131="","",SUMIFS('Payments &amp; Receipts'!$F$5:$F$58,'Payments &amp; Receipts'!$L$5:$L$58,X131))</f>
        <v/>
      </c>
      <c r="AD131" s="333" t="str">
        <f t="array" ref="AD131">IF(X131="","",INDEX('Bills &amp; Invoices'!$U$5:$U$32,MATCH(X131,'Bills &amp; Invoices'!$B$5:$B$32,0)))</f>
        <v/>
      </c>
    </row>
    <row r="132" ht="14.25" customHeight="1">
      <c r="R13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Clearances'!$A$4:$Q$4)),FALSE)),ROWS(R$5:R132)))&amp;""  –  ""&amp;INDEX('Chemical Clearances'!$D$5:$D$169,MATCH(INDEX('Chemical Clearances'!$B$5:$B$169,LARGE(FILTER((ROW('Chemical Clearances'!$B$5:$B$169)-ROW('"&amp;"Chemical Clearances'!$A$4:$Q$4)),IFERROR((MATCH('Chemical Clearances'!$B$5:$B$169,'Chemical Clearances'!$B$5:$B$169,0)=ROW('Chemical Clearances'!$B$5:$B$169)-ROW('Chemical Clearances'!$A$4:$Q$4)),FALSE)),ROWS(R$5:R132))),'Chemical Clearances'!$B$5:$B$169,"&amp;"0)),"""")), 1, 1)"),"CLN-020  –  Bea Mountain Mining Corporation (BMMC)")</f>
        <v>CLN-020  –  Bea Mountain Mining Corporation (BMMC)</v>
      </c>
      <c r="X13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Invoices'!$A$4:$V$4)),FALSE)),ROWS(X$5:X132))),"""")), 1, 1)"),"")</f>
        <v/>
      </c>
      <c r="Y132" s="333" t="str">
        <f t="array" ref="Y132">IF(X132="","",X132&amp;"  –  "&amp;INDEX('Bills &amp; Invoices'!$D$5:$D$32,MATCH(X132,'Bills &amp; Invoices'!$B$5:$B$32,0))&amp;"  –  $"&amp;TEXT(SUMIFS('Bills &amp; Invoices'!$J$5:$J$32,'Bills &amp; Invoices'!$B$5:$B$32,X132),"#,##0"))</f>
        <v/>
      </c>
      <c r="Z132" s="333" t="str">
        <f t="array" ref="Z132">IF(X132="","",INDEX('Bills &amp; Invoices'!$D$5:$D$32,MATCH(X132,'Bills &amp; Invoices'!$B$5:$B$32,0)))</f>
        <v/>
      </c>
      <c r="AA132" s="334" t="str">
        <f t="array" ref="AA132">IF(X132="","",INDEX('Bills &amp; Invoices'!$K$5:$K$32,MATCH(X132,'Bills &amp; Invoices'!$B$5:$B$32,0)))</f>
        <v/>
      </c>
      <c r="AB132" s="335" t="str">
        <f>IF(X132="","",SUMIFS('Bills &amp; Invoices'!$J$5:$J$32,'Bills &amp; Invoices'!$B$5:$B$32,X132))</f>
        <v/>
      </c>
      <c r="AC132" s="335" t="str">
        <f>IF(X132="","",SUMIFS('Payments &amp; Receipts'!$F$5:$F$58,'Payments &amp; Receipts'!$L$5:$L$58,X132))</f>
        <v/>
      </c>
      <c r="AD132" s="333" t="str">
        <f t="array" ref="AD132">IF(X132="","",INDEX('Bills &amp; Invoices'!$U$5:$U$32,MATCH(X132,'Bills &amp; Invoices'!$B$5:$B$32,0)))</f>
        <v/>
      </c>
    </row>
    <row r="133" ht="14.25" customHeight="1">
      <c r="R13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Clearances'!$A$4:$Q$4)),FALSE)),ROWS(R$5:R133)))&amp;""  –  ""&amp;INDEX('Chemical Clearances'!$D$5:$D$169,MATCH(INDEX('Chemical Clearances'!$B$5:$B$169,LARGE(FILTER((ROW('Chemical Clearances'!$B$5:$B$169)-ROW('"&amp;"Chemical Clearances'!$A$4:$Q$4)),IFERROR((MATCH('Chemical Clearances'!$B$5:$B$169,'Chemical Clearances'!$B$5:$B$169,0)=ROW('Chemical Clearances'!$B$5:$B$169)-ROW('Chemical Clearances'!$A$4:$Q$4)),FALSE)),ROWS(R$5:R133))),'Chemical Clearances'!$B$5:$B$169,"&amp;"0)),"""")), 1, 1)"),"CLN-019  –  Bea Mountain Mining Corporation (BMMC)")</f>
        <v>CLN-019  –  Bea Mountain Mining Corporation (BMMC)</v>
      </c>
      <c r="X13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Invoices'!$A$4:$V$4)),FALSE)),ROWS(X$5:X133))),"""")), 1, 1)"),"")</f>
        <v/>
      </c>
      <c r="Y133" s="333" t="str">
        <f t="array" ref="Y133">IF(X133="","",X133&amp;"  –  "&amp;INDEX('Bills &amp; Invoices'!$D$5:$D$32,MATCH(X133,'Bills &amp; Invoices'!$B$5:$B$32,0))&amp;"  –  $"&amp;TEXT(SUMIFS('Bills &amp; Invoices'!$J$5:$J$32,'Bills &amp; Invoices'!$B$5:$B$32,X133),"#,##0"))</f>
        <v/>
      </c>
      <c r="Z133" s="333" t="str">
        <f t="array" ref="Z133">IF(X133="","",INDEX('Bills &amp; Invoices'!$D$5:$D$32,MATCH(X133,'Bills &amp; Invoices'!$B$5:$B$32,0)))</f>
        <v/>
      </c>
      <c r="AA133" s="334" t="str">
        <f t="array" ref="AA133">IF(X133="","",INDEX('Bills &amp; Invoices'!$K$5:$K$32,MATCH(X133,'Bills &amp; Invoices'!$B$5:$B$32,0)))</f>
        <v/>
      </c>
      <c r="AB133" s="335" t="str">
        <f>IF(X133="","",SUMIFS('Bills &amp; Invoices'!$J$5:$J$32,'Bills &amp; Invoices'!$B$5:$B$32,X133))</f>
        <v/>
      </c>
      <c r="AC133" s="335" t="str">
        <f>IF(X133="","",SUMIFS('Payments &amp; Receipts'!$F$5:$F$58,'Payments &amp; Receipts'!$L$5:$L$58,X133))</f>
        <v/>
      </c>
      <c r="AD133" s="333" t="str">
        <f t="array" ref="AD133">IF(X133="","",INDEX('Bills &amp; Invoices'!$U$5:$U$32,MATCH(X133,'Bills &amp; Invoices'!$B$5:$B$32,0)))</f>
        <v/>
      </c>
    </row>
    <row r="134" ht="14.25" customHeight="1">
      <c r="R13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Clearances'!$A$4:$Q$4)),FALSE)),ROWS(R$5:R134)))&amp;""  –  ""&amp;INDEX('Chemical Clearances'!$D$5:$D$169,MATCH(INDEX('Chemical Clearances'!$B$5:$B$169,LARGE(FILTER((ROW('Chemical Clearances'!$B$5:$B$169)-ROW('"&amp;"Chemical Clearances'!$A$4:$Q$4)),IFERROR((MATCH('Chemical Clearances'!$B$5:$B$169,'Chemical Clearances'!$B$5:$B$169,0)=ROW('Chemical Clearances'!$B$5:$B$169)-ROW('Chemical Clearances'!$A$4:$Q$4)),FALSE)),ROWS(R$5:R134))),'Chemical Clearances'!$B$5:$B$169,"&amp;"0)),"""")), 1, 1)"),"CLN-018  –  Bea Mountain Mining Corporation (BMMC)")</f>
        <v>CLN-018  –  Bea Mountain Mining Corporation (BMMC)</v>
      </c>
      <c r="X13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Invoices'!$A$4:$V$4)),FALSE)),ROWS(X$5:X134))),"""")), 1, 1)"),"")</f>
        <v/>
      </c>
      <c r="Y134" s="333" t="str">
        <f t="array" ref="Y134">IF(X134="","",X134&amp;"  –  "&amp;INDEX('Bills &amp; Invoices'!$D$5:$D$32,MATCH(X134,'Bills &amp; Invoices'!$B$5:$B$32,0))&amp;"  –  $"&amp;TEXT(SUMIFS('Bills &amp; Invoices'!$J$5:$J$32,'Bills &amp; Invoices'!$B$5:$B$32,X134),"#,##0"))</f>
        <v/>
      </c>
      <c r="Z134" s="333" t="str">
        <f t="array" ref="Z134">IF(X134="","",INDEX('Bills &amp; Invoices'!$D$5:$D$32,MATCH(X134,'Bills &amp; Invoices'!$B$5:$B$32,0)))</f>
        <v/>
      </c>
      <c r="AA134" s="334" t="str">
        <f t="array" ref="AA134">IF(X134="","",INDEX('Bills &amp; Invoices'!$K$5:$K$32,MATCH(X134,'Bills &amp; Invoices'!$B$5:$B$32,0)))</f>
        <v/>
      </c>
      <c r="AB134" s="335" t="str">
        <f>IF(X134="","",SUMIFS('Bills &amp; Invoices'!$J$5:$J$32,'Bills &amp; Invoices'!$B$5:$B$32,X134))</f>
        <v/>
      </c>
      <c r="AC134" s="335" t="str">
        <f>IF(X134="","",SUMIFS('Payments &amp; Receipts'!$F$5:$F$58,'Payments &amp; Receipts'!$L$5:$L$58,X134))</f>
        <v/>
      </c>
      <c r="AD134" s="333" t="str">
        <f t="array" ref="AD134">IF(X134="","",INDEX('Bills &amp; Invoices'!$U$5:$U$32,MATCH(X134,'Bills &amp; Invoices'!$B$5:$B$32,0)))</f>
        <v/>
      </c>
    </row>
    <row r="135" ht="14.25" customHeight="1">
      <c r="R13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Clearances'!$A$4:$Q$4)),FALSE)),ROWS(R$5:R135)))&amp;""  –  ""&amp;INDEX('Chemical Clearances'!$D$5:$D$169,MATCH(INDEX('Chemical Clearances'!$B$5:$B$169,LARGE(FILTER((ROW('Chemical Clearances'!$B$5:$B$169)-ROW('"&amp;"Chemical Clearances'!$A$4:$Q$4)),IFERROR((MATCH('Chemical Clearances'!$B$5:$B$169,'Chemical Clearances'!$B$5:$B$169,0)=ROW('Chemical Clearances'!$B$5:$B$169)-ROW('Chemical Clearances'!$A$4:$Q$4)),FALSE)),ROWS(R$5:R135))),'Chemical Clearances'!$B$5:$B$169,"&amp;"0)),"""")), 1, 1)"),"CLN-017  –  Bea Mountain Mining Corporation (BMMC)")</f>
        <v>CLN-017  –  Bea Mountain Mining Corporation (BMMC)</v>
      </c>
      <c r="X13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Invoices'!$A$4:$V$4)),FALSE)),ROWS(X$5:X135))),"""")), 1, 1)"),"")</f>
        <v/>
      </c>
      <c r="Y135" s="333" t="str">
        <f t="array" ref="Y135">IF(X135="","",X135&amp;"  –  "&amp;INDEX('Bills &amp; Invoices'!$D$5:$D$32,MATCH(X135,'Bills &amp; Invoices'!$B$5:$B$32,0))&amp;"  –  $"&amp;TEXT(SUMIFS('Bills &amp; Invoices'!$J$5:$J$32,'Bills &amp; Invoices'!$B$5:$B$32,X135),"#,##0"))</f>
        <v/>
      </c>
      <c r="Z135" s="333" t="str">
        <f t="array" ref="Z135">IF(X135="","",INDEX('Bills &amp; Invoices'!$D$5:$D$32,MATCH(X135,'Bills &amp; Invoices'!$B$5:$B$32,0)))</f>
        <v/>
      </c>
      <c r="AA135" s="334" t="str">
        <f t="array" ref="AA135">IF(X135="","",INDEX('Bills &amp; Invoices'!$K$5:$K$32,MATCH(X135,'Bills &amp; Invoices'!$B$5:$B$32,0)))</f>
        <v/>
      </c>
      <c r="AB135" s="335" t="str">
        <f>IF(X135="","",SUMIFS('Bills &amp; Invoices'!$J$5:$J$32,'Bills &amp; Invoices'!$B$5:$B$32,X135))</f>
        <v/>
      </c>
      <c r="AC135" s="335" t="str">
        <f>IF(X135="","",SUMIFS('Payments &amp; Receipts'!$F$5:$F$58,'Payments &amp; Receipts'!$L$5:$L$58,X135))</f>
        <v/>
      </c>
      <c r="AD135" s="333" t="str">
        <f t="array" ref="AD135">IF(X135="","",INDEX('Bills &amp; Invoices'!$U$5:$U$32,MATCH(X135,'Bills &amp; Invoices'!$B$5:$B$32,0)))</f>
        <v/>
      </c>
    </row>
    <row r="136" ht="14.25" customHeight="1">
      <c r="R13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Clearances'!$A$4:$Q$4)),FALSE)),ROWS(R$5:R136)))&amp;""  –  ""&amp;INDEX('Chemical Clearances'!$D$5:$D$169,MATCH(INDEX('Chemical Clearances'!$B$5:$B$169,LARGE(FILTER((ROW('Chemical Clearances'!$B$5:$B$169)-ROW('"&amp;"Chemical Clearances'!$A$4:$Q$4)),IFERROR((MATCH('Chemical Clearances'!$B$5:$B$169,'Chemical Clearances'!$B$5:$B$169,0)=ROW('Chemical Clearances'!$B$5:$B$169)-ROW('Chemical Clearances'!$A$4:$Q$4)),FALSE)),ROWS(R$5:R136))),'Chemical Clearances'!$B$5:$B$169,"&amp;"0)),"""")), 1, 1)"),"CLN-016  –  Bea Mountain Mining Corporation (BMMC)")</f>
        <v>CLN-016  –  Bea Mountain Mining Corporation (BMMC)</v>
      </c>
      <c r="X13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Invoices'!$A$4:$V$4)),FALSE)),ROWS(X$5:X136))),"""")), 1, 1)"),"")</f>
        <v/>
      </c>
      <c r="Y136" s="333" t="str">
        <f t="array" ref="Y136">IF(X136="","",X136&amp;"  –  "&amp;INDEX('Bills &amp; Invoices'!$D$5:$D$32,MATCH(X136,'Bills &amp; Invoices'!$B$5:$B$32,0))&amp;"  –  $"&amp;TEXT(SUMIFS('Bills &amp; Invoices'!$J$5:$J$32,'Bills &amp; Invoices'!$B$5:$B$32,X136),"#,##0"))</f>
        <v/>
      </c>
      <c r="Z136" s="333" t="str">
        <f t="array" ref="Z136">IF(X136="","",INDEX('Bills &amp; Invoices'!$D$5:$D$32,MATCH(X136,'Bills &amp; Invoices'!$B$5:$B$32,0)))</f>
        <v/>
      </c>
      <c r="AA136" s="334" t="str">
        <f t="array" ref="AA136">IF(X136="","",INDEX('Bills &amp; Invoices'!$K$5:$K$32,MATCH(X136,'Bills &amp; Invoices'!$B$5:$B$32,0)))</f>
        <v/>
      </c>
      <c r="AB136" s="335" t="str">
        <f>IF(X136="","",SUMIFS('Bills &amp; Invoices'!$J$5:$J$32,'Bills &amp; Invoices'!$B$5:$B$32,X136))</f>
        <v/>
      </c>
      <c r="AC136" s="335" t="str">
        <f>IF(X136="","",SUMIFS('Payments &amp; Receipts'!$F$5:$F$58,'Payments &amp; Receipts'!$L$5:$L$58,X136))</f>
        <v/>
      </c>
      <c r="AD136" s="333" t="str">
        <f t="array" ref="AD136">IF(X136="","",INDEX('Bills &amp; Invoices'!$U$5:$U$32,MATCH(X136,'Bills &amp; Invoices'!$B$5:$B$32,0)))</f>
        <v/>
      </c>
    </row>
    <row r="137" ht="14.25" customHeight="1">
      <c r="R13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Clearances'!$A$4:$Q$4)),FALSE)),ROWS(R$5:R137)))&amp;""  –  ""&amp;INDEX('Chemical Clearances'!$D$5:$D$169,MATCH(INDEX('Chemical Clearances'!$B$5:$B$169,LARGE(FILTER((ROW('Chemical Clearances'!$B$5:$B$169)-ROW('"&amp;"Chemical Clearances'!$A$4:$Q$4)),IFERROR((MATCH('Chemical Clearances'!$B$5:$B$169,'Chemical Clearances'!$B$5:$B$169,0)=ROW('Chemical Clearances'!$B$5:$B$169)-ROW('Chemical Clearances'!$A$4:$Q$4)),FALSE)),ROWS(R$5:R137))),'Chemical Clearances'!$B$5:$B$169,"&amp;"0)),"""")), 1, 1)"),"CLN-015  –  Bea Mountain Mining Corporation (BMMC)")</f>
        <v>CLN-015  –  Bea Mountain Mining Corporation (BMMC)</v>
      </c>
      <c r="X13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Invoices'!$A$4:$V$4)),FALSE)),ROWS(X$5:X137))),"""")), 1, 1)"),"")</f>
        <v/>
      </c>
      <c r="Y137" s="333" t="str">
        <f t="array" ref="Y137">IF(X137="","",X137&amp;"  –  "&amp;INDEX('Bills &amp; Invoices'!$D$5:$D$32,MATCH(X137,'Bills &amp; Invoices'!$B$5:$B$32,0))&amp;"  –  $"&amp;TEXT(SUMIFS('Bills &amp; Invoices'!$J$5:$J$32,'Bills &amp; Invoices'!$B$5:$B$32,X137),"#,##0"))</f>
        <v/>
      </c>
      <c r="Z137" s="333" t="str">
        <f t="array" ref="Z137">IF(X137="","",INDEX('Bills &amp; Invoices'!$D$5:$D$32,MATCH(X137,'Bills &amp; Invoices'!$B$5:$B$32,0)))</f>
        <v/>
      </c>
      <c r="AA137" s="334" t="str">
        <f t="array" ref="AA137">IF(X137="","",INDEX('Bills &amp; Invoices'!$K$5:$K$32,MATCH(X137,'Bills &amp; Invoices'!$B$5:$B$32,0)))</f>
        <v/>
      </c>
      <c r="AB137" s="335" t="str">
        <f>IF(X137="","",SUMIFS('Bills &amp; Invoices'!$J$5:$J$32,'Bills &amp; Invoices'!$B$5:$B$32,X137))</f>
        <v/>
      </c>
      <c r="AC137" s="335" t="str">
        <f>IF(X137="","",SUMIFS('Payments &amp; Receipts'!$F$5:$F$58,'Payments &amp; Receipts'!$L$5:$L$58,X137))</f>
        <v/>
      </c>
      <c r="AD137" s="333" t="str">
        <f t="array" ref="AD137">IF(X137="","",INDEX('Bills &amp; Invoices'!$U$5:$U$32,MATCH(X137,'Bills &amp; Invoices'!$B$5:$B$32,0)))</f>
        <v/>
      </c>
    </row>
    <row r="138" ht="14.25" customHeight="1">
      <c r="R13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Clearances'!$A$4:$Q$4)),FALSE)),ROWS(R$5:R138)))&amp;""  –  ""&amp;INDEX('Chemical Clearances'!$D$5:$D$169,MATCH(INDEX('Chemical Clearances'!$B$5:$B$169,LARGE(FILTER((ROW('Chemical Clearances'!$B$5:$B$169)-ROW('"&amp;"Chemical Clearances'!$A$4:$Q$4)),IFERROR((MATCH('Chemical Clearances'!$B$5:$B$169,'Chemical Clearances'!$B$5:$B$169,0)=ROW('Chemical Clearances'!$B$5:$B$169)-ROW('Chemical Clearances'!$A$4:$Q$4)),FALSE)),ROWS(R$5:R138))),'Chemical Clearances'!$B$5:$B$169,"&amp;"0)),"""")), 1, 1)"),"CLN-014  –  Bea Mountain Mining Corporation (BMMC)")</f>
        <v>CLN-014  –  Bea Mountain Mining Corporation (BMMC)</v>
      </c>
      <c r="X13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Invoices'!$A$4:$V$4)),FALSE)),ROWS(X$5:X138))),"""")), 1, 1)"),"")</f>
        <v/>
      </c>
      <c r="Y138" s="333" t="str">
        <f t="array" ref="Y138">IF(X138="","",X138&amp;"  –  "&amp;INDEX('Bills &amp; Invoices'!$D$5:$D$32,MATCH(X138,'Bills &amp; Invoices'!$B$5:$B$32,0))&amp;"  –  $"&amp;TEXT(SUMIFS('Bills &amp; Invoices'!$J$5:$J$32,'Bills &amp; Invoices'!$B$5:$B$32,X138),"#,##0"))</f>
        <v/>
      </c>
      <c r="Z138" s="333" t="str">
        <f t="array" ref="Z138">IF(X138="","",INDEX('Bills &amp; Invoices'!$D$5:$D$32,MATCH(X138,'Bills &amp; Invoices'!$B$5:$B$32,0)))</f>
        <v/>
      </c>
      <c r="AA138" s="334" t="str">
        <f t="array" ref="AA138">IF(X138="","",INDEX('Bills &amp; Invoices'!$K$5:$K$32,MATCH(X138,'Bills &amp; Invoices'!$B$5:$B$32,0)))</f>
        <v/>
      </c>
      <c r="AB138" s="335" t="str">
        <f>IF(X138="","",SUMIFS('Bills &amp; Invoices'!$J$5:$J$32,'Bills &amp; Invoices'!$B$5:$B$32,X138))</f>
        <v/>
      </c>
      <c r="AC138" s="335" t="str">
        <f>IF(X138="","",SUMIFS('Payments &amp; Receipts'!$F$5:$F$58,'Payments &amp; Receipts'!$L$5:$L$58,X138))</f>
        <v/>
      </c>
      <c r="AD138" s="333" t="str">
        <f t="array" ref="AD138">IF(X138="","",INDEX('Bills &amp; Invoices'!$U$5:$U$32,MATCH(X138,'Bills &amp; Invoices'!$B$5:$B$32,0)))</f>
        <v/>
      </c>
    </row>
    <row r="139" ht="14.25" customHeight="1">
      <c r="R13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Clearances'!$A$4:$Q$4)),FALSE)),ROWS(R$5:R139)))&amp;""  –  ""&amp;INDEX('Chemical Clearances'!$D$5:$D$169,MATCH(INDEX('Chemical Clearances'!$B$5:$B$169,LARGE(FILTER((ROW('Chemical Clearances'!$B$5:$B$169)-ROW('"&amp;"Chemical Clearances'!$A$4:$Q$4)),IFERROR((MATCH('Chemical Clearances'!$B$5:$B$169,'Chemical Clearances'!$B$5:$B$169,0)=ROW('Chemical Clearances'!$B$5:$B$169)-ROW('Chemical Clearances'!$A$4:$Q$4)),FALSE)),ROWS(R$5:R139))),'Chemical Clearances'!$B$5:$B$169,"&amp;"0)),"""")), 1, 1)"),"CLN-013  –  Bea Mountain Mining Corporation (BMMC)")</f>
        <v>CLN-013  –  Bea Mountain Mining Corporation (BMMC)</v>
      </c>
      <c r="X13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Invoices'!$A$4:$V$4)),FALSE)),ROWS(X$5:X139))),"""")), 1, 1)"),"")</f>
        <v/>
      </c>
      <c r="Y139" s="333" t="str">
        <f t="array" ref="Y139">IF(X139="","",X139&amp;"  –  "&amp;INDEX('Bills &amp; Invoices'!$D$5:$D$32,MATCH(X139,'Bills &amp; Invoices'!$B$5:$B$32,0))&amp;"  –  $"&amp;TEXT(SUMIFS('Bills &amp; Invoices'!$J$5:$J$32,'Bills &amp; Invoices'!$B$5:$B$32,X139),"#,##0"))</f>
        <v/>
      </c>
      <c r="Z139" s="333" t="str">
        <f t="array" ref="Z139">IF(X139="","",INDEX('Bills &amp; Invoices'!$D$5:$D$32,MATCH(X139,'Bills &amp; Invoices'!$B$5:$B$32,0)))</f>
        <v/>
      </c>
      <c r="AA139" s="334" t="str">
        <f t="array" ref="AA139">IF(X139="","",INDEX('Bills &amp; Invoices'!$K$5:$K$32,MATCH(X139,'Bills &amp; Invoices'!$B$5:$B$32,0)))</f>
        <v/>
      </c>
      <c r="AB139" s="335" t="str">
        <f>IF(X139="","",SUMIFS('Bills &amp; Invoices'!$J$5:$J$32,'Bills &amp; Invoices'!$B$5:$B$32,X139))</f>
        <v/>
      </c>
      <c r="AC139" s="335" t="str">
        <f>IF(X139="","",SUMIFS('Payments &amp; Receipts'!$F$5:$F$58,'Payments &amp; Receipts'!$L$5:$L$58,X139))</f>
        <v/>
      </c>
      <c r="AD139" s="333" t="str">
        <f t="array" ref="AD139">IF(X139="","",INDEX('Bills &amp; Invoices'!$U$5:$U$32,MATCH(X139,'Bills &amp; Invoices'!$B$5:$B$32,0)))</f>
        <v/>
      </c>
    </row>
    <row r="140" ht="14.25" customHeight="1">
      <c r="R14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Clearances'!$A$4:$Q$4)),FALSE)),ROWS(R$5:R140)))&amp;""  –  ""&amp;INDEX('Chemical Clearances'!$D$5:$D$169,MATCH(INDEX('Chemical Clearances'!$B$5:$B$169,LARGE(FILTER((ROW('Chemical Clearances'!$B$5:$B$169)-ROW('"&amp;"Chemical Clearances'!$A$4:$Q$4)),IFERROR((MATCH('Chemical Clearances'!$B$5:$B$169,'Chemical Clearances'!$B$5:$B$169,0)=ROW('Chemical Clearances'!$B$5:$B$169)-ROW('Chemical Clearances'!$A$4:$Q$4)),FALSE)),ROWS(R$5:R140))),'Chemical Clearances'!$B$5:$B$169,"&amp;"0)),"""")), 1, 1)"),"CLN-012  –  Bea Mountain Mining Corporation (BMMC)")</f>
        <v>CLN-012  –  Bea Mountain Mining Corporation (BMMC)</v>
      </c>
      <c r="X14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Invoices'!$A$4:$V$4)),FALSE)),ROWS(X$5:X140))),"""")), 1, 1)"),"")</f>
        <v/>
      </c>
      <c r="Y140" s="333" t="str">
        <f t="array" ref="Y140">IF(X140="","",X140&amp;"  –  "&amp;INDEX('Bills &amp; Invoices'!$D$5:$D$32,MATCH(X140,'Bills &amp; Invoices'!$B$5:$B$32,0))&amp;"  –  $"&amp;TEXT(SUMIFS('Bills &amp; Invoices'!$J$5:$J$32,'Bills &amp; Invoices'!$B$5:$B$32,X140),"#,##0"))</f>
        <v/>
      </c>
      <c r="Z140" s="333" t="str">
        <f t="array" ref="Z140">IF(X140="","",INDEX('Bills &amp; Invoices'!$D$5:$D$32,MATCH(X140,'Bills &amp; Invoices'!$B$5:$B$32,0)))</f>
        <v/>
      </c>
      <c r="AA140" s="334" t="str">
        <f t="array" ref="AA140">IF(X140="","",INDEX('Bills &amp; Invoices'!$K$5:$K$32,MATCH(X140,'Bills &amp; Invoices'!$B$5:$B$32,0)))</f>
        <v/>
      </c>
      <c r="AB140" s="335" t="str">
        <f>IF(X140="","",SUMIFS('Bills &amp; Invoices'!$J$5:$J$32,'Bills &amp; Invoices'!$B$5:$B$32,X140))</f>
        <v/>
      </c>
      <c r="AC140" s="335" t="str">
        <f>IF(X140="","",SUMIFS('Payments &amp; Receipts'!$F$5:$F$58,'Payments &amp; Receipts'!$L$5:$L$58,X140))</f>
        <v/>
      </c>
      <c r="AD140" s="333" t="str">
        <f t="array" ref="AD140">IF(X140="","",INDEX('Bills &amp; Invoices'!$U$5:$U$32,MATCH(X140,'Bills &amp; Invoices'!$B$5:$B$32,0)))</f>
        <v/>
      </c>
    </row>
    <row r="141" ht="14.25" customHeight="1">
      <c r="R14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Clearances'!$A$4:$Q$4)),FALSE)),ROWS(R$5:R141)))&amp;""  –  ""&amp;INDEX('Chemical Clearances'!$D$5:$D$169,MATCH(INDEX('Chemical Clearances'!$B$5:$B$169,LARGE(FILTER((ROW('Chemical Clearances'!$B$5:$B$169)-ROW('"&amp;"Chemical Clearances'!$A$4:$Q$4)),IFERROR((MATCH('Chemical Clearances'!$B$5:$B$169,'Chemical Clearances'!$B$5:$B$169,0)=ROW('Chemical Clearances'!$B$5:$B$169)-ROW('Chemical Clearances'!$A$4:$Q$4)),FALSE)),ROWS(R$5:R141))),'Chemical Clearances'!$B$5:$B$169,"&amp;"0)),"""")), 1, 1)"),"CLN-011  –  Bea Mountain Mining Corporation (BMMC)")</f>
        <v>CLN-011  –  Bea Mountain Mining Corporation (BMMC)</v>
      </c>
      <c r="X14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Invoices'!$A$4:$V$4)),FALSE)),ROWS(X$5:X141))),"""")), 1, 1)"),"")</f>
        <v/>
      </c>
      <c r="Y141" s="333" t="str">
        <f t="array" ref="Y141">IF(X141="","",X141&amp;"  –  "&amp;INDEX('Bills &amp; Invoices'!$D$5:$D$32,MATCH(X141,'Bills &amp; Invoices'!$B$5:$B$32,0))&amp;"  –  $"&amp;TEXT(SUMIFS('Bills &amp; Invoices'!$J$5:$J$32,'Bills &amp; Invoices'!$B$5:$B$32,X141),"#,##0"))</f>
        <v/>
      </c>
      <c r="Z141" s="333" t="str">
        <f t="array" ref="Z141">IF(X141="","",INDEX('Bills &amp; Invoices'!$D$5:$D$32,MATCH(X141,'Bills &amp; Invoices'!$B$5:$B$32,0)))</f>
        <v/>
      </c>
      <c r="AA141" s="334" t="str">
        <f t="array" ref="AA141">IF(X141="","",INDEX('Bills &amp; Invoices'!$K$5:$K$32,MATCH(X141,'Bills &amp; Invoices'!$B$5:$B$32,0)))</f>
        <v/>
      </c>
      <c r="AB141" s="335" t="str">
        <f>IF(X141="","",SUMIFS('Bills &amp; Invoices'!$J$5:$J$32,'Bills &amp; Invoices'!$B$5:$B$32,X141))</f>
        <v/>
      </c>
      <c r="AC141" s="335" t="str">
        <f>IF(X141="","",SUMIFS('Payments &amp; Receipts'!$F$5:$F$58,'Payments &amp; Receipts'!$L$5:$L$58,X141))</f>
        <v/>
      </c>
      <c r="AD141" s="333" t="str">
        <f t="array" ref="AD141">IF(X141="","",INDEX('Bills &amp; Invoices'!$U$5:$U$32,MATCH(X141,'Bills &amp; Invoices'!$B$5:$B$32,0)))</f>
        <v/>
      </c>
    </row>
    <row r="142" ht="14.25" customHeight="1">
      <c r="R14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Clearances'!$A$4:$Q$4)),FALSE)),ROWS(R$5:R142)))&amp;""  –  ""&amp;INDEX('Chemical Clearances'!$D$5:$D$169,MATCH(INDEX('Chemical Clearances'!$B$5:$B$169,LARGE(FILTER((ROW('Chemical Clearances'!$B$5:$B$169)-ROW('"&amp;"Chemical Clearances'!$A$4:$Q$4)),IFERROR((MATCH('Chemical Clearances'!$B$5:$B$169,'Chemical Clearances'!$B$5:$B$169,0)=ROW('Chemical Clearances'!$B$5:$B$169)-ROW('Chemical Clearances'!$A$4:$Q$4)),FALSE)),ROWS(R$5:R142))),'Chemical Clearances'!$B$5:$B$169,"&amp;"0)),"""")), 1, 1)"),"CLN-010  –  Bea Mountain Mining Corporation (BMMC)")</f>
        <v>CLN-010  –  Bea Mountain Mining Corporation (BMMC)</v>
      </c>
      <c r="X14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Invoices'!$A$4:$V$4)),FALSE)),ROWS(X$5:X142))),"""")), 1, 1)"),"")</f>
        <v/>
      </c>
      <c r="Y142" s="333" t="str">
        <f t="array" ref="Y142">IF(X142="","",X142&amp;"  –  "&amp;INDEX('Bills &amp; Invoices'!$D$5:$D$32,MATCH(X142,'Bills &amp; Invoices'!$B$5:$B$32,0))&amp;"  –  $"&amp;TEXT(SUMIFS('Bills &amp; Invoices'!$J$5:$J$32,'Bills &amp; Invoices'!$B$5:$B$32,X142),"#,##0"))</f>
        <v/>
      </c>
      <c r="Z142" s="333" t="str">
        <f t="array" ref="Z142">IF(X142="","",INDEX('Bills &amp; Invoices'!$D$5:$D$32,MATCH(X142,'Bills &amp; Invoices'!$B$5:$B$32,0)))</f>
        <v/>
      </c>
      <c r="AA142" s="334" t="str">
        <f t="array" ref="AA142">IF(X142="","",INDEX('Bills &amp; Invoices'!$K$5:$K$32,MATCH(X142,'Bills &amp; Invoices'!$B$5:$B$32,0)))</f>
        <v/>
      </c>
      <c r="AB142" s="335" t="str">
        <f>IF(X142="","",SUMIFS('Bills &amp; Invoices'!$J$5:$J$32,'Bills &amp; Invoices'!$B$5:$B$32,X142))</f>
        <v/>
      </c>
      <c r="AC142" s="335" t="str">
        <f>IF(X142="","",SUMIFS('Payments &amp; Receipts'!$F$5:$F$58,'Payments &amp; Receipts'!$L$5:$L$58,X142))</f>
        <v/>
      </c>
      <c r="AD142" s="333" t="str">
        <f t="array" ref="AD142">IF(X142="","",INDEX('Bills &amp; Invoices'!$U$5:$U$32,MATCH(X142,'Bills &amp; Invoices'!$B$5:$B$32,0)))</f>
        <v/>
      </c>
    </row>
    <row r="143" ht="14.25" customHeight="1">
      <c r="R14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Clearances'!$A$4:$Q$4)),FALSE)),ROWS(R$5:R143)))&amp;""  –  ""&amp;INDEX('Chemical Clearances'!$D$5:$D$169,MATCH(INDEX('Chemical Clearances'!$B$5:$B$169,LARGE(FILTER((ROW('Chemical Clearances'!$B$5:$B$169)-ROW('"&amp;"Chemical Clearances'!$A$4:$Q$4)),IFERROR((MATCH('Chemical Clearances'!$B$5:$B$169,'Chemical Clearances'!$B$5:$B$169,0)=ROW('Chemical Clearances'!$B$5:$B$169)-ROW('Chemical Clearances'!$A$4:$Q$4)),FALSE)),ROWS(R$5:R143))),'Chemical Clearances'!$B$5:$B$169,"&amp;"0)),"""")), 1, 1)"),"CLN-009  –  MNG Gold Liberia Inc.")</f>
        <v>CLN-009  –  MNG Gold Liberia Inc.</v>
      </c>
      <c r="X14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Invoices'!$A$4:$V$4)),FALSE)),ROWS(X$5:X143))),"""")), 1, 1)"),"")</f>
        <v/>
      </c>
      <c r="Y143" s="333" t="str">
        <f t="array" ref="Y143">IF(X143="","",X143&amp;"  –  "&amp;INDEX('Bills &amp; Invoices'!$D$5:$D$32,MATCH(X143,'Bills &amp; Invoices'!$B$5:$B$32,0))&amp;"  –  $"&amp;TEXT(SUMIFS('Bills &amp; Invoices'!$J$5:$J$32,'Bills &amp; Invoices'!$B$5:$B$32,X143),"#,##0"))</f>
        <v/>
      </c>
      <c r="Z143" s="333" t="str">
        <f t="array" ref="Z143">IF(X143="","",INDEX('Bills &amp; Invoices'!$D$5:$D$32,MATCH(X143,'Bills &amp; Invoices'!$B$5:$B$32,0)))</f>
        <v/>
      </c>
      <c r="AA143" s="334" t="str">
        <f t="array" ref="AA143">IF(X143="","",INDEX('Bills &amp; Invoices'!$K$5:$K$32,MATCH(X143,'Bills &amp; Invoices'!$B$5:$B$32,0)))</f>
        <v/>
      </c>
      <c r="AB143" s="335" t="str">
        <f>IF(X143="","",SUMIFS('Bills &amp; Invoices'!$J$5:$J$32,'Bills &amp; Invoices'!$B$5:$B$32,X143))</f>
        <v/>
      </c>
      <c r="AC143" s="335" t="str">
        <f>IF(X143="","",SUMIFS('Payments &amp; Receipts'!$F$5:$F$58,'Payments &amp; Receipts'!$L$5:$L$58,X143))</f>
        <v/>
      </c>
      <c r="AD143" s="333" t="str">
        <f t="array" ref="AD143">IF(X143="","",INDEX('Bills &amp; Invoices'!$U$5:$U$32,MATCH(X143,'Bills &amp; Invoices'!$B$5:$B$32,0)))</f>
        <v/>
      </c>
    </row>
    <row r="144" ht="14.25" customHeight="1">
      <c r="R14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Clearances'!$A$4:$Q$4)),FALSE)),ROWS(R$5:R144)))&amp;""  –  ""&amp;INDEX('Chemical Clearances'!$D$5:$D$169,MATCH(INDEX('Chemical Clearances'!$B$5:$B$169,LARGE(FILTER((ROW('Chemical Clearances'!$B$5:$B$169)-ROW('"&amp;"Chemical Clearances'!$A$4:$Q$4)),IFERROR((MATCH('Chemical Clearances'!$B$5:$B$169,'Chemical Clearances'!$B$5:$B$169,0)=ROW('Chemical Clearances'!$B$5:$B$169)-ROW('Chemical Clearances'!$A$4:$Q$4)),FALSE)),ROWS(R$5:R144))),'Chemical Clearances'!$B$5:$B$169,"&amp;"0)),"""")), 1, 1)"),"CLN-008  –  Bea Mountain Mining Corporation (BMMC)")</f>
        <v>CLN-008  –  Bea Mountain Mining Corporation (BMMC)</v>
      </c>
      <c r="X14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Invoices'!$A$4:$V$4)),FALSE)),ROWS(X$5:X144))),"""")), 1, 1)"),"")</f>
        <v/>
      </c>
      <c r="Y144" s="333" t="str">
        <f t="array" ref="Y144">IF(X144="","",X144&amp;"  –  "&amp;INDEX('Bills &amp; Invoices'!$D$5:$D$32,MATCH(X144,'Bills &amp; Invoices'!$B$5:$B$32,0))&amp;"  –  $"&amp;TEXT(SUMIFS('Bills &amp; Invoices'!$J$5:$J$32,'Bills &amp; Invoices'!$B$5:$B$32,X144),"#,##0"))</f>
        <v/>
      </c>
      <c r="Z144" s="333" t="str">
        <f t="array" ref="Z144">IF(X144="","",INDEX('Bills &amp; Invoices'!$D$5:$D$32,MATCH(X144,'Bills &amp; Invoices'!$B$5:$B$32,0)))</f>
        <v/>
      </c>
      <c r="AA144" s="334" t="str">
        <f t="array" ref="AA144">IF(X144="","",INDEX('Bills &amp; Invoices'!$K$5:$K$32,MATCH(X144,'Bills &amp; Invoices'!$B$5:$B$32,0)))</f>
        <v/>
      </c>
      <c r="AB144" s="335" t="str">
        <f>IF(X144="","",SUMIFS('Bills &amp; Invoices'!$J$5:$J$32,'Bills &amp; Invoices'!$B$5:$B$32,X144))</f>
        <v/>
      </c>
      <c r="AC144" s="335" t="str">
        <f>IF(X144="","",SUMIFS('Payments &amp; Receipts'!$F$5:$F$58,'Payments &amp; Receipts'!$L$5:$L$58,X144))</f>
        <v/>
      </c>
      <c r="AD144" s="333" t="str">
        <f t="array" ref="AD144">IF(X144="","",INDEX('Bills &amp; Invoices'!$U$5:$U$32,MATCH(X144,'Bills &amp; Invoices'!$B$5:$B$32,0)))</f>
        <v/>
      </c>
    </row>
    <row r="145" ht="14.25" customHeight="1">
      <c r="R14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Clearances'!$A$4:$Q$4)),FALSE)),ROWS(R$5:R145)))&amp;""  –  ""&amp;INDEX('Chemical Clearances'!$D$5:$D$169,MATCH(INDEX('Chemical Clearances'!$B$5:$B$169,LARGE(FILTER((ROW('Chemical Clearances'!$B$5:$B$169)-ROW('"&amp;"Chemical Clearances'!$A$4:$Q$4)),IFERROR((MATCH('Chemical Clearances'!$B$5:$B$169,'Chemical Clearances'!$B$5:$B$169,0)=ROW('Chemical Clearances'!$B$5:$B$169)-ROW('Chemical Clearances'!$A$4:$Q$4)),FALSE)),ROWS(R$5:R145))),'Chemical Clearances'!$B$5:$B$169,"&amp;"0)),"""")), 1, 1)"),"CLN-007  –  MNG Gold Liberia Inc.")</f>
        <v>CLN-007  –  MNG Gold Liberia Inc.</v>
      </c>
      <c r="X14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Invoices'!$A$4:$V$4)),FALSE)),ROWS(X$5:X145))),"""")), 1, 1)"),"")</f>
        <v/>
      </c>
      <c r="Y145" s="333" t="str">
        <f t="array" ref="Y145">IF(X145="","",X145&amp;"  –  "&amp;INDEX('Bills &amp; Invoices'!$D$5:$D$32,MATCH(X145,'Bills &amp; Invoices'!$B$5:$B$32,0))&amp;"  –  $"&amp;TEXT(SUMIFS('Bills &amp; Invoices'!$J$5:$J$32,'Bills &amp; Invoices'!$B$5:$B$32,X145),"#,##0"))</f>
        <v/>
      </c>
      <c r="Z145" s="333" t="str">
        <f t="array" ref="Z145">IF(X145="","",INDEX('Bills &amp; Invoices'!$D$5:$D$32,MATCH(X145,'Bills &amp; Invoices'!$B$5:$B$32,0)))</f>
        <v/>
      </c>
      <c r="AA145" s="334" t="str">
        <f t="array" ref="AA145">IF(X145="","",INDEX('Bills &amp; Invoices'!$K$5:$K$32,MATCH(X145,'Bills &amp; Invoices'!$B$5:$B$32,0)))</f>
        <v/>
      </c>
      <c r="AB145" s="335" t="str">
        <f>IF(X145="","",SUMIFS('Bills &amp; Invoices'!$J$5:$J$32,'Bills &amp; Invoices'!$B$5:$B$32,X145))</f>
        <v/>
      </c>
      <c r="AC145" s="335" t="str">
        <f>IF(X145="","",SUMIFS('Payments &amp; Receipts'!$F$5:$F$58,'Payments &amp; Receipts'!$L$5:$L$58,X145))</f>
        <v/>
      </c>
      <c r="AD145" s="333" t="str">
        <f t="array" ref="AD145">IF(X145="","",INDEX('Bills &amp; Invoices'!$U$5:$U$32,MATCH(X145,'Bills &amp; Invoices'!$B$5:$B$32,0)))</f>
        <v/>
      </c>
    </row>
    <row r="146" ht="14.25" customHeight="1">
      <c r="R14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Clearances'!$A$4:$Q$4)),FALSE)),ROWS(R$5:R146)))&amp;""  –  ""&amp;INDEX('Chemical Clearances'!$D$5:$D$169,MATCH(INDEX('Chemical Clearances'!$B$5:$B$169,LARGE(FILTER((ROW('Chemical Clearances'!$B$5:$B$169)-ROW('"&amp;"Chemical Clearances'!$A$4:$Q$4)),IFERROR((MATCH('Chemical Clearances'!$B$5:$B$169,'Chemical Clearances'!$B$5:$B$169,0)=ROW('Chemical Clearances'!$B$5:$B$169)-ROW('Chemical Clearances'!$A$4:$Q$4)),FALSE)),ROWS(R$5:R146))),'Chemical Clearances'!$B$5:$B$169,"&amp;"0)),"""")), 1, 1)"),"CLN-006  –  MNG Gold Liberia Inc.")</f>
        <v>CLN-006  –  MNG Gold Liberia Inc.</v>
      </c>
      <c r="X14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Invoices'!$A$4:$V$4)),FALSE)),ROWS(X$5:X146))),"""")), 1, 1)"),"")</f>
        <v/>
      </c>
      <c r="Y146" s="333" t="str">
        <f t="array" ref="Y146">IF(X146="","",X146&amp;"  –  "&amp;INDEX('Bills &amp; Invoices'!$D$5:$D$32,MATCH(X146,'Bills &amp; Invoices'!$B$5:$B$32,0))&amp;"  –  $"&amp;TEXT(SUMIFS('Bills &amp; Invoices'!$J$5:$J$32,'Bills &amp; Invoices'!$B$5:$B$32,X146),"#,##0"))</f>
        <v/>
      </c>
      <c r="Z146" s="333" t="str">
        <f t="array" ref="Z146">IF(X146="","",INDEX('Bills &amp; Invoices'!$D$5:$D$32,MATCH(X146,'Bills &amp; Invoices'!$B$5:$B$32,0)))</f>
        <v/>
      </c>
      <c r="AA146" s="334" t="str">
        <f t="array" ref="AA146">IF(X146="","",INDEX('Bills &amp; Invoices'!$K$5:$K$32,MATCH(X146,'Bills &amp; Invoices'!$B$5:$B$32,0)))</f>
        <v/>
      </c>
      <c r="AB146" s="335" t="str">
        <f>IF(X146="","",SUMIFS('Bills &amp; Invoices'!$J$5:$J$32,'Bills &amp; Invoices'!$B$5:$B$32,X146))</f>
        <v/>
      </c>
      <c r="AC146" s="335" t="str">
        <f>IF(X146="","",SUMIFS('Payments &amp; Receipts'!$F$5:$F$58,'Payments &amp; Receipts'!$L$5:$L$58,X146))</f>
        <v/>
      </c>
      <c r="AD146" s="333" t="str">
        <f t="array" ref="AD146">IF(X146="","",INDEX('Bills &amp; Invoices'!$U$5:$U$32,MATCH(X146,'Bills &amp; Invoices'!$B$5:$B$32,0)))</f>
        <v/>
      </c>
    </row>
    <row r="147" ht="14.25" customHeight="1">
      <c r="R14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Clearances'!$A$4:$Q$4)),FALSE)),ROWS(R$5:R147)))&amp;""  –  ""&amp;INDEX('Chemical Clearances'!$D$5:$D$169,MATCH(INDEX('Chemical Clearances'!$B$5:$B$169,LARGE(FILTER((ROW('Chemical Clearances'!$B$5:$B$169)-ROW('"&amp;"Chemical Clearances'!$A$4:$Q$4)),IFERROR((MATCH('Chemical Clearances'!$B$5:$B$169,'Chemical Clearances'!$B$5:$B$169,0)=ROW('Chemical Clearances'!$B$5:$B$169)-ROW('Chemical Clearances'!$A$4:$Q$4)),FALSE)),ROWS(R$5:R147))),'Chemical Clearances'!$B$5:$B$169,"&amp;"0)),"""")), 1, 1)"),"CLN-005  –  MNG Gold Liberia Inc.")</f>
        <v>CLN-005  –  MNG Gold Liberia Inc.</v>
      </c>
      <c r="X14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Invoices'!$A$4:$V$4)),FALSE)),ROWS(X$5:X147))),"""")), 1, 1)"),"")</f>
        <v/>
      </c>
      <c r="Y147" s="333" t="str">
        <f t="array" ref="Y147">IF(X147="","",X147&amp;"  –  "&amp;INDEX('Bills &amp; Invoices'!$D$5:$D$32,MATCH(X147,'Bills &amp; Invoices'!$B$5:$B$32,0))&amp;"  –  $"&amp;TEXT(SUMIFS('Bills &amp; Invoices'!$J$5:$J$32,'Bills &amp; Invoices'!$B$5:$B$32,X147),"#,##0"))</f>
        <v/>
      </c>
      <c r="Z147" s="333" t="str">
        <f t="array" ref="Z147">IF(X147="","",INDEX('Bills &amp; Invoices'!$D$5:$D$32,MATCH(X147,'Bills &amp; Invoices'!$B$5:$B$32,0)))</f>
        <v/>
      </c>
      <c r="AA147" s="334" t="str">
        <f t="array" ref="AA147">IF(X147="","",INDEX('Bills &amp; Invoices'!$K$5:$K$32,MATCH(X147,'Bills &amp; Invoices'!$B$5:$B$32,0)))</f>
        <v/>
      </c>
      <c r="AB147" s="335" t="str">
        <f>IF(X147="","",SUMIFS('Bills &amp; Invoices'!$J$5:$J$32,'Bills &amp; Invoices'!$B$5:$B$32,X147))</f>
        <v/>
      </c>
      <c r="AC147" s="335" t="str">
        <f>IF(X147="","",SUMIFS('Payments &amp; Receipts'!$F$5:$F$58,'Payments &amp; Receipts'!$L$5:$L$58,X147))</f>
        <v/>
      </c>
      <c r="AD147" s="333" t="str">
        <f t="array" ref="AD147">IF(X147="","",INDEX('Bills &amp; Invoices'!$U$5:$U$32,MATCH(X147,'Bills &amp; Invoices'!$B$5:$B$32,0)))</f>
        <v/>
      </c>
    </row>
    <row r="148" ht="14.25" customHeight="1">
      <c r="R14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Clearances'!$A$4:$Q$4)),FALSE)),ROWS(R$5:R148)))&amp;""  –  ""&amp;INDEX('Chemical Clearances'!$D$5:$D$169,MATCH(INDEX('Chemical Clearances'!$B$5:$B$169,LARGE(FILTER((ROW('Chemical Clearances'!$B$5:$B$169)-ROW('"&amp;"Chemical Clearances'!$A$4:$Q$4)),IFERROR((MATCH('Chemical Clearances'!$B$5:$B$169,'Chemical Clearances'!$B$5:$B$169,0)=ROW('Chemical Clearances'!$B$5:$B$169)-ROW('Chemical Clearances'!$A$4:$Q$4)),FALSE)),ROWS(R$5:R148))),'Chemical Clearances'!$B$5:$B$169,"&amp;"0)),"""")), 1, 1)"),"CLN-004  –  Bea Mountain Mining Corporation (BMMC)")</f>
        <v>CLN-004  –  Bea Mountain Mining Corporation (BMMC)</v>
      </c>
      <c r="X14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Invoices'!$A$4:$V$4)),FALSE)),ROWS(X$5:X148))),"""")), 1, 1)"),"")</f>
        <v/>
      </c>
      <c r="Y148" s="333" t="str">
        <f t="array" ref="Y148">IF(X148="","",X148&amp;"  –  "&amp;INDEX('Bills &amp; Invoices'!$D$5:$D$32,MATCH(X148,'Bills &amp; Invoices'!$B$5:$B$32,0))&amp;"  –  $"&amp;TEXT(SUMIFS('Bills &amp; Invoices'!$J$5:$J$32,'Bills &amp; Invoices'!$B$5:$B$32,X148),"#,##0"))</f>
        <v/>
      </c>
      <c r="Z148" s="333" t="str">
        <f t="array" ref="Z148">IF(X148="","",INDEX('Bills &amp; Invoices'!$D$5:$D$32,MATCH(X148,'Bills &amp; Invoices'!$B$5:$B$32,0)))</f>
        <v/>
      </c>
      <c r="AA148" s="334" t="str">
        <f t="array" ref="AA148">IF(X148="","",INDEX('Bills &amp; Invoices'!$K$5:$K$32,MATCH(X148,'Bills &amp; Invoices'!$B$5:$B$32,0)))</f>
        <v/>
      </c>
      <c r="AB148" s="335" t="str">
        <f>IF(X148="","",SUMIFS('Bills &amp; Invoices'!$J$5:$J$32,'Bills &amp; Invoices'!$B$5:$B$32,X148))</f>
        <v/>
      </c>
      <c r="AC148" s="335" t="str">
        <f>IF(X148="","",SUMIFS('Payments &amp; Receipts'!$F$5:$F$58,'Payments &amp; Receipts'!$L$5:$L$58,X148))</f>
        <v/>
      </c>
      <c r="AD148" s="333" t="str">
        <f t="array" ref="AD148">IF(X148="","",INDEX('Bills &amp; Invoices'!$U$5:$U$32,MATCH(X148,'Bills &amp; Invoices'!$B$5:$B$32,0)))</f>
        <v/>
      </c>
    </row>
    <row r="149" ht="14.25" customHeight="1">
      <c r="R14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Clearances'!$A$4:$Q$4)),FALSE)),ROWS(R$5:R149)))&amp;""  –  ""&amp;INDEX('Chemical Clearances'!$D$5:$D$169,MATCH(INDEX('Chemical Clearances'!$B$5:$B$169,LARGE(FILTER((ROW('Chemical Clearances'!$B$5:$B$169)-ROW('"&amp;"Chemical Clearances'!$A$4:$Q$4)),IFERROR((MATCH('Chemical Clearances'!$B$5:$B$169,'Chemical Clearances'!$B$5:$B$169,0)=ROW('Chemical Clearances'!$B$5:$B$169)-ROW('Chemical Clearances'!$A$4:$Q$4)),FALSE)),ROWS(R$5:R149))),'Chemical Clearances'!$B$5:$B$169,"&amp;"0)),"""")), 1, 1)"),"CLN-003  –  Bea Mountain Mining Corporation (BMMC)")</f>
        <v>CLN-003  –  Bea Mountain Mining Corporation (BMMC)</v>
      </c>
      <c r="X14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Invoices'!$A$4:$V$4)),FALSE)),ROWS(X$5:X149))),"""")), 1, 1)"),"")</f>
        <v/>
      </c>
      <c r="Y149" s="333" t="str">
        <f t="array" ref="Y149">IF(X149="","",X149&amp;"  –  "&amp;INDEX('Bills &amp; Invoices'!$D$5:$D$32,MATCH(X149,'Bills &amp; Invoices'!$B$5:$B$32,0))&amp;"  –  $"&amp;TEXT(SUMIFS('Bills &amp; Invoices'!$J$5:$J$32,'Bills &amp; Invoices'!$B$5:$B$32,X149),"#,##0"))</f>
        <v/>
      </c>
      <c r="Z149" s="333" t="str">
        <f t="array" ref="Z149">IF(X149="","",INDEX('Bills &amp; Invoices'!$D$5:$D$32,MATCH(X149,'Bills &amp; Invoices'!$B$5:$B$32,0)))</f>
        <v/>
      </c>
      <c r="AA149" s="334" t="str">
        <f t="array" ref="AA149">IF(X149="","",INDEX('Bills &amp; Invoices'!$K$5:$K$32,MATCH(X149,'Bills &amp; Invoices'!$B$5:$B$32,0)))</f>
        <v/>
      </c>
      <c r="AB149" s="335" t="str">
        <f>IF(X149="","",SUMIFS('Bills &amp; Invoices'!$J$5:$J$32,'Bills &amp; Invoices'!$B$5:$B$32,X149))</f>
        <v/>
      </c>
      <c r="AC149" s="335" t="str">
        <f>IF(X149="","",SUMIFS('Payments &amp; Receipts'!$F$5:$F$58,'Payments &amp; Receipts'!$L$5:$L$58,X149))</f>
        <v/>
      </c>
      <c r="AD149" s="333" t="str">
        <f t="array" ref="AD149">IF(X149="","",INDEX('Bills &amp; Invoices'!$U$5:$U$32,MATCH(X149,'Bills &amp; Invoices'!$B$5:$B$32,0)))</f>
        <v/>
      </c>
    </row>
    <row r="150" ht="14.25" customHeight="1">
      <c r="R15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Clearances'!$A$4:$Q$4)),FALSE)),ROWS(R$5:R150)))&amp;""  –  ""&amp;INDEX('Chemical Clearances'!$D$5:$D$169,MATCH(INDEX('Chemical Clearances'!$B$5:$B$169,LARGE(FILTER((ROW('Chemical Clearances'!$B$5:$B$169)-ROW('"&amp;"Chemical Clearances'!$A$4:$Q$4)),IFERROR((MATCH('Chemical Clearances'!$B$5:$B$169,'Chemical Clearances'!$B$5:$B$169,0)=ROW('Chemical Clearances'!$B$5:$B$169)-ROW('Chemical Clearances'!$A$4:$Q$4)),FALSE)),ROWS(R$5:R150))),'Chemical Clearances'!$B$5:$B$169,"&amp;"0)),"""")), 1, 1)"),"CLN-002  –  Bea Mountain Mining Corporation (BMMC)")</f>
        <v>CLN-002  –  Bea Mountain Mining Corporation (BMMC)</v>
      </c>
      <c r="X15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Invoices'!$A$4:$V$4)),FALSE)),ROWS(X$5:X150))),"""")), 1, 1)"),"")</f>
        <v/>
      </c>
      <c r="Y150" s="333" t="str">
        <f t="array" ref="Y150">IF(X150="","",X150&amp;"  –  "&amp;INDEX('Bills &amp; Invoices'!$D$5:$D$32,MATCH(X150,'Bills &amp; Invoices'!$B$5:$B$32,0))&amp;"  –  $"&amp;TEXT(SUMIFS('Bills &amp; Invoices'!$J$5:$J$32,'Bills &amp; Invoices'!$B$5:$B$32,X150),"#,##0"))</f>
        <v/>
      </c>
      <c r="Z150" s="333" t="str">
        <f t="array" ref="Z150">IF(X150="","",INDEX('Bills &amp; Invoices'!$D$5:$D$32,MATCH(X150,'Bills &amp; Invoices'!$B$5:$B$32,0)))</f>
        <v/>
      </c>
      <c r="AA150" s="334" t="str">
        <f t="array" ref="AA150">IF(X150="","",INDEX('Bills &amp; Invoices'!$K$5:$K$32,MATCH(X150,'Bills &amp; Invoices'!$B$5:$B$32,0)))</f>
        <v/>
      </c>
      <c r="AB150" s="335" t="str">
        <f>IF(X150="","",SUMIFS('Bills &amp; Invoices'!$J$5:$J$32,'Bills &amp; Invoices'!$B$5:$B$32,X150))</f>
        <v/>
      </c>
      <c r="AC150" s="335" t="str">
        <f>IF(X150="","",SUMIFS('Payments &amp; Receipts'!$F$5:$F$58,'Payments &amp; Receipts'!$L$5:$L$58,X150))</f>
        <v/>
      </c>
      <c r="AD150" s="333" t="str">
        <f t="array" ref="AD150">IF(X150="","",INDEX('Bills &amp; Invoices'!$U$5:$U$32,MATCH(X150,'Bills &amp; Invoices'!$B$5:$B$32,0)))</f>
        <v/>
      </c>
    </row>
    <row r="151" ht="14.25" customHeight="1">
      <c r="R15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Clearances'!$A$4:$Q$4)),FALSE)),ROWS(R$5:R151)))&amp;""  –  ""&amp;INDEX('Chemical Clearances'!$D$5:$D$169,MATCH(INDEX('Chemical Clearances'!$B$5:$B$169,LARGE(FILTER((ROW('Chemical Clearances'!$B$5:$B$169)-ROW('"&amp;"Chemical Clearances'!$A$4:$Q$4)),IFERROR((MATCH('Chemical Clearances'!$B$5:$B$169,'Chemical Clearances'!$B$5:$B$169,0)=ROW('Chemical Clearances'!$B$5:$B$169)-ROW('Chemical Clearances'!$A$4:$Q$4)),FALSE)),ROWS(R$5:R151))),'Chemical Clearances'!$B$5:$B$169,"&amp;"0)),"""")), 1, 1)"),"CLN-001  –  MNG Gold Liberia Inc.")</f>
        <v>CLN-001  –  MNG Gold Liberia Inc.</v>
      </c>
      <c r="X15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Invoices'!$A$4:$V$4)),FALSE)),ROWS(X$5:X151))),"""")), 1, 1)"),"")</f>
        <v/>
      </c>
      <c r="Y151" s="333" t="str">
        <f t="array" ref="Y151">IF(X151="","",X151&amp;"  –  "&amp;INDEX('Bills &amp; Invoices'!$D$5:$D$32,MATCH(X151,'Bills &amp; Invoices'!$B$5:$B$32,0))&amp;"  –  $"&amp;TEXT(SUMIFS('Bills &amp; Invoices'!$J$5:$J$32,'Bills &amp; Invoices'!$B$5:$B$32,X151),"#,##0"))</f>
        <v/>
      </c>
      <c r="Z151" s="333" t="str">
        <f t="array" ref="Z151">IF(X151="","",INDEX('Bills &amp; Invoices'!$D$5:$D$32,MATCH(X151,'Bills &amp; Invoices'!$B$5:$B$32,0)))</f>
        <v/>
      </c>
      <c r="AA151" s="334" t="str">
        <f t="array" ref="AA151">IF(X151="","",INDEX('Bills &amp; Invoices'!$K$5:$K$32,MATCH(X151,'Bills &amp; Invoices'!$B$5:$B$32,0)))</f>
        <v/>
      </c>
      <c r="AB151" s="335" t="str">
        <f>IF(X151="","",SUMIFS('Bills &amp; Invoices'!$J$5:$J$32,'Bills &amp; Invoices'!$B$5:$B$32,X151))</f>
        <v/>
      </c>
      <c r="AC151" s="335" t="str">
        <f>IF(X151="","",SUMIFS('Payments &amp; Receipts'!$F$5:$F$58,'Payments &amp; Receipts'!$L$5:$L$58,X151))</f>
        <v/>
      </c>
      <c r="AD151" s="333" t="str">
        <f t="array" ref="AD151">IF(X151="","",INDEX('Bills &amp; Invoices'!$U$5:$U$32,MATCH(X151,'Bills &amp; Invoices'!$B$5:$B$32,0)))</f>
        <v/>
      </c>
    </row>
    <row r="152" ht="14.25" customHeight="1">
      <c r="R15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Clearances'!$A$4:$Q$4)),FALSE)),ROWS(R$5:R152)))&amp;""  –  ""&amp;INDEX('Chemical Clearances'!$D$5:$D$169,MATCH(INDEX('Chemical Clearances'!$B$5:$B$169,LARGE(FILTER((ROW('Chemical Clearances'!$B$5:$B$169)-ROW('"&amp;"Chemical Clearances'!$A$4:$Q$4)),IFERROR((MATCH('Chemical Clearances'!$B$5:$B$169,'Chemical Clearances'!$B$5:$B$169,0)=ROW('Chemical Clearances'!$B$5:$B$169)-ROW('Chemical Clearances'!$A$4:$Q$4)),FALSE)),ROWS(R$5:R152))),'Chemical Clearances'!$B$5:$B$169,"&amp;"0)),"""")), 1, 1)"),"")</f>
        <v/>
      </c>
      <c r="X15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Invoices'!$A$4:$V$4)),FALSE)),ROWS(X$5:X152))),"""")), 1, 1)"),"")</f>
        <v/>
      </c>
      <c r="Y152" s="333" t="str">
        <f t="array" ref="Y152">IF(X152="","",X152&amp;"  –  "&amp;INDEX('Bills &amp; Invoices'!$D$5:$D$32,MATCH(X152,'Bills &amp; Invoices'!$B$5:$B$32,0))&amp;"  –  $"&amp;TEXT(SUMIFS('Bills &amp; Invoices'!$J$5:$J$32,'Bills &amp; Invoices'!$B$5:$B$32,X152),"#,##0"))</f>
        <v/>
      </c>
      <c r="Z152" s="333" t="str">
        <f t="array" ref="Z152">IF(X152="","",INDEX('Bills &amp; Invoices'!$D$5:$D$32,MATCH(X152,'Bills &amp; Invoices'!$B$5:$B$32,0)))</f>
        <v/>
      </c>
      <c r="AA152" s="334" t="str">
        <f t="array" ref="AA152">IF(X152="","",INDEX('Bills &amp; Invoices'!$K$5:$K$32,MATCH(X152,'Bills &amp; Invoices'!$B$5:$B$32,0)))</f>
        <v/>
      </c>
      <c r="AB152" s="335" t="str">
        <f>IF(X152="","",SUMIFS('Bills &amp; Invoices'!$J$5:$J$32,'Bills &amp; Invoices'!$B$5:$B$32,X152))</f>
        <v/>
      </c>
      <c r="AC152" s="335" t="str">
        <f>IF(X152="","",SUMIFS('Payments &amp; Receipts'!$F$5:$F$58,'Payments &amp; Receipts'!$L$5:$L$58,X152))</f>
        <v/>
      </c>
      <c r="AD152" s="333" t="str">
        <f t="array" ref="AD152">IF(X152="","",INDEX('Bills &amp; Invoices'!$U$5:$U$32,MATCH(X152,'Bills &amp; Invoices'!$B$5:$B$32,0)))</f>
        <v/>
      </c>
    </row>
    <row r="153" ht="14.25" customHeight="1">
      <c r="R15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Clearances'!$A$4:$Q$4)),FALSE)),ROWS(R$5:R153)))&amp;""  –  ""&amp;INDEX('Chemical Clearances'!$D$5:$D$169,MATCH(INDEX('Chemical Clearances'!$B$5:$B$169,LARGE(FILTER((ROW('Chemical Clearances'!$B$5:$B$169)-ROW('"&amp;"Chemical Clearances'!$A$4:$Q$4)),IFERROR((MATCH('Chemical Clearances'!$B$5:$B$169,'Chemical Clearances'!$B$5:$B$169,0)=ROW('Chemical Clearances'!$B$5:$B$169)-ROW('Chemical Clearances'!$A$4:$Q$4)),FALSE)),ROWS(R$5:R153))),'Chemical Clearances'!$B$5:$B$169,"&amp;"0)),"""")), 1, 1)"),"")</f>
        <v/>
      </c>
      <c r="X15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Invoices'!$A$4:$V$4)),FALSE)),ROWS(X$5:X153))),"""")), 1, 1)"),"")</f>
        <v/>
      </c>
      <c r="Y153" s="333" t="str">
        <f t="array" ref="Y153">IF(X153="","",X153&amp;"  –  "&amp;INDEX('Bills &amp; Invoices'!$D$5:$D$32,MATCH(X153,'Bills &amp; Invoices'!$B$5:$B$32,0))&amp;"  –  $"&amp;TEXT(SUMIFS('Bills &amp; Invoices'!$J$5:$J$32,'Bills &amp; Invoices'!$B$5:$B$32,X153),"#,##0"))</f>
        <v/>
      </c>
      <c r="Z153" s="333" t="str">
        <f t="array" ref="Z153">IF(X153="","",INDEX('Bills &amp; Invoices'!$D$5:$D$32,MATCH(X153,'Bills &amp; Invoices'!$B$5:$B$32,0)))</f>
        <v/>
      </c>
      <c r="AA153" s="334" t="str">
        <f t="array" ref="AA153">IF(X153="","",INDEX('Bills &amp; Invoices'!$K$5:$K$32,MATCH(X153,'Bills &amp; Invoices'!$B$5:$B$32,0)))</f>
        <v/>
      </c>
      <c r="AB153" s="335" t="str">
        <f>IF(X153="","",SUMIFS('Bills &amp; Invoices'!$J$5:$J$32,'Bills &amp; Invoices'!$B$5:$B$32,X153))</f>
        <v/>
      </c>
      <c r="AC153" s="335" t="str">
        <f>IF(X153="","",SUMIFS('Payments &amp; Receipts'!$F$5:$F$58,'Payments &amp; Receipts'!$L$5:$L$58,X153))</f>
        <v/>
      </c>
      <c r="AD153" s="333" t="str">
        <f t="array" ref="AD153">IF(X153="","",INDEX('Bills &amp; Invoices'!$U$5:$U$32,MATCH(X153,'Bills &amp; Invoices'!$B$5:$B$32,0)))</f>
        <v/>
      </c>
    </row>
    <row r="154" ht="14.25" customHeight="1">
      <c r="R15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Clearances'!$A$4:$Q$4)),FALSE)),ROWS(R$5:R154)))&amp;""  –  ""&amp;INDEX('Chemical Clearances'!$D$5:$D$169,MATCH(INDEX('Chemical Clearances'!$B$5:$B$169,LARGE(FILTER((ROW('Chemical Clearances'!$B$5:$B$169)-ROW('"&amp;"Chemical Clearances'!$A$4:$Q$4)),IFERROR((MATCH('Chemical Clearances'!$B$5:$B$169,'Chemical Clearances'!$B$5:$B$169,0)=ROW('Chemical Clearances'!$B$5:$B$169)-ROW('Chemical Clearances'!$A$4:$Q$4)),FALSE)),ROWS(R$5:R154))),'Chemical Clearances'!$B$5:$B$169,"&amp;"0)),"""")), 1, 1)"),"")</f>
        <v/>
      </c>
      <c r="X15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Invoices'!$A$4:$V$4)),FALSE)),ROWS(X$5:X154))),"""")), 1, 1)"),"")</f>
        <v/>
      </c>
      <c r="Y154" s="333" t="str">
        <f t="array" ref="Y154">IF(X154="","",X154&amp;"  –  "&amp;INDEX('Bills &amp; Invoices'!$D$5:$D$32,MATCH(X154,'Bills &amp; Invoices'!$B$5:$B$32,0))&amp;"  –  $"&amp;TEXT(SUMIFS('Bills &amp; Invoices'!$J$5:$J$32,'Bills &amp; Invoices'!$B$5:$B$32,X154),"#,##0"))</f>
        <v/>
      </c>
      <c r="Z154" s="333" t="str">
        <f t="array" ref="Z154">IF(X154="","",INDEX('Bills &amp; Invoices'!$D$5:$D$32,MATCH(X154,'Bills &amp; Invoices'!$B$5:$B$32,0)))</f>
        <v/>
      </c>
      <c r="AA154" s="334" t="str">
        <f t="array" ref="AA154">IF(X154="","",INDEX('Bills &amp; Invoices'!$K$5:$K$32,MATCH(X154,'Bills &amp; Invoices'!$B$5:$B$32,0)))</f>
        <v/>
      </c>
      <c r="AB154" s="335" t="str">
        <f>IF(X154="","",SUMIFS('Bills &amp; Invoices'!$J$5:$J$32,'Bills &amp; Invoices'!$B$5:$B$32,X154))</f>
        <v/>
      </c>
      <c r="AC154" s="335" t="str">
        <f>IF(X154="","",SUMIFS('Payments &amp; Receipts'!$F$5:$F$58,'Payments &amp; Receipts'!$L$5:$L$58,X154))</f>
        <v/>
      </c>
      <c r="AD154" s="333" t="str">
        <f t="array" ref="AD154">IF(X154="","",INDEX('Bills &amp; Invoices'!$U$5:$U$32,MATCH(X154,'Bills &amp; Invoices'!$B$5:$B$32,0)))</f>
        <v/>
      </c>
    </row>
    <row r="155" ht="14.25" customHeight="1">
      <c r="R15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Clearances'!$A$4:$Q$4)),FALSE)),ROWS(R$5:R155)))&amp;""  –  ""&amp;INDEX('Chemical Clearances'!$D$5:$D$169,MATCH(INDEX('Chemical Clearances'!$B$5:$B$169,LARGE(FILTER((ROW('Chemical Clearances'!$B$5:$B$169)-ROW('"&amp;"Chemical Clearances'!$A$4:$Q$4)),IFERROR((MATCH('Chemical Clearances'!$B$5:$B$169,'Chemical Clearances'!$B$5:$B$169,0)=ROW('Chemical Clearances'!$B$5:$B$169)-ROW('Chemical Clearances'!$A$4:$Q$4)),FALSE)),ROWS(R$5:R155))),'Chemical Clearances'!$B$5:$B$169,"&amp;"0)),"""")), 1, 1)"),"")</f>
        <v/>
      </c>
      <c r="X15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Invoices'!$A$4:$V$4)),FALSE)),ROWS(X$5:X155))),"""")), 1, 1)"),"")</f>
        <v/>
      </c>
      <c r="Y155" s="333" t="str">
        <f t="array" ref="Y155">IF(X155="","",X155&amp;"  –  "&amp;INDEX('Bills &amp; Invoices'!$D$5:$D$32,MATCH(X155,'Bills &amp; Invoices'!$B$5:$B$32,0))&amp;"  –  $"&amp;TEXT(SUMIFS('Bills &amp; Invoices'!$J$5:$J$32,'Bills &amp; Invoices'!$B$5:$B$32,X155),"#,##0"))</f>
        <v/>
      </c>
      <c r="Z155" s="333" t="str">
        <f t="array" ref="Z155">IF(X155="","",INDEX('Bills &amp; Invoices'!$D$5:$D$32,MATCH(X155,'Bills &amp; Invoices'!$B$5:$B$32,0)))</f>
        <v/>
      </c>
      <c r="AA155" s="334" t="str">
        <f t="array" ref="AA155">IF(X155="","",INDEX('Bills &amp; Invoices'!$K$5:$K$32,MATCH(X155,'Bills &amp; Invoices'!$B$5:$B$32,0)))</f>
        <v/>
      </c>
      <c r="AB155" s="335" t="str">
        <f>IF(X155="","",SUMIFS('Bills &amp; Invoices'!$J$5:$J$32,'Bills &amp; Invoices'!$B$5:$B$32,X155))</f>
        <v/>
      </c>
      <c r="AC155" s="335" t="str">
        <f>IF(X155="","",SUMIFS('Payments &amp; Receipts'!$F$5:$F$58,'Payments &amp; Receipts'!$L$5:$L$58,X155))</f>
        <v/>
      </c>
      <c r="AD155" s="333" t="str">
        <f t="array" ref="AD155">IF(X155="","",INDEX('Bills &amp; Invoices'!$U$5:$U$32,MATCH(X155,'Bills &amp; Invoices'!$B$5:$B$32,0)))</f>
        <v/>
      </c>
    </row>
    <row r="156" ht="14.25" customHeight="1">
      <c r="R15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Clearances'!$A$4:$Q$4)),FALSE)),ROWS(R$5:R156)))&amp;""  –  ""&amp;INDEX('Chemical Clearances'!$D$5:$D$169,MATCH(INDEX('Chemical Clearances'!$B$5:$B$169,LARGE(FILTER((ROW('Chemical Clearances'!$B$5:$B$169)-ROW('"&amp;"Chemical Clearances'!$A$4:$Q$4)),IFERROR((MATCH('Chemical Clearances'!$B$5:$B$169,'Chemical Clearances'!$B$5:$B$169,0)=ROW('Chemical Clearances'!$B$5:$B$169)-ROW('Chemical Clearances'!$A$4:$Q$4)),FALSE)),ROWS(R$5:R156))),'Chemical Clearances'!$B$5:$B$169,"&amp;"0)),"""")), 1, 1)"),"")</f>
        <v/>
      </c>
      <c r="X15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Invoices'!$A$4:$V$4)),FALSE)),ROWS(X$5:X156))),"""")), 1, 1)"),"")</f>
        <v/>
      </c>
      <c r="Y156" s="333" t="str">
        <f t="array" ref="Y156">IF(X156="","",X156&amp;"  –  "&amp;INDEX('Bills &amp; Invoices'!$D$5:$D$32,MATCH(X156,'Bills &amp; Invoices'!$B$5:$B$32,0))&amp;"  –  $"&amp;TEXT(SUMIFS('Bills &amp; Invoices'!$J$5:$J$32,'Bills &amp; Invoices'!$B$5:$B$32,X156),"#,##0"))</f>
        <v/>
      </c>
      <c r="Z156" s="333" t="str">
        <f t="array" ref="Z156">IF(X156="","",INDEX('Bills &amp; Invoices'!$D$5:$D$32,MATCH(X156,'Bills &amp; Invoices'!$B$5:$B$32,0)))</f>
        <v/>
      </c>
      <c r="AA156" s="334" t="str">
        <f t="array" ref="AA156">IF(X156="","",INDEX('Bills &amp; Invoices'!$K$5:$K$32,MATCH(X156,'Bills &amp; Invoices'!$B$5:$B$32,0)))</f>
        <v/>
      </c>
      <c r="AB156" s="335" t="str">
        <f>IF(X156="","",SUMIFS('Bills &amp; Invoices'!$J$5:$J$32,'Bills &amp; Invoices'!$B$5:$B$32,X156))</f>
        <v/>
      </c>
      <c r="AC156" s="335" t="str">
        <f>IF(X156="","",SUMIFS('Payments &amp; Receipts'!$F$5:$F$58,'Payments &amp; Receipts'!$L$5:$L$58,X156))</f>
        <v/>
      </c>
      <c r="AD156" s="333" t="str">
        <f t="array" ref="AD156">IF(X156="","",INDEX('Bills &amp; Invoices'!$U$5:$U$32,MATCH(X156,'Bills &amp; Invoices'!$B$5:$B$32,0)))</f>
        <v/>
      </c>
    </row>
    <row r="157" ht="14.25" customHeight="1">
      <c r="R15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Clearances'!$A$4:$Q$4)),FALSE)),ROWS(R$5:R157)))&amp;""  –  ""&amp;INDEX('Chemical Clearances'!$D$5:$D$169,MATCH(INDEX('Chemical Clearances'!$B$5:$B$169,LARGE(FILTER((ROW('Chemical Clearances'!$B$5:$B$169)-ROW('"&amp;"Chemical Clearances'!$A$4:$Q$4)),IFERROR((MATCH('Chemical Clearances'!$B$5:$B$169,'Chemical Clearances'!$B$5:$B$169,0)=ROW('Chemical Clearances'!$B$5:$B$169)-ROW('Chemical Clearances'!$A$4:$Q$4)),FALSE)),ROWS(R$5:R157))),'Chemical Clearances'!$B$5:$B$169,"&amp;"0)),"""")), 1, 1)"),"")</f>
        <v/>
      </c>
      <c r="X15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Invoices'!$A$4:$V$4)),FALSE)),ROWS(X$5:X157))),"""")), 1, 1)"),"")</f>
        <v/>
      </c>
      <c r="Y157" s="333" t="str">
        <f t="array" ref="Y157">IF(X157="","",X157&amp;"  –  "&amp;INDEX('Bills &amp; Invoices'!$D$5:$D$32,MATCH(X157,'Bills &amp; Invoices'!$B$5:$B$32,0))&amp;"  –  $"&amp;TEXT(SUMIFS('Bills &amp; Invoices'!$J$5:$J$32,'Bills &amp; Invoices'!$B$5:$B$32,X157),"#,##0"))</f>
        <v/>
      </c>
      <c r="Z157" s="333" t="str">
        <f t="array" ref="Z157">IF(X157="","",INDEX('Bills &amp; Invoices'!$D$5:$D$32,MATCH(X157,'Bills &amp; Invoices'!$B$5:$B$32,0)))</f>
        <v/>
      </c>
      <c r="AA157" s="334" t="str">
        <f t="array" ref="AA157">IF(X157="","",INDEX('Bills &amp; Invoices'!$K$5:$K$32,MATCH(X157,'Bills &amp; Invoices'!$B$5:$B$32,0)))</f>
        <v/>
      </c>
      <c r="AB157" s="335" t="str">
        <f>IF(X157="","",SUMIFS('Bills &amp; Invoices'!$J$5:$J$32,'Bills &amp; Invoices'!$B$5:$B$32,X157))</f>
        <v/>
      </c>
      <c r="AC157" s="335" t="str">
        <f>IF(X157="","",SUMIFS('Payments &amp; Receipts'!$F$5:$F$58,'Payments &amp; Receipts'!$L$5:$L$58,X157))</f>
        <v/>
      </c>
      <c r="AD157" s="333" t="str">
        <f t="array" ref="AD157">IF(X157="","",INDEX('Bills &amp; Invoices'!$U$5:$U$32,MATCH(X157,'Bills &amp; Invoices'!$B$5:$B$32,0)))</f>
        <v/>
      </c>
    </row>
    <row r="158" ht="14.25" customHeight="1">
      <c r="R15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Clearances'!$A$4:$Q$4)),FALSE)),ROWS(R$5:R158)))&amp;""  –  ""&amp;INDEX('Chemical Clearances'!$D$5:$D$169,MATCH(INDEX('Chemical Clearances'!$B$5:$B$169,LARGE(FILTER((ROW('Chemical Clearances'!$B$5:$B$169)-ROW('"&amp;"Chemical Clearances'!$A$4:$Q$4)),IFERROR((MATCH('Chemical Clearances'!$B$5:$B$169,'Chemical Clearances'!$B$5:$B$169,0)=ROW('Chemical Clearances'!$B$5:$B$169)-ROW('Chemical Clearances'!$A$4:$Q$4)),FALSE)),ROWS(R$5:R158))),'Chemical Clearances'!$B$5:$B$169,"&amp;"0)),"""")), 1, 1)"),"")</f>
        <v/>
      </c>
      <c r="X15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Invoices'!$A$4:$V$4)),FALSE)),ROWS(X$5:X158))),"""")), 1, 1)"),"")</f>
        <v/>
      </c>
      <c r="Y158" s="333" t="str">
        <f t="array" ref="Y158">IF(X158="","",X158&amp;"  –  "&amp;INDEX('Bills &amp; Invoices'!$D$5:$D$32,MATCH(X158,'Bills &amp; Invoices'!$B$5:$B$32,0))&amp;"  –  $"&amp;TEXT(SUMIFS('Bills &amp; Invoices'!$J$5:$J$32,'Bills &amp; Invoices'!$B$5:$B$32,X158),"#,##0"))</f>
        <v/>
      </c>
      <c r="Z158" s="333" t="str">
        <f t="array" ref="Z158">IF(X158="","",INDEX('Bills &amp; Invoices'!$D$5:$D$32,MATCH(X158,'Bills &amp; Invoices'!$B$5:$B$32,0)))</f>
        <v/>
      </c>
      <c r="AA158" s="334" t="str">
        <f t="array" ref="AA158">IF(X158="","",INDEX('Bills &amp; Invoices'!$K$5:$K$32,MATCH(X158,'Bills &amp; Invoices'!$B$5:$B$32,0)))</f>
        <v/>
      </c>
      <c r="AB158" s="335" t="str">
        <f>IF(X158="","",SUMIFS('Bills &amp; Invoices'!$J$5:$J$32,'Bills &amp; Invoices'!$B$5:$B$32,X158))</f>
        <v/>
      </c>
      <c r="AC158" s="335" t="str">
        <f>IF(X158="","",SUMIFS('Payments &amp; Receipts'!$F$5:$F$58,'Payments &amp; Receipts'!$L$5:$L$58,X158))</f>
        <v/>
      </c>
      <c r="AD158" s="333" t="str">
        <f t="array" ref="AD158">IF(X158="","",INDEX('Bills &amp; Invoices'!$U$5:$U$32,MATCH(X158,'Bills &amp; Invoices'!$B$5:$B$32,0)))</f>
        <v/>
      </c>
    </row>
    <row r="159" ht="14.25" customHeight="1">
      <c r="R15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Clearances'!$A$4:$Q$4)),FALSE)),ROWS(R$5:R159)))&amp;""  –  ""&amp;INDEX('Chemical Clearances'!$D$5:$D$169,MATCH(INDEX('Chemical Clearances'!$B$5:$B$169,LARGE(FILTER((ROW('Chemical Clearances'!$B$5:$B$169)-ROW('"&amp;"Chemical Clearances'!$A$4:$Q$4)),IFERROR((MATCH('Chemical Clearances'!$B$5:$B$169,'Chemical Clearances'!$B$5:$B$169,0)=ROW('Chemical Clearances'!$B$5:$B$169)-ROW('Chemical Clearances'!$A$4:$Q$4)),FALSE)),ROWS(R$5:R159))),'Chemical Clearances'!$B$5:$B$169,"&amp;"0)),"""")), 1, 1)"),"")</f>
        <v/>
      </c>
      <c r="X15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Invoices'!$A$4:$V$4)),FALSE)),ROWS(X$5:X159))),"""")), 1, 1)"),"")</f>
        <v/>
      </c>
      <c r="Y159" s="333" t="str">
        <f t="array" ref="Y159">IF(X159="","",X159&amp;"  –  "&amp;INDEX('Bills &amp; Invoices'!$D$5:$D$32,MATCH(X159,'Bills &amp; Invoices'!$B$5:$B$32,0))&amp;"  –  $"&amp;TEXT(SUMIFS('Bills &amp; Invoices'!$J$5:$J$32,'Bills &amp; Invoices'!$B$5:$B$32,X159),"#,##0"))</f>
        <v/>
      </c>
      <c r="Z159" s="333" t="str">
        <f t="array" ref="Z159">IF(X159="","",INDEX('Bills &amp; Invoices'!$D$5:$D$32,MATCH(X159,'Bills &amp; Invoices'!$B$5:$B$32,0)))</f>
        <v/>
      </c>
      <c r="AA159" s="334" t="str">
        <f t="array" ref="AA159">IF(X159="","",INDEX('Bills &amp; Invoices'!$K$5:$K$32,MATCH(X159,'Bills &amp; Invoices'!$B$5:$B$32,0)))</f>
        <v/>
      </c>
      <c r="AB159" s="335" t="str">
        <f>IF(X159="","",SUMIFS('Bills &amp; Invoices'!$J$5:$J$32,'Bills &amp; Invoices'!$B$5:$B$32,X159))</f>
        <v/>
      </c>
      <c r="AC159" s="335" t="str">
        <f>IF(X159="","",SUMIFS('Payments &amp; Receipts'!$F$5:$F$58,'Payments &amp; Receipts'!$L$5:$L$58,X159))</f>
        <v/>
      </c>
      <c r="AD159" s="333" t="str">
        <f t="array" ref="AD159">IF(X159="","",INDEX('Bills &amp; Invoices'!$U$5:$U$32,MATCH(X159,'Bills &amp; Invoices'!$B$5:$B$32,0)))</f>
        <v/>
      </c>
    </row>
    <row r="160" ht="14.25" customHeight="1">
      <c r="R16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Clearances'!$A$4:$Q$4)),FALSE)),ROWS(R$5:R160)))&amp;""  –  ""&amp;INDEX('Chemical Clearances'!$D$5:$D$169,MATCH(INDEX('Chemical Clearances'!$B$5:$B$169,LARGE(FILTER((ROW('Chemical Clearances'!$B$5:$B$169)-ROW('"&amp;"Chemical Clearances'!$A$4:$Q$4)),IFERROR((MATCH('Chemical Clearances'!$B$5:$B$169,'Chemical Clearances'!$B$5:$B$169,0)=ROW('Chemical Clearances'!$B$5:$B$169)-ROW('Chemical Clearances'!$A$4:$Q$4)),FALSE)),ROWS(R$5:R160))),'Chemical Clearances'!$B$5:$B$169,"&amp;"0)),"""")), 1, 1)"),"")</f>
        <v/>
      </c>
      <c r="X16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Invoices'!$A$4:$V$4)),FALSE)),ROWS(X$5:X160))),"""")), 1, 1)"),"")</f>
        <v/>
      </c>
      <c r="Y160" s="333" t="str">
        <f t="array" ref="Y160">IF(X160="","",X160&amp;"  –  "&amp;INDEX('Bills &amp; Invoices'!$D$5:$D$32,MATCH(X160,'Bills &amp; Invoices'!$B$5:$B$32,0))&amp;"  –  $"&amp;TEXT(SUMIFS('Bills &amp; Invoices'!$J$5:$J$32,'Bills &amp; Invoices'!$B$5:$B$32,X160),"#,##0"))</f>
        <v/>
      </c>
      <c r="Z160" s="333" t="str">
        <f t="array" ref="Z160">IF(X160="","",INDEX('Bills &amp; Invoices'!$D$5:$D$32,MATCH(X160,'Bills &amp; Invoices'!$B$5:$B$32,0)))</f>
        <v/>
      </c>
      <c r="AA160" s="334" t="str">
        <f t="array" ref="AA160">IF(X160="","",INDEX('Bills &amp; Invoices'!$K$5:$K$32,MATCH(X160,'Bills &amp; Invoices'!$B$5:$B$32,0)))</f>
        <v/>
      </c>
      <c r="AB160" s="335" t="str">
        <f>IF(X160="","",SUMIFS('Bills &amp; Invoices'!$J$5:$J$32,'Bills &amp; Invoices'!$B$5:$B$32,X160))</f>
        <v/>
      </c>
      <c r="AC160" s="335" t="str">
        <f>IF(X160="","",SUMIFS('Payments &amp; Receipts'!$F$5:$F$58,'Payments &amp; Receipts'!$L$5:$L$58,X160))</f>
        <v/>
      </c>
      <c r="AD160" s="333" t="str">
        <f t="array" ref="AD160">IF(X160="","",INDEX('Bills &amp; Invoices'!$U$5:$U$32,MATCH(X160,'Bills &amp; Invoices'!$B$5:$B$32,0)))</f>
        <v/>
      </c>
    </row>
    <row r="161" ht="14.25" customHeight="1">
      <c r="R16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Clearances'!$A$4:$Q$4)),FALSE)),ROWS(R$5:R161)))&amp;""  –  ""&amp;INDEX('Chemical Clearances'!$D$5:$D$169,MATCH(INDEX('Chemical Clearances'!$B$5:$B$169,LARGE(FILTER((ROW('Chemical Clearances'!$B$5:$B$169)-ROW('"&amp;"Chemical Clearances'!$A$4:$Q$4)),IFERROR((MATCH('Chemical Clearances'!$B$5:$B$169,'Chemical Clearances'!$B$5:$B$169,0)=ROW('Chemical Clearances'!$B$5:$B$169)-ROW('Chemical Clearances'!$A$4:$Q$4)),FALSE)),ROWS(R$5:R161))),'Chemical Clearances'!$B$5:$B$169,"&amp;"0)),"""")), 1, 1)"),"")</f>
        <v/>
      </c>
      <c r="X16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Invoices'!$A$4:$V$4)),FALSE)),ROWS(X$5:X161))),"""")), 1, 1)"),"")</f>
        <v/>
      </c>
      <c r="Y161" s="333" t="str">
        <f t="array" ref="Y161">IF(X161="","",X161&amp;"  –  "&amp;INDEX('Bills &amp; Invoices'!$D$5:$D$32,MATCH(X161,'Bills &amp; Invoices'!$B$5:$B$32,0))&amp;"  –  $"&amp;TEXT(SUMIFS('Bills &amp; Invoices'!$J$5:$J$32,'Bills &amp; Invoices'!$B$5:$B$32,X161),"#,##0"))</f>
        <v/>
      </c>
      <c r="Z161" s="333" t="str">
        <f t="array" ref="Z161">IF(X161="","",INDEX('Bills &amp; Invoices'!$D$5:$D$32,MATCH(X161,'Bills &amp; Invoices'!$B$5:$B$32,0)))</f>
        <v/>
      </c>
      <c r="AA161" s="334" t="str">
        <f t="array" ref="AA161">IF(X161="","",INDEX('Bills &amp; Invoices'!$K$5:$K$32,MATCH(X161,'Bills &amp; Invoices'!$B$5:$B$32,0)))</f>
        <v/>
      </c>
      <c r="AB161" s="335" t="str">
        <f>IF(X161="","",SUMIFS('Bills &amp; Invoices'!$J$5:$J$32,'Bills &amp; Invoices'!$B$5:$B$32,X161))</f>
        <v/>
      </c>
      <c r="AC161" s="335" t="str">
        <f>IF(X161="","",SUMIFS('Payments &amp; Receipts'!$F$5:$F$58,'Payments &amp; Receipts'!$L$5:$L$58,X161))</f>
        <v/>
      </c>
      <c r="AD161" s="333" t="str">
        <f t="array" ref="AD161">IF(X161="","",INDEX('Bills &amp; Invoices'!$U$5:$U$32,MATCH(X161,'Bills &amp; Invoices'!$B$5:$B$32,0)))</f>
        <v/>
      </c>
    </row>
    <row r="162" ht="14.25" customHeight="1">
      <c r="R16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Clearances'!$A$4:$Q$4)),FALSE)),ROWS(R$5:R162)))&amp;""  –  ""&amp;INDEX('Chemical Clearances'!$D$5:$D$169,MATCH(INDEX('Chemical Clearances'!$B$5:$B$169,LARGE(FILTER((ROW('Chemical Clearances'!$B$5:$B$169)-ROW('"&amp;"Chemical Clearances'!$A$4:$Q$4)),IFERROR((MATCH('Chemical Clearances'!$B$5:$B$169,'Chemical Clearances'!$B$5:$B$169,0)=ROW('Chemical Clearances'!$B$5:$B$169)-ROW('Chemical Clearances'!$A$4:$Q$4)),FALSE)),ROWS(R$5:R162))),'Chemical Clearances'!$B$5:$B$169,"&amp;"0)),"""")), 1, 1)"),"")</f>
        <v/>
      </c>
      <c r="X16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Invoices'!$A$4:$V$4)),FALSE)),ROWS(X$5:X162))),"""")), 1, 1)"),"")</f>
        <v/>
      </c>
      <c r="Y162" s="333" t="str">
        <f t="array" ref="Y162">IF(X162="","",X162&amp;"  –  "&amp;INDEX('Bills &amp; Invoices'!$D$5:$D$32,MATCH(X162,'Bills &amp; Invoices'!$B$5:$B$32,0))&amp;"  –  $"&amp;TEXT(SUMIFS('Bills &amp; Invoices'!$J$5:$J$32,'Bills &amp; Invoices'!$B$5:$B$32,X162),"#,##0"))</f>
        <v/>
      </c>
      <c r="Z162" s="333" t="str">
        <f t="array" ref="Z162">IF(X162="","",INDEX('Bills &amp; Invoices'!$D$5:$D$32,MATCH(X162,'Bills &amp; Invoices'!$B$5:$B$32,0)))</f>
        <v/>
      </c>
      <c r="AA162" s="334" t="str">
        <f t="array" ref="AA162">IF(X162="","",INDEX('Bills &amp; Invoices'!$K$5:$K$32,MATCH(X162,'Bills &amp; Invoices'!$B$5:$B$32,0)))</f>
        <v/>
      </c>
      <c r="AB162" s="335" t="str">
        <f>IF(X162="","",SUMIFS('Bills &amp; Invoices'!$J$5:$J$32,'Bills &amp; Invoices'!$B$5:$B$32,X162))</f>
        <v/>
      </c>
      <c r="AC162" s="335" t="str">
        <f>IF(X162="","",SUMIFS('Payments &amp; Receipts'!$F$5:$F$58,'Payments &amp; Receipts'!$L$5:$L$58,X162))</f>
        <v/>
      </c>
      <c r="AD162" s="333" t="str">
        <f t="array" ref="AD162">IF(X162="","",INDEX('Bills &amp; Invoices'!$U$5:$U$32,MATCH(X162,'Bills &amp; Invoices'!$B$5:$B$32,0)))</f>
        <v/>
      </c>
    </row>
    <row r="163" ht="14.25" customHeight="1">
      <c r="R16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Clearances'!$A$4:$Q$4)),FALSE)),ROWS(R$5:R163)))&amp;""  –  ""&amp;INDEX('Chemical Clearances'!$D$5:$D$169,MATCH(INDEX('Chemical Clearances'!$B$5:$B$169,LARGE(FILTER((ROW('Chemical Clearances'!$B$5:$B$169)-ROW('"&amp;"Chemical Clearances'!$A$4:$Q$4)),IFERROR((MATCH('Chemical Clearances'!$B$5:$B$169,'Chemical Clearances'!$B$5:$B$169,0)=ROW('Chemical Clearances'!$B$5:$B$169)-ROW('Chemical Clearances'!$A$4:$Q$4)),FALSE)),ROWS(R$5:R163))),'Chemical Clearances'!$B$5:$B$169,"&amp;"0)),"""")), 1, 1)"),"")</f>
        <v/>
      </c>
      <c r="X16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Invoices'!$A$4:$V$4)),FALSE)),ROWS(X$5:X163))),"""")), 1, 1)"),"")</f>
        <v/>
      </c>
      <c r="Y163" s="333" t="str">
        <f t="array" ref="Y163">IF(X163="","",X163&amp;"  –  "&amp;INDEX('Bills &amp; Invoices'!$D$5:$D$32,MATCH(X163,'Bills &amp; Invoices'!$B$5:$B$32,0))&amp;"  –  $"&amp;TEXT(SUMIFS('Bills &amp; Invoices'!$J$5:$J$32,'Bills &amp; Invoices'!$B$5:$B$32,X163),"#,##0"))</f>
        <v/>
      </c>
      <c r="Z163" s="333" t="str">
        <f t="array" ref="Z163">IF(X163="","",INDEX('Bills &amp; Invoices'!$D$5:$D$32,MATCH(X163,'Bills &amp; Invoices'!$B$5:$B$32,0)))</f>
        <v/>
      </c>
      <c r="AA163" s="334" t="str">
        <f t="array" ref="AA163">IF(X163="","",INDEX('Bills &amp; Invoices'!$K$5:$K$32,MATCH(X163,'Bills &amp; Invoices'!$B$5:$B$32,0)))</f>
        <v/>
      </c>
      <c r="AB163" s="335" t="str">
        <f>IF(X163="","",SUMIFS('Bills &amp; Invoices'!$J$5:$J$32,'Bills &amp; Invoices'!$B$5:$B$32,X163))</f>
        <v/>
      </c>
      <c r="AC163" s="335" t="str">
        <f>IF(X163="","",SUMIFS('Payments &amp; Receipts'!$F$5:$F$58,'Payments &amp; Receipts'!$L$5:$L$58,X163))</f>
        <v/>
      </c>
      <c r="AD163" s="333" t="str">
        <f t="array" ref="AD163">IF(X163="","",INDEX('Bills &amp; Invoices'!$U$5:$U$32,MATCH(X163,'Bills &amp; Invoices'!$B$5:$B$32,0)))</f>
        <v/>
      </c>
    </row>
    <row r="164" ht="14.25" customHeight="1">
      <c r="R16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Clearances'!$A$4:$Q$4)),FALSE)),ROWS(R$5:R164)))&amp;""  –  ""&amp;INDEX('Chemical Clearances'!$D$5:$D$169,MATCH(INDEX('Chemical Clearances'!$B$5:$B$169,LARGE(FILTER((ROW('Chemical Clearances'!$B$5:$B$169)-ROW('"&amp;"Chemical Clearances'!$A$4:$Q$4)),IFERROR((MATCH('Chemical Clearances'!$B$5:$B$169,'Chemical Clearances'!$B$5:$B$169,0)=ROW('Chemical Clearances'!$B$5:$B$169)-ROW('Chemical Clearances'!$A$4:$Q$4)),FALSE)),ROWS(R$5:R164))),'Chemical Clearances'!$B$5:$B$169,"&amp;"0)),"""")), 1, 1)"),"")</f>
        <v/>
      </c>
      <c r="X16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Invoices'!$A$4:$V$4)),FALSE)),ROWS(X$5:X164))),"""")), 1, 1)"),"")</f>
        <v/>
      </c>
      <c r="Y164" s="333" t="str">
        <f t="array" ref="Y164">IF(X164="","",X164&amp;"  –  "&amp;INDEX('Bills &amp; Invoices'!$D$5:$D$32,MATCH(X164,'Bills &amp; Invoices'!$B$5:$B$32,0))&amp;"  –  $"&amp;TEXT(SUMIFS('Bills &amp; Invoices'!$J$5:$J$32,'Bills &amp; Invoices'!$B$5:$B$32,X164),"#,##0"))</f>
        <v/>
      </c>
      <c r="Z164" s="333" t="str">
        <f t="array" ref="Z164">IF(X164="","",INDEX('Bills &amp; Invoices'!$D$5:$D$32,MATCH(X164,'Bills &amp; Invoices'!$B$5:$B$32,0)))</f>
        <v/>
      </c>
      <c r="AA164" s="334" t="str">
        <f t="array" ref="AA164">IF(X164="","",INDEX('Bills &amp; Invoices'!$K$5:$K$32,MATCH(X164,'Bills &amp; Invoices'!$B$5:$B$32,0)))</f>
        <v/>
      </c>
      <c r="AB164" s="335" t="str">
        <f>IF(X164="","",SUMIFS('Bills &amp; Invoices'!$J$5:$J$32,'Bills &amp; Invoices'!$B$5:$B$32,X164))</f>
        <v/>
      </c>
      <c r="AC164" s="335" t="str">
        <f>IF(X164="","",SUMIFS('Payments &amp; Receipts'!$F$5:$F$58,'Payments &amp; Receipts'!$L$5:$L$58,X164))</f>
        <v/>
      </c>
      <c r="AD164" s="333" t="str">
        <f t="array" ref="AD164">IF(X164="","",INDEX('Bills &amp; Invoices'!$U$5:$U$32,MATCH(X164,'Bills &amp; Invoices'!$B$5:$B$32,0)))</f>
        <v/>
      </c>
    </row>
    <row r="165" ht="14.25" customHeight="1">
      <c r="R16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Clearances'!$A$4:$Q$4)),FALSE)),ROWS(R$5:R165)))&amp;""  –  ""&amp;INDEX('Chemical Clearances'!$D$5:$D$169,MATCH(INDEX('Chemical Clearances'!$B$5:$B$169,LARGE(FILTER((ROW('Chemical Clearances'!$B$5:$B$169)-ROW('"&amp;"Chemical Clearances'!$A$4:$Q$4)),IFERROR((MATCH('Chemical Clearances'!$B$5:$B$169,'Chemical Clearances'!$B$5:$B$169,0)=ROW('Chemical Clearances'!$B$5:$B$169)-ROW('Chemical Clearances'!$A$4:$Q$4)),FALSE)),ROWS(R$5:R165))),'Chemical Clearances'!$B$5:$B$169,"&amp;"0)),"""")), 1, 1)"),"")</f>
        <v/>
      </c>
      <c r="X16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Invoices'!$A$4:$V$4)),FALSE)),ROWS(X$5:X165))),"""")), 1, 1)"),"")</f>
        <v/>
      </c>
      <c r="Y165" s="333" t="str">
        <f t="array" ref="Y165">IF(X165="","",X165&amp;"  –  "&amp;INDEX('Bills &amp; Invoices'!$D$5:$D$32,MATCH(X165,'Bills &amp; Invoices'!$B$5:$B$32,0))&amp;"  –  $"&amp;TEXT(SUMIFS('Bills &amp; Invoices'!$J$5:$J$32,'Bills &amp; Invoices'!$B$5:$B$32,X165),"#,##0"))</f>
        <v/>
      </c>
      <c r="Z165" s="333" t="str">
        <f t="array" ref="Z165">IF(X165="","",INDEX('Bills &amp; Invoices'!$D$5:$D$32,MATCH(X165,'Bills &amp; Invoices'!$B$5:$B$32,0)))</f>
        <v/>
      </c>
      <c r="AA165" s="334" t="str">
        <f t="array" ref="AA165">IF(X165="","",INDEX('Bills &amp; Invoices'!$K$5:$K$32,MATCH(X165,'Bills &amp; Invoices'!$B$5:$B$32,0)))</f>
        <v/>
      </c>
      <c r="AB165" s="335" t="str">
        <f>IF(X165="","",SUMIFS('Bills &amp; Invoices'!$J$5:$J$32,'Bills &amp; Invoices'!$B$5:$B$32,X165))</f>
        <v/>
      </c>
      <c r="AC165" s="335" t="str">
        <f>IF(X165="","",SUMIFS('Payments &amp; Receipts'!$F$5:$F$58,'Payments &amp; Receipts'!$L$5:$L$58,X165))</f>
        <v/>
      </c>
      <c r="AD165" s="333" t="str">
        <f t="array" ref="AD165">IF(X165="","",INDEX('Bills &amp; Invoices'!$U$5:$U$32,MATCH(X165,'Bills &amp; Invoices'!$B$5:$B$32,0)))</f>
        <v/>
      </c>
    </row>
    <row r="166" ht="14.25" customHeight="1">
      <c r="R16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Clearances'!$A$4:$Q$4)),FALSE)),ROWS(R$5:R166)))&amp;""  –  ""&amp;INDEX('Chemical Clearances'!$D$5:$D$169,MATCH(INDEX('Chemical Clearances'!$B$5:$B$169,LARGE(FILTER((ROW('Chemical Clearances'!$B$5:$B$169)-ROW('"&amp;"Chemical Clearances'!$A$4:$Q$4)),IFERROR((MATCH('Chemical Clearances'!$B$5:$B$169,'Chemical Clearances'!$B$5:$B$169,0)=ROW('Chemical Clearances'!$B$5:$B$169)-ROW('Chemical Clearances'!$A$4:$Q$4)),FALSE)),ROWS(R$5:R166))),'Chemical Clearances'!$B$5:$B$169,"&amp;"0)),"""")), 1, 1)"),"")</f>
        <v/>
      </c>
      <c r="X16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Invoices'!$A$4:$V$4)),FALSE)),ROWS(X$5:X166))),"""")), 1, 1)"),"")</f>
        <v/>
      </c>
      <c r="Y166" s="333" t="str">
        <f t="array" ref="Y166">IF(X166="","",X166&amp;"  –  "&amp;INDEX('Bills &amp; Invoices'!$D$5:$D$32,MATCH(X166,'Bills &amp; Invoices'!$B$5:$B$32,0))&amp;"  –  $"&amp;TEXT(SUMIFS('Bills &amp; Invoices'!$J$5:$J$32,'Bills &amp; Invoices'!$B$5:$B$32,X166),"#,##0"))</f>
        <v/>
      </c>
      <c r="Z166" s="333" t="str">
        <f t="array" ref="Z166">IF(X166="","",INDEX('Bills &amp; Invoices'!$D$5:$D$32,MATCH(X166,'Bills &amp; Invoices'!$B$5:$B$32,0)))</f>
        <v/>
      </c>
      <c r="AA166" s="334" t="str">
        <f t="array" ref="AA166">IF(X166="","",INDEX('Bills &amp; Invoices'!$K$5:$K$32,MATCH(X166,'Bills &amp; Invoices'!$B$5:$B$32,0)))</f>
        <v/>
      </c>
      <c r="AB166" s="335" t="str">
        <f>IF(X166="","",SUMIFS('Bills &amp; Invoices'!$J$5:$J$32,'Bills &amp; Invoices'!$B$5:$B$32,X166))</f>
        <v/>
      </c>
      <c r="AC166" s="335" t="str">
        <f>IF(X166="","",SUMIFS('Payments &amp; Receipts'!$F$5:$F$58,'Payments &amp; Receipts'!$L$5:$L$58,X166))</f>
        <v/>
      </c>
      <c r="AD166" s="333" t="str">
        <f t="array" ref="AD166">IF(X166="","",INDEX('Bills &amp; Invoices'!$U$5:$U$32,MATCH(X166,'Bills &amp; Invoices'!$B$5:$B$32,0)))</f>
        <v/>
      </c>
    </row>
    <row r="167" ht="14.25" customHeight="1">
      <c r="R16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Clearances'!$A$4:$Q$4)),FALSE)),ROWS(R$5:R167)))&amp;""  –  ""&amp;INDEX('Chemical Clearances'!$D$5:$D$169,MATCH(INDEX('Chemical Clearances'!$B$5:$B$169,LARGE(FILTER((ROW('Chemical Clearances'!$B$5:$B$169)-ROW('"&amp;"Chemical Clearances'!$A$4:$Q$4)),IFERROR((MATCH('Chemical Clearances'!$B$5:$B$169,'Chemical Clearances'!$B$5:$B$169,0)=ROW('Chemical Clearances'!$B$5:$B$169)-ROW('Chemical Clearances'!$A$4:$Q$4)),FALSE)),ROWS(R$5:R167))),'Chemical Clearances'!$B$5:$B$169,"&amp;"0)),"""")), 1, 1)"),"")</f>
        <v/>
      </c>
      <c r="X16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Invoices'!$A$4:$V$4)),FALSE)),ROWS(X$5:X167))),"""")), 1, 1)"),"")</f>
        <v/>
      </c>
      <c r="Y167" s="333" t="str">
        <f t="array" ref="Y167">IF(X167="","",X167&amp;"  –  "&amp;INDEX('Bills &amp; Invoices'!$D$5:$D$32,MATCH(X167,'Bills &amp; Invoices'!$B$5:$B$32,0))&amp;"  –  $"&amp;TEXT(SUMIFS('Bills &amp; Invoices'!$J$5:$J$32,'Bills &amp; Invoices'!$B$5:$B$32,X167),"#,##0"))</f>
        <v/>
      </c>
      <c r="Z167" s="333" t="str">
        <f t="array" ref="Z167">IF(X167="","",INDEX('Bills &amp; Invoices'!$D$5:$D$32,MATCH(X167,'Bills &amp; Invoices'!$B$5:$B$32,0)))</f>
        <v/>
      </c>
      <c r="AA167" s="334" t="str">
        <f t="array" ref="AA167">IF(X167="","",INDEX('Bills &amp; Invoices'!$K$5:$K$32,MATCH(X167,'Bills &amp; Invoices'!$B$5:$B$32,0)))</f>
        <v/>
      </c>
      <c r="AB167" s="335" t="str">
        <f>IF(X167="","",SUMIFS('Bills &amp; Invoices'!$J$5:$J$32,'Bills &amp; Invoices'!$B$5:$B$32,X167))</f>
        <v/>
      </c>
      <c r="AC167" s="335" t="str">
        <f>IF(X167="","",SUMIFS('Payments &amp; Receipts'!$F$5:$F$58,'Payments &amp; Receipts'!$L$5:$L$58,X167))</f>
        <v/>
      </c>
      <c r="AD167" s="333" t="str">
        <f t="array" ref="AD167">IF(X167="","",INDEX('Bills &amp; Invoices'!$U$5:$U$32,MATCH(X167,'Bills &amp; Invoices'!$B$5:$B$32,0)))</f>
        <v/>
      </c>
    </row>
    <row r="168" ht="14.25" customHeight="1">
      <c r="R16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Clearances'!$A$4:$Q$4)),FALSE)),ROWS(R$5:R168)))&amp;""  –  ""&amp;INDEX('Chemical Clearances'!$D$5:$D$169,MATCH(INDEX('Chemical Clearances'!$B$5:$B$169,LARGE(FILTER((ROW('Chemical Clearances'!$B$5:$B$169)-ROW('"&amp;"Chemical Clearances'!$A$4:$Q$4)),IFERROR((MATCH('Chemical Clearances'!$B$5:$B$169,'Chemical Clearances'!$B$5:$B$169,0)=ROW('Chemical Clearances'!$B$5:$B$169)-ROW('Chemical Clearances'!$A$4:$Q$4)),FALSE)),ROWS(R$5:R168))),'Chemical Clearances'!$B$5:$B$169,"&amp;"0)),"""")), 1, 1)"),"")</f>
        <v/>
      </c>
      <c r="X16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Invoices'!$A$4:$V$4)),FALSE)),ROWS(X$5:X168))),"""")), 1, 1)"),"")</f>
        <v/>
      </c>
      <c r="Y168" s="333" t="str">
        <f t="array" ref="Y168">IF(X168="","",X168&amp;"  –  "&amp;INDEX('Bills &amp; Invoices'!$D$5:$D$32,MATCH(X168,'Bills &amp; Invoices'!$B$5:$B$32,0))&amp;"  –  $"&amp;TEXT(SUMIFS('Bills &amp; Invoices'!$J$5:$J$32,'Bills &amp; Invoices'!$B$5:$B$32,X168),"#,##0"))</f>
        <v/>
      </c>
      <c r="Z168" s="333" t="str">
        <f t="array" ref="Z168">IF(X168="","",INDEX('Bills &amp; Invoices'!$D$5:$D$32,MATCH(X168,'Bills &amp; Invoices'!$B$5:$B$32,0)))</f>
        <v/>
      </c>
      <c r="AA168" s="334" t="str">
        <f t="array" ref="AA168">IF(X168="","",INDEX('Bills &amp; Invoices'!$K$5:$K$32,MATCH(X168,'Bills &amp; Invoices'!$B$5:$B$32,0)))</f>
        <v/>
      </c>
      <c r="AB168" s="335" t="str">
        <f>IF(X168="","",SUMIFS('Bills &amp; Invoices'!$J$5:$J$32,'Bills &amp; Invoices'!$B$5:$B$32,X168))</f>
        <v/>
      </c>
      <c r="AC168" s="335" t="str">
        <f>IF(X168="","",SUMIFS('Payments &amp; Receipts'!$F$5:$F$58,'Payments &amp; Receipts'!$L$5:$L$58,X168))</f>
        <v/>
      </c>
      <c r="AD168" s="333" t="str">
        <f t="array" ref="AD168">IF(X168="","",INDEX('Bills &amp; Invoices'!$U$5:$U$32,MATCH(X168,'Bills &amp; Invoices'!$B$5:$B$32,0)))</f>
        <v/>
      </c>
    </row>
    <row r="169" ht="14.25" customHeight="1">
      <c r="R16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Clearances'!$A$4:$Q$4)),FALSE)),ROWS(R$5:R169)))&amp;""  –  ""&amp;INDEX('Chemical Clearances'!$D$5:$D$169,MATCH(INDEX('Chemical Clearances'!$B$5:$B$169,LARGE(FILTER((ROW('Chemical Clearances'!$B$5:$B$169)-ROW('"&amp;"Chemical Clearances'!$A$4:$Q$4)),IFERROR((MATCH('Chemical Clearances'!$B$5:$B$169,'Chemical Clearances'!$B$5:$B$169,0)=ROW('Chemical Clearances'!$B$5:$B$169)-ROW('Chemical Clearances'!$A$4:$Q$4)),FALSE)),ROWS(R$5:R169))),'Chemical Clearances'!$B$5:$B$169,"&amp;"0)),"""")), 1, 1)"),"")</f>
        <v/>
      </c>
      <c r="X16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Invoices'!$A$4:$V$4)),FALSE)),ROWS(X$5:X169))),"""")), 1, 1)"),"")</f>
        <v/>
      </c>
      <c r="Y169" s="333" t="str">
        <f t="array" ref="Y169">IF(X169="","",X169&amp;"  –  "&amp;INDEX('Bills &amp; Invoices'!$D$5:$D$32,MATCH(X169,'Bills &amp; Invoices'!$B$5:$B$32,0))&amp;"  –  $"&amp;TEXT(SUMIFS('Bills &amp; Invoices'!$J$5:$J$32,'Bills &amp; Invoices'!$B$5:$B$32,X169),"#,##0"))</f>
        <v/>
      </c>
      <c r="Z169" s="333" t="str">
        <f t="array" ref="Z169">IF(X169="","",INDEX('Bills &amp; Invoices'!$D$5:$D$32,MATCH(X169,'Bills &amp; Invoices'!$B$5:$B$32,0)))</f>
        <v/>
      </c>
      <c r="AA169" s="334" t="str">
        <f t="array" ref="AA169">IF(X169="","",INDEX('Bills &amp; Invoices'!$K$5:$K$32,MATCH(X169,'Bills &amp; Invoices'!$B$5:$B$32,0)))</f>
        <v/>
      </c>
      <c r="AB169" s="335" t="str">
        <f>IF(X169="","",SUMIFS('Bills &amp; Invoices'!$J$5:$J$32,'Bills &amp; Invoices'!$B$5:$B$32,X169))</f>
        <v/>
      </c>
      <c r="AC169" s="335" t="str">
        <f>IF(X169="","",SUMIFS('Payments &amp; Receipts'!$F$5:$F$58,'Payments &amp; Receipts'!$L$5:$L$58,X169))</f>
        <v/>
      </c>
      <c r="AD169" s="333" t="str">
        <f t="array" ref="AD169">IF(X169="","",INDEX('Bills &amp; Invoices'!$U$5:$U$32,MATCH(X169,'Bills &amp; Invoices'!$B$5:$B$32,0)))</f>
        <v/>
      </c>
    </row>
    <row r="170" ht="14.25" customHeight="1">
      <c r="R17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Clearances'!$A$4:$Q$4)),FALSE)),ROWS(R$5:R170)))&amp;""  –  ""&amp;INDEX('Chemical Clearances'!$D$5:$D$169,MATCH(INDEX('Chemical Clearances'!$B$5:$B$169,LARGE(FILTER((ROW('Chemical Clearances'!$B$5:$B$169)-ROW('"&amp;"Chemical Clearances'!$A$4:$Q$4)),IFERROR((MATCH('Chemical Clearances'!$B$5:$B$169,'Chemical Clearances'!$B$5:$B$169,0)=ROW('Chemical Clearances'!$B$5:$B$169)-ROW('Chemical Clearances'!$A$4:$Q$4)),FALSE)),ROWS(R$5:R170))),'Chemical Clearances'!$B$5:$B$169,"&amp;"0)),"""")), 1, 1)"),"")</f>
        <v/>
      </c>
      <c r="X17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Invoices'!$A$4:$V$4)),FALSE)),ROWS(X$5:X170))),"""")), 1, 1)"),"")</f>
        <v/>
      </c>
      <c r="Y170" s="333" t="str">
        <f t="array" ref="Y170">IF(X170="","",X170&amp;"  –  "&amp;INDEX('Bills &amp; Invoices'!$D$5:$D$32,MATCH(X170,'Bills &amp; Invoices'!$B$5:$B$32,0))&amp;"  –  $"&amp;TEXT(SUMIFS('Bills &amp; Invoices'!$J$5:$J$32,'Bills &amp; Invoices'!$B$5:$B$32,X170),"#,##0"))</f>
        <v/>
      </c>
      <c r="Z170" s="333" t="str">
        <f t="array" ref="Z170">IF(X170="","",INDEX('Bills &amp; Invoices'!$D$5:$D$32,MATCH(X170,'Bills &amp; Invoices'!$B$5:$B$32,0)))</f>
        <v/>
      </c>
      <c r="AA170" s="334" t="str">
        <f t="array" ref="AA170">IF(X170="","",INDEX('Bills &amp; Invoices'!$K$5:$K$32,MATCH(X170,'Bills &amp; Invoices'!$B$5:$B$32,0)))</f>
        <v/>
      </c>
      <c r="AB170" s="335" t="str">
        <f>IF(X170="","",SUMIFS('Bills &amp; Invoices'!$J$5:$J$32,'Bills &amp; Invoices'!$B$5:$B$32,X170))</f>
        <v/>
      </c>
      <c r="AC170" s="335" t="str">
        <f>IF(X170="","",SUMIFS('Payments &amp; Receipts'!$F$5:$F$58,'Payments &amp; Receipts'!$L$5:$L$58,X170))</f>
        <v/>
      </c>
      <c r="AD170" s="333" t="str">
        <f t="array" ref="AD170">IF(X170="","",INDEX('Bills &amp; Invoices'!$U$5:$U$32,MATCH(X170,'Bills &amp; Invoices'!$B$5:$B$32,0)))</f>
        <v/>
      </c>
    </row>
    <row r="171" ht="14.25" customHeight="1">
      <c r="R17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Clearances'!$A$4:$Q$4)),FALSE)),ROWS(R$5:R171)))&amp;""  –  ""&amp;INDEX('Chemical Clearances'!$D$5:$D$169,MATCH(INDEX('Chemical Clearances'!$B$5:$B$169,LARGE(FILTER((ROW('Chemical Clearances'!$B$5:$B$169)-ROW('"&amp;"Chemical Clearances'!$A$4:$Q$4)),IFERROR((MATCH('Chemical Clearances'!$B$5:$B$169,'Chemical Clearances'!$B$5:$B$169,0)=ROW('Chemical Clearances'!$B$5:$B$169)-ROW('Chemical Clearances'!$A$4:$Q$4)),FALSE)),ROWS(R$5:R171))),'Chemical Clearances'!$B$5:$B$169,"&amp;"0)),"""")), 1, 1)"),"")</f>
        <v/>
      </c>
      <c r="X17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Invoices'!$A$4:$V$4)),FALSE)),ROWS(X$5:X171))),"""")), 1, 1)"),"")</f>
        <v/>
      </c>
      <c r="Y171" s="333" t="str">
        <f t="array" ref="Y171">IF(X171="","",X171&amp;"  –  "&amp;INDEX('Bills &amp; Invoices'!$D$5:$D$32,MATCH(X171,'Bills &amp; Invoices'!$B$5:$B$32,0))&amp;"  –  $"&amp;TEXT(SUMIFS('Bills &amp; Invoices'!$J$5:$J$32,'Bills &amp; Invoices'!$B$5:$B$32,X171),"#,##0"))</f>
        <v/>
      </c>
      <c r="Z171" s="333" t="str">
        <f t="array" ref="Z171">IF(X171="","",INDEX('Bills &amp; Invoices'!$D$5:$D$32,MATCH(X171,'Bills &amp; Invoices'!$B$5:$B$32,0)))</f>
        <v/>
      </c>
      <c r="AA171" s="334" t="str">
        <f t="array" ref="AA171">IF(X171="","",INDEX('Bills &amp; Invoices'!$K$5:$K$32,MATCH(X171,'Bills &amp; Invoices'!$B$5:$B$32,0)))</f>
        <v/>
      </c>
      <c r="AB171" s="335" t="str">
        <f>IF(X171="","",SUMIFS('Bills &amp; Invoices'!$J$5:$J$32,'Bills &amp; Invoices'!$B$5:$B$32,X171))</f>
        <v/>
      </c>
      <c r="AC171" s="335" t="str">
        <f>IF(X171="","",SUMIFS('Payments &amp; Receipts'!$F$5:$F$58,'Payments &amp; Receipts'!$L$5:$L$58,X171))</f>
        <v/>
      </c>
      <c r="AD171" s="333" t="str">
        <f t="array" ref="AD171">IF(X171="","",INDEX('Bills &amp; Invoices'!$U$5:$U$32,MATCH(X171,'Bills &amp; Invoices'!$B$5:$B$32,0)))</f>
        <v/>
      </c>
    </row>
    <row r="172" ht="14.25" customHeight="1">
      <c r="R17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Clearances'!$A$4:$Q$4)),FALSE)),ROWS(R$5:R172)))&amp;""  –  ""&amp;INDEX('Chemical Clearances'!$D$5:$D$169,MATCH(INDEX('Chemical Clearances'!$B$5:$B$169,LARGE(FILTER((ROW('Chemical Clearances'!$B$5:$B$169)-ROW('"&amp;"Chemical Clearances'!$A$4:$Q$4)),IFERROR((MATCH('Chemical Clearances'!$B$5:$B$169,'Chemical Clearances'!$B$5:$B$169,0)=ROW('Chemical Clearances'!$B$5:$B$169)-ROW('Chemical Clearances'!$A$4:$Q$4)),FALSE)),ROWS(R$5:R172))),'Chemical Clearances'!$B$5:$B$169,"&amp;"0)),"""")), 1, 1)"),"")</f>
        <v/>
      </c>
      <c r="X17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Invoices'!$A$4:$V$4)),FALSE)),ROWS(X$5:X172))),"""")), 1, 1)"),"")</f>
        <v/>
      </c>
      <c r="Y172" s="333" t="str">
        <f t="array" ref="Y172">IF(X172="","",X172&amp;"  –  "&amp;INDEX('Bills &amp; Invoices'!$D$5:$D$32,MATCH(X172,'Bills &amp; Invoices'!$B$5:$B$32,0))&amp;"  –  $"&amp;TEXT(SUMIFS('Bills &amp; Invoices'!$J$5:$J$32,'Bills &amp; Invoices'!$B$5:$B$32,X172),"#,##0"))</f>
        <v/>
      </c>
      <c r="Z172" s="333" t="str">
        <f t="array" ref="Z172">IF(X172="","",INDEX('Bills &amp; Invoices'!$D$5:$D$32,MATCH(X172,'Bills &amp; Invoices'!$B$5:$B$32,0)))</f>
        <v/>
      </c>
      <c r="AA172" s="334" t="str">
        <f t="array" ref="AA172">IF(X172="","",INDEX('Bills &amp; Invoices'!$K$5:$K$32,MATCH(X172,'Bills &amp; Invoices'!$B$5:$B$32,0)))</f>
        <v/>
      </c>
      <c r="AB172" s="335" t="str">
        <f>IF(X172="","",SUMIFS('Bills &amp; Invoices'!$J$5:$J$32,'Bills &amp; Invoices'!$B$5:$B$32,X172))</f>
        <v/>
      </c>
      <c r="AC172" s="335" t="str">
        <f>IF(X172="","",SUMIFS('Payments &amp; Receipts'!$F$5:$F$58,'Payments &amp; Receipts'!$L$5:$L$58,X172))</f>
        <v/>
      </c>
      <c r="AD172" s="333" t="str">
        <f t="array" ref="AD172">IF(X172="","",INDEX('Bills &amp; Invoices'!$U$5:$U$32,MATCH(X172,'Bills &amp; Invoices'!$B$5:$B$32,0)))</f>
        <v/>
      </c>
    </row>
    <row r="173" ht="14.25" customHeight="1">
      <c r="R17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Clearances'!$A$4:$Q$4)),FALSE)),ROWS(R$5:R173)))&amp;""  –  ""&amp;INDEX('Chemical Clearances'!$D$5:$D$169,MATCH(INDEX('Chemical Clearances'!$B$5:$B$169,LARGE(FILTER((ROW('Chemical Clearances'!$B$5:$B$169)-ROW('"&amp;"Chemical Clearances'!$A$4:$Q$4)),IFERROR((MATCH('Chemical Clearances'!$B$5:$B$169,'Chemical Clearances'!$B$5:$B$169,0)=ROW('Chemical Clearances'!$B$5:$B$169)-ROW('Chemical Clearances'!$A$4:$Q$4)),FALSE)),ROWS(R$5:R173))),'Chemical Clearances'!$B$5:$B$169,"&amp;"0)),"""")), 1, 1)"),"")</f>
        <v/>
      </c>
      <c r="X17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Invoices'!$A$4:$V$4)),FALSE)),ROWS(X$5:X173))),"""")), 1, 1)"),"")</f>
        <v/>
      </c>
      <c r="Y173" s="333" t="str">
        <f t="array" ref="Y173">IF(X173="","",X173&amp;"  –  "&amp;INDEX('Bills &amp; Invoices'!$D$5:$D$32,MATCH(X173,'Bills &amp; Invoices'!$B$5:$B$32,0))&amp;"  –  $"&amp;TEXT(SUMIFS('Bills &amp; Invoices'!$J$5:$J$32,'Bills &amp; Invoices'!$B$5:$B$32,X173),"#,##0"))</f>
        <v/>
      </c>
      <c r="Z173" s="333" t="str">
        <f t="array" ref="Z173">IF(X173="","",INDEX('Bills &amp; Invoices'!$D$5:$D$32,MATCH(X173,'Bills &amp; Invoices'!$B$5:$B$32,0)))</f>
        <v/>
      </c>
      <c r="AA173" s="334" t="str">
        <f t="array" ref="AA173">IF(X173="","",INDEX('Bills &amp; Invoices'!$K$5:$K$32,MATCH(X173,'Bills &amp; Invoices'!$B$5:$B$32,0)))</f>
        <v/>
      </c>
      <c r="AB173" s="335" t="str">
        <f>IF(X173="","",SUMIFS('Bills &amp; Invoices'!$J$5:$J$32,'Bills &amp; Invoices'!$B$5:$B$32,X173))</f>
        <v/>
      </c>
      <c r="AC173" s="335" t="str">
        <f>IF(X173="","",SUMIFS('Payments &amp; Receipts'!$F$5:$F$58,'Payments &amp; Receipts'!$L$5:$L$58,X173))</f>
        <v/>
      </c>
      <c r="AD173" s="333" t="str">
        <f t="array" ref="AD173">IF(X173="","",INDEX('Bills &amp; Invoices'!$U$5:$U$32,MATCH(X173,'Bills &amp; Invoices'!$B$5:$B$32,0)))</f>
        <v/>
      </c>
    </row>
    <row r="174" ht="14.25" customHeight="1">
      <c r="R17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Clearances'!$A$4:$Q$4)),FALSE)),ROWS(R$5:R174)))&amp;""  –  ""&amp;INDEX('Chemical Clearances'!$D$5:$D$169,MATCH(INDEX('Chemical Clearances'!$B$5:$B$169,LARGE(FILTER((ROW('Chemical Clearances'!$B$5:$B$169)-ROW('"&amp;"Chemical Clearances'!$A$4:$Q$4)),IFERROR((MATCH('Chemical Clearances'!$B$5:$B$169,'Chemical Clearances'!$B$5:$B$169,0)=ROW('Chemical Clearances'!$B$5:$B$169)-ROW('Chemical Clearances'!$A$4:$Q$4)),FALSE)),ROWS(R$5:R174))),'Chemical Clearances'!$B$5:$B$169,"&amp;"0)),"""")), 1, 1)"),"")</f>
        <v/>
      </c>
      <c r="X17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Invoices'!$A$4:$V$4)),FALSE)),ROWS(X$5:X174))),"""")), 1, 1)"),"")</f>
        <v/>
      </c>
      <c r="Y174" s="333" t="str">
        <f t="array" ref="Y174">IF(X174="","",X174&amp;"  –  "&amp;INDEX('Bills &amp; Invoices'!$D$5:$D$32,MATCH(X174,'Bills &amp; Invoices'!$B$5:$B$32,0))&amp;"  –  $"&amp;TEXT(SUMIFS('Bills &amp; Invoices'!$J$5:$J$32,'Bills &amp; Invoices'!$B$5:$B$32,X174),"#,##0"))</f>
        <v/>
      </c>
      <c r="Z174" s="333" t="str">
        <f t="array" ref="Z174">IF(X174="","",INDEX('Bills &amp; Invoices'!$D$5:$D$32,MATCH(X174,'Bills &amp; Invoices'!$B$5:$B$32,0)))</f>
        <v/>
      </c>
      <c r="AA174" s="334" t="str">
        <f t="array" ref="AA174">IF(X174="","",INDEX('Bills &amp; Invoices'!$K$5:$K$32,MATCH(X174,'Bills &amp; Invoices'!$B$5:$B$32,0)))</f>
        <v/>
      </c>
      <c r="AB174" s="335" t="str">
        <f>IF(X174="","",SUMIFS('Bills &amp; Invoices'!$J$5:$J$32,'Bills &amp; Invoices'!$B$5:$B$32,X174))</f>
        <v/>
      </c>
      <c r="AC174" s="335" t="str">
        <f>IF(X174="","",SUMIFS('Payments &amp; Receipts'!$F$5:$F$58,'Payments &amp; Receipts'!$L$5:$L$58,X174))</f>
        <v/>
      </c>
      <c r="AD174" s="333" t="str">
        <f t="array" ref="AD174">IF(X174="","",INDEX('Bills &amp; Invoices'!$U$5:$U$32,MATCH(X174,'Bills &amp; Invoices'!$B$5:$B$32,0)))</f>
        <v/>
      </c>
    </row>
    <row r="175" ht="14.25" customHeight="1">
      <c r="R17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Clearances'!$A$4:$Q$4)),FALSE)),ROWS(R$5:R175)))&amp;""  –  ""&amp;INDEX('Chemical Clearances'!$D$5:$D$169,MATCH(INDEX('Chemical Clearances'!$B$5:$B$169,LARGE(FILTER((ROW('Chemical Clearances'!$B$5:$B$169)-ROW('"&amp;"Chemical Clearances'!$A$4:$Q$4)),IFERROR((MATCH('Chemical Clearances'!$B$5:$B$169,'Chemical Clearances'!$B$5:$B$169,0)=ROW('Chemical Clearances'!$B$5:$B$169)-ROW('Chemical Clearances'!$A$4:$Q$4)),FALSE)),ROWS(R$5:R175))),'Chemical Clearances'!$B$5:$B$169,"&amp;"0)),"""")), 1, 1)"),"")</f>
        <v/>
      </c>
      <c r="X17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Invoices'!$A$4:$V$4)),FALSE)),ROWS(X$5:X175))),"""")), 1, 1)"),"")</f>
        <v/>
      </c>
      <c r="Y175" s="333" t="str">
        <f t="array" ref="Y175">IF(X175="","",X175&amp;"  –  "&amp;INDEX('Bills &amp; Invoices'!$D$5:$D$32,MATCH(X175,'Bills &amp; Invoices'!$B$5:$B$32,0))&amp;"  –  $"&amp;TEXT(SUMIFS('Bills &amp; Invoices'!$J$5:$J$32,'Bills &amp; Invoices'!$B$5:$B$32,X175),"#,##0"))</f>
        <v/>
      </c>
      <c r="Z175" s="333" t="str">
        <f t="array" ref="Z175">IF(X175="","",INDEX('Bills &amp; Invoices'!$D$5:$D$32,MATCH(X175,'Bills &amp; Invoices'!$B$5:$B$32,0)))</f>
        <v/>
      </c>
      <c r="AA175" s="334" t="str">
        <f t="array" ref="AA175">IF(X175="","",INDEX('Bills &amp; Invoices'!$K$5:$K$32,MATCH(X175,'Bills &amp; Invoices'!$B$5:$B$32,0)))</f>
        <v/>
      </c>
      <c r="AB175" s="335" t="str">
        <f>IF(X175="","",SUMIFS('Bills &amp; Invoices'!$J$5:$J$32,'Bills &amp; Invoices'!$B$5:$B$32,X175))</f>
        <v/>
      </c>
      <c r="AC175" s="335" t="str">
        <f>IF(X175="","",SUMIFS('Payments &amp; Receipts'!$F$5:$F$58,'Payments &amp; Receipts'!$L$5:$L$58,X175))</f>
        <v/>
      </c>
      <c r="AD175" s="333" t="str">
        <f t="array" ref="AD175">IF(X175="","",INDEX('Bills &amp; Invoices'!$U$5:$U$32,MATCH(X175,'Bills &amp; Invoices'!$B$5:$B$32,0)))</f>
        <v/>
      </c>
    </row>
    <row r="176" ht="14.25" customHeight="1">
      <c r="R17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Clearances'!$A$4:$Q$4)),FALSE)),ROWS(R$5:R176)))&amp;""  –  ""&amp;INDEX('Chemical Clearances'!$D$5:$D$169,MATCH(INDEX('Chemical Clearances'!$B$5:$B$169,LARGE(FILTER((ROW('Chemical Clearances'!$B$5:$B$169)-ROW('"&amp;"Chemical Clearances'!$A$4:$Q$4)),IFERROR((MATCH('Chemical Clearances'!$B$5:$B$169,'Chemical Clearances'!$B$5:$B$169,0)=ROW('Chemical Clearances'!$B$5:$B$169)-ROW('Chemical Clearances'!$A$4:$Q$4)),FALSE)),ROWS(R$5:R176))),'Chemical Clearances'!$B$5:$B$169,"&amp;"0)),"""")), 1, 1)"),"")</f>
        <v/>
      </c>
      <c r="X17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Invoices'!$A$4:$V$4)),FALSE)),ROWS(X$5:X176))),"""")), 1, 1)"),"")</f>
        <v/>
      </c>
      <c r="Y176" s="333" t="str">
        <f t="array" ref="Y176">IF(X176="","",X176&amp;"  –  "&amp;INDEX('Bills &amp; Invoices'!$D$5:$D$32,MATCH(X176,'Bills &amp; Invoices'!$B$5:$B$32,0))&amp;"  –  $"&amp;TEXT(SUMIFS('Bills &amp; Invoices'!$J$5:$J$32,'Bills &amp; Invoices'!$B$5:$B$32,X176),"#,##0"))</f>
        <v/>
      </c>
      <c r="Z176" s="333" t="str">
        <f t="array" ref="Z176">IF(X176="","",INDEX('Bills &amp; Invoices'!$D$5:$D$32,MATCH(X176,'Bills &amp; Invoices'!$B$5:$B$32,0)))</f>
        <v/>
      </c>
      <c r="AA176" s="334" t="str">
        <f t="array" ref="AA176">IF(X176="","",INDEX('Bills &amp; Invoices'!$K$5:$K$32,MATCH(X176,'Bills &amp; Invoices'!$B$5:$B$32,0)))</f>
        <v/>
      </c>
      <c r="AB176" s="335" t="str">
        <f>IF(X176="","",SUMIFS('Bills &amp; Invoices'!$J$5:$J$32,'Bills &amp; Invoices'!$B$5:$B$32,X176))</f>
        <v/>
      </c>
      <c r="AC176" s="335" t="str">
        <f>IF(X176="","",SUMIFS('Payments &amp; Receipts'!$F$5:$F$58,'Payments &amp; Receipts'!$L$5:$L$58,X176))</f>
        <v/>
      </c>
      <c r="AD176" s="333" t="str">
        <f t="array" ref="AD176">IF(X176="","",INDEX('Bills &amp; Invoices'!$U$5:$U$32,MATCH(X176,'Bills &amp; Invoices'!$B$5:$B$32,0)))</f>
        <v/>
      </c>
    </row>
    <row r="177" ht="14.25" customHeight="1">
      <c r="R17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Clearances'!$A$4:$Q$4)),FALSE)),ROWS(R$5:R177)))&amp;""  –  ""&amp;INDEX('Chemical Clearances'!$D$5:$D$169,MATCH(INDEX('Chemical Clearances'!$B$5:$B$169,LARGE(FILTER((ROW('Chemical Clearances'!$B$5:$B$169)-ROW('"&amp;"Chemical Clearances'!$A$4:$Q$4)),IFERROR((MATCH('Chemical Clearances'!$B$5:$B$169,'Chemical Clearances'!$B$5:$B$169,0)=ROW('Chemical Clearances'!$B$5:$B$169)-ROW('Chemical Clearances'!$A$4:$Q$4)),FALSE)),ROWS(R$5:R177))),'Chemical Clearances'!$B$5:$B$169,"&amp;"0)),"""")), 1, 1)"),"")</f>
        <v/>
      </c>
      <c r="X17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Invoices'!$A$4:$V$4)),FALSE)),ROWS(X$5:X177))),"""")), 1, 1)"),"")</f>
        <v/>
      </c>
      <c r="Y177" s="333" t="str">
        <f t="array" ref="Y177">IF(X177="","",X177&amp;"  –  "&amp;INDEX('Bills &amp; Invoices'!$D$5:$D$32,MATCH(X177,'Bills &amp; Invoices'!$B$5:$B$32,0))&amp;"  –  $"&amp;TEXT(SUMIFS('Bills &amp; Invoices'!$J$5:$J$32,'Bills &amp; Invoices'!$B$5:$B$32,X177),"#,##0"))</f>
        <v/>
      </c>
      <c r="Z177" s="333" t="str">
        <f t="array" ref="Z177">IF(X177="","",INDEX('Bills &amp; Invoices'!$D$5:$D$32,MATCH(X177,'Bills &amp; Invoices'!$B$5:$B$32,0)))</f>
        <v/>
      </c>
      <c r="AA177" s="334" t="str">
        <f t="array" ref="AA177">IF(X177="","",INDEX('Bills &amp; Invoices'!$K$5:$K$32,MATCH(X177,'Bills &amp; Invoices'!$B$5:$B$32,0)))</f>
        <v/>
      </c>
      <c r="AB177" s="335" t="str">
        <f>IF(X177="","",SUMIFS('Bills &amp; Invoices'!$J$5:$J$32,'Bills &amp; Invoices'!$B$5:$B$32,X177))</f>
        <v/>
      </c>
      <c r="AC177" s="335" t="str">
        <f>IF(X177="","",SUMIFS('Payments &amp; Receipts'!$F$5:$F$58,'Payments &amp; Receipts'!$L$5:$L$58,X177))</f>
        <v/>
      </c>
      <c r="AD177" s="333" t="str">
        <f t="array" ref="AD177">IF(X177="","",INDEX('Bills &amp; Invoices'!$U$5:$U$32,MATCH(X177,'Bills &amp; Invoices'!$B$5:$B$32,0)))</f>
        <v/>
      </c>
    </row>
    <row r="178" ht="14.25" customHeight="1">
      <c r="R17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Clearances'!$A$4:$Q$4)),FALSE)),ROWS(R$5:R178)))&amp;""  –  ""&amp;INDEX('Chemical Clearances'!$D$5:$D$169,MATCH(INDEX('Chemical Clearances'!$B$5:$B$169,LARGE(FILTER((ROW('Chemical Clearances'!$B$5:$B$169)-ROW('"&amp;"Chemical Clearances'!$A$4:$Q$4)),IFERROR((MATCH('Chemical Clearances'!$B$5:$B$169,'Chemical Clearances'!$B$5:$B$169,0)=ROW('Chemical Clearances'!$B$5:$B$169)-ROW('Chemical Clearances'!$A$4:$Q$4)),FALSE)),ROWS(R$5:R178))),'Chemical Clearances'!$B$5:$B$169,"&amp;"0)),"""")), 1, 1)"),"")</f>
        <v/>
      </c>
      <c r="X17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Invoices'!$A$4:$V$4)),FALSE)),ROWS(X$5:X178))),"""")), 1, 1)"),"")</f>
        <v/>
      </c>
      <c r="Y178" s="333" t="str">
        <f t="array" ref="Y178">IF(X178="","",X178&amp;"  –  "&amp;INDEX('Bills &amp; Invoices'!$D$5:$D$32,MATCH(X178,'Bills &amp; Invoices'!$B$5:$B$32,0))&amp;"  –  $"&amp;TEXT(SUMIFS('Bills &amp; Invoices'!$J$5:$J$32,'Bills &amp; Invoices'!$B$5:$B$32,X178),"#,##0"))</f>
        <v/>
      </c>
      <c r="Z178" s="333" t="str">
        <f t="array" ref="Z178">IF(X178="","",INDEX('Bills &amp; Invoices'!$D$5:$D$32,MATCH(X178,'Bills &amp; Invoices'!$B$5:$B$32,0)))</f>
        <v/>
      </c>
      <c r="AA178" s="334" t="str">
        <f t="array" ref="AA178">IF(X178="","",INDEX('Bills &amp; Invoices'!$K$5:$K$32,MATCH(X178,'Bills &amp; Invoices'!$B$5:$B$32,0)))</f>
        <v/>
      </c>
      <c r="AB178" s="335" t="str">
        <f>IF(X178="","",SUMIFS('Bills &amp; Invoices'!$J$5:$J$32,'Bills &amp; Invoices'!$B$5:$B$32,X178))</f>
        <v/>
      </c>
      <c r="AC178" s="335" t="str">
        <f>IF(X178="","",SUMIFS('Payments &amp; Receipts'!$F$5:$F$58,'Payments &amp; Receipts'!$L$5:$L$58,X178))</f>
        <v/>
      </c>
      <c r="AD178" s="333" t="str">
        <f t="array" ref="AD178">IF(X178="","",INDEX('Bills &amp; Invoices'!$U$5:$U$32,MATCH(X178,'Bills &amp; Invoices'!$B$5:$B$32,0)))</f>
        <v/>
      </c>
    </row>
    <row r="179" ht="14.25" customHeight="1">
      <c r="R17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Clearances'!$A$4:$Q$4)),FALSE)),ROWS(R$5:R179)))&amp;""  –  ""&amp;INDEX('Chemical Clearances'!$D$5:$D$169,MATCH(INDEX('Chemical Clearances'!$B$5:$B$169,LARGE(FILTER((ROW('Chemical Clearances'!$B$5:$B$169)-ROW('"&amp;"Chemical Clearances'!$A$4:$Q$4)),IFERROR((MATCH('Chemical Clearances'!$B$5:$B$169,'Chemical Clearances'!$B$5:$B$169,0)=ROW('Chemical Clearances'!$B$5:$B$169)-ROW('Chemical Clearances'!$A$4:$Q$4)),FALSE)),ROWS(R$5:R179))),'Chemical Clearances'!$B$5:$B$169,"&amp;"0)),"""")), 1, 1)"),"")</f>
        <v/>
      </c>
      <c r="X17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Invoices'!$A$4:$V$4)),FALSE)),ROWS(X$5:X179))),"""")), 1, 1)"),"")</f>
        <v/>
      </c>
      <c r="Y179" s="333" t="str">
        <f t="array" ref="Y179">IF(X179="","",X179&amp;"  –  "&amp;INDEX('Bills &amp; Invoices'!$D$5:$D$32,MATCH(X179,'Bills &amp; Invoices'!$B$5:$B$32,0))&amp;"  –  $"&amp;TEXT(SUMIFS('Bills &amp; Invoices'!$J$5:$J$32,'Bills &amp; Invoices'!$B$5:$B$32,X179),"#,##0"))</f>
        <v/>
      </c>
      <c r="Z179" s="333" t="str">
        <f t="array" ref="Z179">IF(X179="","",INDEX('Bills &amp; Invoices'!$D$5:$D$32,MATCH(X179,'Bills &amp; Invoices'!$B$5:$B$32,0)))</f>
        <v/>
      </c>
      <c r="AA179" s="334" t="str">
        <f t="array" ref="AA179">IF(X179="","",INDEX('Bills &amp; Invoices'!$K$5:$K$32,MATCH(X179,'Bills &amp; Invoices'!$B$5:$B$32,0)))</f>
        <v/>
      </c>
      <c r="AB179" s="335" t="str">
        <f>IF(X179="","",SUMIFS('Bills &amp; Invoices'!$J$5:$J$32,'Bills &amp; Invoices'!$B$5:$B$32,X179))</f>
        <v/>
      </c>
      <c r="AC179" s="335" t="str">
        <f>IF(X179="","",SUMIFS('Payments &amp; Receipts'!$F$5:$F$58,'Payments &amp; Receipts'!$L$5:$L$58,X179))</f>
        <v/>
      </c>
      <c r="AD179" s="333" t="str">
        <f t="array" ref="AD179">IF(X179="","",INDEX('Bills &amp; Invoices'!$U$5:$U$32,MATCH(X179,'Bills &amp; Invoices'!$B$5:$B$32,0)))</f>
        <v/>
      </c>
    </row>
    <row r="180" ht="14.25" customHeight="1">
      <c r="R18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Clearances'!$A$4:$Q$4)),FALSE)),ROWS(R$5:R180)))&amp;""  –  ""&amp;INDEX('Chemical Clearances'!$D$5:$D$169,MATCH(INDEX('Chemical Clearances'!$B$5:$B$169,LARGE(FILTER((ROW('Chemical Clearances'!$B$5:$B$169)-ROW('"&amp;"Chemical Clearances'!$A$4:$Q$4)),IFERROR((MATCH('Chemical Clearances'!$B$5:$B$169,'Chemical Clearances'!$B$5:$B$169,0)=ROW('Chemical Clearances'!$B$5:$B$169)-ROW('Chemical Clearances'!$A$4:$Q$4)),FALSE)),ROWS(R$5:R180))),'Chemical Clearances'!$B$5:$B$169,"&amp;"0)),"""")), 1, 1)"),"")</f>
        <v/>
      </c>
      <c r="X18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Invoices'!$A$4:$V$4)),FALSE)),ROWS(X$5:X180))),"""")), 1, 1)"),"")</f>
        <v/>
      </c>
      <c r="Y180" s="333" t="str">
        <f t="array" ref="Y180">IF(X180="","",X180&amp;"  –  "&amp;INDEX('Bills &amp; Invoices'!$D$5:$D$32,MATCH(X180,'Bills &amp; Invoices'!$B$5:$B$32,0))&amp;"  –  $"&amp;TEXT(SUMIFS('Bills &amp; Invoices'!$J$5:$J$32,'Bills &amp; Invoices'!$B$5:$B$32,X180),"#,##0"))</f>
        <v/>
      </c>
      <c r="Z180" s="333" t="str">
        <f t="array" ref="Z180">IF(X180="","",INDEX('Bills &amp; Invoices'!$D$5:$D$32,MATCH(X180,'Bills &amp; Invoices'!$B$5:$B$32,0)))</f>
        <v/>
      </c>
      <c r="AA180" s="334" t="str">
        <f t="array" ref="AA180">IF(X180="","",INDEX('Bills &amp; Invoices'!$K$5:$K$32,MATCH(X180,'Bills &amp; Invoices'!$B$5:$B$32,0)))</f>
        <v/>
      </c>
      <c r="AB180" s="335" t="str">
        <f>IF(X180="","",SUMIFS('Bills &amp; Invoices'!$J$5:$J$32,'Bills &amp; Invoices'!$B$5:$B$32,X180))</f>
        <v/>
      </c>
      <c r="AC180" s="335" t="str">
        <f>IF(X180="","",SUMIFS('Payments &amp; Receipts'!$F$5:$F$58,'Payments &amp; Receipts'!$L$5:$L$58,X180))</f>
        <v/>
      </c>
      <c r="AD180" s="333" t="str">
        <f t="array" ref="AD180">IF(X180="","",INDEX('Bills &amp; Invoices'!$U$5:$U$32,MATCH(X180,'Bills &amp; Invoices'!$B$5:$B$32,0)))</f>
        <v/>
      </c>
    </row>
    <row r="181" ht="14.25" customHeight="1">
      <c r="R18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Clearances'!$A$4:$Q$4)),FALSE)),ROWS(R$5:R181)))&amp;""  –  ""&amp;INDEX('Chemical Clearances'!$D$5:$D$169,MATCH(INDEX('Chemical Clearances'!$B$5:$B$169,LARGE(FILTER((ROW('Chemical Clearances'!$B$5:$B$169)-ROW('"&amp;"Chemical Clearances'!$A$4:$Q$4)),IFERROR((MATCH('Chemical Clearances'!$B$5:$B$169,'Chemical Clearances'!$B$5:$B$169,0)=ROW('Chemical Clearances'!$B$5:$B$169)-ROW('Chemical Clearances'!$A$4:$Q$4)),FALSE)),ROWS(R$5:R181))),'Chemical Clearances'!$B$5:$B$169,"&amp;"0)),"""")), 1, 1)"),"")</f>
        <v/>
      </c>
      <c r="X18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Invoices'!$A$4:$V$4)),FALSE)),ROWS(X$5:X181))),"""")), 1, 1)"),"")</f>
        <v/>
      </c>
      <c r="Y181" s="333" t="str">
        <f t="array" ref="Y181">IF(X181="","",X181&amp;"  –  "&amp;INDEX('Bills &amp; Invoices'!$D$5:$D$32,MATCH(X181,'Bills &amp; Invoices'!$B$5:$B$32,0))&amp;"  –  $"&amp;TEXT(SUMIFS('Bills &amp; Invoices'!$J$5:$J$32,'Bills &amp; Invoices'!$B$5:$B$32,X181),"#,##0"))</f>
        <v/>
      </c>
      <c r="Z181" s="333" t="str">
        <f t="array" ref="Z181">IF(X181="","",INDEX('Bills &amp; Invoices'!$D$5:$D$32,MATCH(X181,'Bills &amp; Invoices'!$B$5:$B$32,0)))</f>
        <v/>
      </c>
      <c r="AA181" s="334" t="str">
        <f t="array" ref="AA181">IF(X181="","",INDEX('Bills &amp; Invoices'!$K$5:$K$32,MATCH(X181,'Bills &amp; Invoices'!$B$5:$B$32,0)))</f>
        <v/>
      </c>
      <c r="AB181" s="335" t="str">
        <f>IF(X181="","",SUMIFS('Bills &amp; Invoices'!$J$5:$J$32,'Bills &amp; Invoices'!$B$5:$B$32,X181))</f>
        <v/>
      </c>
      <c r="AC181" s="335" t="str">
        <f>IF(X181="","",SUMIFS('Payments &amp; Receipts'!$F$5:$F$58,'Payments &amp; Receipts'!$L$5:$L$58,X181))</f>
        <v/>
      </c>
      <c r="AD181" s="333" t="str">
        <f t="array" ref="AD181">IF(X181="","",INDEX('Bills &amp; Invoices'!$U$5:$U$32,MATCH(X181,'Bills &amp; Invoices'!$B$5:$B$32,0)))</f>
        <v/>
      </c>
    </row>
    <row r="182" ht="14.25" customHeight="1">
      <c r="R18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Clearances'!$A$4:$Q$4)),FALSE)),ROWS(R$5:R182)))&amp;""  –  ""&amp;INDEX('Chemical Clearances'!$D$5:$D$169,MATCH(INDEX('Chemical Clearances'!$B$5:$B$169,LARGE(FILTER((ROW('Chemical Clearances'!$B$5:$B$169)-ROW('"&amp;"Chemical Clearances'!$A$4:$Q$4)),IFERROR((MATCH('Chemical Clearances'!$B$5:$B$169,'Chemical Clearances'!$B$5:$B$169,0)=ROW('Chemical Clearances'!$B$5:$B$169)-ROW('Chemical Clearances'!$A$4:$Q$4)),FALSE)),ROWS(R$5:R182))),'Chemical Clearances'!$B$5:$B$169,"&amp;"0)),"""")), 1, 1)"),"")</f>
        <v/>
      </c>
      <c r="X18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Invoices'!$A$4:$V$4)),FALSE)),ROWS(X$5:X182))),"""")), 1, 1)"),"")</f>
        <v/>
      </c>
      <c r="Y182" s="333" t="str">
        <f t="array" ref="Y182">IF(X182="","",X182&amp;"  –  "&amp;INDEX('Bills &amp; Invoices'!$D$5:$D$32,MATCH(X182,'Bills &amp; Invoices'!$B$5:$B$32,0))&amp;"  –  $"&amp;TEXT(SUMIFS('Bills &amp; Invoices'!$J$5:$J$32,'Bills &amp; Invoices'!$B$5:$B$32,X182),"#,##0"))</f>
        <v/>
      </c>
      <c r="Z182" s="333" t="str">
        <f t="array" ref="Z182">IF(X182="","",INDEX('Bills &amp; Invoices'!$D$5:$D$32,MATCH(X182,'Bills &amp; Invoices'!$B$5:$B$32,0)))</f>
        <v/>
      </c>
      <c r="AA182" s="334" t="str">
        <f t="array" ref="AA182">IF(X182="","",INDEX('Bills &amp; Invoices'!$K$5:$K$32,MATCH(X182,'Bills &amp; Invoices'!$B$5:$B$32,0)))</f>
        <v/>
      </c>
      <c r="AB182" s="335" t="str">
        <f>IF(X182="","",SUMIFS('Bills &amp; Invoices'!$J$5:$J$32,'Bills &amp; Invoices'!$B$5:$B$32,X182))</f>
        <v/>
      </c>
      <c r="AC182" s="335" t="str">
        <f>IF(X182="","",SUMIFS('Payments &amp; Receipts'!$F$5:$F$58,'Payments &amp; Receipts'!$L$5:$L$58,X182))</f>
        <v/>
      </c>
      <c r="AD182" s="333" t="str">
        <f t="array" ref="AD182">IF(X182="","",INDEX('Bills &amp; Invoices'!$U$5:$U$32,MATCH(X182,'Bills &amp; Invoices'!$B$5:$B$32,0)))</f>
        <v/>
      </c>
    </row>
    <row r="183" ht="14.25" customHeight="1">
      <c r="R18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Clearances'!$A$4:$Q$4)),FALSE)),ROWS(R$5:R183)))&amp;""  –  ""&amp;INDEX('Chemical Clearances'!$D$5:$D$169,MATCH(INDEX('Chemical Clearances'!$B$5:$B$169,LARGE(FILTER((ROW('Chemical Clearances'!$B$5:$B$169)-ROW('"&amp;"Chemical Clearances'!$A$4:$Q$4)),IFERROR((MATCH('Chemical Clearances'!$B$5:$B$169,'Chemical Clearances'!$B$5:$B$169,0)=ROW('Chemical Clearances'!$B$5:$B$169)-ROW('Chemical Clearances'!$A$4:$Q$4)),FALSE)),ROWS(R$5:R183))),'Chemical Clearances'!$B$5:$B$169,"&amp;"0)),"""")), 1, 1)"),"")</f>
        <v/>
      </c>
      <c r="X18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Invoices'!$A$4:$V$4)),FALSE)),ROWS(X$5:X183))),"""")), 1, 1)"),"")</f>
        <v/>
      </c>
      <c r="Y183" s="333" t="str">
        <f t="array" ref="Y183">IF(X183="","",X183&amp;"  –  "&amp;INDEX('Bills &amp; Invoices'!$D$5:$D$32,MATCH(X183,'Bills &amp; Invoices'!$B$5:$B$32,0))&amp;"  –  $"&amp;TEXT(SUMIFS('Bills &amp; Invoices'!$J$5:$J$32,'Bills &amp; Invoices'!$B$5:$B$32,X183),"#,##0"))</f>
        <v/>
      </c>
      <c r="Z183" s="333" t="str">
        <f t="array" ref="Z183">IF(X183="","",INDEX('Bills &amp; Invoices'!$D$5:$D$32,MATCH(X183,'Bills &amp; Invoices'!$B$5:$B$32,0)))</f>
        <v/>
      </c>
      <c r="AA183" s="334" t="str">
        <f t="array" ref="AA183">IF(X183="","",INDEX('Bills &amp; Invoices'!$K$5:$K$32,MATCH(X183,'Bills &amp; Invoices'!$B$5:$B$32,0)))</f>
        <v/>
      </c>
      <c r="AB183" s="335" t="str">
        <f>IF(X183="","",SUMIFS('Bills &amp; Invoices'!$J$5:$J$32,'Bills &amp; Invoices'!$B$5:$B$32,X183))</f>
        <v/>
      </c>
      <c r="AC183" s="335" t="str">
        <f>IF(X183="","",SUMIFS('Payments &amp; Receipts'!$F$5:$F$58,'Payments &amp; Receipts'!$L$5:$L$58,X183))</f>
        <v/>
      </c>
      <c r="AD183" s="333" t="str">
        <f t="array" ref="AD183">IF(X183="","",INDEX('Bills &amp; Invoices'!$U$5:$U$32,MATCH(X183,'Bills &amp; Invoices'!$B$5:$B$32,0)))</f>
        <v/>
      </c>
    </row>
    <row r="184" ht="14.25" customHeight="1">
      <c r="R18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Clearances'!$A$4:$Q$4)),FALSE)),ROWS(R$5:R184)))&amp;""  –  ""&amp;INDEX('Chemical Clearances'!$D$5:$D$169,MATCH(INDEX('Chemical Clearances'!$B$5:$B$169,LARGE(FILTER((ROW('Chemical Clearances'!$B$5:$B$169)-ROW('"&amp;"Chemical Clearances'!$A$4:$Q$4)),IFERROR((MATCH('Chemical Clearances'!$B$5:$B$169,'Chemical Clearances'!$B$5:$B$169,0)=ROW('Chemical Clearances'!$B$5:$B$169)-ROW('Chemical Clearances'!$A$4:$Q$4)),FALSE)),ROWS(R$5:R184))),'Chemical Clearances'!$B$5:$B$169,"&amp;"0)),"""")), 1, 1)"),"")</f>
        <v/>
      </c>
      <c r="X18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Invoices'!$A$4:$V$4)),FALSE)),ROWS(X$5:X184))),"""")), 1, 1)"),"")</f>
        <v/>
      </c>
      <c r="Y184" s="333" t="str">
        <f t="array" ref="Y184">IF(X184="","",X184&amp;"  –  "&amp;INDEX('Bills &amp; Invoices'!$D$5:$D$32,MATCH(X184,'Bills &amp; Invoices'!$B$5:$B$32,0))&amp;"  –  $"&amp;TEXT(SUMIFS('Bills &amp; Invoices'!$J$5:$J$32,'Bills &amp; Invoices'!$B$5:$B$32,X184),"#,##0"))</f>
        <v/>
      </c>
      <c r="Z184" s="333" t="str">
        <f t="array" ref="Z184">IF(X184="","",INDEX('Bills &amp; Invoices'!$D$5:$D$32,MATCH(X184,'Bills &amp; Invoices'!$B$5:$B$32,0)))</f>
        <v/>
      </c>
      <c r="AA184" s="334" t="str">
        <f t="array" ref="AA184">IF(X184="","",INDEX('Bills &amp; Invoices'!$K$5:$K$32,MATCH(X184,'Bills &amp; Invoices'!$B$5:$B$32,0)))</f>
        <v/>
      </c>
      <c r="AB184" s="335" t="str">
        <f>IF(X184="","",SUMIFS('Bills &amp; Invoices'!$J$5:$J$32,'Bills &amp; Invoices'!$B$5:$B$32,X184))</f>
        <v/>
      </c>
      <c r="AC184" s="335" t="str">
        <f>IF(X184="","",SUMIFS('Payments &amp; Receipts'!$F$5:$F$58,'Payments &amp; Receipts'!$L$5:$L$58,X184))</f>
        <v/>
      </c>
      <c r="AD184" s="333" t="str">
        <f t="array" ref="AD184">IF(X184="","",INDEX('Bills &amp; Invoices'!$U$5:$U$32,MATCH(X184,'Bills &amp; Invoices'!$B$5:$B$32,0)))</f>
        <v/>
      </c>
    </row>
    <row r="185" ht="14.25" customHeight="1">
      <c r="R18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Clearances'!$A$4:$Q$4)),FALSE)),ROWS(R$5:R185)))&amp;""  –  ""&amp;INDEX('Chemical Clearances'!$D$5:$D$169,MATCH(INDEX('Chemical Clearances'!$B$5:$B$169,LARGE(FILTER((ROW('Chemical Clearances'!$B$5:$B$169)-ROW('"&amp;"Chemical Clearances'!$A$4:$Q$4)),IFERROR((MATCH('Chemical Clearances'!$B$5:$B$169,'Chemical Clearances'!$B$5:$B$169,0)=ROW('Chemical Clearances'!$B$5:$B$169)-ROW('Chemical Clearances'!$A$4:$Q$4)),FALSE)),ROWS(R$5:R185))),'Chemical Clearances'!$B$5:$B$169,"&amp;"0)),"""")), 1, 1)"),"")</f>
        <v/>
      </c>
      <c r="X18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Invoices'!$A$4:$V$4)),FALSE)),ROWS(X$5:X185))),"""")), 1, 1)"),"")</f>
        <v/>
      </c>
      <c r="Y185" s="333" t="str">
        <f t="array" ref="Y185">IF(X185="","",X185&amp;"  –  "&amp;INDEX('Bills &amp; Invoices'!$D$5:$D$32,MATCH(X185,'Bills &amp; Invoices'!$B$5:$B$32,0))&amp;"  –  $"&amp;TEXT(SUMIFS('Bills &amp; Invoices'!$J$5:$J$32,'Bills &amp; Invoices'!$B$5:$B$32,X185),"#,##0"))</f>
        <v/>
      </c>
      <c r="Z185" s="333" t="str">
        <f t="array" ref="Z185">IF(X185="","",INDEX('Bills &amp; Invoices'!$D$5:$D$32,MATCH(X185,'Bills &amp; Invoices'!$B$5:$B$32,0)))</f>
        <v/>
      </c>
      <c r="AA185" s="334" t="str">
        <f t="array" ref="AA185">IF(X185="","",INDEX('Bills &amp; Invoices'!$K$5:$K$32,MATCH(X185,'Bills &amp; Invoices'!$B$5:$B$32,0)))</f>
        <v/>
      </c>
      <c r="AB185" s="335" t="str">
        <f>IF(X185="","",SUMIFS('Bills &amp; Invoices'!$J$5:$J$32,'Bills &amp; Invoices'!$B$5:$B$32,X185))</f>
        <v/>
      </c>
      <c r="AC185" s="335" t="str">
        <f>IF(X185="","",SUMIFS('Payments &amp; Receipts'!$F$5:$F$58,'Payments &amp; Receipts'!$L$5:$L$58,X185))</f>
        <v/>
      </c>
      <c r="AD185" s="333" t="str">
        <f t="array" ref="AD185">IF(X185="","",INDEX('Bills &amp; Invoices'!$U$5:$U$32,MATCH(X185,'Bills &amp; Invoices'!$B$5:$B$32,0)))</f>
        <v/>
      </c>
    </row>
    <row r="186" ht="14.25" customHeight="1">
      <c r="R18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Clearances'!$A$4:$Q$4)),FALSE)),ROWS(R$5:R186)))&amp;""  –  ""&amp;INDEX('Chemical Clearances'!$D$5:$D$169,MATCH(INDEX('Chemical Clearances'!$B$5:$B$169,LARGE(FILTER((ROW('Chemical Clearances'!$B$5:$B$169)-ROW('"&amp;"Chemical Clearances'!$A$4:$Q$4)),IFERROR((MATCH('Chemical Clearances'!$B$5:$B$169,'Chemical Clearances'!$B$5:$B$169,0)=ROW('Chemical Clearances'!$B$5:$B$169)-ROW('Chemical Clearances'!$A$4:$Q$4)),FALSE)),ROWS(R$5:R186))),'Chemical Clearances'!$B$5:$B$169,"&amp;"0)),"""")), 1, 1)"),"")</f>
        <v/>
      </c>
      <c r="X18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Invoices'!$A$4:$V$4)),FALSE)),ROWS(X$5:X186))),"""")), 1, 1)"),"")</f>
        <v/>
      </c>
      <c r="Y186" s="333" t="str">
        <f t="array" ref="Y186">IF(X186="","",X186&amp;"  –  "&amp;INDEX('Bills &amp; Invoices'!$D$5:$D$32,MATCH(X186,'Bills &amp; Invoices'!$B$5:$B$32,0))&amp;"  –  $"&amp;TEXT(SUMIFS('Bills &amp; Invoices'!$J$5:$J$32,'Bills &amp; Invoices'!$B$5:$B$32,X186),"#,##0"))</f>
        <v/>
      </c>
      <c r="Z186" s="333" t="str">
        <f t="array" ref="Z186">IF(X186="","",INDEX('Bills &amp; Invoices'!$D$5:$D$32,MATCH(X186,'Bills &amp; Invoices'!$B$5:$B$32,0)))</f>
        <v/>
      </c>
      <c r="AA186" s="334" t="str">
        <f t="array" ref="AA186">IF(X186="","",INDEX('Bills &amp; Invoices'!$K$5:$K$32,MATCH(X186,'Bills &amp; Invoices'!$B$5:$B$32,0)))</f>
        <v/>
      </c>
      <c r="AB186" s="335" t="str">
        <f>IF(X186="","",SUMIFS('Bills &amp; Invoices'!$J$5:$J$32,'Bills &amp; Invoices'!$B$5:$B$32,X186))</f>
        <v/>
      </c>
      <c r="AC186" s="335" t="str">
        <f>IF(X186="","",SUMIFS('Payments &amp; Receipts'!$F$5:$F$58,'Payments &amp; Receipts'!$L$5:$L$58,X186))</f>
        <v/>
      </c>
      <c r="AD186" s="333" t="str">
        <f t="array" ref="AD186">IF(X186="","",INDEX('Bills &amp; Invoices'!$U$5:$U$32,MATCH(X186,'Bills &amp; Invoices'!$B$5:$B$32,0)))</f>
        <v/>
      </c>
    </row>
    <row r="187" ht="14.25" customHeight="1">
      <c r="R18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Clearances'!$A$4:$Q$4)),FALSE)),ROWS(R$5:R187)))&amp;""  –  ""&amp;INDEX('Chemical Clearances'!$D$5:$D$169,MATCH(INDEX('Chemical Clearances'!$B$5:$B$169,LARGE(FILTER((ROW('Chemical Clearances'!$B$5:$B$169)-ROW('"&amp;"Chemical Clearances'!$A$4:$Q$4)),IFERROR((MATCH('Chemical Clearances'!$B$5:$B$169,'Chemical Clearances'!$B$5:$B$169,0)=ROW('Chemical Clearances'!$B$5:$B$169)-ROW('Chemical Clearances'!$A$4:$Q$4)),FALSE)),ROWS(R$5:R187))),'Chemical Clearances'!$B$5:$B$169,"&amp;"0)),"""")), 1, 1)"),"")</f>
        <v/>
      </c>
      <c r="X18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Invoices'!$A$4:$V$4)),FALSE)),ROWS(X$5:X187))),"""")), 1, 1)"),"")</f>
        <v/>
      </c>
      <c r="Y187" s="333" t="str">
        <f t="array" ref="Y187">IF(X187="","",X187&amp;"  –  "&amp;INDEX('Bills &amp; Invoices'!$D$5:$D$32,MATCH(X187,'Bills &amp; Invoices'!$B$5:$B$32,0))&amp;"  –  $"&amp;TEXT(SUMIFS('Bills &amp; Invoices'!$J$5:$J$32,'Bills &amp; Invoices'!$B$5:$B$32,X187),"#,##0"))</f>
        <v/>
      </c>
      <c r="Z187" s="333" t="str">
        <f t="array" ref="Z187">IF(X187="","",INDEX('Bills &amp; Invoices'!$D$5:$D$32,MATCH(X187,'Bills &amp; Invoices'!$B$5:$B$32,0)))</f>
        <v/>
      </c>
      <c r="AA187" s="334" t="str">
        <f t="array" ref="AA187">IF(X187="","",INDEX('Bills &amp; Invoices'!$K$5:$K$32,MATCH(X187,'Bills &amp; Invoices'!$B$5:$B$32,0)))</f>
        <v/>
      </c>
      <c r="AB187" s="335" t="str">
        <f>IF(X187="","",SUMIFS('Bills &amp; Invoices'!$J$5:$J$32,'Bills &amp; Invoices'!$B$5:$B$32,X187))</f>
        <v/>
      </c>
      <c r="AC187" s="335" t="str">
        <f>IF(X187="","",SUMIFS('Payments &amp; Receipts'!$F$5:$F$58,'Payments &amp; Receipts'!$L$5:$L$58,X187))</f>
        <v/>
      </c>
      <c r="AD187" s="333" t="str">
        <f t="array" ref="AD187">IF(X187="","",INDEX('Bills &amp; Invoices'!$U$5:$U$32,MATCH(X187,'Bills &amp; Invoices'!$B$5:$B$32,0)))</f>
        <v/>
      </c>
    </row>
    <row r="188" ht="14.25" customHeight="1">
      <c r="R18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Clearances'!$A$4:$Q$4)),FALSE)),ROWS(R$5:R188)))&amp;""  –  ""&amp;INDEX('Chemical Clearances'!$D$5:$D$169,MATCH(INDEX('Chemical Clearances'!$B$5:$B$169,LARGE(FILTER((ROW('Chemical Clearances'!$B$5:$B$169)-ROW('"&amp;"Chemical Clearances'!$A$4:$Q$4)),IFERROR((MATCH('Chemical Clearances'!$B$5:$B$169,'Chemical Clearances'!$B$5:$B$169,0)=ROW('Chemical Clearances'!$B$5:$B$169)-ROW('Chemical Clearances'!$A$4:$Q$4)),FALSE)),ROWS(R$5:R188))),'Chemical Clearances'!$B$5:$B$169,"&amp;"0)),"""")), 1, 1)"),"")</f>
        <v/>
      </c>
      <c r="X18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Invoices'!$A$4:$V$4)),FALSE)),ROWS(X$5:X188))),"""")), 1, 1)"),"")</f>
        <v/>
      </c>
      <c r="Y188" s="333" t="str">
        <f t="array" ref="Y188">IF(X188="","",X188&amp;"  –  "&amp;INDEX('Bills &amp; Invoices'!$D$5:$D$32,MATCH(X188,'Bills &amp; Invoices'!$B$5:$B$32,0))&amp;"  –  $"&amp;TEXT(SUMIFS('Bills &amp; Invoices'!$J$5:$J$32,'Bills &amp; Invoices'!$B$5:$B$32,X188),"#,##0"))</f>
        <v/>
      </c>
      <c r="Z188" s="333" t="str">
        <f t="array" ref="Z188">IF(X188="","",INDEX('Bills &amp; Invoices'!$D$5:$D$32,MATCH(X188,'Bills &amp; Invoices'!$B$5:$B$32,0)))</f>
        <v/>
      </c>
      <c r="AA188" s="334" t="str">
        <f t="array" ref="AA188">IF(X188="","",INDEX('Bills &amp; Invoices'!$K$5:$K$32,MATCH(X188,'Bills &amp; Invoices'!$B$5:$B$32,0)))</f>
        <v/>
      </c>
      <c r="AB188" s="335" t="str">
        <f>IF(X188="","",SUMIFS('Bills &amp; Invoices'!$J$5:$J$32,'Bills &amp; Invoices'!$B$5:$B$32,X188))</f>
        <v/>
      </c>
      <c r="AC188" s="335" t="str">
        <f>IF(X188="","",SUMIFS('Payments &amp; Receipts'!$F$5:$F$58,'Payments &amp; Receipts'!$L$5:$L$58,X188))</f>
        <v/>
      </c>
      <c r="AD188" s="333" t="str">
        <f t="array" ref="AD188">IF(X188="","",INDEX('Bills &amp; Invoices'!$U$5:$U$32,MATCH(X188,'Bills &amp; Invoices'!$B$5:$B$32,0)))</f>
        <v/>
      </c>
    </row>
    <row r="189" ht="14.25" customHeight="1">
      <c r="R18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Clearances'!$A$4:$Q$4)),FALSE)),ROWS(R$5:R189)))&amp;""  –  ""&amp;INDEX('Chemical Clearances'!$D$5:$D$169,MATCH(INDEX('Chemical Clearances'!$B$5:$B$169,LARGE(FILTER((ROW('Chemical Clearances'!$B$5:$B$169)-ROW('"&amp;"Chemical Clearances'!$A$4:$Q$4)),IFERROR((MATCH('Chemical Clearances'!$B$5:$B$169,'Chemical Clearances'!$B$5:$B$169,0)=ROW('Chemical Clearances'!$B$5:$B$169)-ROW('Chemical Clearances'!$A$4:$Q$4)),FALSE)),ROWS(R$5:R189))),'Chemical Clearances'!$B$5:$B$169,"&amp;"0)),"""")), 1, 1)"),"")</f>
        <v/>
      </c>
      <c r="X18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Invoices'!$A$4:$V$4)),FALSE)),ROWS(X$5:X189))),"""")), 1, 1)"),"")</f>
        <v/>
      </c>
      <c r="Y189" s="333" t="str">
        <f t="array" ref="Y189">IF(X189="","",X189&amp;"  –  "&amp;INDEX('Bills &amp; Invoices'!$D$5:$D$32,MATCH(X189,'Bills &amp; Invoices'!$B$5:$B$32,0))&amp;"  –  $"&amp;TEXT(SUMIFS('Bills &amp; Invoices'!$J$5:$J$32,'Bills &amp; Invoices'!$B$5:$B$32,X189),"#,##0"))</f>
        <v/>
      </c>
      <c r="Z189" s="333" t="str">
        <f t="array" ref="Z189">IF(X189="","",INDEX('Bills &amp; Invoices'!$D$5:$D$32,MATCH(X189,'Bills &amp; Invoices'!$B$5:$B$32,0)))</f>
        <v/>
      </c>
      <c r="AA189" s="334" t="str">
        <f t="array" ref="AA189">IF(X189="","",INDEX('Bills &amp; Invoices'!$K$5:$K$32,MATCH(X189,'Bills &amp; Invoices'!$B$5:$B$32,0)))</f>
        <v/>
      </c>
      <c r="AB189" s="335" t="str">
        <f>IF(X189="","",SUMIFS('Bills &amp; Invoices'!$J$5:$J$32,'Bills &amp; Invoices'!$B$5:$B$32,X189))</f>
        <v/>
      </c>
      <c r="AC189" s="335" t="str">
        <f>IF(X189="","",SUMIFS('Payments &amp; Receipts'!$F$5:$F$58,'Payments &amp; Receipts'!$L$5:$L$58,X189))</f>
        <v/>
      </c>
      <c r="AD189" s="333" t="str">
        <f t="array" ref="AD189">IF(X189="","",INDEX('Bills &amp; Invoices'!$U$5:$U$32,MATCH(X189,'Bills &amp; Invoices'!$B$5:$B$32,0)))</f>
        <v/>
      </c>
    </row>
    <row r="190" ht="14.25" customHeight="1">
      <c r="R19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Clearances'!$A$4:$Q$4)),FALSE)),ROWS(R$5:R190)))&amp;""  –  ""&amp;INDEX('Chemical Clearances'!$D$5:$D$169,MATCH(INDEX('Chemical Clearances'!$B$5:$B$169,LARGE(FILTER((ROW('Chemical Clearances'!$B$5:$B$169)-ROW('"&amp;"Chemical Clearances'!$A$4:$Q$4)),IFERROR((MATCH('Chemical Clearances'!$B$5:$B$169,'Chemical Clearances'!$B$5:$B$169,0)=ROW('Chemical Clearances'!$B$5:$B$169)-ROW('Chemical Clearances'!$A$4:$Q$4)),FALSE)),ROWS(R$5:R190))),'Chemical Clearances'!$B$5:$B$169,"&amp;"0)),"""")), 1, 1)"),"")</f>
        <v/>
      </c>
      <c r="X19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Invoices'!$A$4:$V$4)),FALSE)),ROWS(X$5:X190))),"""")), 1, 1)"),"")</f>
        <v/>
      </c>
      <c r="Y190" s="333" t="str">
        <f t="array" ref="Y190">IF(X190="","",X190&amp;"  –  "&amp;INDEX('Bills &amp; Invoices'!$D$5:$D$32,MATCH(X190,'Bills &amp; Invoices'!$B$5:$B$32,0))&amp;"  –  $"&amp;TEXT(SUMIFS('Bills &amp; Invoices'!$J$5:$J$32,'Bills &amp; Invoices'!$B$5:$B$32,X190),"#,##0"))</f>
        <v/>
      </c>
      <c r="Z190" s="333" t="str">
        <f t="array" ref="Z190">IF(X190="","",INDEX('Bills &amp; Invoices'!$D$5:$D$32,MATCH(X190,'Bills &amp; Invoices'!$B$5:$B$32,0)))</f>
        <v/>
      </c>
      <c r="AA190" s="334" t="str">
        <f t="array" ref="AA190">IF(X190="","",INDEX('Bills &amp; Invoices'!$K$5:$K$32,MATCH(X190,'Bills &amp; Invoices'!$B$5:$B$32,0)))</f>
        <v/>
      </c>
      <c r="AB190" s="335" t="str">
        <f>IF(X190="","",SUMIFS('Bills &amp; Invoices'!$J$5:$J$32,'Bills &amp; Invoices'!$B$5:$B$32,X190))</f>
        <v/>
      </c>
      <c r="AC190" s="335" t="str">
        <f>IF(X190="","",SUMIFS('Payments &amp; Receipts'!$F$5:$F$58,'Payments &amp; Receipts'!$L$5:$L$58,X190))</f>
        <v/>
      </c>
      <c r="AD190" s="333" t="str">
        <f t="array" ref="AD190">IF(X190="","",INDEX('Bills &amp; Invoices'!$U$5:$U$32,MATCH(X190,'Bills &amp; Invoices'!$B$5:$B$32,0)))</f>
        <v/>
      </c>
    </row>
    <row r="191" ht="14.25" customHeight="1">
      <c r="R19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Clearances'!$A$4:$Q$4)),FALSE)),ROWS(R$5:R191)))&amp;""  –  ""&amp;INDEX('Chemical Clearances'!$D$5:$D$169,MATCH(INDEX('Chemical Clearances'!$B$5:$B$169,LARGE(FILTER((ROW('Chemical Clearances'!$B$5:$B$169)-ROW('"&amp;"Chemical Clearances'!$A$4:$Q$4)),IFERROR((MATCH('Chemical Clearances'!$B$5:$B$169,'Chemical Clearances'!$B$5:$B$169,0)=ROW('Chemical Clearances'!$B$5:$B$169)-ROW('Chemical Clearances'!$A$4:$Q$4)),FALSE)),ROWS(R$5:R191))),'Chemical Clearances'!$B$5:$B$169,"&amp;"0)),"""")), 1, 1)"),"")</f>
        <v/>
      </c>
      <c r="X19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Invoices'!$A$4:$V$4)),FALSE)),ROWS(X$5:X191))),"""")), 1, 1)"),"")</f>
        <v/>
      </c>
      <c r="Y191" s="333" t="str">
        <f t="array" ref="Y191">IF(X191="","",X191&amp;"  –  "&amp;INDEX('Bills &amp; Invoices'!$D$5:$D$32,MATCH(X191,'Bills &amp; Invoices'!$B$5:$B$32,0))&amp;"  –  $"&amp;TEXT(SUMIFS('Bills &amp; Invoices'!$J$5:$J$32,'Bills &amp; Invoices'!$B$5:$B$32,X191),"#,##0"))</f>
        <v/>
      </c>
      <c r="Z191" s="333" t="str">
        <f t="array" ref="Z191">IF(X191="","",INDEX('Bills &amp; Invoices'!$D$5:$D$32,MATCH(X191,'Bills &amp; Invoices'!$B$5:$B$32,0)))</f>
        <v/>
      </c>
      <c r="AA191" s="334" t="str">
        <f t="array" ref="AA191">IF(X191="","",INDEX('Bills &amp; Invoices'!$K$5:$K$32,MATCH(X191,'Bills &amp; Invoices'!$B$5:$B$32,0)))</f>
        <v/>
      </c>
      <c r="AB191" s="335" t="str">
        <f>IF(X191="","",SUMIFS('Bills &amp; Invoices'!$J$5:$J$32,'Bills &amp; Invoices'!$B$5:$B$32,X191))</f>
        <v/>
      </c>
      <c r="AC191" s="335" t="str">
        <f>IF(X191="","",SUMIFS('Payments &amp; Receipts'!$F$5:$F$58,'Payments &amp; Receipts'!$L$5:$L$58,X191))</f>
        <v/>
      </c>
      <c r="AD191" s="333" t="str">
        <f t="array" ref="AD191">IF(X191="","",INDEX('Bills &amp; Invoices'!$U$5:$U$32,MATCH(X191,'Bills &amp; Invoices'!$B$5:$B$32,0)))</f>
        <v/>
      </c>
    </row>
    <row r="192" ht="14.25" customHeight="1">
      <c r="R19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Clearances'!$A$4:$Q$4)),FALSE)),ROWS(R$5:R192)))&amp;""  –  ""&amp;INDEX('Chemical Clearances'!$D$5:$D$169,MATCH(INDEX('Chemical Clearances'!$B$5:$B$169,LARGE(FILTER((ROW('Chemical Clearances'!$B$5:$B$169)-ROW('"&amp;"Chemical Clearances'!$A$4:$Q$4)),IFERROR((MATCH('Chemical Clearances'!$B$5:$B$169,'Chemical Clearances'!$B$5:$B$169,0)=ROW('Chemical Clearances'!$B$5:$B$169)-ROW('Chemical Clearances'!$A$4:$Q$4)),FALSE)),ROWS(R$5:R192))),'Chemical Clearances'!$B$5:$B$169,"&amp;"0)),"""")), 1, 1)"),"")</f>
        <v/>
      </c>
      <c r="X19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Invoices'!$A$4:$V$4)),FALSE)),ROWS(X$5:X192))),"""")), 1, 1)"),"")</f>
        <v/>
      </c>
      <c r="Y192" s="333" t="str">
        <f t="array" ref="Y192">IF(X192="","",X192&amp;"  –  "&amp;INDEX('Bills &amp; Invoices'!$D$5:$D$32,MATCH(X192,'Bills &amp; Invoices'!$B$5:$B$32,0))&amp;"  –  $"&amp;TEXT(SUMIFS('Bills &amp; Invoices'!$J$5:$J$32,'Bills &amp; Invoices'!$B$5:$B$32,X192),"#,##0"))</f>
        <v/>
      </c>
      <c r="Z192" s="333" t="str">
        <f t="array" ref="Z192">IF(X192="","",INDEX('Bills &amp; Invoices'!$D$5:$D$32,MATCH(X192,'Bills &amp; Invoices'!$B$5:$B$32,0)))</f>
        <v/>
      </c>
      <c r="AA192" s="334" t="str">
        <f t="array" ref="AA192">IF(X192="","",INDEX('Bills &amp; Invoices'!$K$5:$K$32,MATCH(X192,'Bills &amp; Invoices'!$B$5:$B$32,0)))</f>
        <v/>
      </c>
      <c r="AB192" s="335" t="str">
        <f>IF(X192="","",SUMIFS('Bills &amp; Invoices'!$J$5:$J$32,'Bills &amp; Invoices'!$B$5:$B$32,X192))</f>
        <v/>
      </c>
      <c r="AC192" s="335" t="str">
        <f>IF(X192="","",SUMIFS('Payments &amp; Receipts'!$F$5:$F$58,'Payments &amp; Receipts'!$L$5:$L$58,X192))</f>
        <v/>
      </c>
      <c r="AD192" s="333" t="str">
        <f t="array" ref="AD192">IF(X192="","",INDEX('Bills &amp; Invoices'!$U$5:$U$32,MATCH(X192,'Bills &amp; Invoices'!$B$5:$B$32,0)))</f>
        <v/>
      </c>
    </row>
    <row r="193" ht="14.25" customHeight="1">
      <c r="R19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Clearances'!$A$4:$Q$4)),FALSE)),ROWS(R$5:R193)))&amp;""  –  ""&amp;INDEX('Chemical Clearances'!$D$5:$D$169,MATCH(INDEX('Chemical Clearances'!$B$5:$B$169,LARGE(FILTER((ROW('Chemical Clearances'!$B$5:$B$169)-ROW('"&amp;"Chemical Clearances'!$A$4:$Q$4)),IFERROR((MATCH('Chemical Clearances'!$B$5:$B$169,'Chemical Clearances'!$B$5:$B$169,0)=ROW('Chemical Clearances'!$B$5:$B$169)-ROW('Chemical Clearances'!$A$4:$Q$4)),FALSE)),ROWS(R$5:R193))),'Chemical Clearances'!$B$5:$B$169,"&amp;"0)),"""")), 1, 1)"),"")</f>
        <v/>
      </c>
      <c r="X19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Invoices'!$A$4:$V$4)),FALSE)),ROWS(X$5:X193))),"""")), 1, 1)"),"")</f>
        <v/>
      </c>
      <c r="Y193" s="333" t="str">
        <f t="array" ref="Y193">IF(X193="","",X193&amp;"  –  "&amp;INDEX('Bills &amp; Invoices'!$D$5:$D$32,MATCH(X193,'Bills &amp; Invoices'!$B$5:$B$32,0))&amp;"  –  $"&amp;TEXT(SUMIFS('Bills &amp; Invoices'!$J$5:$J$32,'Bills &amp; Invoices'!$B$5:$B$32,X193),"#,##0"))</f>
        <v/>
      </c>
      <c r="Z193" s="333" t="str">
        <f t="array" ref="Z193">IF(X193="","",INDEX('Bills &amp; Invoices'!$D$5:$D$32,MATCH(X193,'Bills &amp; Invoices'!$B$5:$B$32,0)))</f>
        <v/>
      </c>
      <c r="AA193" s="334" t="str">
        <f t="array" ref="AA193">IF(X193="","",INDEX('Bills &amp; Invoices'!$K$5:$K$32,MATCH(X193,'Bills &amp; Invoices'!$B$5:$B$32,0)))</f>
        <v/>
      </c>
      <c r="AB193" s="335" t="str">
        <f>IF(X193="","",SUMIFS('Bills &amp; Invoices'!$J$5:$J$32,'Bills &amp; Invoices'!$B$5:$B$32,X193))</f>
        <v/>
      </c>
      <c r="AC193" s="335" t="str">
        <f>IF(X193="","",SUMIFS('Payments &amp; Receipts'!$F$5:$F$58,'Payments &amp; Receipts'!$L$5:$L$58,X193))</f>
        <v/>
      </c>
      <c r="AD193" s="333" t="str">
        <f t="array" ref="AD193">IF(X193="","",INDEX('Bills &amp; Invoices'!$U$5:$U$32,MATCH(X193,'Bills &amp; Invoices'!$B$5:$B$32,0)))</f>
        <v/>
      </c>
    </row>
    <row r="194" ht="14.25" customHeight="1">
      <c r="R19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Clearances'!$A$4:$Q$4)),FALSE)),ROWS(R$5:R194)))&amp;""  –  ""&amp;INDEX('Chemical Clearances'!$D$5:$D$169,MATCH(INDEX('Chemical Clearances'!$B$5:$B$169,LARGE(FILTER((ROW('Chemical Clearances'!$B$5:$B$169)-ROW('"&amp;"Chemical Clearances'!$A$4:$Q$4)),IFERROR((MATCH('Chemical Clearances'!$B$5:$B$169,'Chemical Clearances'!$B$5:$B$169,0)=ROW('Chemical Clearances'!$B$5:$B$169)-ROW('Chemical Clearances'!$A$4:$Q$4)),FALSE)),ROWS(R$5:R194))),'Chemical Clearances'!$B$5:$B$169,"&amp;"0)),"""")), 1, 1)"),"")</f>
        <v/>
      </c>
      <c r="X19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Invoices'!$A$4:$V$4)),FALSE)),ROWS(X$5:X194))),"""")), 1, 1)"),"")</f>
        <v/>
      </c>
      <c r="Y194" s="333" t="str">
        <f t="array" ref="Y194">IF(X194="","",X194&amp;"  –  "&amp;INDEX('Bills &amp; Invoices'!$D$5:$D$32,MATCH(X194,'Bills &amp; Invoices'!$B$5:$B$32,0))&amp;"  –  $"&amp;TEXT(SUMIFS('Bills &amp; Invoices'!$J$5:$J$32,'Bills &amp; Invoices'!$B$5:$B$32,X194),"#,##0"))</f>
        <v/>
      </c>
      <c r="Z194" s="333" t="str">
        <f t="array" ref="Z194">IF(X194="","",INDEX('Bills &amp; Invoices'!$D$5:$D$32,MATCH(X194,'Bills &amp; Invoices'!$B$5:$B$32,0)))</f>
        <v/>
      </c>
      <c r="AA194" s="334" t="str">
        <f t="array" ref="AA194">IF(X194="","",INDEX('Bills &amp; Invoices'!$K$5:$K$32,MATCH(X194,'Bills &amp; Invoices'!$B$5:$B$32,0)))</f>
        <v/>
      </c>
      <c r="AB194" s="335" t="str">
        <f>IF(X194="","",SUMIFS('Bills &amp; Invoices'!$J$5:$J$32,'Bills &amp; Invoices'!$B$5:$B$32,X194))</f>
        <v/>
      </c>
      <c r="AC194" s="335" t="str">
        <f>IF(X194="","",SUMIFS('Payments &amp; Receipts'!$F$5:$F$58,'Payments &amp; Receipts'!$L$5:$L$58,X194))</f>
        <v/>
      </c>
      <c r="AD194" s="333" t="str">
        <f t="array" ref="AD194">IF(X194="","",INDEX('Bills &amp; Invoices'!$U$5:$U$32,MATCH(X194,'Bills &amp; Invoices'!$B$5:$B$32,0)))</f>
        <v/>
      </c>
    </row>
    <row r="195" ht="14.25" customHeight="1">
      <c r="R19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Clearances'!$A$4:$Q$4)),FALSE)),ROWS(R$5:R195)))&amp;""  –  ""&amp;INDEX('Chemical Clearances'!$D$5:$D$169,MATCH(INDEX('Chemical Clearances'!$B$5:$B$169,LARGE(FILTER((ROW('Chemical Clearances'!$B$5:$B$169)-ROW('"&amp;"Chemical Clearances'!$A$4:$Q$4)),IFERROR((MATCH('Chemical Clearances'!$B$5:$B$169,'Chemical Clearances'!$B$5:$B$169,0)=ROW('Chemical Clearances'!$B$5:$B$169)-ROW('Chemical Clearances'!$A$4:$Q$4)),FALSE)),ROWS(R$5:R195))),'Chemical Clearances'!$B$5:$B$169,"&amp;"0)),"""")), 1, 1)"),"")</f>
        <v/>
      </c>
      <c r="X19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Invoices'!$A$4:$V$4)),FALSE)),ROWS(X$5:X195))),"""")), 1, 1)"),"")</f>
        <v/>
      </c>
      <c r="Y195" s="333" t="str">
        <f t="array" ref="Y195">IF(X195="","",X195&amp;"  –  "&amp;INDEX('Bills &amp; Invoices'!$D$5:$D$32,MATCH(X195,'Bills &amp; Invoices'!$B$5:$B$32,0))&amp;"  –  $"&amp;TEXT(SUMIFS('Bills &amp; Invoices'!$J$5:$J$32,'Bills &amp; Invoices'!$B$5:$B$32,X195),"#,##0"))</f>
        <v/>
      </c>
      <c r="Z195" s="333" t="str">
        <f t="array" ref="Z195">IF(X195="","",INDEX('Bills &amp; Invoices'!$D$5:$D$32,MATCH(X195,'Bills &amp; Invoices'!$B$5:$B$32,0)))</f>
        <v/>
      </c>
      <c r="AA195" s="334" t="str">
        <f t="array" ref="AA195">IF(X195="","",INDEX('Bills &amp; Invoices'!$K$5:$K$32,MATCH(X195,'Bills &amp; Invoices'!$B$5:$B$32,0)))</f>
        <v/>
      </c>
      <c r="AB195" s="335" t="str">
        <f>IF(X195="","",SUMIFS('Bills &amp; Invoices'!$J$5:$J$32,'Bills &amp; Invoices'!$B$5:$B$32,X195))</f>
        <v/>
      </c>
      <c r="AC195" s="335" t="str">
        <f>IF(X195="","",SUMIFS('Payments &amp; Receipts'!$F$5:$F$58,'Payments &amp; Receipts'!$L$5:$L$58,X195))</f>
        <v/>
      </c>
      <c r="AD195" s="333" t="str">
        <f t="array" ref="AD195">IF(X195="","",INDEX('Bills &amp; Invoices'!$U$5:$U$32,MATCH(X195,'Bills &amp; Invoices'!$B$5:$B$32,0)))</f>
        <v/>
      </c>
    </row>
    <row r="196" ht="14.25" customHeight="1">
      <c r="R19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Clearances'!$A$4:$Q$4)),FALSE)),ROWS(R$5:R196)))&amp;""  –  ""&amp;INDEX('Chemical Clearances'!$D$5:$D$169,MATCH(INDEX('Chemical Clearances'!$B$5:$B$169,LARGE(FILTER((ROW('Chemical Clearances'!$B$5:$B$169)-ROW('"&amp;"Chemical Clearances'!$A$4:$Q$4)),IFERROR((MATCH('Chemical Clearances'!$B$5:$B$169,'Chemical Clearances'!$B$5:$B$169,0)=ROW('Chemical Clearances'!$B$5:$B$169)-ROW('Chemical Clearances'!$A$4:$Q$4)),FALSE)),ROWS(R$5:R196))),'Chemical Clearances'!$B$5:$B$169,"&amp;"0)),"""")), 1, 1)"),"")</f>
        <v/>
      </c>
      <c r="X19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Invoices'!$A$4:$V$4)),FALSE)),ROWS(X$5:X196))),"""")), 1, 1)"),"")</f>
        <v/>
      </c>
      <c r="Y196" s="333" t="str">
        <f t="array" ref="Y196">IF(X196="","",X196&amp;"  –  "&amp;INDEX('Bills &amp; Invoices'!$D$5:$D$32,MATCH(X196,'Bills &amp; Invoices'!$B$5:$B$32,0))&amp;"  –  $"&amp;TEXT(SUMIFS('Bills &amp; Invoices'!$J$5:$J$32,'Bills &amp; Invoices'!$B$5:$B$32,X196),"#,##0"))</f>
        <v/>
      </c>
      <c r="Z196" s="333" t="str">
        <f t="array" ref="Z196">IF(X196="","",INDEX('Bills &amp; Invoices'!$D$5:$D$32,MATCH(X196,'Bills &amp; Invoices'!$B$5:$B$32,0)))</f>
        <v/>
      </c>
      <c r="AA196" s="334" t="str">
        <f t="array" ref="AA196">IF(X196="","",INDEX('Bills &amp; Invoices'!$K$5:$K$32,MATCH(X196,'Bills &amp; Invoices'!$B$5:$B$32,0)))</f>
        <v/>
      </c>
      <c r="AB196" s="335" t="str">
        <f>IF(X196="","",SUMIFS('Bills &amp; Invoices'!$J$5:$J$32,'Bills &amp; Invoices'!$B$5:$B$32,X196))</f>
        <v/>
      </c>
      <c r="AC196" s="335" t="str">
        <f>IF(X196="","",SUMIFS('Payments &amp; Receipts'!$F$5:$F$58,'Payments &amp; Receipts'!$L$5:$L$58,X196))</f>
        <v/>
      </c>
      <c r="AD196" s="333" t="str">
        <f t="array" ref="AD196">IF(X196="","",INDEX('Bills &amp; Invoices'!$U$5:$U$32,MATCH(X196,'Bills &amp; Invoices'!$B$5:$B$32,0)))</f>
        <v/>
      </c>
    </row>
    <row r="197" ht="14.25" customHeight="1">
      <c r="R19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Clearances'!$A$4:$Q$4)),FALSE)),ROWS(R$5:R197)))&amp;""  –  ""&amp;INDEX('Chemical Clearances'!$D$5:$D$169,MATCH(INDEX('Chemical Clearances'!$B$5:$B$169,LARGE(FILTER((ROW('Chemical Clearances'!$B$5:$B$169)-ROW('"&amp;"Chemical Clearances'!$A$4:$Q$4)),IFERROR((MATCH('Chemical Clearances'!$B$5:$B$169,'Chemical Clearances'!$B$5:$B$169,0)=ROW('Chemical Clearances'!$B$5:$B$169)-ROW('Chemical Clearances'!$A$4:$Q$4)),FALSE)),ROWS(R$5:R197))),'Chemical Clearances'!$B$5:$B$169,"&amp;"0)),"""")), 1, 1)"),"")</f>
        <v/>
      </c>
      <c r="X19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Invoices'!$A$4:$V$4)),FALSE)),ROWS(X$5:X197))),"""")), 1, 1)"),"")</f>
        <v/>
      </c>
      <c r="Y197" s="333" t="str">
        <f t="array" ref="Y197">IF(X197="","",X197&amp;"  –  "&amp;INDEX('Bills &amp; Invoices'!$D$5:$D$32,MATCH(X197,'Bills &amp; Invoices'!$B$5:$B$32,0))&amp;"  –  $"&amp;TEXT(SUMIFS('Bills &amp; Invoices'!$J$5:$J$32,'Bills &amp; Invoices'!$B$5:$B$32,X197),"#,##0"))</f>
        <v/>
      </c>
      <c r="Z197" s="333" t="str">
        <f t="array" ref="Z197">IF(X197="","",INDEX('Bills &amp; Invoices'!$D$5:$D$32,MATCH(X197,'Bills &amp; Invoices'!$B$5:$B$32,0)))</f>
        <v/>
      </c>
      <c r="AA197" s="334" t="str">
        <f t="array" ref="AA197">IF(X197="","",INDEX('Bills &amp; Invoices'!$K$5:$K$32,MATCH(X197,'Bills &amp; Invoices'!$B$5:$B$32,0)))</f>
        <v/>
      </c>
      <c r="AB197" s="335" t="str">
        <f>IF(X197="","",SUMIFS('Bills &amp; Invoices'!$J$5:$J$32,'Bills &amp; Invoices'!$B$5:$B$32,X197))</f>
        <v/>
      </c>
      <c r="AC197" s="335" t="str">
        <f>IF(X197="","",SUMIFS('Payments &amp; Receipts'!$F$5:$F$58,'Payments &amp; Receipts'!$L$5:$L$58,X197))</f>
        <v/>
      </c>
      <c r="AD197" s="333" t="str">
        <f t="array" ref="AD197">IF(X197="","",INDEX('Bills &amp; Invoices'!$U$5:$U$32,MATCH(X197,'Bills &amp; Invoices'!$B$5:$B$32,0)))</f>
        <v/>
      </c>
    </row>
    <row r="198" ht="14.25" customHeight="1">
      <c r="R19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Clearances'!$A$4:$Q$4)),FALSE)),ROWS(R$5:R198)))&amp;""  –  ""&amp;INDEX('Chemical Clearances'!$D$5:$D$169,MATCH(INDEX('Chemical Clearances'!$B$5:$B$169,LARGE(FILTER((ROW('Chemical Clearances'!$B$5:$B$169)-ROW('"&amp;"Chemical Clearances'!$A$4:$Q$4)),IFERROR((MATCH('Chemical Clearances'!$B$5:$B$169,'Chemical Clearances'!$B$5:$B$169,0)=ROW('Chemical Clearances'!$B$5:$B$169)-ROW('Chemical Clearances'!$A$4:$Q$4)),FALSE)),ROWS(R$5:R198))),'Chemical Clearances'!$B$5:$B$169,"&amp;"0)),"""")), 1, 1)"),"")</f>
        <v/>
      </c>
      <c r="X19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Invoices'!$A$4:$V$4)),FALSE)),ROWS(X$5:X198))),"""")), 1, 1)"),"")</f>
        <v/>
      </c>
      <c r="Y198" s="333" t="str">
        <f t="array" ref="Y198">IF(X198="","",X198&amp;"  –  "&amp;INDEX('Bills &amp; Invoices'!$D$5:$D$32,MATCH(X198,'Bills &amp; Invoices'!$B$5:$B$32,0))&amp;"  –  $"&amp;TEXT(SUMIFS('Bills &amp; Invoices'!$J$5:$J$32,'Bills &amp; Invoices'!$B$5:$B$32,X198),"#,##0"))</f>
        <v/>
      </c>
      <c r="Z198" s="333" t="str">
        <f t="array" ref="Z198">IF(X198="","",INDEX('Bills &amp; Invoices'!$D$5:$D$32,MATCH(X198,'Bills &amp; Invoices'!$B$5:$B$32,0)))</f>
        <v/>
      </c>
      <c r="AA198" s="334" t="str">
        <f t="array" ref="AA198">IF(X198="","",INDEX('Bills &amp; Invoices'!$K$5:$K$32,MATCH(X198,'Bills &amp; Invoices'!$B$5:$B$32,0)))</f>
        <v/>
      </c>
      <c r="AB198" s="335" t="str">
        <f>IF(X198="","",SUMIFS('Bills &amp; Invoices'!$J$5:$J$32,'Bills &amp; Invoices'!$B$5:$B$32,X198))</f>
        <v/>
      </c>
      <c r="AC198" s="335" t="str">
        <f>IF(X198="","",SUMIFS('Payments &amp; Receipts'!$F$5:$F$58,'Payments &amp; Receipts'!$L$5:$L$58,X198))</f>
        <v/>
      </c>
      <c r="AD198" s="333" t="str">
        <f t="array" ref="AD198">IF(X198="","",INDEX('Bills &amp; Invoices'!$U$5:$U$32,MATCH(X198,'Bills &amp; Invoices'!$B$5:$B$32,0)))</f>
        <v/>
      </c>
    </row>
    <row r="199" ht="14.25" customHeight="1">
      <c r="R19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Clearances'!$A$4:$Q$4)),FALSE)),ROWS(R$5:R199)))&amp;""  –  ""&amp;INDEX('Chemical Clearances'!$D$5:$D$169,MATCH(INDEX('Chemical Clearances'!$B$5:$B$169,LARGE(FILTER((ROW('Chemical Clearances'!$B$5:$B$169)-ROW('"&amp;"Chemical Clearances'!$A$4:$Q$4)),IFERROR((MATCH('Chemical Clearances'!$B$5:$B$169,'Chemical Clearances'!$B$5:$B$169,0)=ROW('Chemical Clearances'!$B$5:$B$169)-ROW('Chemical Clearances'!$A$4:$Q$4)),FALSE)),ROWS(R$5:R199))),'Chemical Clearances'!$B$5:$B$169,"&amp;"0)),"""")), 1, 1)"),"")</f>
        <v/>
      </c>
      <c r="X19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Invoices'!$A$4:$V$4)),FALSE)),ROWS(X$5:X199))),"""")), 1, 1)"),"")</f>
        <v/>
      </c>
      <c r="Y199" s="333" t="str">
        <f t="array" ref="Y199">IF(X199="","",X199&amp;"  –  "&amp;INDEX('Bills &amp; Invoices'!$D$5:$D$32,MATCH(X199,'Bills &amp; Invoices'!$B$5:$B$32,0))&amp;"  –  $"&amp;TEXT(SUMIFS('Bills &amp; Invoices'!$J$5:$J$32,'Bills &amp; Invoices'!$B$5:$B$32,X199),"#,##0"))</f>
        <v/>
      </c>
      <c r="Z199" s="333" t="str">
        <f t="array" ref="Z199">IF(X199="","",INDEX('Bills &amp; Invoices'!$D$5:$D$32,MATCH(X199,'Bills &amp; Invoices'!$B$5:$B$32,0)))</f>
        <v/>
      </c>
      <c r="AA199" s="334" t="str">
        <f t="array" ref="AA199">IF(X199="","",INDEX('Bills &amp; Invoices'!$K$5:$K$32,MATCH(X199,'Bills &amp; Invoices'!$B$5:$B$32,0)))</f>
        <v/>
      </c>
      <c r="AB199" s="335" t="str">
        <f>IF(X199="","",SUMIFS('Bills &amp; Invoices'!$J$5:$J$32,'Bills &amp; Invoices'!$B$5:$B$32,X199))</f>
        <v/>
      </c>
      <c r="AC199" s="335" t="str">
        <f>IF(X199="","",SUMIFS('Payments &amp; Receipts'!$F$5:$F$58,'Payments &amp; Receipts'!$L$5:$L$58,X199))</f>
        <v/>
      </c>
      <c r="AD199" s="333" t="str">
        <f t="array" ref="AD199">IF(X199="","",INDEX('Bills &amp; Invoices'!$U$5:$U$32,MATCH(X199,'Bills &amp; Invoices'!$B$5:$B$32,0)))</f>
        <v/>
      </c>
    </row>
    <row r="200" ht="14.25" customHeight="1">
      <c r="R20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Clearances'!$A$4:$Q$4)),FALSE)),ROWS(R$5:R200)))&amp;""  –  ""&amp;INDEX('Chemical Clearances'!$D$5:$D$169,MATCH(INDEX('Chemical Clearances'!$B$5:$B$169,LARGE(FILTER((ROW('Chemical Clearances'!$B$5:$B$169)-ROW('"&amp;"Chemical Clearances'!$A$4:$Q$4)),IFERROR((MATCH('Chemical Clearances'!$B$5:$B$169,'Chemical Clearances'!$B$5:$B$169,0)=ROW('Chemical Clearances'!$B$5:$B$169)-ROW('Chemical Clearances'!$A$4:$Q$4)),FALSE)),ROWS(R$5:R200))),'Chemical Clearances'!$B$5:$B$169,"&amp;"0)),"""")), 1, 1)"),"")</f>
        <v/>
      </c>
      <c r="X20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Invoices'!$A$4:$V$4)),FALSE)),ROWS(X$5:X200))),"""")), 1, 1)"),"")</f>
        <v/>
      </c>
      <c r="Y200" s="333" t="str">
        <f t="array" ref="Y200">IF(X200="","",X200&amp;"  –  "&amp;INDEX('Bills &amp; Invoices'!$D$5:$D$32,MATCH(X200,'Bills &amp; Invoices'!$B$5:$B$32,0))&amp;"  –  $"&amp;TEXT(SUMIFS('Bills &amp; Invoices'!$J$5:$J$32,'Bills &amp; Invoices'!$B$5:$B$32,X200),"#,##0"))</f>
        <v/>
      </c>
      <c r="Z200" s="333" t="str">
        <f t="array" ref="Z200">IF(X200="","",INDEX('Bills &amp; Invoices'!$D$5:$D$32,MATCH(X200,'Bills &amp; Invoices'!$B$5:$B$32,0)))</f>
        <v/>
      </c>
      <c r="AA200" s="334" t="str">
        <f t="array" ref="AA200">IF(X200="","",INDEX('Bills &amp; Invoices'!$K$5:$K$32,MATCH(X200,'Bills &amp; Invoices'!$B$5:$B$32,0)))</f>
        <v/>
      </c>
      <c r="AB200" s="335" t="str">
        <f>IF(X200="","",SUMIFS('Bills &amp; Invoices'!$J$5:$J$32,'Bills &amp; Invoices'!$B$5:$B$32,X200))</f>
        <v/>
      </c>
      <c r="AC200" s="335" t="str">
        <f>IF(X200="","",SUMIFS('Payments &amp; Receipts'!$F$5:$F$58,'Payments &amp; Receipts'!$L$5:$L$58,X200))</f>
        <v/>
      </c>
      <c r="AD200" s="333" t="str">
        <f t="array" ref="AD200">IF(X200="","",INDEX('Bills &amp; Invoices'!$U$5:$U$32,MATCH(X200,'Bills &amp; Invoices'!$B$5:$B$32,0)))</f>
        <v/>
      </c>
    </row>
    <row r="201" ht="14.25" customHeight="1">
      <c r="R20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Clearances'!$A$4:$Q$4)),FALSE)),ROWS(R$5:R201)))&amp;""  –  ""&amp;INDEX('Chemical Clearances'!$D$5:$D$169,MATCH(INDEX('Chemical Clearances'!$B$5:$B$169,LARGE(FILTER((ROW('Chemical Clearances'!$B$5:$B$169)-ROW('"&amp;"Chemical Clearances'!$A$4:$Q$4)),IFERROR((MATCH('Chemical Clearances'!$B$5:$B$169,'Chemical Clearances'!$B$5:$B$169,0)=ROW('Chemical Clearances'!$B$5:$B$169)-ROW('Chemical Clearances'!$A$4:$Q$4)),FALSE)),ROWS(R$5:R201))),'Chemical Clearances'!$B$5:$B$169,"&amp;"0)),"""")), 1, 1)"),"")</f>
        <v/>
      </c>
      <c r="X20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Invoices'!$A$4:$V$4)),FALSE)),ROWS(X$5:X201))),"""")), 1, 1)"),"")</f>
        <v/>
      </c>
      <c r="Y201" s="333" t="str">
        <f t="array" ref="Y201">IF(X201="","",X201&amp;"  –  "&amp;INDEX('Bills &amp; Invoices'!$D$5:$D$32,MATCH(X201,'Bills &amp; Invoices'!$B$5:$B$32,0))&amp;"  –  $"&amp;TEXT(SUMIFS('Bills &amp; Invoices'!$J$5:$J$32,'Bills &amp; Invoices'!$B$5:$B$32,X201),"#,##0"))</f>
        <v/>
      </c>
      <c r="Z201" s="333" t="str">
        <f t="array" ref="Z201">IF(X201="","",INDEX('Bills &amp; Invoices'!$D$5:$D$32,MATCH(X201,'Bills &amp; Invoices'!$B$5:$B$32,0)))</f>
        <v/>
      </c>
      <c r="AA201" s="334" t="str">
        <f t="array" ref="AA201">IF(X201="","",INDEX('Bills &amp; Invoices'!$K$5:$K$32,MATCH(X201,'Bills &amp; Invoices'!$B$5:$B$32,0)))</f>
        <v/>
      </c>
      <c r="AB201" s="335" t="str">
        <f>IF(X201="","",SUMIFS('Bills &amp; Invoices'!$J$5:$J$32,'Bills &amp; Invoices'!$B$5:$B$32,X201))</f>
        <v/>
      </c>
      <c r="AC201" s="335" t="str">
        <f>IF(X201="","",SUMIFS('Payments &amp; Receipts'!$F$5:$F$58,'Payments &amp; Receipts'!$L$5:$L$58,X201))</f>
        <v/>
      </c>
      <c r="AD201" s="333" t="str">
        <f t="array" ref="AD201">IF(X201="","",INDEX('Bills &amp; Invoices'!$U$5:$U$32,MATCH(X201,'Bills &amp; Invoices'!$B$5:$B$32,0)))</f>
        <v/>
      </c>
    </row>
    <row r="202" ht="14.25" customHeight="1">
      <c r="R20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Clearances'!$A$4:$Q$4)),FALSE)),ROWS(R$5:R202)))&amp;""  –  ""&amp;INDEX('Chemical Clearances'!$D$5:$D$169,MATCH(INDEX('Chemical Clearances'!$B$5:$B$169,LARGE(FILTER((ROW('Chemical Clearances'!$B$5:$B$169)-ROW('"&amp;"Chemical Clearances'!$A$4:$Q$4)),IFERROR((MATCH('Chemical Clearances'!$B$5:$B$169,'Chemical Clearances'!$B$5:$B$169,0)=ROW('Chemical Clearances'!$B$5:$B$169)-ROW('Chemical Clearances'!$A$4:$Q$4)),FALSE)),ROWS(R$5:R202))),'Chemical Clearances'!$B$5:$B$169,"&amp;"0)),"""")), 1, 1)"),"")</f>
        <v/>
      </c>
      <c r="X20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Invoices'!$A$4:$V$4)),FALSE)),ROWS(X$5:X202))),"""")), 1, 1)"),"")</f>
        <v/>
      </c>
      <c r="Y202" s="333" t="str">
        <f t="array" ref="Y202">IF(X202="","",X202&amp;"  –  "&amp;INDEX('Bills &amp; Invoices'!$D$5:$D$32,MATCH(X202,'Bills &amp; Invoices'!$B$5:$B$32,0))&amp;"  –  $"&amp;TEXT(SUMIFS('Bills &amp; Invoices'!$J$5:$J$32,'Bills &amp; Invoices'!$B$5:$B$32,X202),"#,##0"))</f>
        <v/>
      </c>
      <c r="Z202" s="333" t="str">
        <f t="array" ref="Z202">IF(X202="","",INDEX('Bills &amp; Invoices'!$D$5:$D$32,MATCH(X202,'Bills &amp; Invoices'!$B$5:$B$32,0)))</f>
        <v/>
      </c>
      <c r="AA202" s="334" t="str">
        <f t="array" ref="AA202">IF(X202="","",INDEX('Bills &amp; Invoices'!$K$5:$K$32,MATCH(X202,'Bills &amp; Invoices'!$B$5:$B$32,0)))</f>
        <v/>
      </c>
      <c r="AB202" s="335" t="str">
        <f>IF(X202="","",SUMIFS('Bills &amp; Invoices'!$J$5:$J$32,'Bills &amp; Invoices'!$B$5:$B$32,X202))</f>
        <v/>
      </c>
      <c r="AC202" s="335" t="str">
        <f>IF(X202="","",SUMIFS('Payments &amp; Receipts'!$F$5:$F$58,'Payments &amp; Receipts'!$L$5:$L$58,X202))</f>
        <v/>
      </c>
      <c r="AD202" s="333" t="str">
        <f t="array" ref="AD202">IF(X202="","",INDEX('Bills &amp; Invoices'!$U$5:$U$32,MATCH(X202,'Bills &amp; Invoices'!$B$5:$B$32,0)))</f>
        <v/>
      </c>
    </row>
    <row r="203" ht="14.25" customHeight="1">
      <c r="R20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Clearances'!$A$4:$Q$4)),FALSE)),ROWS(R$5:R203)))&amp;""  –  ""&amp;INDEX('Chemical Clearances'!$D$5:$D$169,MATCH(INDEX('Chemical Clearances'!$B$5:$B$169,LARGE(FILTER((ROW('Chemical Clearances'!$B$5:$B$169)-ROW('"&amp;"Chemical Clearances'!$A$4:$Q$4)),IFERROR((MATCH('Chemical Clearances'!$B$5:$B$169,'Chemical Clearances'!$B$5:$B$169,0)=ROW('Chemical Clearances'!$B$5:$B$169)-ROW('Chemical Clearances'!$A$4:$Q$4)),FALSE)),ROWS(R$5:R203))),'Chemical Clearances'!$B$5:$B$169,"&amp;"0)),"""")), 1, 1)"),"")</f>
        <v/>
      </c>
      <c r="X20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Invoices'!$A$4:$V$4)),FALSE)),ROWS(X$5:X203))),"""")), 1, 1)"),"")</f>
        <v/>
      </c>
      <c r="Y203" s="333" t="str">
        <f t="array" ref="Y203">IF(X203="","",X203&amp;"  –  "&amp;INDEX('Bills &amp; Invoices'!$D$5:$D$32,MATCH(X203,'Bills &amp; Invoices'!$B$5:$B$32,0))&amp;"  –  $"&amp;TEXT(SUMIFS('Bills &amp; Invoices'!$J$5:$J$32,'Bills &amp; Invoices'!$B$5:$B$32,X203),"#,##0"))</f>
        <v/>
      </c>
      <c r="Z203" s="333" t="str">
        <f t="array" ref="Z203">IF(X203="","",INDEX('Bills &amp; Invoices'!$D$5:$D$32,MATCH(X203,'Bills &amp; Invoices'!$B$5:$B$32,0)))</f>
        <v/>
      </c>
      <c r="AA203" s="334" t="str">
        <f t="array" ref="AA203">IF(X203="","",INDEX('Bills &amp; Invoices'!$K$5:$K$32,MATCH(X203,'Bills &amp; Invoices'!$B$5:$B$32,0)))</f>
        <v/>
      </c>
      <c r="AB203" s="335" t="str">
        <f>IF(X203="","",SUMIFS('Bills &amp; Invoices'!$J$5:$J$32,'Bills &amp; Invoices'!$B$5:$B$32,X203))</f>
        <v/>
      </c>
      <c r="AC203" s="335" t="str">
        <f>IF(X203="","",SUMIFS('Payments &amp; Receipts'!$F$5:$F$58,'Payments &amp; Receipts'!$L$5:$L$58,X203))</f>
        <v/>
      </c>
      <c r="AD203" s="333" t="str">
        <f t="array" ref="AD203">IF(X203="","",INDEX('Bills &amp; Invoices'!$U$5:$U$32,MATCH(X203,'Bills &amp; Invoices'!$B$5:$B$32,0)))</f>
        <v/>
      </c>
    </row>
    <row r="204" ht="14.25" customHeight="1">
      <c r="R20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Clearances'!$A$4:$Q$4)),FALSE)),ROWS(R$5:R204)))&amp;""  –  ""&amp;INDEX('Chemical Clearances'!$D$5:$D$169,MATCH(INDEX('Chemical Clearances'!$B$5:$B$169,LARGE(FILTER((ROW('Chemical Clearances'!$B$5:$B$169)-ROW('"&amp;"Chemical Clearances'!$A$4:$Q$4)),IFERROR((MATCH('Chemical Clearances'!$B$5:$B$169,'Chemical Clearances'!$B$5:$B$169,0)=ROW('Chemical Clearances'!$B$5:$B$169)-ROW('Chemical Clearances'!$A$4:$Q$4)),FALSE)),ROWS(R$5:R204))),'Chemical Clearances'!$B$5:$B$169,"&amp;"0)),"""")), 1, 1)"),"")</f>
        <v/>
      </c>
      <c r="X20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Invoices'!$A$4:$V$4)),FALSE)),ROWS(X$5:X204))),"""")), 1, 1)"),"")</f>
        <v/>
      </c>
      <c r="Y204" s="333" t="str">
        <f t="array" ref="Y204">IF(X204="","",X204&amp;"  –  "&amp;INDEX('Bills &amp; Invoices'!$D$5:$D$32,MATCH(X204,'Bills &amp; Invoices'!$B$5:$B$32,0))&amp;"  –  $"&amp;TEXT(SUMIFS('Bills &amp; Invoices'!$J$5:$J$32,'Bills &amp; Invoices'!$B$5:$B$32,X204),"#,##0"))</f>
        <v/>
      </c>
      <c r="Z204" s="333" t="str">
        <f t="array" ref="Z204">IF(X204="","",INDEX('Bills &amp; Invoices'!$D$5:$D$32,MATCH(X204,'Bills &amp; Invoices'!$B$5:$B$32,0)))</f>
        <v/>
      </c>
      <c r="AA204" s="334" t="str">
        <f t="array" ref="AA204">IF(X204="","",INDEX('Bills &amp; Invoices'!$K$5:$K$32,MATCH(X204,'Bills &amp; Invoices'!$B$5:$B$32,0)))</f>
        <v/>
      </c>
      <c r="AB204" s="335" t="str">
        <f>IF(X204="","",SUMIFS('Bills &amp; Invoices'!$J$5:$J$32,'Bills &amp; Invoices'!$B$5:$B$32,X204))</f>
        <v/>
      </c>
      <c r="AC204" s="335" t="str">
        <f>IF(X204="","",SUMIFS('Payments &amp; Receipts'!$F$5:$F$58,'Payments &amp; Receipts'!$L$5:$L$58,X204))</f>
        <v/>
      </c>
      <c r="AD204" s="333" t="str">
        <f t="array" ref="AD204">IF(X204="","",INDEX('Bills &amp; Invoices'!$U$5:$U$32,MATCH(X204,'Bills &amp; Invoices'!$B$5:$B$32,0)))</f>
        <v/>
      </c>
    </row>
    <row r="205" ht="14.25" customHeight="1">
      <c r="R20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Clearances'!$A$4:$Q$4)),FALSE)),ROWS(R$5:R205)))&amp;""  –  ""&amp;INDEX('Chemical Clearances'!$D$5:$D$169,MATCH(INDEX('Chemical Clearances'!$B$5:$B$169,LARGE(FILTER((ROW('Chemical Clearances'!$B$5:$B$169)-ROW('"&amp;"Chemical Clearances'!$A$4:$Q$4)),IFERROR((MATCH('Chemical Clearances'!$B$5:$B$169,'Chemical Clearances'!$B$5:$B$169,0)=ROW('Chemical Clearances'!$B$5:$B$169)-ROW('Chemical Clearances'!$A$4:$Q$4)),FALSE)),ROWS(R$5:R205))),'Chemical Clearances'!$B$5:$B$169,"&amp;"0)),"""")), 1, 1)"),"")</f>
        <v/>
      </c>
      <c r="X20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Invoices'!$A$4:$V$4)),FALSE)),ROWS(X$5:X205))),"""")), 1, 1)"),"")</f>
        <v/>
      </c>
      <c r="Y205" s="333" t="str">
        <f t="array" ref="Y205">IF(X205="","",X205&amp;"  –  "&amp;INDEX('Bills &amp; Invoices'!$D$5:$D$32,MATCH(X205,'Bills &amp; Invoices'!$B$5:$B$32,0))&amp;"  –  $"&amp;TEXT(SUMIFS('Bills &amp; Invoices'!$J$5:$J$32,'Bills &amp; Invoices'!$B$5:$B$32,X205),"#,##0"))</f>
        <v/>
      </c>
      <c r="Z205" s="333" t="str">
        <f t="array" ref="Z205">IF(X205="","",INDEX('Bills &amp; Invoices'!$D$5:$D$32,MATCH(X205,'Bills &amp; Invoices'!$B$5:$B$32,0)))</f>
        <v/>
      </c>
      <c r="AA205" s="334" t="str">
        <f t="array" ref="AA205">IF(X205="","",INDEX('Bills &amp; Invoices'!$K$5:$K$32,MATCH(X205,'Bills &amp; Invoices'!$B$5:$B$32,0)))</f>
        <v/>
      </c>
      <c r="AB205" s="335" t="str">
        <f>IF(X205="","",SUMIFS('Bills &amp; Invoices'!$J$5:$J$32,'Bills &amp; Invoices'!$B$5:$B$32,X205))</f>
        <v/>
      </c>
      <c r="AC205" s="335" t="str">
        <f>IF(X205="","",SUMIFS('Payments &amp; Receipts'!$F$5:$F$58,'Payments &amp; Receipts'!$L$5:$L$58,X205))</f>
        <v/>
      </c>
      <c r="AD205" s="333" t="str">
        <f t="array" ref="AD205">IF(X205="","",INDEX('Bills &amp; Invoices'!$U$5:$U$32,MATCH(X205,'Bills &amp; Invoices'!$B$5:$B$32,0)))</f>
        <v/>
      </c>
    </row>
    <row r="206" ht="14.25" customHeight="1">
      <c r="R20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Clearances'!$A$4:$Q$4)),FALSE)),ROWS(R$5:R206)))&amp;""  –  ""&amp;INDEX('Chemical Clearances'!$D$5:$D$169,MATCH(INDEX('Chemical Clearances'!$B$5:$B$169,LARGE(FILTER((ROW('Chemical Clearances'!$B$5:$B$169)-ROW('"&amp;"Chemical Clearances'!$A$4:$Q$4)),IFERROR((MATCH('Chemical Clearances'!$B$5:$B$169,'Chemical Clearances'!$B$5:$B$169,0)=ROW('Chemical Clearances'!$B$5:$B$169)-ROW('Chemical Clearances'!$A$4:$Q$4)),FALSE)),ROWS(R$5:R206))),'Chemical Clearances'!$B$5:$B$169,"&amp;"0)),"""")), 1, 1)"),"")</f>
        <v/>
      </c>
      <c r="X20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Invoices'!$A$4:$V$4)),FALSE)),ROWS(X$5:X206))),"""")), 1, 1)"),"")</f>
        <v/>
      </c>
      <c r="Y206" s="333" t="str">
        <f t="array" ref="Y206">IF(X206="","",X206&amp;"  –  "&amp;INDEX('Bills &amp; Invoices'!$D$5:$D$32,MATCH(X206,'Bills &amp; Invoices'!$B$5:$B$32,0))&amp;"  –  $"&amp;TEXT(SUMIFS('Bills &amp; Invoices'!$J$5:$J$32,'Bills &amp; Invoices'!$B$5:$B$32,X206),"#,##0"))</f>
        <v/>
      </c>
      <c r="Z206" s="333" t="str">
        <f t="array" ref="Z206">IF(X206="","",INDEX('Bills &amp; Invoices'!$D$5:$D$32,MATCH(X206,'Bills &amp; Invoices'!$B$5:$B$32,0)))</f>
        <v/>
      </c>
      <c r="AA206" s="334" t="str">
        <f t="array" ref="AA206">IF(X206="","",INDEX('Bills &amp; Invoices'!$K$5:$K$32,MATCH(X206,'Bills &amp; Invoices'!$B$5:$B$32,0)))</f>
        <v/>
      </c>
      <c r="AB206" s="335" t="str">
        <f>IF(X206="","",SUMIFS('Bills &amp; Invoices'!$J$5:$J$32,'Bills &amp; Invoices'!$B$5:$B$32,X206))</f>
        <v/>
      </c>
      <c r="AC206" s="335" t="str">
        <f>IF(X206="","",SUMIFS('Payments &amp; Receipts'!$F$5:$F$58,'Payments &amp; Receipts'!$L$5:$L$58,X206))</f>
        <v/>
      </c>
      <c r="AD206" s="333" t="str">
        <f t="array" ref="AD206">IF(X206="","",INDEX('Bills &amp; Invoices'!$U$5:$U$32,MATCH(X206,'Bills &amp; Invoices'!$B$5:$B$32,0)))</f>
        <v/>
      </c>
    </row>
    <row r="207" ht="14.25" customHeight="1">
      <c r="R20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Clearances'!$A$4:$Q$4)),FALSE)),ROWS(R$5:R207)))&amp;""  –  ""&amp;INDEX('Chemical Clearances'!$D$5:$D$169,MATCH(INDEX('Chemical Clearances'!$B$5:$B$169,LARGE(FILTER((ROW('Chemical Clearances'!$B$5:$B$169)-ROW('"&amp;"Chemical Clearances'!$A$4:$Q$4)),IFERROR((MATCH('Chemical Clearances'!$B$5:$B$169,'Chemical Clearances'!$B$5:$B$169,0)=ROW('Chemical Clearances'!$B$5:$B$169)-ROW('Chemical Clearances'!$A$4:$Q$4)),FALSE)),ROWS(R$5:R207))),'Chemical Clearances'!$B$5:$B$169,"&amp;"0)),"""")), 1, 1)"),"")</f>
        <v/>
      </c>
      <c r="X20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Invoices'!$A$4:$V$4)),FALSE)),ROWS(X$5:X207))),"""")), 1, 1)"),"")</f>
        <v/>
      </c>
      <c r="Y207" s="333" t="str">
        <f t="array" ref="Y207">IF(X207="","",X207&amp;"  –  "&amp;INDEX('Bills &amp; Invoices'!$D$5:$D$32,MATCH(X207,'Bills &amp; Invoices'!$B$5:$B$32,0))&amp;"  –  $"&amp;TEXT(SUMIFS('Bills &amp; Invoices'!$J$5:$J$32,'Bills &amp; Invoices'!$B$5:$B$32,X207),"#,##0"))</f>
        <v/>
      </c>
      <c r="Z207" s="333" t="str">
        <f t="array" ref="Z207">IF(X207="","",INDEX('Bills &amp; Invoices'!$D$5:$D$32,MATCH(X207,'Bills &amp; Invoices'!$B$5:$B$32,0)))</f>
        <v/>
      </c>
      <c r="AA207" s="334" t="str">
        <f t="array" ref="AA207">IF(X207="","",INDEX('Bills &amp; Invoices'!$K$5:$K$32,MATCH(X207,'Bills &amp; Invoices'!$B$5:$B$32,0)))</f>
        <v/>
      </c>
      <c r="AB207" s="335" t="str">
        <f>IF(X207="","",SUMIFS('Bills &amp; Invoices'!$J$5:$J$32,'Bills &amp; Invoices'!$B$5:$B$32,X207))</f>
        <v/>
      </c>
      <c r="AC207" s="335" t="str">
        <f>IF(X207="","",SUMIFS('Payments &amp; Receipts'!$F$5:$F$58,'Payments &amp; Receipts'!$L$5:$L$58,X207))</f>
        <v/>
      </c>
      <c r="AD207" s="333" t="str">
        <f t="array" ref="AD207">IF(X207="","",INDEX('Bills &amp; Invoices'!$U$5:$U$32,MATCH(X207,'Bills &amp; Invoices'!$B$5:$B$32,0)))</f>
        <v/>
      </c>
    </row>
    <row r="208" ht="14.25" customHeight="1">
      <c r="R20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Clearances'!$A$4:$Q$4)),FALSE)),ROWS(R$5:R208)))&amp;""  –  ""&amp;INDEX('Chemical Clearances'!$D$5:$D$169,MATCH(INDEX('Chemical Clearances'!$B$5:$B$169,LARGE(FILTER((ROW('Chemical Clearances'!$B$5:$B$169)-ROW('"&amp;"Chemical Clearances'!$A$4:$Q$4)),IFERROR((MATCH('Chemical Clearances'!$B$5:$B$169,'Chemical Clearances'!$B$5:$B$169,0)=ROW('Chemical Clearances'!$B$5:$B$169)-ROW('Chemical Clearances'!$A$4:$Q$4)),FALSE)),ROWS(R$5:R208))),'Chemical Clearances'!$B$5:$B$169,"&amp;"0)),"""")), 1, 1)"),"")</f>
        <v/>
      </c>
      <c r="X20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Invoices'!$A$4:$V$4)),FALSE)),ROWS(X$5:X208))),"""")), 1, 1)"),"")</f>
        <v/>
      </c>
      <c r="Y208" s="333" t="str">
        <f t="array" ref="Y208">IF(X208="","",X208&amp;"  –  "&amp;INDEX('Bills &amp; Invoices'!$D$5:$D$32,MATCH(X208,'Bills &amp; Invoices'!$B$5:$B$32,0))&amp;"  –  $"&amp;TEXT(SUMIFS('Bills &amp; Invoices'!$J$5:$J$32,'Bills &amp; Invoices'!$B$5:$B$32,X208),"#,##0"))</f>
        <v/>
      </c>
      <c r="Z208" s="333" t="str">
        <f t="array" ref="Z208">IF(X208="","",INDEX('Bills &amp; Invoices'!$D$5:$D$32,MATCH(X208,'Bills &amp; Invoices'!$B$5:$B$32,0)))</f>
        <v/>
      </c>
      <c r="AA208" s="334" t="str">
        <f t="array" ref="AA208">IF(X208="","",INDEX('Bills &amp; Invoices'!$K$5:$K$32,MATCH(X208,'Bills &amp; Invoices'!$B$5:$B$32,0)))</f>
        <v/>
      </c>
      <c r="AB208" s="335" t="str">
        <f>IF(X208="","",SUMIFS('Bills &amp; Invoices'!$J$5:$J$32,'Bills &amp; Invoices'!$B$5:$B$32,X208))</f>
        <v/>
      </c>
      <c r="AC208" s="335" t="str">
        <f>IF(X208="","",SUMIFS('Payments &amp; Receipts'!$F$5:$F$58,'Payments &amp; Receipts'!$L$5:$L$58,X208))</f>
        <v/>
      </c>
      <c r="AD208" s="333" t="str">
        <f t="array" ref="AD208">IF(X208="","",INDEX('Bills &amp; Invoices'!$U$5:$U$32,MATCH(X208,'Bills &amp; Invoices'!$B$5:$B$32,0)))</f>
        <v/>
      </c>
    </row>
    <row r="209" ht="14.25" customHeight="1">
      <c r="R20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Clearances'!$A$4:$Q$4)),FALSE)),ROWS(R$5:R209)))&amp;""  –  ""&amp;INDEX('Chemical Clearances'!$D$5:$D$169,MATCH(INDEX('Chemical Clearances'!$B$5:$B$169,LARGE(FILTER((ROW('Chemical Clearances'!$B$5:$B$169)-ROW('"&amp;"Chemical Clearances'!$A$4:$Q$4)),IFERROR((MATCH('Chemical Clearances'!$B$5:$B$169,'Chemical Clearances'!$B$5:$B$169,0)=ROW('Chemical Clearances'!$B$5:$B$169)-ROW('Chemical Clearances'!$A$4:$Q$4)),FALSE)),ROWS(R$5:R209))),'Chemical Clearances'!$B$5:$B$169,"&amp;"0)),"""")), 1, 1)"),"")</f>
        <v/>
      </c>
      <c r="X20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Invoices'!$A$4:$V$4)),FALSE)),ROWS(X$5:X209))),"""")), 1, 1)"),"")</f>
        <v/>
      </c>
      <c r="Y209" s="333" t="str">
        <f t="array" ref="Y209">IF(X209="","",X209&amp;"  –  "&amp;INDEX('Bills &amp; Invoices'!$D$5:$D$32,MATCH(X209,'Bills &amp; Invoices'!$B$5:$B$32,0))&amp;"  –  $"&amp;TEXT(SUMIFS('Bills &amp; Invoices'!$J$5:$J$32,'Bills &amp; Invoices'!$B$5:$B$32,X209),"#,##0"))</f>
        <v/>
      </c>
      <c r="Z209" s="333" t="str">
        <f t="array" ref="Z209">IF(X209="","",INDEX('Bills &amp; Invoices'!$D$5:$D$32,MATCH(X209,'Bills &amp; Invoices'!$B$5:$B$32,0)))</f>
        <v/>
      </c>
      <c r="AA209" s="334" t="str">
        <f t="array" ref="AA209">IF(X209="","",INDEX('Bills &amp; Invoices'!$K$5:$K$32,MATCH(X209,'Bills &amp; Invoices'!$B$5:$B$32,0)))</f>
        <v/>
      </c>
      <c r="AB209" s="335" t="str">
        <f>IF(X209="","",SUMIFS('Bills &amp; Invoices'!$J$5:$J$32,'Bills &amp; Invoices'!$B$5:$B$32,X209))</f>
        <v/>
      </c>
      <c r="AC209" s="335" t="str">
        <f>IF(X209="","",SUMIFS('Payments &amp; Receipts'!$F$5:$F$58,'Payments &amp; Receipts'!$L$5:$L$58,X209))</f>
        <v/>
      </c>
      <c r="AD209" s="333" t="str">
        <f t="array" ref="AD209">IF(X209="","",INDEX('Bills &amp; Invoices'!$U$5:$U$32,MATCH(X209,'Bills &amp; Invoices'!$B$5:$B$32,0)))</f>
        <v/>
      </c>
    </row>
    <row r="210" ht="14.25" customHeight="1">
      <c r="R21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Clearances'!$A$4:$Q$4)),FALSE)),ROWS(R$5:R210)))&amp;""  –  ""&amp;INDEX('Chemical Clearances'!$D$5:$D$169,MATCH(INDEX('Chemical Clearances'!$B$5:$B$169,LARGE(FILTER((ROW('Chemical Clearances'!$B$5:$B$169)-ROW('"&amp;"Chemical Clearances'!$A$4:$Q$4)),IFERROR((MATCH('Chemical Clearances'!$B$5:$B$169,'Chemical Clearances'!$B$5:$B$169,0)=ROW('Chemical Clearances'!$B$5:$B$169)-ROW('Chemical Clearances'!$A$4:$Q$4)),FALSE)),ROWS(R$5:R210))),'Chemical Clearances'!$B$5:$B$169,"&amp;"0)),"""")), 1, 1)"),"")</f>
        <v/>
      </c>
      <c r="X21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Invoices'!$A$4:$V$4)),FALSE)),ROWS(X$5:X210))),"""")), 1, 1)"),"")</f>
        <v/>
      </c>
      <c r="Y210" s="333" t="str">
        <f t="array" ref="Y210">IF(X210="","",X210&amp;"  –  "&amp;INDEX('Bills &amp; Invoices'!$D$5:$D$32,MATCH(X210,'Bills &amp; Invoices'!$B$5:$B$32,0))&amp;"  –  $"&amp;TEXT(SUMIFS('Bills &amp; Invoices'!$J$5:$J$32,'Bills &amp; Invoices'!$B$5:$B$32,X210),"#,##0"))</f>
        <v/>
      </c>
      <c r="Z210" s="333" t="str">
        <f t="array" ref="Z210">IF(X210="","",INDEX('Bills &amp; Invoices'!$D$5:$D$32,MATCH(X210,'Bills &amp; Invoices'!$B$5:$B$32,0)))</f>
        <v/>
      </c>
      <c r="AA210" s="334" t="str">
        <f t="array" ref="AA210">IF(X210="","",INDEX('Bills &amp; Invoices'!$K$5:$K$32,MATCH(X210,'Bills &amp; Invoices'!$B$5:$B$32,0)))</f>
        <v/>
      </c>
      <c r="AB210" s="335" t="str">
        <f>IF(X210="","",SUMIFS('Bills &amp; Invoices'!$J$5:$J$32,'Bills &amp; Invoices'!$B$5:$B$32,X210))</f>
        <v/>
      </c>
      <c r="AC210" s="335" t="str">
        <f>IF(X210="","",SUMIFS('Payments &amp; Receipts'!$F$5:$F$58,'Payments &amp; Receipts'!$L$5:$L$58,X210))</f>
        <v/>
      </c>
      <c r="AD210" s="333" t="str">
        <f t="array" ref="AD210">IF(X210="","",INDEX('Bills &amp; Invoices'!$U$5:$U$32,MATCH(X210,'Bills &amp; Invoices'!$B$5:$B$32,0)))</f>
        <v/>
      </c>
    </row>
    <row r="211" ht="14.25" customHeight="1">
      <c r="R21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Clearances'!$A$4:$Q$4)),FALSE)),ROWS(R$5:R211)))&amp;""  –  ""&amp;INDEX('Chemical Clearances'!$D$5:$D$169,MATCH(INDEX('Chemical Clearances'!$B$5:$B$169,LARGE(FILTER((ROW('Chemical Clearances'!$B$5:$B$169)-ROW('"&amp;"Chemical Clearances'!$A$4:$Q$4)),IFERROR((MATCH('Chemical Clearances'!$B$5:$B$169,'Chemical Clearances'!$B$5:$B$169,0)=ROW('Chemical Clearances'!$B$5:$B$169)-ROW('Chemical Clearances'!$A$4:$Q$4)),FALSE)),ROWS(R$5:R211))),'Chemical Clearances'!$B$5:$B$169,"&amp;"0)),"""")), 1, 1)"),"")</f>
        <v/>
      </c>
      <c r="X21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Invoices'!$A$4:$V$4)),FALSE)),ROWS(X$5:X211))),"""")), 1, 1)"),"")</f>
        <v/>
      </c>
      <c r="Y211" s="333" t="str">
        <f t="array" ref="Y211">IF(X211="","",X211&amp;"  –  "&amp;INDEX('Bills &amp; Invoices'!$D$5:$D$32,MATCH(X211,'Bills &amp; Invoices'!$B$5:$B$32,0))&amp;"  –  $"&amp;TEXT(SUMIFS('Bills &amp; Invoices'!$J$5:$J$32,'Bills &amp; Invoices'!$B$5:$B$32,X211),"#,##0"))</f>
        <v/>
      </c>
      <c r="Z211" s="333" t="str">
        <f t="array" ref="Z211">IF(X211="","",INDEX('Bills &amp; Invoices'!$D$5:$D$32,MATCH(X211,'Bills &amp; Invoices'!$B$5:$B$32,0)))</f>
        <v/>
      </c>
      <c r="AA211" s="334" t="str">
        <f t="array" ref="AA211">IF(X211="","",INDEX('Bills &amp; Invoices'!$K$5:$K$32,MATCH(X211,'Bills &amp; Invoices'!$B$5:$B$32,0)))</f>
        <v/>
      </c>
      <c r="AB211" s="335" t="str">
        <f>IF(X211="","",SUMIFS('Bills &amp; Invoices'!$J$5:$J$32,'Bills &amp; Invoices'!$B$5:$B$32,X211))</f>
        <v/>
      </c>
      <c r="AC211" s="335" t="str">
        <f>IF(X211="","",SUMIFS('Payments &amp; Receipts'!$F$5:$F$58,'Payments &amp; Receipts'!$L$5:$L$58,X211))</f>
        <v/>
      </c>
      <c r="AD211" s="333" t="str">
        <f t="array" ref="AD211">IF(X211="","",INDEX('Bills &amp; Invoices'!$U$5:$U$32,MATCH(X211,'Bills &amp; Invoices'!$B$5:$B$32,0)))</f>
        <v/>
      </c>
    </row>
    <row r="212" ht="14.25" customHeight="1">
      <c r="R21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Clearances'!$A$4:$Q$4)),FALSE)),ROWS(R$5:R212)))&amp;""  –  ""&amp;INDEX('Chemical Clearances'!$D$5:$D$169,MATCH(INDEX('Chemical Clearances'!$B$5:$B$169,LARGE(FILTER((ROW('Chemical Clearances'!$B$5:$B$169)-ROW('"&amp;"Chemical Clearances'!$A$4:$Q$4)),IFERROR((MATCH('Chemical Clearances'!$B$5:$B$169,'Chemical Clearances'!$B$5:$B$169,0)=ROW('Chemical Clearances'!$B$5:$B$169)-ROW('Chemical Clearances'!$A$4:$Q$4)),FALSE)),ROWS(R$5:R212))),'Chemical Clearances'!$B$5:$B$169,"&amp;"0)),"""")), 1, 1)"),"")</f>
        <v/>
      </c>
      <c r="X21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Invoices'!$A$4:$V$4)),FALSE)),ROWS(X$5:X212))),"""")), 1, 1)"),"")</f>
        <v/>
      </c>
      <c r="Y212" s="333" t="str">
        <f t="array" ref="Y212">IF(X212="","",X212&amp;"  –  "&amp;INDEX('Bills &amp; Invoices'!$D$5:$D$32,MATCH(X212,'Bills &amp; Invoices'!$B$5:$B$32,0))&amp;"  –  $"&amp;TEXT(SUMIFS('Bills &amp; Invoices'!$J$5:$J$32,'Bills &amp; Invoices'!$B$5:$B$32,X212),"#,##0"))</f>
        <v/>
      </c>
      <c r="Z212" s="333" t="str">
        <f t="array" ref="Z212">IF(X212="","",INDEX('Bills &amp; Invoices'!$D$5:$D$32,MATCH(X212,'Bills &amp; Invoices'!$B$5:$B$32,0)))</f>
        <v/>
      </c>
      <c r="AA212" s="334" t="str">
        <f t="array" ref="AA212">IF(X212="","",INDEX('Bills &amp; Invoices'!$K$5:$K$32,MATCH(X212,'Bills &amp; Invoices'!$B$5:$B$32,0)))</f>
        <v/>
      </c>
      <c r="AB212" s="335" t="str">
        <f>IF(X212="","",SUMIFS('Bills &amp; Invoices'!$J$5:$J$32,'Bills &amp; Invoices'!$B$5:$B$32,X212))</f>
        <v/>
      </c>
      <c r="AC212" s="335" t="str">
        <f>IF(X212="","",SUMIFS('Payments &amp; Receipts'!$F$5:$F$58,'Payments &amp; Receipts'!$L$5:$L$58,X212))</f>
        <v/>
      </c>
      <c r="AD212" s="333" t="str">
        <f t="array" ref="AD212">IF(X212="","",INDEX('Bills &amp; Invoices'!$U$5:$U$32,MATCH(X212,'Bills &amp; Invoices'!$B$5:$B$32,0)))</f>
        <v/>
      </c>
    </row>
    <row r="213" ht="14.25" customHeight="1">
      <c r="R21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Clearances'!$A$4:$Q$4)),FALSE)),ROWS(R$5:R213)))&amp;""  –  ""&amp;INDEX('Chemical Clearances'!$D$5:$D$169,MATCH(INDEX('Chemical Clearances'!$B$5:$B$169,LARGE(FILTER((ROW('Chemical Clearances'!$B$5:$B$169)-ROW('"&amp;"Chemical Clearances'!$A$4:$Q$4)),IFERROR((MATCH('Chemical Clearances'!$B$5:$B$169,'Chemical Clearances'!$B$5:$B$169,0)=ROW('Chemical Clearances'!$B$5:$B$169)-ROW('Chemical Clearances'!$A$4:$Q$4)),FALSE)),ROWS(R$5:R213))),'Chemical Clearances'!$B$5:$B$169,"&amp;"0)),"""")), 1, 1)"),"")</f>
        <v/>
      </c>
      <c r="X21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Invoices'!$A$4:$V$4)),FALSE)),ROWS(X$5:X213))),"""")), 1, 1)"),"")</f>
        <v/>
      </c>
      <c r="Y213" s="333" t="str">
        <f t="array" ref="Y213">IF(X213="","",X213&amp;"  –  "&amp;INDEX('Bills &amp; Invoices'!$D$5:$D$32,MATCH(X213,'Bills &amp; Invoices'!$B$5:$B$32,0))&amp;"  –  $"&amp;TEXT(SUMIFS('Bills &amp; Invoices'!$J$5:$J$32,'Bills &amp; Invoices'!$B$5:$B$32,X213),"#,##0"))</f>
        <v/>
      </c>
      <c r="Z213" s="333" t="str">
        <f t="array" ref="Z213">IF(X213="","",INDEX('Bills &amp; Invoices'!$D$5:$D$32,MATCH(X213,'Bills &amp; Invoices'!$B$5:$B$32,0)))</f>
        <v/>
      </c>
      <c r="AA213" s="334" t="str">
        <f t="array" ref="AA213">IF(X213="","",INDEX('Bills &amp; Invoices'!$K$5:$K$32,MATCH(X213,'Bills &amp; Invoices'!$B$5:$B$32,0)))</f>
        <v/>
      </c>
      <c r="AB213" s="335" t="str">
        <f>IF(X213="","",SUMIFS('Bills &amp; Invoices'!$J$5:$J$32,'Bills &amp; Invoices'!$B$5:$B$32,X213))</f>
        <v/>
      </c>
      <c r="AC213" s="335" t="str">
        <f>IF(X213="","",SUMIFS('Payments &amp; Receipts'!$F$5:$F$58,'Payments &amp; Receipts'!$L$5:$L$58,X213))</f>
        <v/>
      </c>
      <c r="AD213" s="333" t="str">
        <f t="array" ref="AD213">IF(X213="","",INDEX('Bills &amp; Invoices'!$U$5:$U$32,MATCH(X213,'Bills &amp; Invoices'!$B$5:$B$32,0)))</f>
        <v/>
      </c>
    </row>
    <row r="214" ht="14.25" customHeight="1">
      <c r="R21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Clearances'!$A$4:$Q$4)),FALSE)),ROWS(R$5:R214)))&amp;""  –  ""&amp;INDEX('Chemical Clearances'!$D$5:$D$169,MATCH(INDEX('Chemical Clearances'!$B$5:$B$169,LARGE(FILTER((ROW('Chemical Clearances'!$B$5:$B$169)-ROW('"&amp;"Chemical Clearances'!$A$4:$Q$4)),IFERROR((MATCH('Chemical Clearances'!$B$5:$B$169,'Chemical Clearances'!$B$5:$B$169,0)=ROW('Chemical Clearances'!$B$5:$B$169)-ROW('Chemical Clearances'!$A$4:$Q$4)),FALSE)),ROWS(R$5:R214))),'Chemical Clearances'!$B$5:$B$169,"&amp;"0)),"""")), 1, 1)"),"")</f>
        <v/>
      </c>
      <c r="X21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Invoices'!$A$4:$V$4)),FALSE)),ROWS(X$5:X214))),"""")), 1, 1)"),"")</f>
        <v/>
      </c>
      <c r="Y214" s="333" t="str">
        <f t="array" ref="Y214">IF(X214="","",X214&amp;"  –  "&amp;INDEX('Bills &amp; Invoices'!$D$5:$D$32,MATCH(X214,'Bills &amp; Invoices'!$B$5:$B$32,0))&amp;"  –  $"&amp;TEXT(SUMIFS('Bills &amp; Invoices'!$J$5:$J$32,'Bills &amp; Invoices'!$B$5:$B$32,X214),"#,##0"))</f>
        <v/>
      </c>
      <c r="Z214" s="333" t="str">
        <f t="array" ref="Z214">IF(X214="","",INDEX('Bills &amp; Invoices'!$D$5:$D$32,MATCH(X214,'Bills &amp; Invoices'!$B$5:$B$32,0)))</f>
        <v/>
      </c>
      <c r="AA214" s="334" t="str">
        <f t="array" ref="AA214">IF(X214="","",INDEX('Bills &amp; Invoices'!$K$5:$K$32,MATCH(X214,'Bills &amp; Invoices'!$B$5:$B$32,0)))</f>
        <v/>
      </c>
      <c r="AB214" s="335" t="str">
        <f>IF(X214="","",SUMIFS('Bills &amp; Invoices'!$J$5:$J$32,'Bills &amp; Invoices'!$B$5:$B$32,X214))</f>
        <v/>
      </c>
      <c r="AC214" s="335" t="str">
        <f>IF(X214="","",SUMIFS('Payments &amp; Receipts'!$F$5:$F$58,'Payments &amp; Receipts'!$L$5:$L$58,X214))</f>
        <v/>
      </c>
      <c r="AD214" s="333" t="str">
        <f t="array" ref="AD214">IF(X214="","",INDEX('Bills &amp; Invoices'!$U$5:$U$32,MATCH(X214,'Bills &amp; Invoices'!$B$5:$B$32,0)))</f>
        <v/>
      </c>
    </row>
    <row r="215" ht="14.25" customHeight="1">
      <c r="R21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Clearances'!$A$4:$Q$4)),FALSE)),ROWS(R$5:R215)))&amp;""  –  ""&amp;INDEX('Chemical Clearances'!$D$5:$D$169,MATCH(INDEX('Chemical Clearances'!$B$5:$B$169,LARGE(FILTER((ROW('Chemical Clearances'!$B$5:$B$169)-ROW('"&amp;"Chemical Clearances'!$A$4:$Q$4)),IFERROR((MATCH('Chemical Clearances'!$B$5:$B$169,'Chemical Clearances'!$B$5:$B$169,0)=ROW('Chemical Clearances'!$B$5:$B$169)-ROW('Chemical Clearances'!$A$4:$Q$4)),FALSE)),ROWS(R$5:R215))),'Chemical Clearances'!$B$5:$B$169,"&amp;"0)),"""")), 1, 1)"),"")</f>
        <v/>
      </c>
      <c r="X21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Invoices'!$A$4:$V$4)),FALSE)),ROWS(X$5:X215))),"""")), 1, 1)"),"")</f>
        <v/>
      </c>
      <c r="Y215" s="333" t="str">
        <f t="array" ref="Y215">IF(X215="","",X215&amp;"  –  "&amp;INDEX('Bills &amp; Invoices'!$D$5:$D$32,MATCH(X215,'Bills &amp; Invoices'!$B$5:$B$32,0))&amp;"  –  $"&amp;TEXT(SUMIFS('Bills &amp; Invoices'!$J$5:$J$32,'Bills &amp; Invoices'!$B$5:$B$32,X215),"#,##0"))</f>
        <v/>
      </c>
      <c r="Z215" s="333" t="str">
        <f t="array" ref="Z215">IF(X215="","",INDEX('Bills &amp; Invoices'!$D$5:$D$32,MATCH(X215,'Bills &amp; Invoices'!$B$5:$B$32,0)))</f>
        <v/>
      </c>
      <c r="AA215" s="334" t="str">
        <f t="array" ref="AA215">IF(X215="","",INDEX('Bills &amp; Invoices'!$K$5:$K$32,MATCH(X215,'Bills &amp; Invoices'!$B$5:$B$32,0)))</f>
        <v/>
      </c>
      <c r="AB215" s="335" t="str">
        <f>IF(X215="","",SUMIFS('Bills &amp; Invoices'!$J$5:$J$32,'Bills &amp; Invoices'!$B$5:$B$32,X215))</f>
        <v/>
      </c>
      <c r="AC215" s="335" t="str">
        <f>IF(X215="","",SUMIFS('Payments &amp; Receipts'!$F$5:$F$58,'Payments &amp; Receipts'!$L$5:$L$58,X215))</f>
        <v/>
      </c>
      <c r="AD215" s="333" t="str">
        <f t="array" ref="AD215">IF(X215="","",INDEX('Bills &amp; Invoices'!$U$5:$U$32,MATCH(X215,'Bills &amp; Invoices'!$B$5:$B$32,0)))</f>
        <v/>
      </c>
    </row>
    <row r="216" ht="14.25" customHeight="1">
      <c r="R21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Clearances'!$A$4:$Q$4)),FALSE)),ROWS(R$5:R216)))&amp;""  –  ""&amp;INDEX('Chemical Clearances'!$D$5:$D$169,MATCH(INDEX('Chemical Clearances'!$B$5:$B$169,LARGE(FILTER((ROW('Chemical Clearances'!$B$5:$B$169)-ROW('"&amp;"Chemical Clearances'!$A$4:$Q$4)),IFERROR((MATCH('Chemical Clearances'!$B$5:$B$169,'Chemical Clearances'!$B$5:$B$169,0)=ROW('Chemical Clearances'!$B$5:$B$169)-ROW('Chemical Clearances'!$A$4:$Q$4)),FALSE)),ROWS(R$5:R216))),'Chemical Clearances'!$B$5:$B$169,"&amp;"0)),"""")), 1, 1)"),"")</f>
        <v/>
      </c>
      <c r="X21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Invoices'!$A$4:$V$4)),FALSE)),ROWS(X$5:X216))),"""")), 1, 1)"),"")</f>
        <v/>
      </c>
      <c r="Y216" s="333" t="str">
        <f t="array" ref="Y216">IF(X216="","",X216&amp;"  –  "&amp;INDEX('Bills &amp; Invoices'!$D$5:$D$32,MATCH(X216,'Bills &amp; Invoices'!$B$5:$B$32,0))&amp;"  –  $"&amp;TEXT(SUMIFS('Bills &amp; Invoices'!$J$5:$J$32,'Bills &amp; Invoices'!$B$5:$B$32,X216),"#,##0"))</f>
        <v/>
      </c>
      <c r="Z216" s="333" t="str">
        <f t="array" ref="Z216">IF(X216="","",INDEX('Bills &amp; Invoices'!$D$5:$D$32,MATCH(X216,'Bills &amp; Invoices'!$B$5:$B$32,0)))</f>
        <v/>
      </c>
      <c r="AA216" s="334" t="str">
        <f t="array" ref="AA216">IF(X216="","",INDEX('Bills &amp; Invoices'!$K$5:$K$32,MATCH(X216,'Bills &amp; Invoices'!$B$5:$B$32,0)))</f>
        <v/>
      </c>
      <c r="AB216" s="335" t="str">
        <f>IF(X216="","",SUMIFS('Bills &amp; Invoices'!$J$5:$J$32,'Bills &amp; Invoices'!$B$5:$B$32,X216))</f>
        <v/>
      </c>
      <c r="AC216" s="335" t="str">
        <f>IF(X216="","",SUMIFS('Payments &amp; Receipts'!$F$5:$F$58,'Payments &amp; Receipts'!$L$5:$L$58,X216))</f>
        <v/>
      </c>
      <c r="AD216" s="333" t="str">
        <f t="array" ref="AD216">IF(X216="","",INDEX('Bills &amp; Invoices'!$U$5:$U$32,MATCH(X216,'Bills &amp; Invoices'!$B$5:$B$32,0)))</f>
        <v/>
      </c>
    </row>
    <row r="217" ht="14.25" customHeight="1">
      <c r="R21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Clearances'!$A$4:$Q$4)),FALSE)),ROWS(R$5:R217)))&amp;""  –  ""&amp;INDEX('Chemical Clearances'!$D$5:$D$169,MATCH(INDEX('Chemical Clearances'!$B$5:$B$169,LARGE(FILTER((ROW('Chemical Clearances'!$B$5:$B$169)-ROW('"&amp;"Chemical Clearances'!$A$4:$Q$4)),IFERROR((MATCH('Chemical Clearances'!$B$5:$B$169,'Chemical Clearances'!$B$5:$B$169,0)=ROW('Chemical Clearances'!$B$5:$B$169)-ROW('Chemical Clearances'!$A$4:$Q$4)),FALSE)),ROWS(R$5:R217))),'Chemical Clearances'!$B$5:$B$169,"&amp;"0)),"""")), 1, 1)"),"")</f>
        <v/>
      </c>
      <c r="X21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Invoices'!$A$4:$V$4)),FALSE)),ROWS(X$5:X217))),"""")), 1, 1)"),"")</f>
        <v/>
      </c>
      <c r="Y217" s="333" t="str">
        <f t="array" ref="Y217">IF(X217="","",X217&amp;"  –  "&amp;INDEX('Bills &amp; Invoices'!$D$5:$D$32,MATCH(X217,'Bills &amp; Invoices'!$B$5:$B$32,0))&amp;"  –  $"&amp;TEXT(SUMIFS('Bills &amp; Invoices'!$J$5:$J$32,'Bills &amp; Invoices'!$B$5:$B$32,X217),"#,##0"))</f>
        <v/>
      </c>
      <c r="Z217" s="333" t="str">
        <f t="array" ref="Z217">IF(X217="","",INDEX('Bills &amp; Invoices'!$D$5:$D$32,MATCH(X217,'Bills &amp; Invoices'!$B$5:$B$32,0)))</f>
        <v/>
      </c>
      <c r="AA217" s="334" t="str">
        <f t="array" ref="AA217">IF(X217="","",INDEX('Bills &amp; Invoices'!$K$5:$K$32,MATCH(X217,'Bills &amp; Invoices'!$B$5:$B$32,0)))</f>
        <v/>
      </c>
      <c r="AB217" s="335" t="str">
        <f>IF(X217="","",SUMIFS('Bills &amp; Invoices'!$J$5:$J$32,'Bills &amp; Invoices'!$B$5:$B$32,X217))</f>
        <v/>
      </c>
      <c r="AC217" s="335" t="str">
        <f>IF(X217="","",SUMIFS('Payments &amp; Receipts'!$F$5:$F$58,'Payments &amp; Receipts'!$L$5:$L$58,X217))</f>
        <v/>
      </c>
      <c r="AD217" s="333" t="str">
        <f t="array" ref="AD217">IF(X217="","",INDEX('Bills &amp; Invoices'!$U$5:$U$32,MATCH(X217,'Bills &amp; Invoices'!$B$5:$B$32,0)))</f>
        <v/>
      </c>
    </row>
    <row r="218" ht="14.25" customHeight="1">
      <c r="R21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Clearances'!$A$4:$Q$4)),FALSE)),ROWS(R$5:R218)))&amp;""  –  ""&amp;INDEX('Chemical Clearances'!$D$5:$D$169,MATCH(INDEX('Chemical Clearances'!$B$5:$B$169,LARGE(FILTER((ROW('Chemical Clearances'!$B$5:$B$169)-ROW('"&amp;"Chemical Clearances'!$A$4:$Q$4)),IFERROR((MATCH('Chemical Clearances'!$B$5:$B$169,'Chemical Clearances'!$B$5:$B$169,0)=ROW('Chemical Clearances'!$B$5:$B$169)-ROW('Chemical Clearances'!$A$4:$Q$4)),FALSE)),ROWS(R$5:R218))),'Chemical Clearances'!$B$5:$B$169,"&amp;"0)),"""")), 1, 1)"),"")</f>
        <v/>
      </c>
      <c r="X21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Invoices'!$A$4:$V$4)),FALSE)),ROWS(X$5:X218))),"""")), 1, 1)"),"")</f>
        <v/>
      </c>
      <c r="Y218" s="333" t="str">
        <f t="array" ref="Y218">IF(X218="","",X218&amp;"  –  "&amp;INDEX('Bills &amp; Invoices'!$D$5:$D$32,MATCH(X218,'Bills &amp; Invoices'!$B$5:$B$32,0))&amp;"  –  $"&amp;TEXT(SUMIFS('Bills &amp; Invoices'!$J$5:$J$32,'Bills &amp; Invoices'!$B$5:$B$32,X218),"#,##0"))</f>
        <v/>
      </c>
      <c r="Z218" s="333" t="str">
        <f t="array" ref="Z218">IF(X218="","",INDEX('Bills &amp; Invoices'!$D$5:$D$32,MATCH(X218,'Bills &amp; Invoices'!$B$5:$B$32,0)))</f>
        <v/>
      </c>
      <c r="AA218" s="334" t="str">
        <f t="array" ref="AA218">IF(X218="","",INDEX('Bills &amp; Invoices'!$K$5:$K$32,MATCH(X218,'Bills &amp; Invoices'!$B$5:$B$32,0)))</f>
        <v/>
      </c>
      <c r="AB218" s="335" t="str">
        <f>IF(X218="","",SUMIFS('Bills &amp; Invoices'!$J$5:$J$32,'Bills &amp; Invoices'!$B$5:$B$32,X218))</f>
        <v/>
      </c>
      <c r="AC218" s="335" t="str">
        <f>IF(X218="","",SUMIFS('Payments &amp; Receipts'!$F$5:$F$58,'Payments &amp; Receipts'!$L$5:$L$58,X218))</f>
        <v/>
      </c>
      <c r="AD218" s="333" t="str">
        <f t="array" ref="AD218">IF(X218="","",INDEX('Bills &amp; Invoices'!$U$5:$U$32,MATCH(X218,'Bills &amp; Invoices'!$B$5:$B$32,0)))</f>
        <v/>
      </c>
    </row>
    <row r="219" ht="14.25" customHeight="1">
      <c r="R21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Clearances'!$A$4:$Q$4)),FALSE)),ROWS(R$5:R219)))&amp;""  –  ""&amp;INDEX('Chemical Clearances'!$D$5:$D$169,MATCH(INDEX('Chemical Clearances'!$B$5:$B$169,LARGE(FILTER((ROW('Chemical Clearances'!$B$5:$B$169)-ROW('"&amp;"Chemical Clearances'!$A$4:$Q$4)),IFERROR((MATCH('Chemical Clearances'!$B$5:$B$169,'Chemical Clearances'!$B$5:$B$169,0)=ROW('Chemical Clearances'!$B$5:$B$169)-ROW('Chemical Clearances'!$A$4:$Q$4)),FALSE)),ROWS(R$5:R219))),'Chemical Clearances'!$B$5:$B$169,"&amp;"0)),"""")), 1, 1)"),"")</f>
        <v/>
      </c>
      <c r="X21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Invoices'!$A$4:$V$4)),FALSE)),ROWS(X$5:X219))),"""")), 1, 1)"),"")</f>
        <v/>
      </c>
      <c r="Y219" s="333" t="str">
        <f t="array" ref="Y219">IF(X219="","",X219&amp;"  –  "&amp;INDEX('Bills &amp; Invoices'!$D$5:$D$32,MATCH(X219,'Bills &amp; Invoices'!$B$5:$B$32,0))&amp;"  –  $"&amp;TEXT(SUMIFS('Bills &amp; Invoices'!$J$5:$J$32,'Bills &amp; Invoices'!$B$5:$B$32,X219),"#,##0"))</f>
        <v/>
      </c>
      <c r="Z219" s="333" t="str">
        <f t="array" ref="Z219">IF(X219="","",INDEX('Bills &amp; Invoices'!$D$5:$D$32,MATCH(X219,'Bills &amp; Invoices'!$B$5:$B$32,0)))</f>
        <v/>
      </c>
      <c r="AA219" s="334" t="str">
        <f t="array" ref="AA219">IF(X219="","",INDEX('Bills &amp; Invoices'!$K$5:$K$32,MATCH(X219,'Bills &amp; Invoices'!$B$5:$B$32,0)))</f>
        <v/>
      </c>
      <c r="AB219" s="335" t="str">
        <f>IF(X219="","",SUMIFS('Bills &amp; Invoices'!$J$5:$J$32,'Bills &amp; Invoices'!$B$5:$B$32,X219))</f>
        <v/>
      </c>
      <c r="AC219" s="335" t="str">
        <f>IF(X219="","",SUMIFS('Payments &amp; Receipts'!$F$5:$F$58,'Payments &amp; Receipts'!$L$5:$L$58,X219))</f>
        <v/>
      </c>
      <c r="AD219" s="333" t="str">
        <f t="array" ref="AD219">IF(X219="","",INDEX('Bills &amp; Invoices'!$U$5:$U$32,MATCH(X219,'Bills &amp; Invoices'!$B$5:$B$32,0)))</f>
        <v/>
      </c>
    </row>
    <row r="220" ht="14.25" customHeight="1">
      <c r="R22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Clearances'!$A$4:$Q$4)),FALSE)),ROWS(R$5:R220)))&amp;""  –  ""&amp;INDEX('Chemical Clearances'!$D$5:$D$169,MATCH(INDEX('Chemical Clearances'!$B$5:$B$169,LARGE(FILTER((ROW('Chemical Clearances'!$B$5:$B$169)-ROW('"&amp;"Chemical Clearances'!$A$4:$Q$4)),IFERROR((MATCH('Chemical Clearances'!$B$5:$B$169,'Chemical Clearances'!$B$5:$B$169,0)=ROW('Chemical Clearances'!$B$5:$B$169)-ROW('Chemical Clearances'!$A$4:$Q$4)),FALSE)),ROWS(R$5:R220))),'Chemical Clearances'!$B$5:$B$169,"&amp;"0)),"""")), 1, 1)"),"")</f>
        <v/>
      </c>
      <c r="X22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Invoices'!$A$4:$V$4)),FALSE)),ROWS(X$5:X220))),"""")), 1, 1)"),"")</f>
        <v/>
      </c>
      <c r="Y220" s="333" t="str">
        <f t="array" ref="Y220">IF(X220="","",X220&amp;"  –  "&amp;INDEX('Bills &amp; Invoices'!$D$5:$D$32,MATCH(X220,'Bills &amp; Invoices'!$B$5:$B$32,0))&amp;"  –  $"&amp;TEXT(SUMIFS('Bills &amp; Invoices'!$J$5:$J$32,'Bills &amp; Invoices'!$B$5:$B$32,X220),"#,##0"))</f>
        <v/>
      </c>
      <c r="Z220" s="333" t="str">
        <f t="array" ref="Z220">IF(X220="","",INDEX('Bills &amp; Invoices'!$D$5:$D$32,MATCH(X220,'Bills &amp; Invoices'!$B$5:$B$32,0)))</f>
        <v/>
      </c>
      <c r="AA220" s="334" t="str">
        <f t="array" ref="AA220">IF(X220="","",INDEX('Bills &amp; Invoices'!$K$5:$K$32,MATCH(X220,'Bills &amp; Invoices'!$B$5:$B$32,0)))</f>
        <v/>
      </c>
      <c r="AB220" s="335" t="str">
        <f>IF(X220="","",SUMIFS('Bills &amp; Invoices'!$J$5:$J$32,'Bills &amp; Invoices'!$B$5:$B$32,X220))</f>
        <v/>
      </c>
      <c r="AC220" s="335" t="str">
        <f>IF(X220="","",SUMIFS('Payments &amp; Receipts'!$F$5:$F$58,'Payments &amp; Receipts'!$L$5:$L$58,X220))</f>
        <v/>
      </c>
      <c r="AD220" s="333" t="str">
        <f t="array" ref="AD220">IF(X220="","",INDEX('Bills &amp; Invoices'!$U$5:$U$32,MATCH(X220,'Bills &amp; Invoices'!$B$5:$B$32,0)))</f>
        <v/>
      </c>
    </row>
    <row r="221" ht="14.25" customHeight="1">
      <c r="R22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Clearances'!$A$4:$Q$4)),FALSE)),ROWS(R$5:R221)))&amp;""  –  ""&amp;INDEX('Chemical Clearances'!$D$5:$D$169,MATCH(INDEX('Chemical Clearances'!$B$5:$B$169,LARGE(FILTER((ROW('Chemical Clearances'!$B$5:$B$169)-ROW('"&amp;"Chemical Clearances'!$A$4:$Q$4)),IFERROR((MATCH('Chemical Clearances'!$B$5:$B$169,'Chemical Clearances'!$B$5:$B$169,0)=ROW('Chemical Clearances'!$B$5:$B$169)-ROW('Chemical Clearances'!$A$4:$Q$4)),FALSE)),ROWS(R$5:R221))),'Chemical Clearances'!$B$5:$B$169,"&amp;"0)),"""")), 1, 1)"),"")</f>
        <v/>
      </c>
      <c r="X22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Invoices'!$A$4:$V$4)),FALSE)),ROWS(X$5:X221))),"""")), 1, 1)"),"")</f>
        <v/>
      </c>
      <c r="Y221" s="333" t="str">
        <f t="array" ref="Y221">IF(X221="","",X221&amp;"  –  "&amp;INDEX('Bills &amp; Invoices'!$D$5:$D$32,MATCH(X221,'Bills &amp; Invoices'!$B$5:$B$32,0))&amp;"  –  $"&amp;TEXT(SUMIFS('Bills &amp; Invoices'!$J$5:$J$32,'Bills &amp; Invoices'!$B$5:$B$32,X221),"#,##0"))</f>
        <v/>
      </c>
      <c r="Z221" s="333" t="str">
        <f t="array" ref="Z221">IF(X221="","",INDEX('Bills &amp; Invoices'!$D$5:$D$32,MATCH(X221,'Bills &amp; Invoices'!$B$5:$B$32,0)))</f>
        <v/>
      </c>
      <c r="AA221" s="334" t="str">
        <f t="array" ref="AA221">IF(X221="","",INDEX('Bills &amp; Invoices'!$K$5:$K$32,MATCH(X221,'Bills &amp; Invoices'!$B$5:$B$32,0)))</f>
        <v/>
      </c>
      <c r="AB221" s="335" t="str">
        <f>IF(X221="","",SUMIFS('Bills &amp; Invoices'!$J$5:$J$32,'Bills &amp; Invoices'!$B$5:$B$32,X221))</f>
        <v/>
      </c>
      <c r="AC221" s="335" t="str">
        <f>IF(X221="","",SUMIFS('Payments &amp; Receipts'!$F$5:$F$58,'Payments &amp; Receipts'!$L$5:$L$58,X221))</f>
        <v/>
      </c>
      <c r="AD221" s="333" t="str">
        <f t="array" ref="AD221">IF(X221="","",INDEX('Bills &amp; Invoices'!$U$5:$U$32,MATCH(X221,'Bills &amp; Invoices'!$B$5:$B$32,0)))</f>
        <v/>
      </c>
    </row>
    <row r="222" ht="14.25" customHeight="1">
      <c r="R22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Clearances'!$A$4:$Q$4)),FALSE)),ROWS(R$5:R222)))&amp;""  –  ""&amp;INDEX('Chemical Clearances'!$D$5:$D$169,MATCH(INDEX('Chemical Clearances'!$B$5:$B$169,LARGE(FILTER((ROW('Chemical Clearances'!$B$5:$B$169)-ROW('"&amp;"Chemical Clearances'!$A$4:$Q$4)),IFERROR((MATCH('Chemical Clearances'!$B$5:$B$169,'Chemical Clearances'!$B$5:$B$169,0)=ROW('Chemical Clearances'!$B$5:$B$169)-ROW('Chemical Clearances'!$A$4:$Q$4)),FALSE)),ROWS(R$5:R222))),'Chemical Clearances'!$B$5:$B$169,"&amp;"0)),"""")), 1, 1)"),"")</f>
        <v/>
      </c>
      <c r="X22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Invoices'!$A$4:$V$4)),FALSE)),ROWS(X$5:X222))),"""")), 1, 1)"),"")</f>
        <v/>
      </c>
      <c r="Y222" s="333" t="str">
        <f t="array" ref="Y222">IF(X222="","",X222&amp;"  –  "&amp;INDEX('Bills &amp; Invoices'!$D$5:$D$32,MATCH(X222,'Bills &amp; Invoices'!$B$5:$B$32,0))&amp;"  –  $"&amp;TEXT(SUMIFS('Bills &amp; Invoices'!$J$5:$J$32,'Bills &amp; Invoices'!$B$5:$B$32,X222),"#,##0"))</f>
        <v/>
      </c>
      <c r="Z222" s="333" t="str">
        <f t="array" ref="Z222">IF(X222="","",INDEX('Bills &amp; Invoices'!$D$5:$D$32,MATCH(X222,'Bills &amp; Invoices'!$B$5:$B$32,0)))</f>
        <v/>
      </c>
      <c r="AA222" s="334" t="str">
        <f t="array" ref="AA222">IF(X222="","",INDEX('Bills &amp; Invoices'!$K$5:$K$32,MATCH(X222,'Bills &amp; Invoices'!$B$5:$B$32,0)))</f>
        <v/>
      </c>
      <c r="AB222" s="335" t="str">
        <f>IF(X222="","",SUMIFS('Bills &amp; Invoices'!$J$5:$J$32,'Bills &amp; Invoices'!$B$5:$B$32,X222))</f>
        <v/>
      </c>
      <c r="AC222" s="335" t="str">
        <f>IF(X222="","",SUMIFS('Payments &amp; Receipts'!$F$5:$F$58,'Payments &amp; Receipts'!$L$5:$L$58,X222))</f>
        <v/>
      </c>
      <c r="AD222" s="333" t="str">
        <f t="array" ref="AD222">IF(X222="","",INDEX('Bills &amp; Invoices'!$U$5:$U$32,MATCH(X222,'Bills &amp; Invoices'!$B$5:$B$32,0)))</f>
        <v/>
      </c>
    </row>
    <row r="223" ht="14.25" customHeight="1">
      <c r="R22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Clearances'!$A$4:$Q$4)),FALSE)),ROWS(R$5:R223)))&amp;""  –  ""&amp;INDEX('Chemical Clearances'!$D$5:$D$169,MATCH(INDEX('Chemical Clearances'!$B$5:$B$169,LARGE(FILTER((ROW('Chemical Clearances'!$B$5:$B$169)-ROW('"&amp;"Chemical Clearances'!$A$4:$Q$4)),IFERROR((MATCH('Chemical Clearances'!$B$5:$B$169,'Chemical Clearances'!$B$5:$B$169,0)=ROW('Chemical Clearances'!$B$5:$B$169)-ROW('Chemical Clearances'!$A$4:$Q$4)),FALSE)),ROWS(R$5:R223))),'Chemical Clearances'!$B$5:$B$169,"&amp;"0)),"""")), 1, 1)"),"")</f>
        <v/>
      </c>
      <c r="X22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Invoices'!$A$4:$V$4)),FALSE)),ROWS(X$5:X223))),"""")), 1, 1)"),"")</f>
        <v/>
      </c>
      <c r="Y223" s="333" t="str">
        <f t="array" ref="Y223">IF(X223="","",X223&amp;"  –  "&amp;INDEX('Bills &amp; Invoices'!$D$5:$D$32,MATCH(X223,'Bills &amp; Invoices'!$B$5:$B$32,0))&amp;"  –  $"&amp;TEXT(SUMIFS('Bills &amp; Invoices'!$J$5:$J$32,'Bills &amp; Invoices'!$B$5:$B$32,X223),"#,##0"))</f>
        <v/>
      </c>
      <c r="Z223" s="333" t="str">
        <f t="array" ref="Z223">IF(X223="","",INDEX('Bills &amp; Invoices'!$D$5:$D$32,MATCH(X223,'Bills &amp; Invoices'!$B$5:$B$32,0)))</f>
        <v/>
      </c>
      <c r="AA223" s="334" t="str">
        <f t="array" ref="AA223">IF(X223="","",INDEX('Bills &amp; Invoices'!$K$5:$K$32,MATCH(X223,'Bills &amp; Invoices'!$B$5:$B$32,0)))</f>
        <v/>
      </c>
      <c r="AB223" s="335" t="str">
        <f>IF(X223="","",SUMIFS('Bills &amp; Invoices'!$J$5:$J$32,'Bills &amp; Invoices'!$B$5:$B$32,X223))</f>
        <v/>
      </c>
      <c r="AC223" s="335" t="str">
        <f>IF(X223="","",SUMIFS('Payments &amp; Receipts'!$F$5:$F$58,'Payments &amp; Receipts'!$L$5:$L$58,X223))</f>
        <v/>
      </c>
      <c r="AD223" s="333" t="str">
        <f t="array" ref="AD223">IF(X223="","",INDEX('Bills &amp; Invoices'!$U$5:$U$32,MATCH(X223,'Bills &amp; Invoices'!$B$5:$B$32,0)))</f>
        <v/>
      </c>
    </row>
    <row r="224" ht="14.25" customHeight="1">
      <c r="R22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Clearances'!$A$4:$Q$4)),FALSE)),ROWS(R$5:R224)))&amp;""  –  ""&amp;INDEX('Chemical Clearances'!$D$5:$D$169,MATCH(INDEX('Chemical Clearances'!$B$5:$B$169,LARGE(FILTER((ROW('Chemical Clearances'!$B$5:$B$169)-ROW('"&amp;"Chemical Clearances'!$A$4:$Q$4)),IFERROR((MATCH('Chemical Clearances'!$B$5:$B$169,'Chemical Clearances'!$B$5:$B$169,0)=ROW('Chemical Clearances'!$B$5:$B$169)-ROW('Chemical Clearances'!$A$4:$Q$4)),FALSE)),ROWS(R$5:R224))),'Chemical Clearances'!$B$5:$B$169,"&amp;"0)),"""")), 1, 1)"),"")</f>
        <v/>
      </c>
      <c r="X22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Invoices'!$A$4:$V$4)),FALSE)),ROWS(X$5:X224))),"""")), 1, 1)"),"")</f>
        <v/>
      </c>
      <c r="Y224" s="333" t="str">
        <f t="array" ref="Y224">IF(X224="","",X224&amp;"  –  "&amp;INDEX('Bills &amp; Invoices'!$D$5:$D$32,MATCH(X224,'Bills &amp; Invoices'!$B$5:$B$32,0))&amp;"  –  $"&amp;TEXT(SUMIFS('Bills &amp; Invoices'!$J$5:$J$32,'Bills &amp; Invoices'!$B$5:$B$32,X224),"#,##0"))</f>
        <v/>
      </c>
      <c r="Z224" s="333" t="str">
        <f t="array" ref="Z224">IF(X224="","",INDEX('Bills &amp; Invoices'!$D$5:$D$32,MATCH(X224,'Bills &amp; Invoices'!$B$5:$B$32,0)))</f>
        <v/>
      </c>
      <c r="AA224" s="334" t="str">
        <f t="array" ref="AA224">IF(X224="","",INDEX('Bills &amp; Invoices'!$K$5:$K$32,MATCH(X224,'Bills &amp; Invoices'!$B$5:$B$32,0)))</f>
        <v/>
      </c>
      <c r="AB224" s="335" t="str">
        <f>IF(X224="","",SUMIFS('Bills &amp; Invoices'!$J$5:$J$32,'Bills &amp; Invoices'!$B$5:$B$32,X224))</f>
        <v/>
      </c>
      <c r="AC224" s="335" t="str">
        <f>IF(X224="","",SUMIFS('Payments &amp; Receipts'!$F$5:$F$58,'Payments &amp; Receipts'!$L$5:$L$58,X224))</f>
        <v/>
      </c>
      <c r="AD224" s="333" t="str">
        <f t="array" ref="AD224">IF(X224="","",INDEX('Bills &amp; Invoices'!$U$5:$U$32,MATCH(X224,'Bills &amp; Invoices'!$B$5:$B$32,0)))</f>
        <v/>
      </c>
    </row>
    <row r="225" ht="14.25" customHeight="1">
      <c r="R22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Clearances'!$A$4:$Q$4)),FALSE)),ROWS(R$5:R225)))&amp;""  –  ""&amp;INDEX('Chemical Clearances'!$D$5:$D$169,MATCH(INDEX('Chemical Clearances'!$B$5:$B$169,LARGE(FILTER((ROW('Chemical Clearances'!$B$5:$B$169)-ROW('"&amp;"Chemical Clearances'!$A$4:$Q$4)),IFERROR((MATCH('Chemical Clearances'!$B$5:$B$169,'Chemical Clearances'!$B$5:$B$169,0)=ROW('Chemical Clearances'!$B$5:$B$169)-ROW('Chemical Clearances'!$A$4:$Q$4)),FALSE)),ROWS(R$5:R225))),'Chemical Clearances'!$B$5:$B$169,"&amp;"0)),"""")), 1, 1)"),"")</f>
        <v/>
      </c>
      <c r="X22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Invoices'!$A$4:$V$4)),FALSE)),ROWS(X$5:X225))),"""")), 1, 1)"),"")</f>
        <v/>
      </c>
      <c r="Y225" s="333" t="str">
        <f t="array" ref="Y225">IF(X225="","",X225&amp;"  –  "&amp;INDEX('Bills &amp; Invoices'!$D$5:$D$32,MATCH(X225,'Bills &amp; Invoices'!$B$5:$B$32,0))&amp;"  –  $"&amp;TEXT(SUMIFS('Bills &amp; Invoices'!$J$5:$J$32,'Bills &amp; Invoices'!$B$5:$B$32,X225),"#,##0"))</f>
        <v/>
      </c>
      <c r="Z225" s="333" t="str">
        <f t="array" ref="Z225">IF(X225="","",INDEX('Bills &amp; Invoices'!$D$5:$D$32,MATCH(X225,'Bills &amp; Invoices'!$B$5:$B$32,0)))</f>
        <v/>
      </c>
      <c r="AA225" s="334" t="str">
        <f t="array" ref="AA225">IF(X225="","",INDEX('Bills &amp; Invoices'!$K$5:$K$32,MATCH(X225,'Bills &amp; Invoices'!$B$5:$B$32,0)))</f>
        <v/>
      </c>
      <c r="AB225" s="335" t="str">
        <f>IF(X225="","",SUMIFS('Bills &amp; Invoices'!$J$5:$J$32,'Bills &amp; Invoices'!$B$5:$B$32,X225))</f>
        <v/>
      </c>
      <c r="AC225" s="335" t="str">
        <f>IF(X225="","",SUMIFS('Payments &amp; Receipts'!$F$5:$F$58,'Payments &amp; Receipts'!$L$5:$L$58,X225))</f>
        <v/>
      </c>
      <c r="AD225" s="333" t="str">
        <f t="array" ref="AD225">IF(X225="","",INDEX('Bills &amp; Invoices'!$U$5:$U$32,MATCH(X225,'Bills &amp; Invoices'!$B$5:$B$32,0)))</f>
        <v/>
      </c>
    </row>
    <row r="226" ht="14.25" customHeight="1">
      <c r="R22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Clearances'!$A$4:$Q$4)),FALSE)),ROWS(R$5:R226)))&amp;""  –  ""&amp;INDEX('Chemical Clearances'!$D$5:$D$169,MATCH(INDEX('Chemical Clearances'!$B$5:$B$169,LARGE(FILTER((ROW('Chemical Clearances'!$B$5:$B$169)-ROW('"&amp;"Chemical Clearances'!$A$4:$Q$4)),IFERROR((MATCH('Chemical Clearances'!$B$5:$B$169,'Chemical Clearances'!$B$5:$B$169,0)=ROW('Chemical Clearances'!$B$5:$B$169)-ROW('Chemical Clearances'!$A$4:$Q$4)),FALSE)),ROWS(R$5:R226))),'Chemical Clearances'!$B$5:$B$169,"&amp;"0)),"""")), 1, 1)"),"")</f>
        <v/>
      </c>
      <c r="X22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Invoices'!$A$4:$V$4)),FALSE)),ROWS(X$5:X226))),"""")), 1, 1)"),"")</f>
        <v/>
      </c>
      <c r="Y226" s="333" t="str">
        <f t="array" ref="Y226">IF(X226="","",X226&amp;"  –  "&amp;INDEX('Bills &amp; Invoices'!$D$5:$D$32,MATCH(X226,'Bills &amp; Invoices'!$B$5:$B$32,0))&amp;"  –  $"&amp;TEXT(SUMIFS('Bills &amp; Invoices'!$J$5:$J$32,'Bills &amp; Invoices'!$B$5:$B$32,X226),"#,##0"))</f>
        <v/>
      </c>
      <c r="Z226" s="333" t="str">
        <f t="array" ref="Z226">IF(X226="","",INDEX('Bills &amp; Invoices'!$D$5:$D$32,MATCH(X226,'Bills &amp; Invoices'!$B$5:$B$32,0)))</f>
        <v/>
      </c>
      <c r="AA226" s="334" t="str">
        <f t="array" ref="AA226">IF(X226="","",INDEX('Bills &amp; Invoices'!$K$5:$K$32,MATCH(X226,'Bills &amp; Invoices'!$B$5:$B$32,0)))</f>
        <v/>
      </c>
      <c r="AB226" s="335" t="str">
        <f>IF(X226="","",SUMIFS('Bills &amp; Invoices'!$J$5:$J$32,'Bills &amp; Invoices'!$B$5:$B$32,X226))</f>
        <v/>
      </c>
      <c r="AC226" s="335" t="str">
        <f>IF(X226="","",SUMIFS('Payments &amp; Receipts'!$F$5:$F$58,'Payments &amp; Receipts'!$L$5:$L$58,X226))</f>
        <v/>
      </c>
      <c r="AD226" s="333" t="str">
        <f t="array" ref="AD226">IF(X226="","",INDEX('Bills &amp; Invoices'!$U$5:$U$32,MATCH(X226,'Bills &amp; Invoices'!$B$5:$B$32,0)))</f>
        <v/>
      </c>
    </row>
    <row r="227" ht="14.25" customHeight="1">
      <c r="R22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Clearances'!$A$4:$Q$4)),FALSE)),ROWS(R$5:R227)))&amp;""  –  ""&amp;INDEX('Chemical Clearances'!$D$5:$D$169,MATCH(INDEX('Chemical Clearances'!$B$5:$B$169,LARGE(FILTER((ROW('Chemical Clearances'!$B$5:$B$169)-ROW('"&amp;"Chemical Clearances'!$A$4:$Q$4)),IFERROR((MATCH('Chemical Clearances'!$B$5:$B$169,'Chemical Clearances'!$B$5:$B$169,0)=ROW('Chemical Clearances'!$B$5:$B$169)-ROW('Chemical Clearances'!$A$4:$Q$4)),FALSE)),ROWS(R$5:R227))),'Chemical Clearances'!$B$5:$B$169,"&amp;"0)),"""")), 1, 1)"),"")</f>
        <v/>
      </c>
      <c r="X22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Invoices'!$A$4:$V$4)),FALSE)),ROWS(X$5:X227))),"""")), 1, 1)"),"")</f>
        <v/>
      </c>
      <c r="Y227" s="333" t="str">
        <f t="array" ref="Y227">IF(X227="","",X227&amp;"  –  "&amp;INDEX('Bills &amp; Invoices'!$D$5:$D$32,MATCH(X227,'Bills &amp; Invoices'!$B$5:$B$32,0))&amp;"  –  $"&amp;TEXT(SUMIFS('Bills &amp; Invoices'!$J$5:$J$32,'Bills &amp; Invoices'!$B$5:$B$32,X227),"#,##0"))</f>
        <v/>
      </c>
      <c r="Z227" s="333" t="str">
        <f t="array" ref="Z227">IF(X227="","",INDEX('Bills &amp; Invoices'!$D$5:$D$32,MATCH(X227,'Bills &amp; Invoices'!$B$5:$B$32,0)))</f>
        <v/>
      </c>
      <c r="AA227" s="334" t="str">
        <f t="array" ref="AA227">IF(X227="","",INDEX('Bills &amp; Invoices'!$K$5:$K$32,MATCH(X227,'Bills &amp; Invoices'!$B$5:$B$32,0)))</f>
        <v/>
      </c>
      <c r="AB227" s="335" t="str">
        <f>IF(X227="","",SUMIFS('Bills &amp; Invoices'!$J$5:$J$32,'Bills &amp; Invoices'!$B$5:$B$32,X227))</f>
        <v/>
      </c>
      <c r="AC227" s="335" t="str">
        <f>IF(X227="","",SUMIFS('Payments &amp; Receipts'!$F$5:$F$58,'Payments &amp; Receipts'!$L$5:$L$58,X227))</f>
        <v/>
      </c>
      <c r="AD227" s="333" t="str">
        <f t="array" ref="AD227">IF(X227="","",INDEX('Bills &amp; Invoices'!$U$5:$U$32,MATCH(X227,'Bills &amp; Invoices'!$B$5:$B$32,0)))</f>
        <v/>
      </c>
    </row>
    <row r="228" ht="14.25" customHeight="1">
      <c r="R22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Clearances'!$A$4:$Q$4)),FALSE)),ROWS(R$5:R228)))&amp;""  –  ""&amp;INDEX('Chemical Clearances'!$D$5:$D$169,MATCH(INDEX('Chemical Clearances'!$B$5:$B$169,LARGE(FILTER((ROW('Chemical Clearances'!$B$5:$B$169)-ROW('"&amp;"Chemical Clearances'!$A$4:$Q$4)),IFERROR((MATCH('Chemical Clearances'!$B$5:$B$169,'Chemical Clearances'!$B$5:$B$169,0)=ROW('Chemical Clearances'!$B$5:$B$169)-ROW('Chemical Clearances'!$A$4:$Q$4)),FALSE)),ROWS(R$5:R228))),'Chemical Clearances'!$B$5:$B$169,"&amp;"0)),"""")), 1, 1)"),"")</f>
        <v/>
      </c>
      <c r="X22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Invoices'!$A$4:$V$4)),FALSE)),ROWS(X$5:X228))),"""")), 1, 1)"),"")</f>
        <v/>
      </c>
      <c r="Y228" s="333" t="str">
        <f t="array" ref="Y228">IF(X228="","",X228&amp;"  –  "&amp;INDEX('Bills &amp; Invoices'!$D$5:$D$32,MATCH(X228,'Bills &amp; Invoices'!$B$5:$B$32,0))&amp;"  –  $"&amp;TEXT(SUMIFS('Bills &amp; Invoices'!$J$5:$J$32,'Bills &amp; Invoices'!$B$5:$B$32,X228),"#,##0"))</f>
        <v/>
      </c>
      <c r="Z228" s="333" t="str">
        <f t="array" ref="Z228">IF(X228="","",INDEX('Bills &amp; Invoices'!$D$5:$D$32,MATCH(X228,'Bills &amp; Invoices'!$B$5:$B$32,0)))</f>
        <v/>
      </c>
      <c r="AA228" s="334" t="str">
        <f t="array" ref="AA228">IF(X228="","",INDEX('Bills &amp; Invoices'!$K$5:$K$32,MATCH(X228,'Bills &amp; Invoices'!$B$5:$B$32,0)))</f>
        <v/>
      </c>
      <c r="AB228" s="335" t="str">
        <f>IF(X228="","",SUMIFS('Bills &amp; Invoices'!$J$5:$J$32,'Bills &amp; Invoices'!$B$5:$B$32,X228))</f>
        <v/>
      </c>
      <c r="AC228" s="335" t="str">
        <f>IF(X228="","",SUMIFS('Payments &amp; Receipts'!$F$5:$F$58,'Payments &amp; Receipts'!$L$5:$L$58,X228))</f>
        <v/>
      </c>
      <c r="AD228" s="333" t="str">
        <f t="array" ref="AD228">IF(X228="","",INDEX('Bills &amp; Invoices'!$U$5:$U$32,MATCH(X228,'Bills &amp; Invoices'!$B$5:$B$32,0)))</f>
        <v/>
      </c>
    </row>
    <row r="229" ht="14.25" customHeight="1">
      <c r="R22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Clearances'!$A$4:$Q$4)),FALSE)),ROWS(R$5:R229)))&amp;""  –  ""&amp;INDEX('Chemical Clearances'!$D$5:$D$169,MATCH(INDEX('Chemical Clearances'!$B$5:$B$169,LARGE(FILTER((ROW('Chemical Clearances'!$B$5:$B$169)-ROW('"&amp;"Chemical Clearances'!$A$4:$Q$4)),IFERROR((MATCH('Chemical Clearances'!$B$5:$B$169,'Chemical Clearances'!$B$5:$B$169,0)=ROW('Chemical Clearances'!$B$5:$B$169)-ROW('Chemical Clearances'!$A$4:$Q$4)),FALSE)),ROWS(R$5:R229))),'Chemical Clearances'!$B$5:$B$169,"&amp;"0)),"""")), 1, 1)"),"")</f>
        <v/>
      </c>
      <c r="X22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Invoices'!$A$4:$V$4)),FALSE)),ROWS(X$5:X229))),"""")), 1, 1)"),"")</f>
        <v/>
      </c>
      <c r="Y229" s="333" t="str">
        <f t="array" ref="Y229">IF(X229="","",X229&amp;"  –  "&amp;INDEX('Bills &amp; Invoices'!$D$5:$D$32,MATCH(X229,'Bills &amp; Invoices'!$B$5:$B$32,0))&amp;"  –  $"&amp;TEXT(SUMIFS('Bills &amp; Invoices'!$J$5:$J$32,'Bills &amp; Invoices'!$B$5:$B$32,X229),"#,##0"))</f>
        <v/>
      </c>
      <c r="Z229" s="333" t="str">
        <f t="array" ref="Z229">IF(X229="","",INDEX('Bills &amp; Invoices'!$D$5:$D$32,MATCH(X229,'Bills &amp; Invoices'!$B$5:$B$32,0)))</f>
        <v/>
      </c>
      <c r="AA229" s="334" t="str">
        <f t="array" ref="AA229">IF(X229="","",INDEX('Bills &amp; Invoices'!$K$5:$K$32,MATCH(X229,'Bills &amp; Invoices'!$B$5:$B$32,0)))</f>
        <v/>
      </c>
      <c r="AB229" s="335" t="str">
        <f>IF(X229="","",SUMIFS('Bills &amp; Invoices'!$J$5:$J$32,'Bills &amp; Invoices'!$B$5:$B$32,X229))</f>
        <v/>
      </c>
      <c r="AC229" s="335" t="str">
        <f>IF(X229="","",SUMIFS('Payments &amp; Receipts'!$F$5:$F$58,'Payments &amp; Receipts'!$L$5:$L$58,X229))</f>
        <v/>
      </c>
      <c r="AD229" s="333" t="str">
        <f t="array" ref="AD229">IF(X229="","",INDEX('Bills &amp; Invoices'!$U$5:$U$32,MATCH(X229,'Bills &amp; Invoices'!$B$5:$B$32,0)))</f>
        <v/>
      </c>
    </row>
    <row r="230" ht="14.25" customHeight="1">
      <c r="R23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Clearances'!$A$4:$Q$4)),FALSE)),ROWS(R$5:R230)))&amp;""  –  ""&amp;INDEX('Chemical Clearances'!$D$5:$D$169,MATCH(INDEX('Chemical Clearances'!$B$5:$B$169,LARGE(FILTER((ROW('Chemical Clearances'!$B$5:$B$169)-ROW('"&amp;"Chemical Clearances'!$A$4:$Q$4)),IFERROR((MATCH('Chemical Clearances'!$B$5:$B$169,'Chemical Clearances'!$B$5:$B$169,0)=ROW('Chemical Clearances'!$B$5:$B$169)-ROW('Chemical Clearances'!$A$4:$Q$4)),FALSE)),ROWS(R$5:R230))),'Chemical Clearances'!$B$5:$B$169,"&amp;"0)),"""")), 1, 1)"),"")</f>
        <v/>
      </c>
      <c r="X23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Invoices'!$A$4:$V$4)),FALSE)),ROWS(X$5:X230))),"""")), 1, 1)"),"")</f>
        <v/>
      </c>
      <c r="Y230" s="333" t="str">
        <f t="array" ref="Y230">IF(X230="","",X230&amp;"  –  "&amp;INDEX('Bills &amp; Invoices'!$D$5:$D$32,MATCH(X230,'Bills &amp; Invoices'!$B$5:$B$32,0))&amp;"  –  $"&amp;TEXT(SUMIFS('Bills &amp; Invoices'!$J$5:$J$32,'Bills &amp; Invoices'!$B$5:$B$32,X230),"#,##0"))</f>
        <v/>
      </c>
      <c r="Z230" s="333" t="str">
        <f t="array" ref="Z230">IF(X230="","",INDEX('Bills &amp; Invoices'!$D$5:$D$32,MATCH(X230,'Bills &amp; Invoices'!$B$5:$B$32,0)))</f>
        <v/>
      </c>
      <c r="AA230" s="334" t="str">
        <f t="array" ref="AA230">IF(X230="","",INDEX('Bills &amp; Invoices'!$K$5:$K$32,MATCH(X230,'Bills &amp; Invoices'!$B$5:$B$32,0)))</f>
        <v/>
      </c>
      <c r="AB230" s="335" t="str">
        <f>IF(X230="","",SUMIFS('Bills &amp; Invoices'!$J$5:$J$32,'Bills &amp; Invoices'!$B$5:$B$32,X230))</f>
        <v/>
      </c>
      <c r="AC230" s="335" t="str">
        <f>IF(X230="","",SUMIFS('Payments &amp; Receipts'!$F$5:$F$58,'Payments &amp; Receipts'!$L$5:$L$58,X230))</f>
        <v/>
      </c>
      <c r="AD230" s="333" t="str">
        <f t="array" ref="AD230">IF(X230="","",INDEX('Bills &amp; Invoices'!$U$5:$U$32,MATCH(X230,'Bills &amp; Invoices'!$B$5:$B$32,0)))</f>
        <v/>
      </c>
    </row>
    <row r="231" ht="14.25" customHeight="1">
      <c r="R23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Clearances'!$A$4:$Q$4)),FALSE)),ROWS(R$5:R231)))&amp;""  –  ""&amp;INDEX('Chemical Clearances'!$D$5:$D$169,MATCH(INDEX('Chemical Clearances'!$B$5:$B$169,LARGE(FILTER((ROW('Chemical Clearances'!$B$5:$B$169)-ROW('"&amp;"Chemical Clearances'!$A$4:$Q$4)),IFERROR((MATCH('Chemical Clearances'!$B$5:$B$169,'Chemical Clearances'!$B$5:$B$169,0)=ROW('Chemical Clearances'!$B$5:$B$169)-ROW('Chemical Clearances'!$A$4:$Q$4)),FALSE)),ROWS(R$5:R231))),'Chemical Clearances'!$B$5:$B$169,"&amp;"0)),"""")), 1, 1)"),"")</f>
        <v/>
      </c>
      <c r="X23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Invoices'!$A$4:$V$4)),FALSE)),ROWS(X$5:X231))),"""")), 1, 1)"),"")</f>
        <v/>
      </c>
      <c r="Y231" s="333" t="str">
        <f t="array" ref="Y231">IF(X231="","",X231&amp;"  –  "&amp;INDEX('Bills &amp; Invoices'!$D$5:$D$32,MATCH(X231,'Bills &amp; Invoices'!$B$5:$B$32,0))&amp;"  –  $"&amp;TEXT(SUMIFS('Bills &amp; Invoices'!$J$5:$J$32,'Bills &amp; Invoices'!$B$5:$B$32,X231),"#,##0"))</f>
        <v/>
      </c>
      <c r="Z231" s="333" t="str">
        <f t="array" ref="Z231">IF(X231="","",INDEX('Bills &amp; Invoices'!$D$5:$D$32,MATCH(X231,'Bills &amp; Invoices'!$B$5:$B$32,0)))</f>
        <v/>
      </c>
      <c r="AA231" s="334" t="str">
        <f t="array" ref="AA231">IF(X231="","",INDEX('Bills &amp; Invoices'!$K$5:$K$32,MATCH(X231,'Bills &amp; Invoices'!$B$5:$B$32,0)))</f>
        <v/>
      </c>
      <c r="AB231" s="335" t="str">
        <f>IF(X231="","",SUMIFS('Bills &amp; Invoices'!$J$5:$J$32,'Bills &amp; Invoices'!$B$5:$B$32,X231))</f>
        <v/>
      </c>
      <c r="AC231" s="335" t="str">
        <f>IF(X231="","",SUMIFS('Payments &amp; Receipts'!$F$5:$F$58,'Payments &amp; Receipts'!$L$5:$L$58,X231))</f>
        <v/>
      </c>
      <c r="AD231" s="333" t="str">
        <f t="array" ref="AD231">IF(X231="","",INDEX('Bills &amp; Invoices'!$U$5:$U$32,MATCH(X231,'Bills &amp; Invoices'!$B$5:$B$32,0)))</f>
        <v/>
      </c>
    </row>
    <row r="232" ht="14.25" customHeight="1">
      <c r="R23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Clearances'!$A$4:$Q$4)),FALSE)),ROWS(R$5:R232)))&amp;""  –  ""&amp;INDEX('Chemical Clearances'!$D$5:$D$169,MATCH(INDEX('Chemical Clearances'!$B$5:$B$169,LARGE(FILTER((ROW('Chemical Clearances'!$B$5:$B$169)-ROW('"&amp;"Chemical Clearances'!$A$4:$Q$4)),IFERROR((MATCH('Chemical Clearances'!$B$5:$B$169,'Chemical Clearances'!$B$5:$B$169,0)=ROW('Chemical Clearances'!$B$5:$B$169)-ROW('Chemical Clearances'!$A$4:$Q$4)),FALSE)),ROWS(R$5:R232))),'Chemical Clearances'!$B$5:$B$169,"&amp;"0)),"""")), 1, 1)"),"")</f>
        <v/>
      </c>
      <c r="X23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Invoices'!$A$4:$V$4)),FALSE)),ROWS(X$5:X232))),"""")), 1, 1)"),"")</f>
        <v/>
      </c>
      <c r="Y232" s="333" t="str">
        <f t="array" ref="Y232">IF(X232="","",X232&amp;"  –  "&amp;INDEX('Bills &amp; Invoices'!$D$5:$D$32,MATCH(X232,'Bills &amp; Invoices'!$B$5:$B$32,0))&amp;"  –  $"&amp;TEXT(SUMIFS('Bills &amp; Invoices'!$J$5:$J$32,'Bills &amp; Invoices'!$B$5:$B$32,X232),"#,##0"))</f>
        <v/>
      </c>
      <c r="Z232" s="333" t="str">
        <f t="array" ref="Z232">IF(X232="","",INDEX('Bills &amp; Invoices'!$D$5:$D$32,MATCH(X232,'Bills &amp; Invoices'!$B$5:$B$32,0)))</f>
        <v/>
      </c>
      <c r="AA232" s="334" t="str">
        <f t="array" ref="AA232">IF(X232="","",INDEX('Bills &amp; Invoices'!$K$5:$K$32,MATCH(X232,'Bills &amp; Invoices'!$B$5:$B$32,0)))</f>
        <v/>
      </c>
      <c r="AB232" s="335" t="str">
        <f>IF(X232="","",SUMIFS('Bills &amp; Invoices'!$J$5:$J$32,'Bills &amp; Invoices'!$B$5:$B$32,X232))</f>
        <v/>
      </c>
      <c r="AC232" s="335" t="str">
        <f>IF(X232="","",SUMIFS('Payments &amp; Receipts'!$F$5:$F$58,'Payments &amp; Receipts'!$L$5:$L$58,X232))</f>
        <v/>
      </c>
      <c r="AD232" s="333" t="str">
        <f t="array" ref="AD232">IF(X232="","",INDEX('Bills &amp; Invoices'!$U$5:$U$32,MATCH(X232,'Bills &amp; Invoices'!$B$5:$B$32,0)))</f>
        <v/>
      </c>
    </row>
    <row r="233" ht="14.25" customHeight="1">
      <c r="R23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Clearances'!$A$4:$Q$4)),FALSE)),ROWS(R$5:R233)))&amp;""  –  ""&amp;INDEX('Chemical Clearances'!$D$5:$D$169,MATCH(INDEX('Chemical Clearances'!$B$5:$B$169,LARGE(FILTER((ROW('Chemical Clearances'!$B$5:$B$169)-ROW('"&amp;"Chemical Clearances'!$A$4:$Q$4)),IFERROR((MATCH('Chemical Clearances'!$B$5:$B$169,'Chemical Clearances'!$B$5:$B$169,0)=ROW('Chemical Clearances'!$B$5:$B$169)-ROW('Chemical Clearances'!$A$4:$Q$4)),FALSE)),ROWS(R$5:R233))),'Chemical Clearances'!$B$5:$B$169,"&amp;"0)),"""")), 1, 1)"),"")</f>
        <v/>
      </c>
      <c r="X23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Invoices'!$A$4:$V$4)),FALSE)),ROWS(X$5:X233))),"""")), 1, 1)"),"")</f>
        <v/>
      </c>
      <c r="Y233" s="333" t="str">
        <f t="array" ref="Y233">IF(X233="","",X233&amp;"  –  "&amp;INDEX('Bills &amp; Invoices'!$D$5:$D$32,MATCH(X233,'Bills &amp; Invoices'!$B$5:$B$32,0))&amp;"  –  $"&amp;TEXT(SUMIFS('Bills &amp; Invoices'!$J$5:$J$32,'Bills &amp; Invoices'!$B$5:$B$32,X233),"#,##0"))</f>
        <v/>
      </c>
      <c r="Z233" s="333" t="str">
        <f t="array" ref="Z233">IF(X233="","",INDEX('Bills &amp; Invoices'!$D$5:$D$32,MATCH(X233,'Bills &amp; Invoices'!$B$5:$B$32,0)))</f>
        <v/>
      </c>
      <c r="AA233" s="334" t="str">
        <f t="array" ref="AA233">IF(X233="","",INDEX('Bills &amp; Invoices'!$K$5:$K$32,MATCH(X233,'Bills &amp; Invoices'!$B$5:$B$32,0)))</f>
        <v/>
      </c>
      <c r="AB233" s="335" t="str">
        <f>IF(X233="","",SUMIFS('Bills &amp; Invoices'!$J$5:$J$32,'Bills &amp; Invoices'!$B$5:$B$32,X233))</f>
        <v/>
      </c>
      <c r="AC233" s="335" t="str">
        <f>IF(X233="","",SUMIFS('Payments &amp; Receipts'!$F$5:$F$58,'Payments &amp; Receipts'!$L$5:$L$58,X233))</f>
        <v/>
      </c>
      <c r="AD233" s="333" t="str">
        <f t="array" ref="AD233">IF(X233="","",INDEX('Bills &amp; Invoices'!$U$5:$U$32,MATCH(X233,'Bills &amp; Invoices'!$B$5:$B$32,0)))</f>
        <v/>
      </c>
    </row>
    <row r="234" ht="14.25" customHeight="1">
      <c r="R23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Clearances'!$A$4:$Q$4)),FALSE)),ROWS(R$5:R234)))&amp;""  –  ""&amp;INDEX('Chemical Clearances'!$D$5:$D$169,MATCH(INDEX('Chemical Clearances'!$B$5:$B$169,LARGE(FILTER((ROW('Chemical Clearances'!$B$5:$B$169)-ROW('"&amp;"Chemical Clearances'!$A$4:$Q$4)),IFERROR((MATCH('Chemical Clearances'!$B$5:$B$169,'Chemical Clearances'!$B$5:$B$169,0)=ROW('Chemical Clearances'!$B$5:$B$169)-ROW('Chemical Clearances'!$A$4:$Q$4)),FALSE)),ROWS(R$5:R234))),'Chemical Clearances'!$B$5:$B$169,"&amp;"0)),"""")), 1, 1)"),"")</f>
        <v/>
      </c>
      <c r="X23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Invoices'!$A$4:$V$4)),FALSE)),ROWS(X$5:X234))),"""")), 1, 1)"),"")</f>
        <v/>
      </c>
      <c r="Y234" s="333" t="str">
        <f t="array" ref="Y234">IF(X234="","",X234&amp;"  –  "&amp;INDEX('Bills &amp; Invoices'!$D$5:$D$32,MATCH(X234,'Bills &amp; Invoices'!$B$5:$B$32,0))&amp;"  –  $"&amp;TEXT(SUMIFS('Bills &amp; Invoices'!$J$5:$J$32,'Bills &amp; Invoices'!$B$5:$B$32,X234),"#,##0"))</f>
        <v/>
      </c>
      <c r="Z234" s="333" t="str">
        <f t="array" ref="Z234">IF(X234="","",INDEX('Bills &amp; Invoices'!$D$5:$D$32,MATCH(X234,'Bills &amp; Invoices'!$B$5:$B$32,0)))</f>
        <v/>
      </c>
      <c r="AA234" s="334" t="str">
        <f t="array" ref="AA234">IF(X234="","",INDEX('Bills &amp; Invoices'!$K$5:$K$32,MATCH(X234,'Bills &amp; Invoices'!$B$5:$B$32,0)))</f>
        <v/>
      </c>
      <c r="AB234" s="335" t="str">
        <f>IF(X234="","",SUMIFS('Bills &amp; Invoices'!$J$5:$J$32,'Bills &amp; Invoices'!$B$5:$B$32,X234))</f>
        <v/>
      </c>
      <c r="AC234" s="335" t="str">
        <f>IF(X234="","",SUMIFS('Payments &amp; Receipts'!$F$5:$F$58,'Payments &amp; Receipts'!$L$5:$L$58,X234))</f>
        <v/>
      </c>
      <c r="AD234" s="333" t="str">
        <f t="array" ref="AD234">IF(X234="","",INDEX('Bills &amp; Invoices'!$U$5:$U$32,MATCH(X234,'Bills &amp; Invoices'!$B$5:$B$32,0)))</f>
        <v/>
      </c>
    </row>
    <row r="235" ht="14.25" customHeight="1">
      <c r="R23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Clearances'!$A$4:$Q$4)),FALSE)),ROWS(R$5:R235)))&amp;""  –  ""&amp;INDEX('Chemical Clearances'!$D$5:$D$169,MATCH(INDEX('Chemical Clearances'!$B$5:$B$169,LARGE(FILTER((ROW('Chemical Clearances'!$B$5:$B$169)-ROW('"&amp;"Chemical Clearances'!$A$4:$Q$4)),IFERROR((MATCH('Chemical Clearances'!$B$5:$B$169,'Chemical Clearances'!$B$5:$B$169,0)=ROW('Chemical Clearances'!$B$5:$B$169)-ROW('Chemical Clearances'!$A$4:$Q$4)),FALSE)),ROWS(R$5:R235))),'Chemical Clearances'!$B$5:$B$169,"&amp;"0)),"""")), 1, 1)"),"")</f>
        <v/>
      </c>
      <c r="X23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Invoices'!$A$4:$V$4)),FALSE)),ROWS(X$5:X235))),"""")), 1, 1)"),"")</f>
        <v/>
      </c>
      <c r="Y235" s="333" t="str">
        <f t="array" ref="Y235">IF(X235="","",X235&amp;"  –  "&amp;INDEX('Bills &amp; Invoices'!$D$5:$D$32,MATCH(X235,'Bills &amp; Invoices'!$B$5:$B$32,0))&amp;"  –  $"&amp;TEXT(SUMIFS('Bills &amp; Invoices'!$J$5:$J$32,'Bills &amp; Invoices'!$B$5:$B$32,X235),"#,##0"))</f>
        <v/>
      </c>
      <c r="Z235" s="333" t="str">
        <f t="array" ref="Z235">IF(X235="","",INDEX('Bills &amp; Invoices'!$D$5:$D$32,MATCH(X235,'Bills &amp; Invoices'!$B$5:$B$32,0)))</f>
        <v/>
      </c>
      <c r="AA235" s="334" t="str">
        <f t="array" ref="AA235">IF(X235="","",INDEX('Bills &amp; Invoices'!$K$5:$K$32,MATCH(X235,'Bills &amp; Invoices'!$B$5:$B$32,0)))</f>
        <v/>
      </c>
      <c r="AB235" s="335" t="str">
        <f>IF(X235="","",SUMIFS('Bills &amp; Invoices'!$J$5:$J$32,'Bills &amp; Invoices'!$B$5:$B$32,X235))</f>
        <v/>
      </c>
      <c r="AC235" s="335" t="str">
        <f>IF(X235="","",SUMIFS('Payments &amp; Receipts'!$F$5:$F$58,'Payments &amp; Receipts'!$L$5:$L$58,X235))</f>
        <v/>
      </c>
      <c r="AD235" s="333" t="str">
        <f t="array" ref="AD235">IF(X235="","",INDEX('Bills &amp; Invoices'!$U$5:$U$32,MATCH(X235,'Bills &amp; Invoices'!$B$5:$B$32,0)))</f>
        <v/>
      </c>
    </row>
    <row r="236" ht="14.25" customHeight="1">
      <c r="R23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Clearances'!$A$4:$Q$4)),FALSE)),ROWS(R$5:R236)))&amp;""  –  ""&amp;INDEX('Chemical Clearances'!$D$5:$D$169,MATCH(INDEX('Chemical Clearances'!$B$5:$B$169,LARGE(FILTER((ROW('Chemical Clearances'!$B$5:$B$169)-ROW('"&amp;"Chemical Clearances'!$A$4:$Q$4)),IFERROR((MATCH('Chemical Clearances'!$B$5:$B$169,'Chemical Clearances'!$B$5:$B$169,0)=ROW('Chemical Clearances'!$B$5:$B$169)-ROW('Chemical Clearances'!$A$4:$Q$4)),FALSE)),ROWS(R$5:R236))),'Chemical Clearances'!$B$5:$B$169,"&amp;"0)),"""")), 1, 1)"),"")</f>
        <v/>
      </c>
      <c r="X23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Invoices'!$A$4:$V$4)),FALSE)),ROWS(X$5:X236))),"""")), 1, 1)"),"")</f>
        <v/>
      </c>
      <c r="Y236" s="333" t="str">
        <f t="array" ref="Y236">IF(X236="","",X236&amp;"  –  "&amp;INDEX('Bills &amp; Invoices'!$D$5:$D$32,MATCH(X236,'Bills &amp; Invoices'!$B$5:$B$32,0))&amp;"  –  $"&amp;TEXT(SUMIFS('Bills &amp; Invoices'!$J$5:$J$32,'Bills &amp; Invoices'!$B$5:$B$32,X236),"#,##0"))</f>
        <v/>
      </c>
      <c r="Z236" s="333" t="str">
        <f t="array" ref="Z236">IF(X236="","",INDEX('Bills &amp; Invoices'!$D$5:$D$32,MATCH(X236,'Bills &amp; Invoices'!$B$5:$B$32,0)))</f>
        <v/>
      </c>
      <c r="AA236" s="334" t="str">
        <f t="array" ref="AA236">IF(X236="","",INDEX('Bills &amp; Invoices'!$K$5:$K$32,MATCH(X236,'Bills &amp; Invoices'!$B$5:$B$32,0)))</f>
        <v/>
      </c>
      <c r="AB236" s="335" t="str">
        <f>IF(X236="","",SUMIFS('Bills &amp; Invoices'!$J$5:$J$32,'Bills &amp; Invoices'!$B$5:$B$32,X236))</f>
        <v/>
      </c>
      <c r="AC236" s="335" t="str">
        <f>IF(X236="","",SUMIFS('Payments &amp; Receipts'!$F$5:$F$58,'Payments &amp; Receipts'!$L$5:$L$58,X236))</f>
        <v/>
      </c>
      <c r="AD236" s="333" t="str">
        <f t="array" ref="AD236">IF(X236="","",INDEX('Bills &amp; Invoices'!$U$5:$U$32,MATCH(X236,'Bills &amp; Invoices'!$B$5:$B$32,0)))</f>
        <v/>
      </c>
    </row>
    <row r="237" ht="14.25" customHeight="1">
      <c r="R23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Clearances'!$A$4:$Q$4)),FALSE)),ROWS(R$5:R237)))&amp;""  –  ""&amp;INDEX('Chemical Clearances'!$D$5:$D$169,MATCH(INDEX('Chemical Clearances'!$B$5:$B$169,LARGE(FILTER((ROW('Chemical Clearances'!$B$5:$B$169)-ROW('"&amp;"Chemical Clearances'!$A$4:$Q$4)),IFERROR((MATCH('Chemical Clearances'!$B$5:$B$169,'Chemical Clearances'!$B$5:$B$169,0)=ROW('Chemical Clearances'!$B$5:$B$169)-ROW('Chemical Clearances'!$A$4:$Q$4)),FALSE)),ROWS(R$5:R237))),'Chemical Clearances'!$B$5:$B$169,"&amp;"0)),"""")), 1, 1)"),"")</f>
        <v/>
      </c>
      <c r="X23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Invoices'!$A$4:$V$4)),FALSE)),ROWS(X$5:X237))),"""")), 1, 1)"),"")</f>
        <v/>
      </c>
      <c r="Y237" s="333" t="str">
        <f t="array" ref="Y237">IF(X237="","",X237&amp;"  –  "&amp;INDEX('Bills &amp; Invoices'!$D$5:$D$32,MATCH(X237,'Bills &amp; Invoices'!$B$5:$B$32,0))&amp;"  –  $"&amp;TEXT(SUMIFS('Bills &amp; Invoices'!$J$5:$J$32,'Bills &amp; Invoices'!$B$5:$B$32,X237),"#,##0"))</f>
        <v/>
      </c>
      <c r="Z237" s="333" t="str">
        <f t="array" ref="Z237">IF(X237="","",INDEX('Bills &amp; Invoices'!$D$5:$D$32,MATCH(X237,'Bills &amp; Invoices'!$B$5:$B$32,0)))</f>
        <v/>
      </c>
      <c r="AA237" s="334" t="str">
        <f t="array" ref="AA237">IF(X237="","",INDEX('Bills &amp; Invoices'!$K$5:$K$32,MATCH(X237,'Bills &amp; Invoices'!$B$5:$B$32,0)))</f>
        <v/>
      </c>
      <c r="AB237" s="335" t="str">
        <f>IF(X237="","",SUMIFS('Bills &amp; Invoices'!$J$5:$J$32,'Bills &amp; Invoices'!$B$5:$B$32,X237))</f>
        <v/>
      </c>
      <c r="AC237" s="335" t="str">
        <f>IF(X237="","",SUMIFS('Payments &amp; Receipts'!$F$5:$F$58,'Payments &amp; Receipts'!$L$5:$L$58,X237))</f>
        <v/>
      </c>
      <c r="AD237" s="333" t="str">
        <f t="array" ref="AD237">IF(X237="","",INDEX('Bills &amp; Invoices'!$U$5:$U$32,MATCH(X237,'Bills &amp; Invoices'!$B$5:$B$32,0)))</f>
        <v/>
      </c>
    </row>
    <row r="238" ht="14.25" customHeight="1">
      <c r="R23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Clearances'!$A$4:$Q$4)),FALSE)),ROWS(R$5:R238)))&amp;""  –  ""&amp;INDEX('Chemical Clearances'!$D$5:$D$169,MATCH(INDEX('Chemical Clearances'!$B$5:$B$169,LARGE(FILTER((ROW('Chemical Clearances'!$B$5:$B$169)-ROW('"&amp;"Chemical Clearances'!$A$4:$Q$4)),IFERROR((MATCH('Chemical Clearances'!$B$5:$B$169,'Chemical Clearances'!$B$5:$B$169,0)=ROW('Chemical Clearances'!$B$5:$B$169)-ROW('Chemical Clearances'!$A$4:$Q$4)),FALSE)),ROWS(R$5:R238))),'Chemical Clearances'!$B$5:$B$169,"&amp;"0)),"""")), 1, 1)"),"")</f>
        <v/>
      </c>
      <c r="X23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Invoices'!$A$4:$V$4)),FALSE)),ROWS(X$5:X238))),"""")), 1, 1)"),"")</f>
        <v/>
      </c>
      <c r="Y238" s="333" t="str">
        <f t="array" ref="Y238">IF(X238="","",X238&amp;"  –  "&amp;INDEX('Bills &amp; Invoices'!$D$5:$D$32,MATCH(X238,'Bills &amp; Invoices'!$B$5:$B$32,0))&amp;"  –  $"&amp;TEXT(SUMIFS('Bills &amp; Invoices'!$J$5:$J$32,'Bills &amp; Invoices'!$B$5:$B$32,X238),"#,##0"))</f>
        <v/>
      </c>
      <c r="Z238" s="333" t="str">
        <f t="array" ref="Z238">IF(X238="","",INDEX('Bills &amp; Invoices'!$D$5:$D$32,MATCH(X238,'Bills &amp; Invoices'!$B$5:$B$32,0)))</f>
        <v/>
      </c>
      <c r="AA238" s="334" t="str">
        <f t="array" ref="AA238">IF(X238="","",INDEX('Bills &amp; Invoices'!$K$5:$K$32,MATCH(X238,'Bills &amp; Invoices'!$B$5:$B$32,0)))</f>
        <v/>
      </c>
      <c r="AB238" s="335" t="str">
        <f>IF(X238="","",SUMIFS('Bills &amp; Invoices'!$J$5:$J$32,'Bills &amp; Invoices'!$B$5:$B$32,X238))</f>
        <v/>
      </c>
      <c r="AC238" s="335" t="str">
        <f>IF(X238="","",SUMIFS('Payments &amp; Receipts'!$F$5:$F$58,'Payments &amp; Receipts'!$L$5:$L$58,X238))</f>
        <v/>
      </c>
      <c r="AD238" s="333" t="str">
        <f t="array" ref="AD238">IF(X238="","",INDEX('Bills &amp; Invoices'!$U$5:$U$32,MATCH(X238,'Bills &amp; Invoices'!$B$5:$B$32,0)))</f>
        <v/>
      </c>
    </row>
    <row r="239" ht="14.25" customHeight="1">
      <c r="R23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Clearances'!$A$4:$Q$4)),FALSE)),ROWS(R$5:R239)))&amp;""  –  ""&amp;INDEX('Chemical Clearances'!$D$5:$D$169,MATCH(INDEX('Chemical Clearances'!$B$5:$B$169,LARGE(FILTER((ROW('Chemical Clearances'!$B$5:$B$169)-ROW('"&amp;"Chemical Clearances'!$A$4:$Q$4)),IFERROR((MATCH('Chemical Clearances'!$B$5:$B$169,'Chemical Clearances'!$B$5:$B$169,0)=ROW('Chemical Clearances'!$B$5:$B$169)-ROW('Chemical Clearances'!$A$4:$Q$4)),FALSE)),ROWS(R$5:R239))),'Chemical Clearances'!$B$5:$B$169,"&amp;"0)),"""")), 1, 1)"),"")</f>
        <v/>
      </c>
      <c r="X23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Invoices'!$A$4:$V$4)),FALSE)),ROWS(X$5:X239))),"""")), 1, 1)"),"")</f>
        <v/>
      </c>
      <c r="Y239" s="333" t="str">
        <f t="array" ref="Y239">IF(X239="","",X239&amp;"  –  "&amp;INDEX('Bills &amp; Invoices'!$D$5:$D$32,MATCH(X239,'Bills &amp; Invoices'!$B$5:$B$32,0))&amp;"  –  $"&amp;TEXT(SUMIFS('Bills &amp; Invoices'!$J$5:$J$32,'Bills &amp; Invoices'!$B$5:$B$32,X239),"#,##0"))</f>
        <v/>
      </c>
      <c r="Z239" s="333" t="str">
        <f t="array" ref="Z239">IF(X239="","",INDEX('Bills &amp; Invoices'!$D$5:$D$32,MATCH(X239,'Bills &amp; Invoices'!$B$5:$B$32,0)))</f>
        <v/>
      </c>
      <c r="AA239" s="334" t="str">
        <f t="array" ref="AA239">IF(X239="","",INDEX('Bills &amp; Invoices'!$K$5:$K$32,MATCH(X239,'Bills &amp; Invoices'!$B$5:$B$32,0)))</f>
        <v/>
      </c>
      <c r="AB239" s="335" t="str">
        <f>IF(X239="","",SUMIFS('Bills &amp; Invoices'!$J$5:$J$32,'Bills &amp; Invoices'!$B$5:$B$32,X239))</f>
        <v/>
      </c>
      <c r="AC239" s="335" t="str">
        <f>IF(X239="","",SUMIFS('Payments &amp; Receipts'!$F$5:$F$58,'Payments &amp; Receipts'!$L$5:$L$58,X239))</f>
        <v/>
      </c>
      <c r="AD239" s="333" t="str">
        <f t="array" ref="AD239">IF(X239="","",INDEX('Bills &amp; Invoices'!$U$5:$U$32,MATCH(X239,'Bills &amp; Invoices'!$B$5:$B$32,0)))</f>
        <v/>
      </c>
    </row>
    <row r="240" ht="14.25" customHeight="1">
      <c r="R24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Clearances'!$A$4:$Q$4)),FALSE)),ROWS(R$5:R240)))&amp;""  –  ""&amp;INDEX('Chemical Clearances'!$D$5:$D$169,MATCH(INDEX('Chemical Clearances'!$B$5:$B$169,LARGE(FILTER((ROW('Chemical Clearances'!$B$5:$B$169)-ROW('"&amp;"Chemical Clearances'!$A$4:$Q$4)),IFERROR((MATCH('Chemical Clearances'!$B$5:$B$169,'Chemical Clearances'!$B$5:$B$169,0)=ROW('Chemical Clearances'!$B$5:$B$169)-ROW('Chemical Clearances'!$A$4:$Q$4)),FALSE)),ROWS(R$5:R240))),'Chemical Clearances'!$B$5:$B$169,"&amp;"0)),"""")), 1, 1)"),"")</f>
        <v/>
      </c>
      <c r="X24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Invoices'!$A$4:$V$4)),FALSE)),ROWS(X$5:X240))),"""")), 1, 1)"),"")</f>
        <v/>
      </c>
      <c r="Y240" s="333" t="str">
        <f t="array" ref="Y240">IF(X240="","",X240&amp;"  –  "&amp;INDEX('Bills &amp; Invoices'!$D$5:$D$32,MATCH(X240,'Bills &amp; Invoices'!$B$5:$B$32,0))&amp;"  –  $"&amp;TEXT(SUMIFS('Bills &amp; Invoices'!$J$5:$J$32,'Bills &amp; Invoices'!$B$5:$B$32,X240),"#,##0"))</f>
        <v/>
      </c>
      <c r="Z240" s="333" t="str">
        <f t="array" ref="Z240">IF(X240="","",INDEX('Bills &amp; Invoices'!$D$5:$D$32,MATCH(X240,'Bills &amp; Invoices'!$B$5:$B$32,0)))</f>
        <v/>
      </c>
      <c r="AA240" s="334" t="str">
        <f t="array" ref="AA240">IF(X240="","",INDEX('Bills &amp; Invoices'!$K$5:$K$32,MATCH(X240,'Bills &amp; Invoices'!$B$5:$B$32,0)))</f>
        <v/>
      </c>
      <c r="AB240" s="335" t="str">
        <f>IF(X240="","",SUMIFS('Bills &amp; Invoices'!$J$5:$J$32,'Bills &amp; Invoices'!$B$5:$B$32,X240))</f>
        <v/>
      </c>
      <c r="AC240" s="335" t="str">
        <f>IF(X240="","",SUMIFS('Payments &amp; Receipts'!$F$5:$F$58,'Payments &amp; Receipts'!$L$5:$L$58,X240))</f>
        <v/>
      </c>
      <c r="AD240" s="333" t="str">
        <f t="array" ref="AD240">IF(X240="","",INDEX('Bills &amp; Invoices'!$U$5:$U$32,MATCH(X240,'Bills &amp; Invoices'!$B$5:$B$32,0)))</f>
        <v/>
      </c>
    </row>
    <row r="241" ht="14.25" customHeight="1">
      <c r="R24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Clearances'!$A$4:$Q$4)),FALSE)),ROWS(R$5:R241)))&amp;""  –  ""&amp;INDEX('Chemical Clearances'!$D$5:$D$169,MATCH(INDEX('Chemical Clearances'!$B$5:$B$169,LARGE(FILTER((ROW('Chemical Clearances'!$B$5:$B$169)-ROW('"&amp;"Chemical Clearances'!$A$4:$Q$4)),IFERROR((MATCH('Chemical Clearances'!$B$5:$B$169,'Chemical Clearances'!$B$5:$B$169,0)=ROW('Chemical Clearances'!$B$5:$B$169)-ROW('Chemical Clearances'!$A$4:$Q$4)),FALSE)),ROWS(R$5:R241))),'Chemical Clearances'!$B$5:$B$169,"&amp;"0)),"""")), 1, 1)"),"")</f>
        <v/>
      </c>
      <c r="X24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Invoices'!$A$4:$V$4)),FALSE)),ROWS(X$5:X241))),"""")), 1, 1)"),"")</f>
        <v/>
      </c>
      <c r="Y241" s="333" t="str">
        <f t="array" ref="Y241">IF(X241="","",X241&amp;"  –  "&amp;INDEX('Bills &amp; Invoices'!$D$5:$D$32,MATCH(X241,'Bills &amp; Invoices'!$B$5:$B$32,0))&amp;"  –  $"&amp;TEXT(SUMIFS('Bills &amp; Invoices'!$J$5:$J$32,'Bills &amp; Invoices'!$B$5:$B$32,X241),"#,##0"))</f>
        <v/>
      </c>
      <c r="Z241" s="333" t="str">
        <f t="array" ref="Z241">IF(X241="","",INDEX('Bills &amp; Invoices'!$D$5:$D$32,MATCH(X241,'Bills &amp; Invoices'!$B$5:$B$32,0)))</f>
        <v/>
      </c>
      <c r="AA241" s="334" t="str">
        <f t="array" ref="AA241">IF(X241="","",INDEX('Bills &amp; Invoices'!$K$5:$K$32,MATCH(X241,'Bills &amp; Invoices'!$B$5:$B$32,0)))</f>
        <v/>
      </c>
      <c r="AB241" s="335" t="str">
        <f>IF(X241="","",SUMIFS('Bills &amp; Invoices'!$J$5:$J$32,'Bills &amp; Invoices'!$B$5:$B$32,X241))</f>
        <v/>
      </c>
      <c r="AC241" s="335" t="str">
        <f>IF(X241="","",SUMIFS('Payments &amp; Receipts'!$F$5:$F$58,'Payments &amp; Receipts'!$L$5:$L$58,X241))</f>
        <v/>
      </c>
      <c r="AD241" s="333" t="str">
        <f t="array" ref="AD241">IF(X241="","",INDEX('Bills &amp; Invoices'!$U$5:$U$32,MATCH(X241,'Bills &amp; Invoices'!$B$5:$B$32,0)))</f>
        <v/>
      </c>
    </row>
    <row r="242" ht="14.25" customHeight="1">
      <c r="R24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Clearances'!$A$4:$Q$4)),FALSE)),ROWS(R$5:R242)))&amp;""  –  ""&amp;INDEX('Chemical Clearances'!$D$5:$D$169,MATCH(INDEX('Chemical Clearances'!$B$5:$B$169,LARGE(FILTER((ROW('Chemical Clearances'!$B$5:$B$169)-ROW('"&amp;"Chemical Clearances'!$A$4:$Q$4)),IFERROR((MATCH('Chemical Clearances'!$B$5:$B$169,'Chemical Clearances'!$B$5:$B$169,0)=ROW('Chemical Clearances'!$B$5:$B$169)-ROW('Chemical Clearances'!$A$4:$Q$4)),FALSE)),ROWS(R$5:R242))),'Chemical Clearances'!$B$5:$B$169,"&amp;"0)),"""")), 1, 1)"),"")</f>
        <v/>
      </c>
      <c r="X24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Invoices'!$A$4:$V$4)),FALSE)),ROWS(X$5:X242))),"""")), 1, 1)"),"")</f>
        <v/>
      </c>
      <c r="Y242" s="333" t="str">
        <f t="array" ref="Y242">IF(X242="","",X242&amp;"  –  "&amp;INDEX('Bills &amp; Invoices'!$D$5:$D$32,MATCH(X242,'Bills &amp; Invoices'!$B$5:$B$32,0))&amp;"  –  $"&amp;TEXT(SUMIFS('Bills &amp; Invoices'!$J$5:$J$32,'Bills &amp; Invoices'!$B$5:$B$32,X242),"#,##0"))</f>
        <v/>
      </c>
      <c r="Z242" s="333" t="str">
        <f t="array" ref="Z242">IF(X242="","",INDEX('Bills &amp; Invoices'!$D$5:$D$32,MATCH(X242,'Bills &amp; Invoices'!$B$5:$B$32,0)))</f>
        <v/>
      </c>
      <c r="AA242" s="334" t="str">
        <f t="array" ref="AA242">IF(X242="","",INDEX('Bills &amp; Invoices'!$K$5:$K$32,MATCH(X242,'Bills &amp; Invoices'!$B$5:$B$32,0)))</f>
        <v/>
      </c>
      <c r="AB242" s="335" t="str">
        <f>IF(X242="","",SUMIFS('Bills &amp; Invoices'!$J$5:$J$32,'Bills &amp; Invoices'!$B$5:$B$32,X242))</f>
        <v/>
      </c>
      <c r="AC242" s="335" t="str">
        <f>IF(X242="","",SUMIFS('Payments &amp; Receipts'!$F$5:$F$58,'Payments &amp; Receipts'!$L$5:$L$58,X242))</f>
        <v/>
      </c>
      <c r="AD242" s="333" t="str">
        <f t="array" ref="AD242">IF(X242="","",INDEX('Bills &amp; Invoices'!$U$5:$U$32,MATCH(X242,'Bills &amp; Invoices'!$B$5:$B$32,0)))</f>
        <v/>
      </c>
    </row>
    <row r="243" ht="14.25" customHeight="1">
      <c r="R24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Clearances'!$A$4:$Q$4)),FALSE)),ROWS(R$5:R243)))&amp;""  –  ""&amp;INDEX('Chemical Clearances'!$D$5:$D$169,MATCH(INDEX('Chemical Clearances'!$B$5:$B$169,LARGE(FILTER((ROW('Chemical Clearances'!$B$5:$B$169)-ROW('"&amp;"Chemical Clearances'!$A$4:$Q$4)),IFERROR((MATCH('Chemical Clearances'!$B$5:$B$169,'Chemical Clearances'!$B$5:$B$169,0)=ROW('Chemical Clearances'!$B$5:$B$169)-ROW('Chemical Clearances'!$A$4:$Q$4)),FALSE)),ROWS(R$5:R243))),'Chemical Clearances'!$B$5:$B$169,"&amp;"0)),"""")), 1, 1)"),"")</f>
        <v/>
      </c>
      <c r="X24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Invoices'!$A$4:$V$4)),FALSE)),ROWS(X$5:X243))),"""")), 1, 1)"),"")</f>
        <v/>
      </c>
      <c r="Y243" s="333" t="str">
        <f t="array" ref="Y243">IF(X243="","",X243&amp;"  –  "&amp;INDEX('Bills &amp; Invoices'!$D$5:$D$32,MATCH(X243,'Bills &amp; Invoices'!$B$5:$B$32,0))&amp;"  –  $"&amp;TEXT(SUMIFS('Bills &amp; Invoices'!$J$5:$J$32,'Bills &amp; Invoices'!$B$5:$B$32,X243),"#,##0"))</f>
        <v/>
      </c>
      <c r="Z243" s="333" t="str">
        <f t="array" ref="Z243">IF(X243="","",INDEX('Bills &amp; Invoices'!$D$5:$D$32,MATCH(X243,'Bills &amp; Invoices'!$B$5:$B$32,0)))</f>
        <v/>
      </c>
      <c r="AA243" s="334" t="str">
        <f t="array" ref="AA243">IF(X243="","",INDEX('Bills &amp; Invoices'!$K$5:$K$32,MATCH(X243,'Bills &amp; Invoices'!$B$5:$B$32,0)))</f>
        <v/>
      </c>
      <c r="AB243" s="335" t="str">
        <f>IF(X243="","",SUMIFS('Bills &amp; Invoices'!$J$5:$J$32,'Bills &amp; Invoices'!$B$5:$B$32,X243))</f>
        <v/>
      </c>
      <c r="AC243" s="335" t="str">
        <f>IF(X243="","",SUMIFS('Payments &amp; Receipts'!$F$5:$F$58,'Payments &amp; Receipts'!$L$5:$L$58,X243))</f>
        <v/>
      </c>
      <c r="AD243" s="333" t="str">
        <f t="array" ref="AD243">IF(X243="","",INDEX('Bills &amp; Invoices'!$U$5:$U$32,MATCH(X243,'Bills &amp; Invoices'!$B$5:$B$32,0)))</f>
        <v/>
      </c>
    </row>
    <row r="244" ht="14.25" customHeight="1">
      <c r="R24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Clearances'!$A$4:$Q$4)),FALSE)),ROWS(R$5:R244)))&amp;""  –  ""&amp;INDEX('Chemical Clearances'!$D$5:$D$169,MATCH(INDEX('Chemical Clearances'!$B$5:$B$169,LARGE(FILTER((ROW('Chemical Clearances'!$B$5:$B$169)-ROW('"&amp;"Chemical Clearances'!$A$4:$Q$4)),IFERROR((MATCH('Chemical Clearances'!$B$5:$B$169,'Chemical Clearances'!$B$5:$B$169,0)=ROW('Chemical Clearances'!$B$5:$B$169)-ROW('Chemical Clearances'!$A$4:$Q$4)),FALSE)),ROWS(R$5:R244))),'Chemical Clearances'!$B$5:$B$169,"&amp;"0)),"""")), 1, 1)"),"")</f>
        <v/>
      </c>
      <c r="X24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Invoices'!$A$4:$V$4)),FALSE)),ROWS(X$5:X244))),"""")), 1, 1)"),"")</f>
        <v/>
      </c>
      <c r="Y244" s="333" t="str">
        <f t="array" ref="Y244">IF(X244="","",X244&amp;"  –  "&amp;INDEX('Bills &amp; Invoices'!$D$5:$D$32,MATCH(X244,'Bills &amp; Invoices'!$B$5:$B$32,0))&amp;"  –  $"&amp;TEXT(SUMIFS('Bills &amp; Invoices'!$J$5:$J$32,'Bills &amp; Invoices'!$B$5:$B$32,X244),"#,##0"))</f>
        <v/>
      </c>
      <c r="Z244" s="333" t="str">
        <f t="array" ref="Z244">IF(X244="","",INDEX('Bills &amp; Invoices'!$D$5:$D$32,MATCH(X244,'Bills &amp; Invoices'!$B$5:$B$32,0)))</f>
        <v/>
      </c>
      <c r="AA244" s="334" t="str">
        <f t="array" ref="AA244">IF(X244="","",INDEX('Bills &amp; Invoices'!$K$5:$K$32,MATCH(X244,'Bills &amp; Invoices'!$B$5:$B$32,0)))</f>
        <v/>
      </c>
      <c r="AB244" s="335" t="str">
        <f>IF(X244="","",SUMIFS('Bills &amp; Invoices'!$J$5:$J$32,'Bills &amp; Invoices'!$B$5:$B$32,X244))</f>
        <v/>
      </c>
      <c r="AC244" s="335" t="str">
        <f>IF(X244="","",SUMIFS('Payments &amp; Receipts'!$F$5:$F$58,'Payments &amp; Receipts'!$L$5:$L$58,X244))</f>
        <v/>
      </c>
      <c r="AD244" s="333" t="str">
        <f t="array" ref="AD244">IF(X244="","",INDEX('Bills &amp; Invoices'!$U$5:$U$32,MATCH(X244,'Bills &amp; Invoices'!$B$5:$B$32,0)))</f>
        <v/>
      </c>
    </row>
    <row r="245" ht="14.25" customHeight="1">
      <c r="R24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Clearances'!$A$4:$Q$4)),FALSE)),ROWS(R$5:R245)))&amp;""  –  ""&amp;INDEX('Chemical Clearances'!$D$5:$D$169,MATCH(INDEX('Chemical Clearances'!$B$5:$B$169,LARGE(FILTER((ROW('Chemical Clearances'!$B$5:$B$169)-ROW('"&amp;"Chemical Clearances'!$A$4:$Q$4)),IFERROR((MATCH('Chemical Clearances'!$B$5:$B$169,'Chemical Clearances'!$B$5:$B$169,0)=ROW('Chemical Clearances'!$B$5:$B$169)-ROW('Chemical Clearances'!$A$4:$Q$4)),FALSE)),ROWS(R$5:R245))),'Chemical Clearances'!$B$5:$B$169,"&amp;"0)),"""")), 1, 1)"),"")</f>
        <v/>
      </c>
      <c r="X24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Invoices'!$A$4:$V$4)),FALSE)),ROWS(X$5:X245))),"""")), 1, 1)"),"")</f>
        <v/>
      </c>
      <c r="Y245" s="333" t="str">
        <f t="array" ref="Y245">IF(X245="","",X245&amp;"  –  "&amp;INDEX('Bills &amp; Invoices'!$D$5:$D$32,MATCH(X245,'Bills &amp; Invoices'!$B$5:$B$32,0))&amp;"  –  $"&amp;TEXT(SUMIFS('Bills &amp; Invoices'!$J$5:$J$32,'Bills &amp; Invoices'!$B$5:$B$32,X245),"#,##0"))</f>
        <v/>
      </c>
      <c r="Z245" s="333" t="str">
        <f t="array" ref="Z245">IF(X245="","",INDEX('Bills &amp; Invoices'!$D$5:$D$32,MATCH(X245,'Bills &amp; Invoices'!$B$5:$B$32,0)))</f>
        <v/>
      </c>
      <c r="AA245" s="334" t="str">
        <f t="array" ref="AA245">IF(X245="","",INDEX('Bills &amp; Invoices'!$K$5:$K$32,MATCH(X245,'Bills &amp; Invoices'!$B$5:$B$32,0)))</f>
        <v/>
      </c>
      <c r="AB245" s="335" t="str">
        <f>IF(X245="","",SUMIFS('Bills &amp; Invoices'!$J$5:$J$32,'Bills &amp; Invoices'!$B$5:$B$32,X245))</f>
        <v/>
      </c>
      <c r="AC245" s="335" t="str">
        <f>IF(X245="","",SUMIFS('Payments &amp; Receipts'!$F$5:$F$58,'Payments &amp; Receipts'!$L$5:$L$58,X245))</f>
        <v/>
      </c>
      <c r="AD245" s="333" t="str">
        <f t="array" ref="AD245">IF(X245="","",INDEX('Bills &amp; Invoices'!$U$5:$U$32,MATCH(X245,'Bills &amp; Invoices'!$B$5:$B$32,0)))</f>
        <v/>
      </c>
    </row>
    <row r="246" ht="14.25" customHeight="1">
      <c r="R24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Clearances'!$A$4:$Q$4)),FALSE)),ROWS(R$5:R246)))&amp;""  –  ""&amp;INDEX('Chemical Clearances'!$D$5:$D$169,MATCH(INDEX('Chemical Clearances'!$B$5:$B$169,LARGE(FILTER((ROW('Chemical Clearances'!$B$5:$B$169)-ROW('"&amp;"Chemical Clearances'!$A$4:$Q$4)),IFERROR((MATCH('Chemical Clearances'!$B$5:$B$169,'Chemical Clearances'!$B$5:$B$169,0)=ROW('Chemical Clearances'!$B$5:$B$169)-ROW('Chemical Clearances'!$A$4:$Q$4)),FALSE)),ROWS(R$5:R246))),'Chemical Clearances'!$B$5:$B$169,"&amp;"0)),"""")), 1, 1)"),"")</f>
        <v/>
      </c>
      <c r="X24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Invoices'!$A$4:$V$4)),FALSE)),ROWS(X$5:X246))),"""")), 1, 1)"),"")</f>
        <v/>
      </c>
      <c r="Y246" s="333" t="str">
        <f t="array" ref="Y246">IF(X246="","",X246&amp;"  –  "&amp;INDEX('Bills &amp; Invoices'!$D$5:$D$32,MATCH(X246,'Bills &amp; Invoices'!$B$5:$B$32,0))&amp;"  –  $"&amp;TEXT(SUMIFS('Bills &amp; Invoices'!$J$5:$J$32,'Bills &amp; Invoices'!$B$5:$B$32,X246),"#,##0"))</f>
        <v/>
      </c>
      <c r="Z246" s="333" t="str">
        <f t="array" ref="Z246">IF(X246="","",INDEX('Bills &amp; Invoices'!$D$5:$D$32,MATCH(X246,'Bills &amp; Invoices'!$B$5:$B$32,0)))</f>
        <v/>
      </c>
      <c r="AA246" s="334" t="str">
        <f t="array" ref="AA246">IF(X246="","",INDEX('Bills &amp; Invoices'!$K$5:$K$32,MATCH(X246,'Bills &amp; Invoices'!$B$5:$B$32,0)))</f>
        <v/>
      </c>
      <c r="AB246" s="335" t="str">
        <f>IF(X246="","",SUMIFS('Bills &amp; Invoices'!$J$5:$J$32,'Bills &amp; Invoices'!$B$5:$B$32,X246))</f>
        <v/>
      </c>
      <c r="AC246" s="335" t="str">
        <f>IF(X246="","",SUMIFS('Payments &amp; Receipts'!$F$5:$F$58,'Payments &amp; Receipts'!$L$5:$L$58,X246))</f>
        <v/>
      </c>
      <c r="AD246" s="333" t="str">
        <f t="array" ref="AD246">IF(X246="","",INDEX('Bills &amp; Invoices'!$U$5:$U$32,MATCH(X246,'Bills &amp; Invoices'!$B$5:$B$32,0)))</f>
        <v/>
      </c>
    </row>
    <row r="247" ht="14.25" customHeight="1">
      <c r="R24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Clearances'!$A$4:$Q$4)),FALSE)),ROWS(R$5:R247)))&amp;""  –  ""&amp;INDEX('Chemical Clearances'!$D$5:$D$169,MATCH(INDEX('Chemical Clearances'!$B$5:$B$169,LARGE(FILTER((ROW('Chemical Clearances'!$B$5:$B$169)-ROW('"&amp;"Chemical Clearances'!$A$4:$Q$4)),IFERROR((MATCH('Chemical Clearances'!$B$5:$B$169,'Chemical Clearances'!$B$5:$B$169,0)=ROW('Chemical Clearances'!$B$5:$B$169)-ROW('Chemical Clearances'!$A$4:$Q$4)),FALSE)),ROWS(R$5:R247))),'Chemical Clearances'!$B$5:$B$169,"&amp;"0)),"""")), 1, 1)"),"")</f>
        <v/>
      </c>
      <c r="X24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Invoices'!$A$4:$V$4)),FALSE)),ROWS(X$5:X247))),"""")), 1, 1)"),"")</f>
        <v/>
      </c>
      <c r="Y247" s="333" t="str">
        <f t="array" ref="Y247">IF(X247="","",X247&amp;"  –  "&amp;INDEX('Bills &amp; Invoices'!$D$5:$D$32,MATCH(X247,'Bills &amp; Invoices'!$B$5:$B$32,0))&amp;"  –  $"&amp;TEXT(SUMIFS('Bills &amp; Invoices'!$J$5:$J$32,'Bills &amp; Invoices'!$B$5:$B$32,X247),"#,##0"))</f>
        <v/>
      </c>
      <c r="Z247" s="333" t="str">
        <f t="array" ref="Z247">IF(X247="","",INDEX('Bills &amp; Invoices'!$D$5:$D$32,MATCH(X247,'Bills &amp; Invoices'!$B$5:$B$32,0)))</f>
        <v/>
      </c>
      <c r="AA247" s="334" t="str">
        <f t="array" ref="AA247">IF(X247="","",INDEX('Bills &amp; Invoices'!$K$5:$K$32,MATCH(X247,'Bills &amp; Invoices'!$B$5:$B$32,0)))</f>
        <v/>
      </c>
      <c r="AB247" s="335" t="str">
        <f>IF(X247="","",SUMIFS('Bills &amp; Invoices'!$J$5:$J$32,'Bills &amp; Invoices'!$B$5:$B$32,X247))</f>
        <v/>
      </c>
      <c r="AC247" s="335" t="str">
        <f>IF(X247="","",SUMIFS('Payments &amp; Receipts'!$F$5:$F$58,'Payments &amp; Receipts'!$L$5:$L$58,X247))</f>
        <v/>
      </c>
      <c r="AD247" s="333" t="str">
        <f t="array" ref="AD247">IF(X247="","",INDEX('Bills &amp; Invoices'!$U$5:$U$32,MATCH(X247,'Bills &amp; Invoices'!$B$5:$B$32,0)))</f>
        <v/>
      </c>
    </row>
    <row r="248" ht="14.25" customHeight="1">
      <c r="R24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Clearances'!$A$4:$Q$4)),FALSE)),ROWS(R$5:R248)))&amp;""  –  ""&amp;INDEX('Chemical Clearances'!$D$5:$D$169,MATCH(INDEX('Chemical Clearances'!$B$5:$B$169,LARGE(FILTER((ROW('Chemical Clearances'!$B$5:$B$169)-ROW('"&amp;"Chemical Clearances'!$A$4:$Q$4)),IFERROR((MATCH('Chemical Clearances'!$B$5:$B$169,'Chemical Clearances'!$B$5:$B$169,0)=ROW('Chemical Clearances'!$B$5:$B$169)-ROW('Chemical Clearances'!$A$4:$Q$4)),FALSE)),ROWS(R$5:R248))),'Chemical Clearances'!$B$5:$B$169,"&amp;"0)),"""")), 1, 1)"),"")</f>
        <v/>
      </c>
      <c r="X24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Invoices'!$A$4:$V$4)),FALSE)),ROWS(X$5:X248))),"""")), 1, 1)"),"")</f>
        <v/>
      </c>
      <c r="Y248" s="333" t="str">
        <f t="array" ref="Y248">IF(X248="","",X248&amp;"  –  "&amp;INDEX('Bills &amp; Invoices'!$D$5:$D$32,MATCH(X248,'Bills &amp; Invoices'!$B$5:$B$32,0))&amp;"  –  $"&amp;TEXT(SUMIFS('Bills &amp; Invoices'!$J$5:$J$32,'Bills &amp; Invoices'!$B$5:$B$32,X248),"#,##0"))</f>
        <v/>
      </c>
      <c r="Z248" s="333" t="str">
        <f t="array" ref="Z248">IF(X248="","",INDEX('Bills &amp; Invoices'!$D$5:$D$32,MATCH(X248,'Bills &amp; Invoices'!$B$5:$B$32,0)))</f>
        <v/>
      </c>
      <c r="AA248" s="334" t="str">
        <f t="array" ref="AA248">IF(X248="","",INDEX('Bills &amp; Invoices'!$K$5:$K$32,MATCH(X248,'Bills &amp; Invoices'!$B$5:$B$32,0)))</f>
        <v/>
      </c>
      <c r="AB248" s="335" t="str">
        <f>IF(X248="","",SUMIFS('Bills &amp; Invoices'!$J$5:$J$32,'Bills &amp; Invoices'!$B$5:$B$32,X248))</f>
        <v/>
      </c>
      <c r="AC248" s="335" t="str">
        <f>IF(X248="","",SUMIFS('Payments &amp; Receipts'!$F$5:$F$58,'Payments &amp; Receipts'!$L$5:$L$58,X248))</f>
        <v/>
      </c>
      <c r="AD248" s="333" t="str">
        <f t="array" ref="AD248">IF(X248="","",INDEX('Bills &amp; Invoices'!$U$5:$U$32,MATCH(X248,'Bills &amp; Invoices'!$B$5:$B$32,0)))</f>
        <v/>
      </c>
    </row>
    <row r="249" ht="14.25" customHeight="1">
      <c r="R24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Clearances'!$A$4:$Q$4)),FALSE)),ROWS(R$5:R249)))&amp;""  –  ""&amp;INDEX('Chemical Clearances'!$D$5:$D$169,MATCH(INDEX('Chemical Clearances'!$B$5:$B$169,LARGE(FILTER((ROW('Chemical Clearances'!$B$5:$B$169)-ROW('"&amp;"Chemical Clearances'!$A$4:$Q$4)),IFERROR((MATCH('Chemical Clearances'!$B$5:$B$169,'Chemical Clearances'!$B$5:$B$169,0)=ROW('Chemical Clearances'!$B$5:$B$169)-ROW('Chemical Clearances'!$A$4:$Q$4)),FALSE)),ROWS(R$5:R249))),'Chemical Clearances'!$B$5:$B$169,"&amp;"0)),"""")), 1, 1)"),"")</f>
        <v/>
      </c>
      <c r="X24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Invoices'!$A$4:$V$4)),FALSE)),ROWS(X$5:X249))),"""")), 1, 1)"),"")</f>
        <v/>
      </c>
      <c r="Y249" s="333" t="str">
        <f t="array" ref="Y249">IF(X249="","",X249&amp;"  –  "&amp;INDEX('Bills &amp; Invoices'!$D$5:$D$32,MATCH(X249,'Bills &amp; Invoices'!$B$5:$B$32,0))&amp;"  –  $"&amp;TEXT(SUMIFS('Bills &amp; Invoices'!$J$5:$J$32,'Bills &amp; Invoices'!$B$5:$B$32,X249),"#,##0"))</f>
        <v/>
      </c>
      <c r="Z249" s="333" t="str">
        <f t="array" ref="Z249">IF(X249="","",INDEX('Bills &amp; Invoices'!$D$5:$D$32,MATCH(X249,'Bills &amp; Invoices'!$B$5:$B$32,0)))</f>
        <v/>
      </c>
      <c r="AA249" s="334" t="str">
        <f t="array" ref="AA249">IF(X249="","",INDEX('Bills &amp; Invoices'!$K$5:$K$32,MATCH(X249,'Bills &amp; Invoices'!$B$5:$B$32,0)))</f>
        <v/>
      </c>
      <c r="AB249" s="335" t="str">
        <f>IF(X249="","",SUMIFS('Bills &amp; Invoices'!$J$5:$J$32,'Bills &amp; Invoices'!$B$5:$B$32,X249))</f>
        <v/>
      </c>
      <c r="AC249" s="335" t="str">
        <f>IF(X249="","",SUMIFS('Payments &amp; Receipts'!$F$5:$F$58,'Payments &amp; Receipts'!$L$5:$L$58,X249))</f>
        <v/>
      </c>
      <c r="AD249" s="333" t="str">
        <f t="array" ref="AD249">IF(X249="","",INDEX('Bills &amp; Invoices'!$U$5:$U$32,MATCH(X249,'Bills &amp; Invoices'!$B$5:$B$32,0)))</f>
        <v/>
      </c>
    </row>
    <row r="250" ht="14.25" customHeight="1">
      <c r="R25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Clearances'!$A$4:$Q$4)),FALSE)),ROWS(R$5:R250)))&amp;""  –  ""&amp;INDEX('Chemical Clearances'!$D$5:$D$169,MATCH(INDEX('Chemical Clearances'!$B$5:$B$169,LARGE(FILTER((ROW('Chemical Clearances'!$B$5:$B$169)-ROW('"&amp;"Chemical Clearances'!$A$4:$Q$4)),IFERROR((MATCH('Chemical Clearances'!$B$5:$B$169,'Chemical Clearances'!$B$5:$B$169,0)=ROW('Chemical Clearances'!$B$5:$B$169)-ROW('Chemical Clearances'!$A$4:$Q$4)),FALSE)),ROWS(R$5:R250))),'Chemical Clearances'!$B$5:$B$169,"&amp;"0)),"""")), 1, 1)"),"")</f>
        <v/>
      </c>
      <c r="X25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Invoices'!$A$4:$V$4)),FALSE)),ROWS(X$5:X250))),"""")), 1, 1)"),"")</f>
        <v/>
      </c>
      <c r="Y250" s="333" t="str">
        <f t="array" ref="Y250">IF(X250="","",X250&amp;"  –  "&amp;INDEX('Bills &amp; Invoices'!$D$5:$D$32,MATCH(X250,'Bills &amp; Invoices'!$B$5:$B$32,0))&amp;"  –  $"&amp;TEXT(SUMIFS('Bills &amp; Invoices'!$J$5:$J$32,'Bills &amp; Invoices'!$B$5:$B$32,X250),"#,##0"))</f>
        <v/>
      </c>
      <c r="Z250" s="333" t="str">
        <f t="array" ref="Z250">IF(X250="","",INDEX('Bills &amp; Invoices'!$D$5:$D$32,MATCH(X250,'Bills &amp; Invoices'!$B$5:$B$32,0)))</f>
        <v/>
      </c>
      <c r="AA250" s="334" t="str">
        <f t="array" ref="AA250">IF(X250="","",INDEX('Bills &amp; Invoices'!$K$5:$K$32,MATCH(X250,'Bills &amp; Invoices'!$B$5:$B$32,0)))</f>
        <v/>
      </c>
      <c r="AB250" s="335" t="str">
        <f>IF(X250="","",SUMIFS('Bills &amp; Invoices'!$J$5:$J$32,'Bills &amp; Invoices'!$B$5:$B$32,X250))</f>
        <v/>
      </c>
      <c r="AC250" s="335" t="str">
        <f>IF(X250="","",SUMIFS('Payments &amp; Receipts'!$F$5:$F$58,'Payments &amp; Receipts'!$L$5:$L$58,X250))</f>
        <v/>
      </c>
      <c r="AD250" s="333" t="str">
        <f t="array" ref="AD250">IF(X250="","",INDEX('Bills &amp; Invoices'!$U$5:$U$32,MATCH(X250,'Bills &amp; Invoices'!$B$5:$B$32,0)))</f>
        <v/>
      </c>
    </row>
    <row r="251" ht="14.25" customHeight="1">
      <c r="R25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Clearances'!$A$4:$Q$4)),FALSE)),ROWS(R$5:R251)))&amp;""  –  ""&amp;INDEX('Chemical Clearances'!$D$5:$D$169,MATCH(INDEX('Chemical Clearances'!$B$5:$B$169,LARGE(FILTER((ROW('Chemical Clearances'!$B$5:$B$169)-ROW('"&amp;"Chemical Clearances'!$A$4:$Q$4)),IFERROR((MATCH('Chemical Clearances'!$B$5:$B$169,'Chemical Clearances'!$B$5:$B$169,0)=ROW('Chemical Clearances'!$B$5:$B$169)-ROW('Chemical Clearances'!$A$4:$Q$4)),FALSE)),ROWS(R$5:R251))),'Chemical Clearances'!$B$5:$B$169,"&amp;"0)),"""")), 1, 1)"),"")</f>
        <v/>
      </c>
      <c r="X25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Invoices'!$A$4:$V$4)),FALSE)),ROWS(X$5:X251))),"""")), 1, 1)"),"")</f>
        <v/>
      </c>
      <c r="Y251" s="333" t="str">
        <f t="array" ref="Y251">IF(X251="","",X251&amp;"  –  "&amp;INDEX('Bills &amp; Invoices'!$D$5:$D$32,MATCH(X251,'Bills &amp; Invoices'!$B$5:$B$32,0))&amp;"  –  $"&amp;TEXT(SUMIFS('Bills &amp; Invoices'!$J$5:$J$32,'Bills &amp; Invoices'!$B$5:$B$32,X251),"#,##0"))</f>
        <v/>
      </c>
      <c r="Z251" s="333" t="str">
        <f t="array" ref="Z251">IF(X251="","",INDEX('Bills &amp; Invoices'!$D$5:$D$32,MATCH(X251,'Bills &amp; Invoices'!$B$5:$B$32,0)))</f>
        <v/>
      </c>
      <c r="AA251" s="334" t="str">
        <f t="array" ref="AA251">IF(X251="","",INDEX('Bills &amp; Invoices'!$K$5:$K$32,MATCH(X251,'Bills &amp; Invoices'!$B$5:$B$32,0)))</f>
        <v/>
      </c>
      <c r="AB251" s="335" t="str">
        <f>IF(X251="","",SUMIFS('Bills &amp; Invoices'!$J$5:$J$32,'Bills &amp; Invoices'!$B$5:$B$32,X251))</f>
        <v/>
      </c>
      <c r="AC251" s="335" t="str">
        <f>IF(X251="","",SUMIFS('Payments &amp; Receipts'!$F$5:$F$58,'Payments &amp; Receipts'!$L$5:$L$58,X251))</f>
        <v/>
      </c>
      <c r="AD251" s="333" t="str">
        <f t="array" ref="AD251">IF(X251="","",INDEX('Bills &amp; Invoices'!$U$5:$U$32,MATCH(X251,'Bills &amp; Invoices'!$B$5:$B$32,0)))</f>
        <v/>
      </c>
    </row>
    <row r="252" ht="14.25" customHeight="1">
      <c r="R25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Clearances'!$A$4:$Q$4)),FALSE)),ROWS(R$5:R252)))&amp;""  –  ""&amp;INDEX('Chemical Clearances'!$D$5:$D$169,MATCH(INDEX('Chemical Clearances'!$B$5:$B$169,LARGE(FILTER((ROW('Chemical Clearances'!$B$5:$B$169)-ROW('"&amp;"Chemical Clearances'!$A$4:$Q$4)),IFERROR((MATCH('Chemical Clearances'!$B$5:$B$169,'Chemical Clearances'!$B$5:$B$169,0)=ROW('Chemical Clearances'!$B$5:$B$169)-ROW('Chemical Clearances'!$A$4:$Q$4)),FALSE)),ROWS(R$5:R252))),'Chemical Clearances'!$B$5:$B$169,"&amp;"0)),"""")), 1, 1)"),"")</f>
        <v/>
      </c>
      <c r="X25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Invoices'!$A$4:$V$4)),FALSE)),ROWS(X$5:X252))),"""")), 1, 1)"),"")</f>
        <v/>
      </c>
      <c r="Y252" s="333" t="str">
        <f t="array" ref="Y252">IF(X252="","",X252&amp;"  –  "&amp;INDEX('Bills &amp; Invoices'!$D$5:$D$32,MATCH(X252,'Bills &amp; Invoices'!$B$5:$B$32,0))&amp;"  –  $"&amp;TEXT(SUMIFS('Bills &amp; Invoices'!$J$5:$J$32,'Bills &amp; Invoices'!$B$5:$B$32,X252),"#,##0"))</f>
        <v/>
      </c>
      <c r="Z252" s="333" t="str">
        <f t="array" ref="Z252">IF(X252="","",INDEX('Bills &amp; Invoices'!$D$5:$D$32,MATCH(X252,'Bills &amp; Invoices'!$B$5:$B$32,0)))</f>
        <v/>
      </c>
      <c r="AA252" s="334" t="str">
        <f t="array" ref="AA252">IF(X252="","",INDEX('Bills &amp; Invoices'!$K$5:$K$32,MATCH(X252,'Bills &amp; Invoices'!$B$5:$B$32,0)))</f>
        <v/>
      </c>
      <c r="AB252" s="335" t="str">
        <f>IF(X252="","",SUMIFS('Bills &amp; Invoices'!$J$5:$J$32,'Bills &amp; Invoices'!$B$5:$B$32,X252))</f>
        <v/>
      </c>
      <c r="AC252" s="335" t="str">
        <f>IF(X252="","",SUMIFS('Payments &amp; Receipts'!$F$5:$F$58,'Payments &amp; Receipts'!$L$5:$L$58,X252))</f>
        <v/>
      </c>
      <c r="AD252" s="333" t="str">
        <f t="array" ref="AD252">IF(X252="","",INDEX('Bills &amp; Invoices'!$U$5:$U$32,MATCH(X252,'Bills &amp; Invoices'!$B$5:$B$32,0)))</f>
        <v/>
      </c>
    </row>
    <row r="253" ht="14.25" customHeight="1">
      <c r="R25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Clearances'!$A$4:$Q$4)),FALSE)),ROWS(R$5:R253)))&amp;""  –  ""&amp;INDEX('Chemical Clearances'!$D$5:$D$169,MATCH(INDEX('Chemical Clearances'!$B$5:$B$169,LARGE(FILTER((ROW('Chemical Clearances'!$B$5:$B$169)-ROW('"&amp;"Chemical Clearances'!$A$4:$Q$4)),IFERROR((MATCH('Chemical Clearances'!$B$5:$B$169,'Chemical Clearances'!$B$5:$B$169,0)=ROW('Chemical Clearances'!$B$5:$B$169)-ROW('Chemical Clearances'!$A$4:$Q$4)),FALSE)),ROWS(R$5:R253))),'Chemical Clearances'!$B$5:$B$169,"&amp;"0)),"""")), 1, 1)"),"")</f>
        <v/>
      </c>
      <c r="X25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Invoices'!$A$4:$V$4)),FALSE)),ROWS(X$5:X253))),"""")), 1, 1)"),"")</f>
        <v/>
      </c>
      <c r="Y253" s="333" t="str">
        <f t="array" ref="Y253">IF(X253="","",X253&amp;"  –  "&amp;INDEX('Bills &amp; Invoices'!$D$5:$D$32,MATCH(X253,'Bills &amp; Invoices'!$B$5:$B$32,0))&amp;"  –  $"&amp;TEXT(SUMIFS('Bills &amp; Invoices'!$J$5:$J$32,'Bills &amp; Invoices'!$B$5:$B$32,X253),"#,##0"))</f>
        <v/>
      </c>
      <c r="Z253" s="333" t="str">
        <f t="array" ref="Z253">IF(X253="","",INDEX('Bills &amp; Invoices'!$D$5:$D$32,MATCH(X253,'Bills &amp; Invoices'!$B$5:$B$32,0)))</f>
        <v/>
      </c>
      <c r="AA253" s="334" t="str">
        <f t="array" ref="AA253">IF(X253="","",INDEX('Bills &amp; Invoices'!$K$5:$K$32,MATCH(X253,'Bills &amp; Invoices'!$B$5:$B$32,0)))</f>
        <v/>
      </c>
      <c r="AB253" s="335" t="str">
        <f>IF(X253="","",SUMIFS('Bills &amp; Invoices'!$J$5:$J$32,'Bills &amp; Invoices'!$B$5:$B$32,X253))</f>
        <v/>
      </c>
      <c r="AC253" s="335" t="str">
        <f>IF(X253="","",SUMIFS('Payments &amp; Receipts'!$F$5:$F$58,'Payments &amp; Receipts'!$L$5:$L$58,X253))</f>
        <v/>
      </c>
      <c r="AD253" s="333" t="str">
        <f t="array" ref="AD253">IF(X253="","",INDEX('Bills &amp; Invoices'!$U$5:$U$32,MATCH(X253,'Bills &amp; Invoices'!$B$5:$B$32,0)))</f>
        <v/>
      </c>
    </row>
    <row r="254" ht="14.25" customHeight="1">
      <c r="R25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Clearances'!$A$4:$Q$4)),FALSE)),ROWS(R$5:R254)))&amp;""  –  ""&amp;INDEX('Chemical Clearances'!$D$5:$D$169,MATCH(INDEX('Chemical Clearances'!$B$5:$B$169,LARGE(FILTER((ROW('Chemical Clearances'!$B$5:$B$169)-ROW('"&amp;"Chemical Clearances'!$A$4:$Q$4)),IFERROR((MATCH('Chemical Clearances'!$B$5:$B$169,'Chemical Clearances'!$B$5:$B$169,0)=ROW('Chemical Clearances'!$B$5:$B$169)-ROW('Chemical Clearances'!$A$4:$Q$4)),FALSE)),ROWS(R$5:R254))),'Chemical Clearances'!$B$5:$B$169,"&amp;"0)),"""")), 1, 1)"),"")</f>
        <v/>
      </c>
      <c r="X25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Invoices'!$A$4:$V$4)),FALSE)),ROWS(X$5:X254))),"""")), 1, 1)"),"")</f>
        <v/>
      </c>
      <c r="Y254" s="333" t="str">
        <f t="array" ref="Y254">IF(X254="","",X254&amp;"  –  "&amp;INDEX('Bills &amp; Invoices'!$D$5:$D$32,MATCH(X254,'Bills &amp; Invoices'!$B$5:$B$32,0))&amp;"  –  $"&amp;TEXT(SUMIFS('Bills &amp; Invoices'!$J$5:$J$32,'Bills &amp; Invoices'!$B$5:$B$32,X254),"#,##0"))</f>
        <v/>
      </c>
      <c r="Z254" s="333" t="str">
        <f t="array" ref="Z254">IF(X254="","",INDEX('Bills &amp; Invoices'!$D$5:$D$32,MATCH(X254,'Bills &amp; Invoices'!$B$5:$B$32,0)))</f>
        <v/>
      </c>
      <c r="AA254" s="334" t="str">
        <f t="array" ref="AA254">IF(X254="","",INDEX('Bills &amp; Invoices'!$K$5:$K$32,MATCH(X254,'Bills &amp; Invoices'!$B$5:$B$32,0)))</f>
        <v/>
      </c>
      <c r="AB254" s="335" t="str">
        <f>IF(X254="","",SUMIFS('Bills &amp; Invoices'!$J$5:$J$32,'Bills &amp; Invoices'!$B$5:$B$32,X254))</f>
        <v/>
      </c>
      <c r="AC254" s="335" t="str">
        <f>IF(X254="","",SUMIFS('Payments &amp; Receipts'!$F$5:$F$58,'Payments &amp; Receipts'!$L$5:$L$58,X254))</f>
        <v/>
      </c>
      <c r="AD254" s="333" t="str">
        <f t="array" ref="AD254">IF(X254="","",INDEX('Bills &amp; Invoices'!$U$5:$U$32,MATCH(X254,'Bills &amp; Invoices'!$B$5:$B$32,0)))</f>
        <v/>
      </c>
    </row>
    <row r="255" ht="14.25" customHeight="1">
      <c r="R25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Clearances'!$A$4:$Q$4)),FALSE)),ROWS(R$5:R255)))&amp;""  –  ""&amp;INDEX('Chemical Clearances'!$D$5:$D$169,MATCH(INDEX('Chemical Clearances'!$B$5:$B$169,LARGE(FILTER((ROW('Chemical Clearances'!$B$5:$B$169)-ROW('"&amp;"Chemical Clearances'!$A$4:$Q$4)),IFERROR((MATCH('Chemical Clearances'!$B$5:$B$169,'Chemical Clearances'!$B$5:$B$169,0)=ROW('Chemical Clearances'!$B$5:$B$169)-ROW('Chemical Clearances'!$A$4:$Q$4)),FALSE)),ROWS(R$5:R255))),'Chemical Clearances'!$B$5:$B$169,"&amp;"0)),"""")), 1, 1)"),"")</f>
        <v/>
      </c>
      <c r="X25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Invoices'!$A$4:$V$4)),FALSE)),ROWS(X$5:X255))),"""")), 1, 1)"),"")</f>
        <v/>
      </c>
      <c r="Y255" s="333" t="str">
        <f t="array" ref="Y255">IF(X255="","",X255&amp;"  –  "&amp;INDEX('Bills &amp; Invoices'!$D$5:$D$32,MATCH(X255,'Bills &amp; Invoices'!$B$5:$B$32,0))&amp;"  –  $"&amp;TEXT(SUMIFS('Bills &amp; Invoices'!$J$5:$J$32,'Bills &amp; Invoices'!$B$5:$B$32,X255),"#,##0"))</f>
        <v/>
      </c>
      <c r="Z255" s="333" t="str">
        <f t="array" ref="Z255">IF(X255="","",INDEX('Bills &amp; Invoices'!$D$5:$D$32,MATCH(X255,'Bills &amp; Invoices'!$B$5:$B$32,0)))</f>
        <v/>
      </c>
      <c r="AA255" s="334" t="str">
        <f t="array" ref="AA255">IF(X255="","",INDEX('Bills &amp; Invoices'!$K$5:$K$32,MATCH(X255,'Bills &amp; Invoices'!$B$5:$B$32,0)))</f>
        <v/>
      </c>
      <c r="AB255" s="335" t="str">
        <f>IF(X255="","",SUMIFS('Bills &amp; Invoices'!$J$5:$J$32,'Bills &amp; Invoices'!$B$5:$B$32,X255))</f>
        <v/>
      </c>
      <c r="AC255" s="335" t="str">
        <f>IF(X255="","",SUMIFS('Payments &amp; Receipts'!$F$5:$F$58,'Payments &amp; Receipts'!$L$5:$L$58,X255))</f>
        <v/>
      </c>
      <c r="AD255" s="333" t="str">
        <f t="array" ref="AD255">IF(X255="","",INDEX('Bills &amp; Invoices'!$U$5:$U$32,MATCH(X255,'Bills &amp; Invoices'!$B$5:$B$32,0)))</f>
        <v/>
      </c>
    </row>
    <row r="256" ht="14.25" customHeight="1">
      <c r="R25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Clearances'!$A$4:$Q$4)),FALSE)),ROWS(R$5:R256)))&amp;""  –  ""&amp;INDEX('Chemical Clearances'!$D$5:$D$169,MATCH(INDEX('Chemical Clearances'!$B$5:$B$169,LARGE(FILTER((ROW('Chemical Clearances'!$B$5:$B$169)-ROW('"&amp;"Chemical Clearances'!$A$4:$Q$4)),IFERROR((MATCH('Chemical Clearances'!$B$5:$B$169,'Chemical Clearances'!$B$5:$B$169,0)=ROW('Chemical Clearances'!$B$5:$B$169)-ROW('Chemical Clearances'!$A$4:$Q$4)),FALSE)),ROWS(R$5:R256))),'Chemical Clearances'!$B$5:$B$169,"&amp;"0)),"""")), 1, 1)"),"")</f>
        <v/>
      </c>
      <c r="X25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Invoices'!$A$4:$V$4)),FALSE)),ROWS(X$5:X256))),"""")), 1, 1)"),"")</f>
        <v/>
      </c>
      <c r="Y256" s="333" t="str">
        <f t="array" ref="Y256">IF(X256="","",X256&amp;"  –  "&amp;INDEX('Bills &amp; Invoices'!$D$5:$D$32,MATCH(X256,'Bills &amp; Invoices'!$B$5:$B$32,0))&amp;"  –  $"&amp;TEXT(SUMIFS('Bills &amp; Invoices'!$J$5:$J$32,'Bills &amp; Invoices'!$B$5:$B$32,X256),"#,##0"))</f>
        <v/>
      </c>
      <c r="Z256" s="333" t="str">
        <f t="array" ref="Z256">IF(X256="","",INDEX('Bills &amp; Invoices'!$D$5:$D$32,MATCH(X256,'Bills &amp; Invoices'!$B$5:$B$32,0)))</f>
        <v/>
      </c>
      <c r="AA256" s="334" t="str">
        <f t="array" ref="AA256">IF(X256="","",INDEX('Bills &amp; Invoices'!$K$5:$K$32,MATCH(X256,'Bills &amp; Invoices'!$B$5:$B$32,0)))</f>
        <v/>
      </c>
      <c r="AB256" s="335" t="str">
        <f>IF(X256="","",SUMIFS('Bills &amp; Invoices'!$J$5:$J$32,'Bills &amp; Invoices'!$B$5:$B$32,X256))</f>
        <v/>
      </c>
      <c r="AC256" s="335" t="str">
        <f>IF(X256="","",SUMIFS('Payments &amp; Receipts'!$F$5:$F$58,'Payments &amp; Receipts'!$L$5:$L$58,X256))</f>
        <v/>
      </c>
      <c r="AD256" s="333" t="str">
        <f t="array" ref="AD256">IF(X256="","",INDEX('Bills &amp; Invoices'!$U$5:$U$32,MATCH(X256,'Bills &amp; Invoices'!$B$5:$B$32,0)))</f>
        <v/>
      </c>
    </row>
    <row r="257" ht="14.25" customHeight="1">
      <c r="R25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Clearances'!$A$4:$Q$4)),FALSE)),ROWS(R$5:R257)))&amp;""  –  ""&amp;INDEX('Chemical Clearances'!$D$5:$D$169,MATCH(INDEX('Chemical Clearances'!$B$5:$B$169,LARGE(FILTER((ROW('Chemical Clearances'!$B$5:$B$169)-ROW('"&amp;"Chemical Clearances'!$A$4:$Q$4)),IFERROR((MATCH('Chemical Clearances'!$B$5:$B$169,'Chemical Clearances'!$B$5:$B$169,0)=ROW('Chemical Clearances'!$B$5:$B$169)-ROW('Chemical Clearances'!$A$4:$Q$4)),FALSE)),ROWS(R$5:R257))),'Chemical Clearances'!$B$5:$B$169,"&amp;"0)),"""")), 1, 1)"),"")</f>
        <v/>
      </c>
      <c r="X25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Invoices'!$A$4:$V$4)),FALSE)),ROWS(X$5:X257))),"""")), 1, 1)"),"")</f>
        <v/>
      </c>
      <c r="Y257" s="333" t="str">
        <f t="array" ref="Y257">IF(X257="","",X257&amp;"  –  "&amp;INDEX('Bills &amp; Invoices'!$D$5:$D$32,MATCH(X257,'Bills &amp; Invoices'!$B$5:$B$32,0))&amp;"  –  $"&amp;TEXT(SUMIFS('Bills &amp; Invoices'!$J$5:$J$32,'Bills &amp; Invoices'!$B$5:$B$32,X257),"#,##0"))</f>
        <v/>
      </c>
      <c r="Z257" s="333" t="str">
        <f t="array" ref="Z257">IF(X257="","",INDEX('Bills &amp; Invoices'!$D$5:$D$32,MATCH(X257,'Bills &amp; Invoices'!$B$5:$B$32,0)))</f>
        <v/>
      </c>
      <c r="AA257" s="334" t="str">
        <f t="array" ref="AA257">IF(X257="","",INDEX('Bills &amp; Invoices'!$K$5:$K$32,MATCH(X257,'Bills &amp; Invoices'!$B$5:$B$32,0)))</f>
        <v/>
      </c>
      <c r="AB257" s="335" t="str">
        <f>IF(X257="","",SUMIFS('Bills &amp; Invoices'!$J$5:$J$32,'Bills &amp; Invoices'!$B$5:$B$32,X257))</f>
        <v/>
      </c>
      <c r="AC257" s="335" t="str">
        <f>IF(X257="","",SUMIFS('Payments &amp; Receipts'!$F$5:$F$58,'Payments &amp; Receipts'!$L$5:$L$58,X257))</f>
        <v/>
      </c>
      <c r="AD257" s="333" t="str">
        <f t="array" ref="AD257">IF(X257="","",INDEX('Bills &amp; Invoices'!$U$5:$U$32,MATCH(X257,'Bills &amp; Invoices'!$B$5:$B$32,0)))</f>
        <v/>
      </c>
    </row>
    <row r="258" ht="14.25" customHeight="1">
      <c r="R25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Clearances'!$A$4:$Q$4)),FALSE)),ROWS(R$5:R258)))&amp;""  –  ""&amp;INDEX('Chemical Clearances'!$D$5:$D$169,MATCH(INDEX('Chemical Clearances'!$B$5:$B$169,LARGE(FILTER((ROW('Chemical Clearances'!$B$5:$B$169)-ROW('"&amp;"Chemical Clearances'!$A$4:$Q$4)),IFERROR((MATCH('Chemical Clearances'!$B$5:$B$169,'Chemical Clearances'!$B$5:$B$169,0)=ROW('Chemical Clearances'!$B$5:$B$169)-ROW('Chemical Clearances'!$A$4:$Q$4)),FALSE)),ROWS(R$5:R258))),'Chemical Clearances'!$B$5:$B$169,"&amp;"0)),"""")), 1, 1)"),"")</f>
        <v/>
      </c>
      <c r="X25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Invoices'!$A$4:$V$4)),FALSE)),ROWS(X$5:X258))),"""")), 1, 1)"),"")</f>
        <v/>
      </c>
      <c r="Y258" s="333" t="str">
        <f t="array" ref="Y258">IF(X258="","",X258&amp;"  –  "&amp;INDEX('Bills &amp; Invoices'!$D$5:$D$32,MATCH(X258,'Bills &amp; Invoices'!$B$5:$B$32,0))&amp;"  –  $"&amp;TEXT(SUMIFS('Bills &amp; Invoices'!$J$5:$J$32,'Bills &amp; Invoices'!$B$5:$B$32,X258),"#,##0"))</f>
        <v/>
      </c>
      <c r="Z258" s="333" t="str">
        <f t="array" ref="Z258">IF(X258="","",INDEX('Bills &amp; Invoices'!$D$5:$D$32,MATCH(X258,'Bills &amp; Invoices'!$B$5:$B$32,0)))</f>
        <v/>
      </c>
      <c r="AA258" s="334" t="str">
        <f t="array" ref="AA258">IF(X258="","",INDEX('Bills &amp; Invoices'!$K$5:$K$32,MATCH(X258,'Bills &amp; Invoices'!$B$5:$B$32,0)))</f>
        <v/>
      </c>
      <c r="AB258" s="335" t="str">
        <f>IF(X258="","",SUMIFS('Bills &amp; Invoices'!$J$5:$J$32,'Bills &amp; Invoices'!$B$5:$B$32,X258))</f>
        <v/>
      </c>
      <c r="AC258" s="335" t="str">
        <f>IF(X258="","",SUMIFS('Payments &amp; Receipts'!$F$5:$F$58,'Payments &amp; Receipts'!$L$5:$L$58,X258))</f>
        <v/>
      </c>
      <c r="AD258" s="333" t="str">
        <f t="array" ref="AD258">IF(X258="","",INDEX('Bills &amp; Invoices'!$U$5:$U$32,MATCH(X258,'Bills &amp; Invoices'!$B$5:$B$32,0)))</f>
        <v/>
      </c>
    </row>
    <row r="259" ht="14.25" customHeight="1">
      <c r="R25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Clearances'!$A$4:$Q$4)),FALSE)),ROWS(R$5:R259)))&amp;""  –  ""&amp;INDEX('Chemical Clearances'!$D$5:$D$169,MATCH(INDEX('Chemical Clearances'!$B$5:$B$169,LARGE(FILTER((ROW('Chemical Clearances'!$B$5:$B$169)-ROW('"&amp;"Chemical Clearances'!$A$4:$Q$4)),IFERROR((MATCH('Chemical Clearances'!$B$5:$B$169,'Chemical Clearances'!$B$5:$B$169,0)=ROW('Chemical Clearances'!$B$5:$B$169)-ROW('Chemical Clearances'!$A$4:$Q$4)),FALSE)),ROWS(R$5:R259))),'Chemical Clearances'!$B$5:$B$169,"&amp;"0)),"""")), 1, 1)"),"")</f>
        <v/>
      </c>
      <c r="X25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Invoices'!$A$4:$V$4)),FALSE)),ROWS(X$5:X259))),"""")), 1, 1)"),"")</f>
        <v/>
      </c>
      <c r="Y259" s="333" t="str">
        <f t="array" ref="Y259">IF(X259="","",X259&amp;"  –  "&amp;INDEX('Bills &amp; Invoices'!$D$5:$D$32,MATCH(X259,'Bills &amp; Invoices'!$B$5:$B$32,0))&amp;"  –  $"&amp;TEXT(SUMIFS('Bills &amp; Invoices'!$J$5:$J$32,'Bills &amp; Invoices'!$B$5:$B$32,X259),"#,##0"))</f>
        <v/>
      </c>
      <c r="Z259" s="333" t="str">
        <f t="array" ref="Z259">IF(X259="","",INDEX('Bills &amp; Invoices'!$D$5:$D$32,MATCH(X259,'Bills &amp; Invoices'!$B$5:$B$32,0)))</f>
        <v/>
      </c>
      <c r="AA259" s="334" t="str">
        <f t="array" ref="AA259">IF(X259="","",INDEX('Bills &amp; Invoices'!$K$5:$K$32,MATCH(X259,'Bills &amp; Invoices'!$B$5:$B$32,0)))</f>
        <v/>
      </c>
      <c r="AB259" s="335" t="str">
        <f>IF(X259="","",SUMIFS('Bills &amp; Invoices'!$J$5:$J$32,'Bills &amp; Invoices'!$B$5:$B$32,X259))</f>
        <v/>
      </c>
      <c r="AC259" s="335" t="str">
        <f>IF(X259="","",SUMIFS('Payments &amp; Receipts'!$F$5:$F$58,'Payments &amp; Receipts'!$L$5:$L$58,X259))</f>
        <v/>
      </c>
      <c r="AD259" s="333" t="str">
        <f t="array" ref="AD259">IF(X259="","",INDEX('Bills &amp; Invoices'!$U$5:$U$32,MATCH(X259,'Bills &amp; Invoices'!$B$5:$B$32,0)))</f>
        <v/>
      </c>
    </row>
    <row r="260" ht="14.25" customHeight="1">
      <c r="R26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Clearances'!$A$4:$Q$4)),FALSE)),ROWS(R$5:R260)))&amp;""  –  ""&amp;INDEX('Chemical Clearances'!$D$5:$D$169,MATCH(INDEX('Chemical Clearances'!$B$5:$B$169,LARGE(FILTER((ROW('Chemical Clearances'!$B$5:$B$169)-ROW('"&amp;"Chemical Clearances'!$A$4:$Q$4)),IFERROR((MATCH('Chemical Clearances'!$B$5:$B$169,'Chemical Clearances'!$B$5:$B$169,0)=ROW('Chemical Clearances'!$B$5:$B$169)-ROW('Chemical Clearances'!$A$4:$Q$4)),FALSE)),ROWS(R$5:R260))),'Chemical Clearances'!$B$5:$B$169,"&amp;"0)),"""")), 1, 1)"),"")</f>
        <v/>
      </c>
      <c r="X26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Invoices'!$A$4:$V$4)),FALSE)),ROWS(X$5:X260))),"""")), 1, 1)"),"")</f>
        <v/>
      </c>
      <c r="Y260" s="333" t="str">
        <f t="array" ref="Y260">IF(X260="","",X260&amp;"  –  "&amp;INDEX('Bills &amp; Invoices'!$D$5:$D$32,MATCH(X260,'Bills &amp; Invoices'!$B$5:$B$32,0))&amp;"  –  $"&amp;TEXT(SUMIFS('Bills &amp; Invoices'!$J$5:$J$32,'Bills &amp; Invoices'!$B$5:$B$32,X260),"#,##0"))</f>
        <v/>
      </c>
      <c r="Z260" s="333" t="str">
        <f t="array" ref="Z260">IF(X260="","",INDEX('Bills &amp; Invoices'!$D$5:$D$32,MATCH(X260,'Bills &amp; Invoices'!$B$5:$B$32,0)))</f>
        <v/>
      </c>
      <c r="AA260" s="334" t="str">
        <f t="array" ref="AA260">IF(X260="","",INDEX('Bills &amp; Invoices'!$K$5:$K$32,MATCH(X260,'Bills &amp; Invoices'!$B$5:$B$32,0)))</f>
        <v/>
      </c>
      <c r="AB260" s="335" t="str">
        <f>IF(X260="","",SUMIFS('Bills &amp; Invoices'!$J$5:$J$32,'Bills &amp; Invoices'!$B$5:$B$32,X260))</f>
        <v/>
      </c>
      <c r="AC260" s="335" t="str">
        <f>IF(X260="","",SUMIFS('Payments &amp; Receipts'!$F$5:$F$58,'Payments &amp; Receipts'!$L$5:$L$58,X260))</f>
        <v/>
      </c>
      <c r="AD260" s="333" t="str">
        <f t="array" ref="AD260">IF(X260="","",INDEX('Bills &amp; Invoices'!$U$5:$U$32,MATCH(X260,'Bills &amp; Invoices'!$B$5:$B$32,0)))</f>
        <v/>
      </c>
    </row>
    <row r="261" ht="14.25" customHeight="1">
      <c r="R26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Clearances'!$A$4:$Q$4)),FALSE)),ROWS(R$5:R261)))&amp;""  –  ""&amp;INDEX('Chemical Clearances'!$D$5:$D$169,MATCH(INDEX('Chemical Clearances'!$B$5:$B$169,LARGE(FILTER((ROW('Chemical Clearances'!$B$5:$B$169)-ROW('"&amp;"Chemical Clearances'!$A$4:$Q$4)),IFERROR((MATCH('Chemical Clearances'!$B$5:$B$169,'Chemical Clearances'!$B$5:$B$169,0)=ROW('Chemical Clearances'!$B$5:$B$169)-ROW('Chemical Clearances'!$A$4:$Q$4)),FALSE)),ROWS(R$5:R261))),'Chemical Clearances'!$B$5:$B$169,"&amp;"0)),"""")), 1, 1)"),"")</f>
        <v/>
      </c>
      <c r="X26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Invoices'!$A$4:$V$4)),FALSE)),ROWS(X$5:X261))),"""")), 1, 1)"),"")</f>
        <v/>
      </c>
      <c r="Y261" s="333" t="str">
        <f t="array" ref="Y261">IF(X261="","",X261&amp;"  –  "&amp;INDEX('Bills &amp; Invoices'!$D$5:$D$32,MATCH(X261,'Bills &amp; Invoices'!$B$5:$B$32,0))&amp;"  –  $"&amp;TEXT(SUMIFS('Bills &amp; Invoices'!$J$5:$J$32,'Bills &amp; Invoices'!$B$5:$B$32,X261),"#,##0"))</f>
        <v/>
      </c>
      <c r="Z261" s="333" t="str">
        <f t="array" ref="Z261">IF(X261="","",INDEX('Bills &amp; Invoices'!$D$5:$D$32,MATCH(X261,'Bills &amp; Invoices'!$B$5:$B$32,0)))</f>
        <v/>
      </c>
      <c r="AA261" s="334" t="str">
        <f t="array" ref="AA261">IF(X261="","",INDEX('Bills &amp; Invoices'!$K$5:$K$32,MATCH(X261,'Bills &amp; Invoices'!$B$5:$B$32,0)))</f>
        <v/>
      </c>
      <c r="AB261" s="335" t="str">
        <f>IF(X261="","",SUMIFS('Bills &amp; Invoices'!$J$5:$J$32,'Bills &amp; Invoices'!$B$5:$B$32,X261))</f>
        <v/>
      </c>
      <c r="AC261" s="335" t="str">
        <f>IF(X261="","",SUMIFS('Payments &amp; Receipts'!$F$5:$F$58,'Payments &amp; Receipts'!$L$5:$L$58,X261))</f>
        <v/>
      </c>
      <c r="AD261" s="333" t="str">
        <f t="array" ref="AD261">IF(X261="","",INDEX('Bills &amp; Invoices'!$U$5:$U$32,MATCH(X261,'Bills &amp; Invoices'!$B$5:$B$32,0)))</f>
        <v/>
      </c>
    </row>
    <row r="262" ht="14.25" customHeight="1">
      <c r="R26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Clearances'!$A$4:$Q$4)),FALSE)),ROWS(R$5:R262)))&amp;""  –  ""&amp;INDEX('Chemical Clearances'!$D$5:$D$169,MATCH(INDEX('Chemical Clearances'!$B$5:$B$169,LARGE(FILTER((ROW('Chemical Clearances'!$B$5:$B$169)-ROW('"&amp;"Chemical Clearances'!$A$4:$Q$4)),IFERROR((MATCH('Chemical Clearances'!$B$5:$B$169,'Chemical Clearances'!$B$5:$B$169,0)=ROW('Chemical Clearances'!$B$5:$B$169)-ROW('Chemical Clearances'!$A$4:$Q$4)),FALSE)),ROWS(R$5:R262))),'Chemical Clearances'!$B$5:$B$169,"&amp;"0)),"""")), 1, 1)"),"")</f>
        <v/>
      </c>
      <c r="X26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Invoices'!$A$4:$V$4)),FALSE)),ROWS(X$5:X262))),"""")), 1, 1)"),"")</f>
        <v/>
      </c>
      <c r="Y262" s="333" t="str">
        <f t="array" ref="Y262">IF(X262="","",X262&amp;"  –  "&amp;INDEX('Bills &amp; Invoices'!$D$5:$D$32,MATCH(X262,'Bills &amp; Invoices'!$B$5:$B$32,0))&amp;"  –  $"&amp;TEXT(SUMIFS('Bills &amp; Invoices'!$J$5:$J$32,'Bills &amp; Invoices'!$B$5:$B$32,X262),"#,##0"))</f>
        <v/>
      </c>
      <c r="Z262" s="333" t="str">
        <f t="array" ref="Z262">IF(X262="","",INDEX('Bills &amp; Invoices'!$D$5:$D$32,MATCH(X262,'Bills &amp; Invoices'!$B$5:$B$32,0)))</f>
        <v/>
      </c>
      <c r="AA262" s="334" t="str">
        <f t="array" ref="AA262">IF(X262="","",INDEX('Bills &amp; Invoices'!$K$5:$K$32,MATCH(X262,'Bills &amp; Invoices'!$B$5:$B$32,0)))</f>
        <v/>
      </c>
      <c r="AB262" s="335" t="str">
        <f>IF(X262="","",SUMIFS('Bills &amp; Invoices'!$J$5:$J$32,'Bills &amp; Invoices'!$B$5:$B$32,X262))</f>
        <v/>
      </c>
      <c r="AC262" s="335" t="str">
        <f>IF(X262="","",SUMIFS('Payments &amp; Receipts'!$F$5:$F$58,'Payments &amp; Receipts'!$L$5:$L$58,X262))</f>
        <v/>
      </c>
      <c r="AD262" s="333" t="str">
        <f t="array" ref="AD262">IF(X262="","",INDEX('Bills &amp; Invoices'!$U$5:$U$32,MATCH(X262,'Bills &amp; Invoices'!$B$5:$B$32,0)))</f>
        <v/>
      </c>
    </row>
    <row r="263" ht="14.25" customHeight="1">
      <c r="R26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Clearances'!$A$4:$Q$4)),FALSE)),ROWS(R$5:R263)))&amp;""  –  ""&amp;INDEX('Chemical Clearances'!$D$5:$D$169,MATCH(INDEX('Chemical Clearances'!$B$5:$B$169,LARGE(FILTER((ROW('Chemical Clearances'!$B$5:$B$169)-ROW('"&amp;"Chemical Clearances'!$A$4:$Q$4)),IFERROR((MATCH('Chemical Clearances'!$B$5:$B$169,'Chemical Clearances'!$B$5:$B$169,0)=ROW('Chemical Clearances'!$B$5:$B$169)-ROW('Chemical Clearances'!$A$4:$Q$4)),FALSE)),ROWS(R$5:R263))),'Chemical Clearances'!$B$5:$B$169,"&amp;"0)),"""")), 1, 1)"),"")</f>
        <v/>
      </c>
      <c r="X26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Invoices'!$A$4:$V$4)),FALSE)),ROWS(X$5:X263))),"""")), 1, 1)"),"")</f>
        <v/>
      </c>
      <c r="Y263" s="333" t="str">
        <f t="array" ref="Y263">IF(X263="","",X263&amp;"  –  "&amp;INDEX('Bills &amp; Invoices'!$D$5:$D$32,MATCH(X263,'Bills &amp; Invoices'!$B$5:$B$32,0))&amp;"  –  $"&amp;TEXT(SUMIFS('Bills &amp; Invoices'!$J$5:$J$32,'Bills &amp; Invoices'!$B$5:$B$32,X263),"#,##0"))</f>
        <v/>
      </c>
      <c r="Z263" s="333" t="str">
        <f t="array" ref="Z263">IF(X263="","",INDEX('Bills &amp; Invoices'!$D$5:$D$32,MATCH(X263,'Bills &amp; Invoices'!$B$5:$B$32,0)))</f>
        <v/>
      </c>
      <c r="AA263" s="334" t="str">
        <f t="array" ref="AA263">IF(X263="","",INDEX('Bills &amp; Invoices'!$K$5:$K$32,MATCH(X263,'Bills &amp; Invoices'!$B$5:$B$32,0)))</f>
        <v/>
      </c>
      <c r="AB263" s="335" t="str">
        <f>IF(X263="","",SUMIFS('Bills &amp; Invoices'!$J$5:$J$32,'Bills &amp; Invoices'!$B$5:$B$32,X263))</f>
        <v/>
      </c>
      <c r="AC263" s="335" t="str">
        <f>IF(X263="","",SUMIFS('Payments &amp; Receipts'!$F$5:$F$58,'Payments &amp; Receipts'!$L$5:$L$58,X263))</f>
        <v/>
      </c>
      <c r="AD263" s="333" t="str">
        <f t="array" ref="AD263">IF(X263="","",INDEX('Bills &amp; Invoices'!$U$5:$U$32,MATCH(X263,'Bills &amp; Invoices'!$B$5:$B$32,0)))</f>
        <v/>
      </c>
    </row>
    <row r="264" ht="14.25" customHeight="1">
      <c r="R26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Clearances'!$A$4:$Q$4)),FALSE)),ROWS(R$5:R264)))&amp;""  –  ""&amp;INDEX('Chemical Clearances'!$D$5:$D$169,MATCH(INDEX('Chemical Clearances'!$B$5:$B$169,LARGE(FILTER((ROW('Chemical Clearances'!$B$5:$B$169)-ROW('"&amp;"Chemical Clearances'!$A$4:$Q$4)),IFERROR((MATCH('Chemical Clearances'!$B$5:$B$169,'Chemical Clearances'!$B$5:$B$169,0)=ROW('Chemical Clearances'!$B$5:$B$169)-ROW('Chemical Clearances'!$A$4:$Q$4)),FALSE)),ROWS(R$5:R264))),'Chemical Clearances'!$B$5:$B$169,"&amp;"0)),"""")), 1, 1)"),"")</f>
        <v/>
      </c>
      <c r="X26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Invoices'!$A$4:$V$4)),FALSE)),ROWS(X$5:X264))),"""")), 1, 1)"),"")</f>
        <v/>
      </c>
      <c r="Y264" s="333" t="str">
        <f t="array" ref="Y264">IF(X264="","",X264&amp;"  –  "&amp;INDEX('Bills &amp; Invoices'!$D$5:$D$32,MATCH(X264,'Bills &amp; Invoices'!$B$5:$B$32,0))&amp;"  –  $"&amp;TEXT(SUMIFS('Bills &amp; Invoices'!$J$5:$J$32,'Bills &amp; Invoices'!$B$5:$B$32,X264),"#,##0"))</f>
        <v/>
      </c>
      <c r="Z264" s="333" t="str">
        <f t="array" ref="Z264">IF(X264="","",INDEX('Bills &amp; Invoices'!$D$5:$D$32,MATCH(X264,'Bills &amp; Invoices'!$B$5:$B$32,0)))</f>
        <v/>
      </c>
      <c r="AA264" s="334" t="str">
        <f t="array" ref="AA264">IF(X264="","",INDEX('Bills &amp; Invoices'!$K$5:$K$32,MATCH(X264,'Bills &amp; Invoices'!$B$5:$B$32,0)))</f>
        <v/>
      </c>
      <c r="AB264" s="335" t="str">
        <f>IF(X264="","",SUMIFS('Bills &amp; Invoices'!$J$5:$J$32,'Bills &amp; Invoices'!$B$5:$B$32,X264))</f>
        <v/>
      </c>
      <c r="AC264" s="335" t="str">
        <f>IF(X264="","",SUMIFS('Payments &amp; Receipts'!$F$5:$F$58,'Payments &amp; Receipts'!$L$5:$L$58,X264))</f>
        <v/>
      </c>
      <c r="AD264" s="333" t="str">
        <f t="array" ref="AD264">IF(X264="","",INDEX('Bills &amp; Invoices'!$U$5:$U$32,MATCH(X264,'Bills &amp; Invoices'!$B$5:$B$32,0)))</f>
        <v/>
      </c>
    </row>
    <row r="265" ht="14.25" customHeight="1">
      <c r="R26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Clearances'!$A$4:$Q$4)),FALSE)),ROWS(R$5:R265)))&amp;""  –  ""&amp;INDEX('Chemical Clearances'!$D$5:$D$169,MATCH(INDEX('Chemical Clearances'!$B$5:$B$169,LARGE(FILTER((ROW('Chemical Clearances'!$B$5:$B$169)-ROW('"&amp;"Chemical Clearances'!$A$4:$Q$4)),IFERROR((MATCH('Chemical Clearances'!$B$5:$B$169,'Chemical Clearances'!$B$5:$B$169,0)=ROW('Chemical Clearances'!$B$5:$B$169)-ROW('Chemical Clearances'!$A$4:$Q$4)),FALSE)),ROWS(R$5:R265))),'Chemical Clearances'!$B$5:$B$169,"&amp;"0)),"""")), 1, 1)"),"")</f>
        <v/>
      </c>
      <c r="X26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Invoices'!$A$4:$V$4)),FALSE)),ROWS(X$5:X265))),"""")), 1, 1)"),"")</f>
        <v/>
      </c>
      <c r="Y265" s="333" t="str">
        <f t="array" ref="Y265">IF(X265="","",X265&amp;"  –  "&amp;INDEX('Bills &amp; Invoices'!$D$5:$D$32,MATCH(X265,'Bills &amp; Invoices'!$B$5:$B$32,0))&amp;"  –  $"&amp;TEXT(SUMIFS('Bills &amp; Invoices'!$J$5:$J$32,'Bills &amp; Invoices'!$B$5:$B$32,X265),"#,##0"))</f>
        <v/>
      </c>
      <c r="Z265" s="333" t="str">
        <f t="array" ref="Z265">IF(X265="","",INDEX('Bills &amp; Invoices'!$D$5:$D$32,MATCH(X265,'Bills &amp; Invoices'!$B$5:$B$32,0)))</f>
        <v/>
      </c>
      <c r="AA265" s="334" t="str">
        <f t="array" ref="AA265">IF(X265="","",INDEX('Bills &amp; Invoices'!$K$5:$K$32,MATCH(X265,'Bills &amp; Invoices'!$B$5:$B$32,0)))</f>
        <v/>
      </c>
      <c r="AB265" s="335" t="str">
        <f>IF(X265="","",SUMIFS('Bills &amp; Invoices'!$J$5:$J$32,'Bills &amp; Invoices'!$B$5:$B$32,X265))</f>
        <v/>
      </c>
      <c r="AC265" s="335" t="str">
        <f>IF(X265="","",SUMIFS('Payments &amp; Receipts'!$F$5:$F$58,'Payments &amp; Receipts'!$L$5:$L$58,X265))</f>
        <v/>
      </c>
      <c r="AD265" s="333" t="str">
        <f t="array" ref="AD265">IF(X265="","",INDEX('Bills &amp; Invoices'!$U$5:$U$32,MATCH(X265,'Bills &amp; Invoices'!$B$5:$B$32,0)))</f>
        <v/>
      </c>
    </row>
    <row r="266" ht="14.25" customHeight="1">
      <c r="R26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Clearances'!$A$4:$Q$4)),FALSE)),ROWS(R$5:R266)))&amp;""  –  ""&amp;INDEX('Chemical Clearances'!$D$5:$D$169,MATCH(INDEX('Chemical Clearances'!$B$5:$B$169,LARGE(FILTER((ROW('Chemical Clearances'!$B$5:$B$169)-ROW('"&amp;"Chemical Clearances'!$A$4:$Q$4)),IFERROR((MATCH('Chemical Clearances'!$B$5:$B$169,'Chemical Clearances'!$B$5:$B$169,0)=ROW('Chemical Clearances'!$B$5:$B$169)-ROW('Chemical Clearances'!$A$4:$Q$4)),FALSE)),ROWS(R$5:R266))),'Chemical Clearances'!$B$5:$B$169,"&amp;"0)),"""")), 1, 1)"),"")</f>
        <v/>
      </c>
      <c r="X26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Invoices'!$A$4:$V$4)),FALSE)),ROWS(X$5:X266))),"""")), 1, 1)"),"")</f>
        <v/>
      </c>
      <c r="Y266" s="333" t="str">
        <f t="array" ref="Y266">IF(X266="","",X266&amp;"  –  "&amp;INDEX('Bills &amp; Invoices'!$D$5:$D$32,MATCH(X266,'Bills &amp; Invoices'!$B$5:$B$32,0))&amp;"  –  $"&amp;TEXT(SUMIFS('Bills &amp; Invoices'!$J$5:$J$32,'Bills &amp; Invoices'!$B$5:$B$32,X266),"#,##0"))</f>
        <v/>
      </c>
      <c r="Z266" s="333" t="str">
        <f t="array" ref="Z266">IF(X266="","",INDEX('Bills &amp; Invoices'!$D$5:$D$32,MATCH(X266,'Bills &amp; Invoices'!$B$5:$B$32,0)))</f>
        <v/>
      </c>
      <c r="AA266" s="334" t="str">
        <f t="array" ref="AA266">IF(X266="","",INDEX('Bills &amp; Invoices'!$K$5:$K$32,MATCH(X266,'Bills &amp; Invoices'!$B$5:$B$32,0)))</f>
        <v/>
      </c>
      <c r="AB266" s="335" t="str">
        <f>IF(X266="","",SUMIFS('Bills &amp; Invoices'!$J$5:$J$32,'Bills &amp; Invoices'!$B$5:$B$32,X266))</f>
        <v/>
      </c>
      <c r="AC266" s="335" t="str">
        <f>IF(X266="","",SUMIFS('Payments &amp; Receipts'!$F$5:$F$58,'Payments &amp; Receipts'!$L$5:$L$58,X266))</f>
        <v/>
      </c>
      <c r="AD266" s="333" t="str">
        <f t="array" ref="AD266">IF(X266="","",INDEX('Bills &amp; Invoices'!$U$5:$U$32,MATCH(X266,'Bills &amp; Invoices'!$B$5:$B$32,0)))</f>
        <v/>
      </c>
    </row>
    <row r="267" ht="14.25" customHeight="1">
      <c r="R26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Clearances'!$A$4:$Q$4)),FALSE)),ROWS(R$5:R267)))&amp;""  –  ""&amp;INDEX('Chemical Clearances'!$D$5:$D$169,MATCH(INDEX('Chemical Clearances'!$B$5:$B$169,LARGE(FILTER((ROW('Chemical Clearances'!$B$5:$B$169)-ROW('"&amp;"Chemical Clearances'!$A$4:$Q$4)),IFERROR((MATCH('Chemical Clearances'!$B$5:$B$169,'Chemical Clearances'!$B$5:$B$169,0)=ROW('Chemical Clearances'!$B$5:$B$169)-ROW('Chemical Clearances'!$A$4:$Q$4)),FALSE)),ROWS(R$5:R267))),'Chemical Clearances'!$B$5:$B$169,"&amp;"0)),"""")), 1, 1)"),"")</f>
        <v/>
      </c>
      <c r="X26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Invoices'!$A$4:$V$4)),FALSE)),ROWS(X$5:X267))),"""")), 1, 1)"),"")</f>
        <v/>
      </c>
      <c r="Y267" s="333" t="str">
        <f t="array" ref="Y267">IF(X267="","",X267&amp;"  –  "&amp;INDEX('Bills &amp; Invoices'!$D$5:$D$32,MATCH(X267,'Bills &amp; Invoices'!$B$5:$B$32,0))&amp;"  –  $"&amp;TEXT(SUMIFS('Bills &amp; Invoices'!$J$5:$J$32,'Bills &amp; Invoices'!$B$5:$B$32,X267),"#,##0"))</f>
        <v/>
      </c>
      <c r="Z267" s="333" t="str">
        <f t="array" ref="Z267">IF(X267="","",INDEX('Bills &amp; Invoices'!$D$5:$D$32,MATCH(X267,'Bills &amp; Invoices'!$B$5:$B$32,0)))</f>
        <v/>
      </c>
      <c r="AA267" s="334" t="str">
        <f t="array" ref="AA267">IF(X267="","",INDEX('Bills &amp; Invoices'!$K$5:$K$32,MATCH(X267,'Bills &amp; Invoices'!$B$5:$B$32,0)))</f>
        <v/>
      </c>
      <c r="AB267" s="335" t="str">
        <f>IF(X267="","",SUMIFS('Bills &amp; Invoices'!$J$5:$J$32,'Bills &amp; Invoices'!$B$5:$B$32,X267))</f>
        <v/>
      </c>
      <c r="AC267" s="335" t="str">
        <f>IF(X267="","",SUMIFS('Payments &amp; Receipts'!$F$5:$F$58,'Payments &amp; Receipts'!$L$5:$L$58,X267))</f>
        <v/>
      </c>
      <c r="AD267" s="333" t="str">
        <f t="array" ref="AD267">IF(X267="","",INDEX('Bills &amp; Invoices'!$U$5:$U$32,MATCH(X267,'Bills &amp; Invoices'!$B$5:$B$32,0)))</f>
        <v/>
      </c>
    </row>
    <row r="268" ht="14.25" customHeight="1">
      <c r="R26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Clearances'!$A$4:$Q$4)),FALSE)),ROWS(R$5:R268)))&amp;""  –  ""&amp;INDEX('Chemical Clearances'!$D$5:$D$169,MATCH(INDEX('Chemical Clearances'!$B$5:$B$169,LARGE(FILTER((ROW('Chemical Clearances'!$B$5:$B$169)-ROW('"&amp;"Chemical Clearances'!$A$4:$Q$4)),IFERROR((MATCH('Chemical Clearances'!$B$5:$B$169,'Chemical Clearances'!$B$5:$B$169,0)=ROW('Chemical Clearances'!$B$5:$B$169)-ROW('Chemical Clearances'!$A$4:$Q$4)),FALSE)),ROWS(R$5:R268))),'Chemical Clearances'!$B$5:$B$169,"&amp;"0)),"""")), 1, 1)"),"")</f>
        <v/>
      </c>
      <c r="X26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Invoices'!$A$4:$V$4)),FALSE)),ROWS(X$5:X268))),"""")), 1, 1)"),"")</f>
        <v/>
      </c>
      <c r="Y268" s="333" t="str">
        <f t="array" ref="Y268">IF(X268="","",X268&amp;"  –  "&amp;INDEX('Bills &amp; Invoices'!$D$5:$D$32,MATCH(X268,'Bills &amp; Invoices'!$B$5:$B$32,0))&amp;"  –  $"&amp;TEXT(SUMIFS('Bills &amp; Invoices'!$J$5:$J$32,'Bills &amp; Invoices'!$B$5:$B$32,X268),"#,##0"))</f>
        <v/>
      </c>
      <c r="Z268" s="333" t="str">
        <f t="array" ref="Z268">IF(X268="","",INDEX('Bills &amp; Invoices'!$D$5:$D$32,MATCH(X268,'Bills &amp; Invoices'!$B$5:$B$32,0)))</f>
        <v/>
      </c>
      <c r="AA268" s="334" t="str">
        <f t="array" ref="AA268">IF(X268="","",INDEX('Bills &amp; Invoices'!$K$5:$K$32,MATCH(X268,'Bills &amp; Invoices'!$B$5:$B$32,0)))</f>
        <v/>
      </c>
      <c r="AB268" s="335" t="str">
        <f>IF(X268="","",SUMIFS('Bills &amp; Invoices'!$J$5:$J$32,'Bills &amp; Invoices'!$B$5:$B$32,X268))</f>
        <v/>
      </c>
      <c r="AC268" s="335" t="str">
        <f>IF(X268="","",SUMIFS('Payments &amp; Receipts'!$F$5:$F$58,'Payments &amp; Receipts'!$L$5:$L$58,X268))</f>
        <v/>
      </c>
      <c r="AD268" s="333" t="str">
        <f t="array" ref="AD268">IF(X268="","",INDEX('Bills &amp; Invoices'!$U$5:$U$32,MATCH(X268,'Bills &amp; Invoices'!$B$5:$B$32,0)))</f>
        <v/>
      </c>
    </row>
    <row r="269" ht="14.25" customHeight="1">
      <c r="R26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Clearances'!$A$4:$Q$4)),FALSE)),ROWS(R$5:R269)))&amp;""  –  ""&amp;INDEX('Chemical Clearances'!$D$5:$D$169,MATCH(INDEX('Chemical Clearances'!$B$5:$B$169,LARGE(FILTER((ROW('Chemical Clearances'!$B$5:$B$169)-ROW('"&amp;"Chemical Clearances'!$A$4:$Q$4)),IFERROR((MATCH('Chemical Clearances'!$B$5:$B$169,'Chemical Clearances'!$B$5:$B$169,0)=ROW('Chemical Clearances'!$B$5:$B$169)-ROW('Chemical Clearances'!$A$4:$Q$4)),FALSE)),ROWS(R$5:R269))),'Chemical Clearances'!$B$5:$B$169,"&amp;"0)),"""")), 1, 1)"),"")</f>
        <v/>
      </c>
      <c r="X26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Invoices'!$A$4:$V$4)),FALSE)),ROWS(X$5:X269))),"""")), 1, 1)"),"")</f>
        <v/>
      </c>
      <c r="Y269" s="333" t="str">
        <f t="array" ref="Y269">IF(X269="","",X269&amp;"  –  "&amp;INDEX('Bills &amp; Invoices'!$D$5:$D$32,MATCH(X269,'Bills &amp; Invoices'!$B$5:$B$32,0))&amp;"  –  $"&amp;TEXT(SUMIFS('Bills &amp; Invoices'!$J$5:$J$32,'Bills &amp; Invoices'!$B$5:$B$32,X269),"#,##0"))</f>
        <v/>
      </c>
      <c r="Z269" s="333" t="str">
        <f t="array" ref="Z269">IF(X269="","",INDEX('Bills &amp; Invoices'!$D$5:$D$32,MATCH(X269,'Bills &amp; Invoices'!$B$5:$B$32,0)))</f>
        <v/>
      </c>
      <c r="AA269" s="334" t="str">
        <f t="array" ref="AA269">IF(X269="","",INDEX('Bills &amp; Invoices'!$K$5:$K$32,MATCH(X269,'Bills &amp; Invoices'!$B$5:$B$32,0)))</f>
        <v/>
      </c>
      <c r="AB269" s="335" t="str">
        <f>IF(X269="","",SUMIFS('Bills &amp; Invoices'!$J$5:$J$32,'Bills &amp; Invoices'!$B$5:$B$32,X269))</f>
        <v/>
      </c>
      <c r="AC269" s="335" t="str">
        <f>IF(X269="","",SUMIFS('Payments &amp; Receipts'!$F$5:$F$58,'Payments &amp; Receipts'!$L$5:$L$58,X269))</f>
        <v/>
      </c>
      <c r="AD269" s="333" t="str">
        <f t="array" ref="AD269">IF(X269="","",INDEX('Bills &amp; Invoices'!$U$5:$U$32,MATCH(X269,'Bills &amp; Invoices'!$B$5:$B$32,0)))</f>
        <v/>
      </c>
    </row>
    <row r="270" ht="14.25" customHeight="1">
      <c r="R27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Clearances'!$A$4:$Q$4)),FALSE)),ROWS(R$5:R270)))&amp;""  –  ""&amp;INDEX('Chemical Clearances'!$D$5:$D$169,MATCH(INDEX('Chemical Clearances'!$B$5:$B$169,LARGE(FILTER((ROW('Chemical Clearances'!$B$5:$B$169)-ROW('"&amp;"Chemical Clearances'!$A$4:$Q$4)),IFERROR((MATCH('Chemical Clearances'!$B$5:$B$169,'Chemical Clearances'!$B$5:$B$169,0)=ROW('Chemical Clearances'!$B$5:$B$169)-ROW('Chemical Clearances'!$A$4:$Q$4)),FALSE)),ROWS(R$5:R270))),'Chemical Clearances'!$B$5:$B$169,"&amp;"0)),"""")), 1, 1)"),"")</f>
        <v/>
      </c>
      <c r="X27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Invoices'!$A$4:$V$4)),FALSE)),ROWS(X$5:X270))),"""")), 1, 1)"),"")</f>
        <v/>
      </c>
      <c r="Y270" s="333" t="str">
        <f t="array" ref="Y270">IF(X270="","",X270&amp;"  –  "&amp;INDEX('Bills &amp; Invoices'!$D$5:$D$32,MATCH(X270,'Bills &amp; Invoices'!$B$5:$B$32,0))&amp;"  –  $"&amp;TEXT(SUMIFS('Bills &amp; Invoices'!$J$5:$J$32,'Bills &amp; Invoices'!$B$5:$B$32,X270),"#,##0"))</f>
        <v/>
      </c>
      <c r="Z270" s="333" t="str">
        <f t="array" ref="Z270">IF(X270="","",INDEX('Bills &amp; Invoices'!$D$5:$D$32,MATCH(X270,'Bills &amp; Invoices'!$B$5:$B$32,0)))</f>
        <v/>
      </c>
      <c r="AA270" s="334" t="str">
        <f t="array" ref="AA270">IF(X270="","",INDEX('Bills &amp; Invoices'!$K$5:$K$32,MATCH(X270,'Bills &amp; Invoices'!$B$5:$B$32,0)))</f>
        <v/>
      </c>
      <c r="AB270" s="335" t="str">
        <f>IF(X270="","",SUMIFS('Bills &amp; Invoices'!$J$5:$J$32,'Bills &amp; Invoices'!$B$5:$B$32,X270))</f>
        <v/>
      </c>
      <c r="AC270" s="335" t="str">
        <f>IF(X270="","",SUMIFS('Payments &amp; Receipts'!$F$5:$F$58,'Payments &amp; Receipts'!$L$5:$L$58,X270))</f>
        <v/>
      </c>
      <c r="AD270" s="333" t="str">
        <f t="array" ref="AD270">IF(X270="","",INDEX('Bills &amp; Invoices'!$U$5:$U$32,MATCH(X270,'Bills &amp; Invoices'!$B$5:$B$32,0)))</f>
        <v/>
      </c>
    </row>
    <row r="271" ht="14.25" customHeight="1">
      <c r="R27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Clearances'!$A$4:$Q$4)),FALSE)),ROWS(R$5:R271)))&amp;""  –  ""&amp;INDEX('Chemical Clearances'!$D$5:$D$169,MATCH(INDEX('Chemical Clearances'!$B$5:$B$169,LARGE(FILTER((ROW('Chemical Clearances'!$B$5:$B$169)-ROW('"&amp;"Chemical Clearances'!$A$4:$Q$4)),IFERROR((MATCH('Chemical Clearances'!$B$5:$B$169,'Chemical Clearances'!$B$5:$B$169,0)=ROW('Chemical Clearances'!$B$5:$B$169)-ROW('Chemical Clearances'!$A$4:$Q$4)),FALSE)),ROWS(R$5:R271))),'Chemical Clearances'!$B$5:$B$169,"&amp;"0)),"""")), 1, 1)"),"")</f>
        <v/>
      </c>
      <c r="X27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Invoices'!$A$4:$V$4)),FALSE)),ROWS(X$5:X271))),"""")), 1, 1)"),"")</f>
        <v/>
      </c>
      <c r="Y271" s="333" t="str">
        <f t="array" ref="Y271">IF(X271="","",X271&amp;"  –  "&amp;INDEX('Bills &amp; Invoices'!$D$5:$D$32,MATCH(X271,'Bills &amp; Invoices'!$B$5:$B$32,0))&amp;"  –  $"&amp;TEXT(SUMIFS('Bills &amp; Invoices'!$J$5:$J$32,'Bills &amp; Invoices'!$B$5:$B$32,X271),"#,##0"))</f>
        <v/>
      </c>
      <c r="Z271" s="333" t="str">
        <f t="array" ref="Z271">IF(X271="","",INDEX('Bills &amp; Invoices'!$D$5:$D$32,MATCH(X271,'Bills &amp; Invoices'!$B$5:$B$32,0)))</f>
        <v/>
      </c>
      <c r="AA271" s="334" t="str">
        <f t="array" ref="AA271">IF(X271="","",INDEX('Bills &amp; Invoices'!$K$5:$K$32,MATCH(X271,'Bills &amp; Invoices'!$B$5:$B$32,0)))</f>
        <v/>
      </c>
      <c r="AB271" s="335" t="str">
        <f>IF(X271="","",SUMIFS('Bills &amp; Invoices'!$J$5:$J$32,'Bills &amp; Invoices'!$B$5:$B$32,X271))</f>
        <v/>
      </c>
      <c r="AC271" s="335" t="str">
        <f>IF(X271="","",SUMIFS('Payments &amp; Receipts'!$F$5:$F$58,'Payments &amp; Receipts'!$L$5:$L$58,X271))</f>
        <v/>
      </c>
      <c r="AD271" s="333" t="str">
        <f t="array" ref="AD271">IF(X271="","",INDEX('Bills &amp; Invoices'!$U$5:$U$32,MATCH(X271,'Bills &amp; Invoices'!$B$5:$B$32,0)))</f>
        <v/>
      </c>
    </row>
    <row r="272" ht="14.25" customHeight="1">
      <c r="R27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Clearances'!$A$4:$Q$4)),FALSE)),ROWS(R$5:R272)))&amp;""  –  ""&amp;INDEX('Chemical Clearances'!$D$5:$D$169,MATCH(INDEX('Chemical Clearances'!$B$5:$B$169,LARGE(FILTER((ROW('Chemical Clearances'!$B$5:$B$169)-ROW('"&amp;"Chemical Clearances'!$A$4:$Q$4)),IFERROR((MATCH('Chemical Clearances'!$B$5:$B$169,'Chemical Clearances'!$B$5:$B$169,0)=ROW('Chemical Clearances'!$B$5:$B$169)-ROW('Chemical Clearances'!$A$4:$Q$4)),FALSE)),ROWS(R$5:R272))),'Chemical Clearances'!$B$5:$B$169,"&amp;"0)),"""")), 1, 1)"),"")</f>
        <v/>
      </c>
      <c r="X27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Invoices'!$A$4:$V$4)),FALSE)),ROWS(X$5:X272))),"""")), 1, 1)"),"")</f>
        <v/>
      </c>
      <c r="Y272" s="333" t="str">
        <f t="array" ref="Y272">IF(X272="","",X272&amp;"  –  "&amp;INDEX('Bills &amp; Invoices'!$D$5:$D$32,MATCH(X272,'Bills &amp; Invoices'!$B$5:$B$32,0))&amp;"  –  $"&amp;TEXT(SUMIFS('Bills &amp; Invoices'!$J$5:$J$32,'Bills &amp; Invoices'!$B$5:$B$32,X272),"#,##0"))</f>
        <v/>
      </c>
      <c r="Z272" s="333" t="str">
        <f t="array" ref="Z272">IF(X272="","",INDEX('Bills &amp; Invoices'!$D$5:$D$32,MATCH(X272,'Bills &amp; Invoices'!$B$5:$B$32,0)))</f>
        <v/>
      </c>
      <c r="AA272" s="334" t="str">
        <f t="array" ref="AA272">IF(X272="","",INDEX('Bills &amp; Invoices'!$K$5:$K$32,MATCH(X272,'Bills &amp; Invoices'!$B$5:$B$32,0)))</f>
        <v/>
      </c>
      <c r="AB272" s="335" t="str">
        <f>IF(X272="","",SUMIFS('Bills &amp; Invoices'!$J$5:$J$32,'Bills &amp; Invoices'!$B$5:$B$32,X272))</f>
        <v/>
      </c>
      <c r="AC272" s="335" t="str">
        <f>IF(X272="","",SUMIFS('Payments &amp; Receipts'!$F$5:$F$58,'Payments &amp; Receipts'!$L$5:$L$58,X272))</f>
        <v/>
      </c>
      <c r="AD272" s="333" t="str">
        <f t="array" ref="AD272">IF(X272="","",INDEX('Bills &amp; Invoices'!$U$5:$U$32,MATCH(X272,'Bills &amp; Invoices'!$B$5:$B$32,0)))</f>
        <v/>
      </c>
    </row>
    <row r="273" ht="14.25" customHeight="1">
      <c r="R27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Clearances'!$A$4:$Q$4)),FALSE)),ROWS(R$5:R273)))&amp;""  –  ""&amp;INDEX('Chemical Clearances'!$D$5:$D$169,MATCH(INDEX('Chemical Clearances'!$B$5:$B$169,LARGE(FILTER((ROW('Chemical Clearances'!$B$5:$B$169)-ROW('"&amp;"Chemical Clearances'!$A$4:$Q$4)),IFERROR((MATCH('Chemical Clearances'!$B$5:$B$169,'Chemical Clearances'!$B$5:$B$169,0)=ROW('Chemical Clearances'!$B$5:$B$169)-ROW('Chemical Clearances'!$A$4:$Q$4)),FALSE)),ROWS(R$5:R273))),'Chemical Clearances'!$B$5:$B$169,"&amp;"0)),"""")), 1, 1)"),"")</f>
        <v/>
      </c>
      <c r="X27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Invoices'!$A$4:$V$4)),FALSE)),ROWS(X$5:X273))),"""")), 1, 1)"),"")</f>
        <v/>
      </c>
      <c r="Y273" s="333" t="str">
        <f t="array" ref="Y273">IF(X273="","",X273&amp;"  –  "&amp;INDEX('Bills &amp; Invoices'!$D$5:$D$32,MATCH(X273,'Bills &amp; Invoices'!$B$5:$B$32,0))&amp;"  –  $"&amp;TEXT(SUMIFS('Bills &amp; Invoices'!$J$5:$J$32,'Bills &amp; Invoices'!$B$5:$B$32,X273),"#,##0"))</f>
        <v/>
      </c>
      <c r="Z273" s="333" t="str">
        <f t="array" ref="Z273">IF(X273="","",INDEX('Bills &amp; Invoices'!$D$5:$D$32,MATCH(X273,'Bills &amp; Invoices'!$B$5:$B$32,0)))</f>
        <v/>
      </c>
      <c r="AA273" s="334" t="str">
        <f t="array" ref="AA273">IF(X273="","",INDEX('Bills &amp; Invoices'!$K$5:$K$32,MATCH(X273,'Bills &amp; Invoices'!$B$5:$B$32,0)))</f>
        <v/>
      </c>
      <c r="AB273" s="335" t="str">
        <f>IF(X273="","",SUMIFS('Bills &amp; Invoices'!$J$5:$J$32,'Bills &amp; Invoices'!$B$5:$B$32,X273))</f>
        <v/>
      </c>
      <c r="AC273" s="335" t="str">
        <f>IF(X273="","",SUMIFS('Payments &amp; Receipts'!$F$5:$F$58,'Payments &amp; Receipts'!$L$5:$L$58,X273))</f>
        <v/>
      </c>
      <c r="AD273" s="333" t="str">
        <f t="array" ref="AD273">IF(X273="","",INDEX('Bills &amp; Invoices'!$U$5:$U$32,MATCH(X273,'Bills &amp; Invoices'!$B$5:$B$32,0)))</f>
        <v/>
      </c>
    </row>
    <row r="274" ht="14.25" customHeight="1">
      <c r="R27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Clearances'!$A$4:$Q$4)),FALSE)),ROWS(R$5:R274)))&amp;""  –  ""&amp;INDEX('Chemical Clearances'!$D$5:$D$169,MATCH(INDEX('Chemical Clearances'!$B$5:$B$169,LARGE(FILTER((ROW('Chemical Clearances'!$B$5:$B$169)-ROW('"&amp;"Chemical Clearances'!$A$4:$Q$4)),IFERROR((MATCH('Chemical Clearances'!$B$5:$B$169,'Chemical Clearances'!$B$5:$B$169,0)=ROW('Chemical Clearances'!$B$5:$B$169)-ROW('Chemical Clearances'!$A$4:$Q$4)),FALSE)),ROWS(R$5:R274))),'Chemical Clearances'!$B$5:$B$169,"&amp;"0)),"""")), 1, 1)"),"")</f>
        <v/>
      </c>
      <c r="X27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Invoices'!$A$4:$V$4)),FALSE)),ROWS(X$5:X274))),"""")), 1, 1)"),"")</f>
        <v/>
      </c>
      <c r="Y274" s="333" t="str">
        <f t="array" ref="Y274">IF(X274="","",X274&amp;"  –  "&amp;INDEX('Bills &amp; Invoices'!$D$5:$D$32,MATCH(X274,'Bills &amp; Invoices'!$B$5:$B$32,0))&amp;"  –  $"&amp;TEXT(SUMIFS('Bills &amp; Invoices'!$J$5:$J$32,'Bills &amp; Invoices'!$B$5:$B$32,X274),"#,##0"))</f>
        <v/>
      </c>
      <c r="Z274" s="333" t="str">
        <f t="array" ref="Z274">IF(X274="","",INDEX('Bills &amp; Invoices'!$D$5:$D$32,MATCH(X274,'Bills &amp; Invoices'!$B$5:$B$32,0)))</f>
        <v/>
      </c>
      <c r="AA274" s="334" t="str">
        <f t="array" ref="AA274">IF(X274="","",INDEX('Bills &amp; Invoices'!$K$5:$K$32,MATCH(X274,'Bills &amp; Invoices'!$B$5:$B$32,0)))</f>
        <v/>
      </c>
      <c r="AB274" s="335" t="str">
        <f>IF(X274="","",SUMIFS('Bills &amp; Invoices'!$J$5:$J$32,'Bills &amp; Invoices'!$B$5:$B$32,X274))</f>
        <v/>
      </c>
      <c r="AC274" s="335" t="str">
        <f>IF(X274="","",SUMIFS('Payments &amp; Receipts'!$F$5:$F$58,'Payments &amp; Receipts'!$L$5:$L$58,X274))</f>
        <v/>
      </c>
      <c r="AD274" s="333" t="str">
        <f t="array" ref="AD274">IF(X274="","",INDEX('Bills &amp; Invoices'!$U$5:$U$32,MATCH(X274,'Bills &amp; Invoices'!$B$5:$B$32,0)))</f>
        <v/>
      </c>
    </row>
    <row r="275" ht="14.25" customHeight="1">
      <c r="R27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Clearances'!$A$4:$Q$4)),FALSE)),ROWS(R$5:R275)))&amp;""  –  ""&amp;INDEX('Chemical Clearances'!$D$5:$D$169,MATCH(INDEX('Chemical Clearances'!$B$5:$B$169,LARGE(FILTER((ROW('Chemical Clearances'!$B$5:$B$169)-ROW('"&amp;"Chemical Clearances'!$A$4:$Q$4)),IFERROR((MATCH('Chemical Clearances'!$B$5:$B$169,'Chemical Clearances'!$B$5:$B$169,0)=ROW('Chemical Clearances'!$B$5:$B$169)-ROW('Chemical Clearances'!$A$4:$Q$4)),FALSE)),ROWS(R$5:R275))),'Chemical Clearances'!$B$5:$B$169,"&amp;"0)),"""")), 1, 1)"),"")</f>
        <v/>
      </c>
      <c r="X27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Invoices'!$A$4:$V$4)),FALSE)),ROWS(X$5:X275))),"""")), 1, 1)"),"")</f>
        <v/>
      </c>
      <c r="Y275" s="333" t="str">
        <f t="array" ref="Y275">IF(X275="","",X275&amp;"  –  "&amp;INDEX('Bills &amp; Invoices'!$D$5:$D$32,MATCH(X275,'Bills &amp; Invoices'!$B$5:$B$32,0))&amp;"  –  $"&amp;TEXT(SUMIFS('Bills &amp; Invoices'!$J$5:$J$32,'Bills &amp; Invoices'!$B$5:$B$32,X275),"#,##0"))</f>
        <v/>
      </c>
      <c r="Z275" s="333" t="str">
        <f t="array" ref="Z275">IF(X275="","",INDEX('Bills &amp; Invoices'!$D$5:$D$32,MATCH(X275,'Bills &amp; Invoices'!$B$5:$B$32,0)))</f>
        <v/>
      </c>
      <c r="AA275" s="334" t="str">
        <f t="array" ref="AA275">IF(X275="","",INDEX('Bills &amp; Invoices'!$K$5:$K$32,MATCH(X275,'Bills &amp; Invoices'!$B$5:$B$32,0)))</f>
        <v/>
      </c>
      <c r="AB275" s="335" t="str">
        <f>IF(X275="","",SUMIFS('Bills &amp; Invoices'!$J$5:$J$32,'Bills &amp; Invoices'!$B$5:$B$32,X275))</f>
        <v/>
      </c>
      <c r="AC275" s="335" t="str">
        <f>IF(X275="","",SUMIFS('Payments &amp; Receipts'!$F$5:$F$58,'Payments &amp; Receipts'!$L$5:$L$58,X275))</f>
        <v/>
      </c>
      <c r="AD275" s="333" t="str">
        <f t="array" ref="AD275">IF(X275="","",INDEX('Bills &amp; Invoices'!$U$5:$U$32,MATCH(X275,'Bills &amp; Invoices'!$B$5:$B$32,0)))</f>
        <v/>
      </c>
    </row>
    <row r="276" ht="14.25" customHeight="1">
      <c r="R27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Clearances'!$A$4:$Q$4)),FALSE)),ROWS(R$5:R276)))&amp;""  –  ""&amp;INDEX('Chemical Clearances'!$D$5:$D$169,MATCH(INDEX('Chemical Clearances'!$B$5:$B$169,LARGE(FILTER((ROW('Chemical Clearances'!$B$5:$B$169)-ROW('"&amp;"Chemical Clearances'!$A$4:$Q$4)),IFERROR((MATCH('Chemical Clearances'!$B$5:$B$169,'Chemical Clearances'!$B$5:$B$169,0)=ROW('Chemical Clearances'!$B$5:$B$169)-ROW('Chemical Clearances'!$A$4:$Q$4)),FALSE)),ROWS(R$5:R276))),'Chemical Clearances'!$B$5:$B$169,"&amp;"0)),"""")), 1, 1)"),"")</f>
        <v/>
      </c>
      <c r="X27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Invoices'!$A$4:$V$4)),FALSE)),ROWS(X$5:X276))),"""")), 1, 1)"),"")</f>
        <v/>
      </c>
      <c r="Y276" s="333" t="str">
        <f t="array" ref="Y276">IF(X276="","",X276&amp;"  –  "&amp;INDEX('Bills &amp; Invoices'!$D$5:$D$32,MATCH(X276,'Bills &amp; Invoices'!$B$5:$B$32,0))&amp;"  –  $"&amp;TEXT(SUMIFS('Bills &amp; Invoices'!$J$5:$J$32,'Bills &amp; Invoices'!$B$5:$B$32,X276),"#,##0"))</f>
        <v/>
      </c>
      <c r="Z276" s="333" t="str">
        <f t="array" ref="Z276">IF(X276="","",INDEX('Bills &amp; Invoices'!$D$5:$D$32,MATCH(X276,'Bills &amp; Invoices'!$B$5:$B$32,0)))</f>
        <v/>
      </c>
      <c r="AA276" s="334" t="str">
        <f t="array" ref="AA276">IF(X276="","",INDEX('Bills &amp; Invoices'!$K$5:$K$32,MATCH(X276,'Bills &amp; Invoices'!$B$5:$B$32,0)))</f>
        <v/>
      </c>
      <c r="AB276" s="335" t="str">
        <f>IF(X276="","",SUMIFS('Bills &amp; Invoices'!$J$5:$J$32,'Bills &amp; Invoices'!$B$5:$B$32,X276))</f>
        <v/>
      </c>
      <c r="AC276" s="335" t="str">
        <f>IF(X276="","",SUMIFS('Payments &amp; Receipts'!$F$5:$F$58,'Payments &amp; Receipts'!$L$5:$L$58,X276))</f>
        <v/>
      </c>
      <c r="AD276" s="333" t="str">
        <f t="array" ref="AD276">IF(X276="","",INDEX('Bills &amp; Invoices'!$U$5:$U$32,MATCH(X276,'Bills &amp; Invoices'!$B$5:$B$32,0)))</f>
        <v/>
      </c>
    </row>
    <row r="277" ht="14.25" customHeight="1">
      <c r="R27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Clearances'!$A$4:$Q$4)),FALSE)),ROWS(R$5:R277)))&amp;""  –  ""&amp;INDEX('Chemical Clearances'!$D$5:$D$169,MATCH(INDEX('Chemical Clearances'!$B$5:$B$169,LARGE(FILTER((ROW('Chemical Clearances'!$B$5:$B$169)-ROW('"&amp;"Chemical Clearances'!$A$4:$Q$4)),IFERROR((MATCH('Chemical Clearances'!$B$5:$B$169,'Chemical Clearances'!$B$5:$B$169,0)=ROW('Chemical Clearances'!$B$5:$B$169)-ROW('Chemical Clearances'!$A$4:$Q$4)),FALSE)),ROWS(R$5:R277))),'Chemical Clearances'!$B$5:$B$169,"&amp;"0)),"""")), 1, 1)"),"")</f>
        <v/>
      </c>
      <c r="X27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Invoices'!$A$4:$V$4)),FALSE)),ROWS(X$5:X277))),"""")), 1, 1)"),"")</f>
        <v/>
      </c>
      <c r="Y277" s="333" t="str">
        <f t="array" ref="Y277">IF(X277="","",X277&amp;"  –  "&amp;INDEX('Bills &amp; Invoices'!$D$5:$D$32,MATCH(X277,'Bills &amp; Invoices'!$B$5:$B$32,0))&amp;"  –  $"&amp;TEXT(SUMIFS('Bills &amp; Invoices'!$J$5:$J$32,'Bills &amp; Invoices'!$B$5:$B$32,X277),"#,##0"))</f>
        <v/>
      </c>
      <c r="Z277" s="333" t="str">
        <f t="array" ref="Z277">IF(X277="","",INDEX('Bills &amp; Invoices'!$D$5:$D$32,MATCH(X277,'Bills &amp; Invoices'!$B$5:$B$32,0)))</f>
        <v/>
      </c>
      <c r="AA277" s="334" t="str">
        <f t="array" ref="AA277">IF(X277="","",INDEX('Bills &amp; Invoices'!$K$5:$K$32,MATCH(X277,'Bills &amp; Invoices'!$B$5:$B$32,0)))</f>
        <v/>
      </c>
      <c r="AB277" s="335" t="str">
        <f>IF(X277="","",SUMIFS('Bills &amp; Invoices'!$J$5:$J$32,'Bills &amp; Invoices'!$B$5:$B$32,X277))</f>
        <v/>
      </c>
      <c r="AC277" s="335" t="str">
        <f>IF(X277="","",SUMIFS('Payments &amp; Receipts'!$F$5:$F$58,'Payments &amp; Receipts'!$L$5:$L$58,X277))</f>
        <v/>
      </c>
      <c r="AD277" s="333" t="str">
        <f t="array" ref="AD277">IF(X277="","",INDEX('Bills &amp; Invoices'!$U$5:$U$32,MATCH(X277,'Bills &amp; Invoices'!$B$5:$B$32,0)))</f>
        <v/>
      </c>
    </row>
    <row r="278" ht="14.25" customHeight="1">
      <c r="R27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Clearances'!$A$4:$Q$4)),FALSE)),ROWS(R$5:R278)))&amp;""  –  ""&amp;INDEX('Chemical Clearances'!$D$5:$D$169,MATCH(INDEX('Chemical Clearances'!$B$5:$B$169,LARGE(FILTER((ROW('Chemical Clearances'!$B$5:$B$169)-ROW('"&amp;"Chemical Clearances'!$A$4:$Q$4)),IFERROR((MATCH('Chemical Clearances'!$B$5:$B$169,'Chemical Clearances'!$B$5:$B$169,0)=ROW('Chemical Clearances'!$B$5:$B$169)-ROW('Chemical Clearances'!$A$4:$Q$4)),FALSE)),ROWS(R$5:R278))),'Chemical Clearances'!$B$5:$B$169,"&amp;"0)),"""")), 1, 1)"),"")</f>
        <v/>
      </c>
      <c r="X27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Invoices'!$A$4:$V$4)),FALSE)),ROWS(X$5:X278))),"""")), 1, 1)"),"")</f>
        <v/>
      </c>
      <c r="Y278" s="333" t="str">
        <f t="array" ref="Y278">IF(X278="","",X278&amp;"  –  "&amp;INDEX('Bills &amp; Invoices'!$D$5:$D$32,MATCH(X278,'Bills &amp; Invoices'!$B$5:$B$32,0))&amp;"  –  $"&amp;TEXT(SUMIFS('Bills &amp; Invoices'!$J$5:$J$32,'Bills &amp; Invoices'!$B$5:$B$32,X278),"#,##0"))</f>
        <v/>
      </c>
      <c r="Z278" s="333" t="str">
        <f t="array" ref="Z278">IF(X278="","",INDEX('Bills &amp; Invoices'!$D$5:$D$32,MATCH(X278,'Bills &amp; Invoices'!$B$5:$B$32,0)))</f>
        <v/>
      </c>
      <c r="AA278" s="334" t="str">
        <f t="array" ref="AA278">IF(X278="","",INDEX('Bills &amp; Invoices'!$K$5:$K$32,MATCH(X278,'Bills &amp; Invoices'!$B$5:$B$32,0)))</f>
        <v/>
      </c>
      <c r="AB278" s="335" t="str">
        <f>IF(X278="","",SUMIFS('Bills &amp; Invoices'!$J$5:$J$32,'Bills &amp; Invoices'!$B$5:$B$32,X278))</f>
        <v/>
      </c>
      <c r="AC278" s="335" t="str">
        <f>IF(X278="","",SUMIFS('Payments &amp; Receipts'!$F$5:$F$58,'Payments &amp; Receipts'!$L$5:$L$58,X278))</f>
        <v/>
      </c>
      <c r="AD278" s="333" t="str">
        <f t="array" ref="AD278">IF(X278="","",INDEX('Bills &amp; Invoices'!$U$5:$U$32,MATCH(X278,'Bills &amp; Invoices'!$B$5:$B$32,0)))</f>
        <v/>
      </c>
    </row>
    <row r="279" ht="14.25" customHeight="1">
      <c r="R27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Clearances'!$A$4:$Q$4)),FALSE)),ROWS(R$5:R279)))&amp;""  –  ""&amp;INDEX('Chemical Clearances'!$D$5:$D$169,MATCH(INDEX('Chemical Clearances'!$B$5:$B$169,LARGE(FILTER((ROW('Chemical Clearances'!$B$5:$B$169)-ROW('"&amp;"Chemical Clearances'!$A$4:$Q$4)),IFERROR((MATCH('Chemical Clearances'!$B$5:$B$169,'Chemical Clearances'!$B$5:$B$169,0)=ROW('Chemical Clearances'!$B$5:$B$169)-ROW('Chemical Clearances'!$A$4:$Q$4)),FALSE)),ROWS(R$5:R279))),'Chemical Clearances'!$B$5:$B$169,"&amp;"0)),"""")), 1, 1)"),"")</f>
        <v/>
      </c>
      <c r="X27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Invoices'!$A$4:$V$4)),FALSE)),ROWS(X$5:X279))),"""")), 1, 1)"),"")</f>
        <v/>
      </c>
      <c r="Y279" s="333" t="str">
        <f t="array" ref="Y279">IF(X279="","",X279&amp;"  –  "&amp;INDEX('Bills &amp; Invoices'!$D$5:$D$32,MATCH(X279,'Bills &amp; Invoices'!$B$5:$B$32,0))&amp;"  –  $"&amp;TEXT(SUMIFS('Bills &amp; Invoices'!$J$5:$J$32,'Bills &amp; Invoices'!$B$5:$B$32,X279),"#,##0"))</f>
        <v/>
      </c>
      <c r="Z279" s="333" t="str">
        <f t="array" ref="Z279">IF(X279="","",INDEX('Bills &amp; Invoices'!$D$5:$D$32,MATCH(X279,'Bills &amp; Invoices'!$B$5:$B$32,0)))</f>
        <v/>
      </c>
      <c r="AA279" s="334" t="str">
        <f t="array" ref="AA279">IF(X279="","",INDEX('Bills &amp; Invoices'!$K$5:$K$32,MATCH(X279,'Bills &amp; Invoices'!$B$5:$B$32,0)))</f>
        <v/>
      </c>
      <c r="AB279" s="335" t="str">
        <f>IF(X279="","",SUMIFS('Bills &amp; Invoices'!$J$5:$J$32,'Bills &amp; Invoices'!$B$5:$B$32,X279))</f>
        <v/>
      </c>
      <c r="AC279" s="335" t="str">
        <f>IF(X279="","",SUMIFS('Payments &amp; Receipts'!$F$5:$F$58,'Payments &amp; Receipts'!$L$5:$L$58,X279))</f>
        <v/>
      </c>
      <c r="AD279" s="333" t="str">
        <f t="array" ref="AD279">IF(X279="","",INDEX('Bills &amp; Invoices'!$U$5:$U$32,MATCH(X279,'Bills &amp; Invoices'!$B$5:$B$32,0)))</f>
        <v/>
      </c>
    </row>
    <row r="280" ht="14.25" customHeight="1">
      <c r="R28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Clearances'!$A$4:$Q$4)),FALSE)),ROWS(R$5:R280)))&amp;""  –  ""&amp;INDEX('Chemical Clearances'!$D$5:$D$169,MATCH(INDEX('Chemical Clearances'!$B$5:$B$169,LARGE(FILTER((ROW('Chemical Clearances'!$B$5:$B$169)-ROW('"&amp;"Chemical Clearances'!$A$4:$Q$4)),IFERROR((MATCH('Chemical Clearances'!$B$5:$B$169,'Chemical Clearances'!$B$5:$B$169,0)=ROW('Chemical Clearances'!$B$5:$B$169)-ROW('Chemical Clearances'!$A$4:$Q$4)),FALSE)),ROWS(R$5:R280))),'Chemical Clearances'!$B$5:$B$169,"&amp;"0)),"""")), 1, 1)"),"")</f>
        <v/>
      </c>
      <c r="X28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Invoices'!$A$4:$V$4)),FALSE)),ROWS(X$5:X280))),"""")), 1, 1)"),"")</f>
        <v/>
      </c>
      <c r="Y280" s="333" t="str">
        <f t="array" ref="Y280">IF(X280="","",X280&amp;"  –  "&amp;INDEX('Bills &amp; Invoices'!$D$5:$D$32,MATCH(X280,'Bills &amp; Invoices'!$B$5:$B$32,0))&amp;"  –  $"&amp;TEXT(SUMIFS('Bills &amp; Invoices'!$J$5:$J$32,'Bills &amp; Invoices'!$B$5:$B$32,X280),"#,##0"))</f>
        <v/>
      </c>
      <c r="Z280" s="333" t="str">
        <f t="array" ref="Z280">IF(X280="","",INDEX('Bills &amp; Invoices'!$D$5:$D$32,MATCH(X280,'Bills &amp; Invoices'!$B$5:$B$32,0)))</f>
        <v/>
      </c>
      <c r="AA280" s="334" t="str">
        <f t="array" ref="AA280">IF(X280="","",INDEX('Bills &amp; Invoices'!$K$5:$K$32,MATCH(X280,'Bills &amp; Invoices'!$B$5:$B$32,0)))</f>
        <v/>
      </c>
      <c r="AB280" s="335" t="str">
        <f>IF(X280="","",SUMIFS('Bills &amp; Invoices'!$J$5:$J$32,'Bills &amp; Invoices'!$B$5:$B$32,X280))</f>
        <v/>
      </c>
      <c r="AC280" s="335" t="str">
        <f>IF(X280="","",SUMIFS('Payments &amp; Receipts'!$F$5:$F$58,'Payments &amp; Receipts'!$L$5:$L$58,X280))</f>
        <v/>
      </c>
      <c r="AD280" s="333" t="str">
        <f t="array" ref="AD280">IF(X280="","",INDEX('Bills &amp; Invoices'!$U$5:$U$32,MATCH(X280,'Bills &amp; Invoices'!$B$5:$B$32,0)))</f>
        <v/>
      </c>
    </row>
    <row r="281" ht="14.25" customHeight="1">
      <c r="R28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Clearances'!$A$4:$Q$4)),FALSE)),ROWS(R$5:R281)))&amp;""  –  ""&amp;INDEX('Chemical Clearances'!$D$5:$D$169,MATCH(INDEX('Chemical Clearances'!$B$5:$B$169,LARGE(FILTER((ROW('Chemical Clearances'!$B$5:$B$169)-ROW('"&amp;"Chemical Clearances'!$A$4:$Q$4)),IFERROR((MATCH('Chemical Clearances'!$B$5:$B$169,'Chemical Clearances'!$B$5:$B$169,0)=ROW('Chemical Clearances'!$B$5:$B$169)-ROW('Chemical Clearances'!$A$4:$Q$4)),FALSE)),ROWS(R$5:R281))),'Chemical Clearances'!$B$5:$B$169,"&amp;"0)),"""")), 1, 1)"),"")</f>
        <v/>
      </c>
      <c r="X28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Invoices'!$A$4:$V$4)),FALSE)),ROWS(X$5:X281))),"""")), 1, 1)"),"")</f>
        <v/>
      </c>
      <c r="Y281" s="333" t="str">
        <f t="array" ref="Y281">IF(X281="","",X281&amp;"  –  "&amp;INDEX('Bills &amp; Invoices'!$D$5:$D$32,MATCH(X281,'Bills &amp; Invoices'!$B$5:$B$32,0))&amp;"  –  $"&amp;TEXT(SUMIFS('Bills &amp; Invoices'!$J$5:$J$32,'Bills &amp; Invoices'!$B$5:$B$32,X281),"#,##0"))</f>
        <v/>
      </c>
      <c r="Z281" s="333" t="str">
        <f t="array" ref="Z281">IF(X281="","",INDEX('Bills &amp; Invoices'!$D$5:$D$32,MATCH(X281,'Bills &amp; Invoices'!$B$5:$B$32,0)))</f>
        <v/>
      </c>
      <c r="AA281" s="334" t="str">
        <f t="array" ref="AA281">IF(X281="","",INDEX('Bills &amp; Invoices'!$K$5:$K$32,MATCH(X281,'Bills &amp; Invoices'!$B$5:$B$32,0)))</f>
        <v/>
      </c>
      <c r="AB281" s="335" t="str">
        <f>IF(X281="","",SUMIFS('Bills &amp; Invoices'!$J$5:$J$32,'Bills &amp; Invoices'!$B$5:$B$32,X281))</f>
        <v/>
      </c>
      <c r="AC281" s="335" t="str">
        <f>IF(X281="","",SUMIFS('Payments &amp; Receipts'!$F$5:$F$58,'Payments &amp; Receipts'!$L$5:$L$58,X281))</f>
        <v/>
      </c>
      <c r="AD281" s="333" t="str">
        <f t="array" ref="AD281">IF(X281="","",INDEX('Bills &amp; Invoices'!$U$5:$U$32,MATCH(X281,'Bills &amp; Invoices'!$B$5:$B$32,0)))</f>
        <v/>
      </c>
    </row>
    <row r="282" ht="14.25" customHeight="1">
      <c r="R28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Clearances'!$A$4:$Q$4)),FALSE)),ROWS(R$5:R282)))&amp;""  –  ""&amp;INDEX('Chemical Clearances'!$D$5:$D$169,MATCH(INDEX('Chemical Clearances'!$B$5:$B$169,LARGE(FILTER((ROW('Chemical Clearances'!$B$5:$B$169)-ROW('"&amp;"Chemical Clearances'!$A$4:$Q$4)),IFERROR((MATCH('Chemical Clearances'!$B$5:$B$169,'Chemical Clearances'!$B$5:$B$169,0)=ROW('Chemical Clearances'!$B$5:$B$169)-ROW('Chemical Clearances'!$A$4:$Q$4)),FALSE)),ROWS(R$5:R282))),'Chemical Clearances'!$B$5:$B$169,"&amp;"0)),"""")), 1, 1)"),"")</f>
        <v/>
      </c>
      <c r="X28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Invoices'!$A$4:$V$4)),FALSE)),ROWS(X$5:X282))),"""")), 1, 1)"),"")</f>
        <v/>
      </c>
      <c r="Y282" s="333" t="str">
        <f t="array" ref="Y282">IF(X282="","",X282&amp;"  –  "&amp;INDEX('Bills &amp; Invoices'!$D$5:$D$32,MATCH(X282,'Bills &amp; Invoices'!$B$5:$B$32,0))&amp;"  –  $"&amp;TEXT(SUMIFS('Bills &amp; Invoices'!$J$5:$J$32,'Bills &amp; Invoices'!$B$5:$B$32,X282),"#,##0"))</f>
        <v/>
      </c>
      <c r="Z282" s="333" t="str">
        <f t="array" ref="Z282">IF(X282="","",INDEX('Bills &amp; Invoices'!$D$5:$D$32,MATCH(X282,'Bills &amp; Invoices'!$B$5:$B$32,0)))</f>
        <v/>
      </c>
      <c r="AA282" s="334" t="str">
        <f t="array" ref="AA282">IF(X282="","",INDEX('Bills &amp; Invoices'!$K$5:$K$32,MATCH(X282,'Bills &amp; Invoices'!$B$5:$B$32,0)))</f>
        <v/>
      </c>
      <c r="AB282" s="335" t="str">
        <f>IF(X282="","",SUMIFS('Bills &amp; Invoices'!$J$5:$J$32,'Bills &amp; Invoices'!$B$5:$B$32,X282))</f>
        <v/>
      </c>
      <c r="AC282" s="335" t="str">
        <f>IF(X282="","",SUMIFS('Payments &amp; Receipts'!$F$5:$F$58,'Payments &amp; Receipts'!$L$5:$L$58,X282))</f>
        <v/>
      </c>
      <c r="AD282" s="333" t="str">
        <f t="array" ref="AD282">IF(X282="","",INDEX('Bills &amp; Invoices'!$U$5:$U$32,MATCH(X282,'Bills &amp; Invoices'!$B$5:$B$32,0)))</f>
        <v/>
      </c>
    </row>
    <row r="283" ht="14.25" customHeight="1">
      <c r="R28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Clearances'!$A$4:$Q$4)),FALSE)),ROWS(R$5:R283)))&amp;""  –  ""&amp;INDEX('Chemical Clearances'!$D$5:$D$169,MATCH(INDEX('Chemical Clearances'!$B$5:$B$169,LARGE(FILTER((ROW('Chemical Clearances'!$B$5:$B$169)-ROW('"&amp;"Chemical Clearances'!$A$4:$Q$4)),IFERROR((MATCH('Chemical Clearances'!$B$5:$B$169,'Chemical Clearances'!$B$5:$B$169,0)=ROW('Chemical Clearances'!$B$5:$B$169)-ROW('Chemical Clearances'!$A$4:$Q$4)),FALSE)),ROWS(R$5:R283))),'Chemical Clearances'!$B$5:$B$169,"&amp;"0)),"""")), 1, 1)"),"")</f>
        <v/>
      </c>
      <c r="X28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Invoices'!$A$4:$V$4)),FALSE)),ROWS(X$5:X283))),"""")), 1, 1)"),"")</f>
        <v/>
      </c>
      <c r="Y283" s="333" t="str">
        <f t="array" ref="Y283">IF(X283="","",X283&amp;"  –  "&amp;INDEX('Bills &amp; Invoices'!$D$5:$D$32,MATCH(X283,'Bills &amp; Invoices'!$B$5:$B$32,0))&amp;"  –  $"&amp;TEXT(SUMIFS('Bills &amp; Invoices'!$J$5:$J$32,'Bills &amp; Invoices'!$B$5:$B$32,X283),"#,##0"))</f>
        <v/>
      </c>
      <c r="Z283" s="333" t="str">
        <f t="array" ref="Z283">IF(X283="","",INDEX('Bills &amp; Invoices'!$D$5:$D$32,MATCH(X283,'Bills &amp; Invoices'!$B$5:$B$32,0)))</f>
        <v/>
      </c>
      <c r="AA283" s="334" t="str">
        <f t="array" ref="AA283">IF(X283="","",INDEX('Bills &amp; Invoices'!$K$5:$K$32,MATCH(X283,'Bills &amp; Invoices'!$B$5:$B$32,0)))</f>
        <v/>
      </c>
      <c r="AB283" s="335" t="str">
        <f>IF(X283="","",SUMIFS('Bills &amp; Invoices'!$J$5:$J$32,'Bills &amp; Invoices'!$B$5:$B$32,X283))</f>
        <v/>
      </c>
      <c r="AC283" s="335" t="str">
        <f>IF(X283="","",SUMIFS('Payments &amp; Receipts'!$F$5:$F$58,'Payments &amp; Receipts'!$L$5:$L$58,X283))</f>
        <v/>
      </c>
      <c r="AD283" s="333" t="str">
        <f t="array" ref="AD283">IF(X283="","",INDEX('Bills &amp; Invoices'!$U$5:$U$32,MATCH(X283,'Bills &amp; Invoices'!$B$5:$B$32,0)))</f>
        <v/>
      </c>
    </row>
    <row r="284" ht="14.25" customHeight="1">
      <c r="R28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Clearances'!$A$4:$Q$4)),FALSE)),ROWS(R$5:R284)))&amp;""  –  ""&amp;INDEX('Chemical Clearances'!$D$5:$D$169,MATCH(INDEX('Chemical Clearances'!$B$5:$B$169,LARGE(FILTER((ROW('Chemical Clearances'!$B$5:$B$169)-ROW('"&amp;"Chemical Clearances'!$A$4:$Q$4)),IFERROR((MATCH('Chemical Clearances'!$B$5:$B$169,'Chemical Clearances'!$B$5:$B$169,0)=ROW('Chemical Clearances'!$B$5:$B$169)-ROW('Chemical Clearances'!$A$4:$Q$4)),FALSE)),ROWS(R$5:R284))),'Chemical Clearances'!$B$5:$B$169,"&amp;"0)),"""")), 1, 1)"),"")</f>
        <v/>
      </c>
      <c r="X28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Invoices'!$A$4:$V$4)),FALSE)),ROWS(X$5:X284))),"""")), 1, 1)"),"")</f>
        <v/>
      </c>
      <c r="Y284" s="333" t="str">
        <f t="array" ref="Y284">IF(X284="","",X284&amp;"  –  "&amp;INDEX('Bills &amp; Invoices'!$D$5:$D$32,MATCH(X284,'Bills &amp; Invoices'!$B$5:$B$32,0))&amp;"  –  $"&amp;TEXT(SUMIFS('Bills &amp; Invoices'!$J$5:$J$32,'Bills &amp; Invoices'!$B$5:$B$32,X284),"#,##0"))</f>
        <v/>
      </c>
      <c r="Z284" s="333" t="str">
        <f t="array" ref="Z284">IF(X284="","",INDEX('Bills &amp; Invoices'!$D$5:$D$32,MATCH(X284,'Bills &amp; Invoices'!$B$5:$B$32,0)))</f>
        <v/>
      </c>
      <c r="AA284" s="334" t="str">
        <f t="array" ref="AA284">IF(X284="","",INDEX('Bills &amp; Invoices'!$K$5:$K$32,MATCH(X284,'Bills &amp; Invoices'!$B$5:$B$32,0)))</f>
        <v/>
      </c>
      <c r="AB284" s="335" t="str">
        <f>IF(X284="","",SUMIFS('Bills &amp; Invoices'!$J$5:$J$32,'Bills &amp; Invoices'!$B$5:$B$32,X284))</f>
        <v/>
      </c>
      <c r="AC284" s="335" t="str">
        <f>IF(X284="","",SUMIFS('Payments &amp; Receipts'!$F$5:$F$58,'Payments &amp; Receipts'!$L$5:$L$58,X284))</f>
        <v/>
      </c>
      <c r="AD284" s="333" t="str">
        <f t="array" ref="AD284">IF(X284="","",INDEX('Bills &amp; Invoices'!$U$5:$U$32,MATCH(X284,'Bills &amp; Invoices'!$B$5:$B$32,0)))</f>
        <v/>
      </c>
    </row>
    <row r="285" ht="14.25" customHeight="1">
      <c r="R28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Clearances'!$A$4:$Q$4)),FALSE)),ROWS(R$5:R285)))&amp;""  –  ""&amp;INDEX('Chemical Clearances'!$D$5:$D$169,MATCH(INDEX('Chemical Clearances'!$B$5:$B$169,LARGE(FILTER((ROW('Chemical Clearances'!$B$5:$B$169)-ROW('"&amp;"Chemical Clearances'!$A$4:$Q$4)),IFERROR((MATCH('Chemical Clearances'!$B$5:$B$169,'Chemical Clearances'!$B$5:$B$169,0)=ROW('Chemical Clearances'!$B$5:$B$169)-ROW('Chemical Clearances'!$A$4:$Q$4)),FALSE)),ROWS(R$5:R285))),'Chemical Clearances'!$B$5:$B$169,"&amp;"0)),"""")), 1, 1)"),"")</f>
        <v/>
      </c>
      <c r="X28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Invoices'!$A$4:$V$4)),FALSE)),ROWS(X$5:X285))),"""")), 1, 1)"),"")</f>
        <v/>
      </c>
      <c r="Y285" s="333" t="str">
        <f t="array" ref="Y285">IF(X285="","",X285&amp;"  –  "&amp;INDEX('Bills &amp; Invoices'!$D$5:$D$32,MATCH(X285,'Bills &amp; Invoices'!$B$5:$B$32,0))&amp;"  –  $"&amp;TEXT(SUMIFS('Bills &amp; Invoices'!$J$5:$J$32,'Bills &amp; Invoices'!$B$5:$B$32,X285),"#,##0"))</f>
        <v/>
      </c>
      <c r="Z285" s="333" t="str">
        <f t="array" ref="Z285">IF(X285="","",INDEX('Bills &amp; Invoices'!$D$5:$D$32,MATCH(X285,'Bills &amp; Invoices'!$B$5:$B$32,0)))</f>
        <v/>
      </c>
      <c r="AA285" s="334" t="str">
        <f t="array" ref="AA285">IF(X285="","",INDEX('Bills &amp; Invoices'!$K$5:$K$32,MATCH(X285,'Bills &amp; Invoices'!$B$5:$B$32,0)))</f>
        <v/>
      </c>
      <c r="AB285" s="335" t="str">
        <f>IF(X285="","",SUMIFS('Bills &amp; Invoices'!$J$5:$J$32,'Bills &amp; Invoices'!$B$5:$B$32,X285))</f>
        <v/>
      </c>
      <c r="AC285" s="335" t="str">
        <f>IF(X285="","",SUMIFS('Payments &amp; Receipts'!$F$5:$F$58,'Payments &amp; Receipts'!$L$5:$L$58,X285))</f>
        <v/>
      </c>
      <c r="AD285" s="333" t="str">
        <f t="array" ref="AD285">IF(X285="","",INDEX('Bills &amp; Invoices'!$U$5:$U$32,MATCH(X285,'Bills &amp; Invoices'!$B$5:$B$32,0)))</f>
        <v/>
      </c>
    </row>
    <row r="286" ht="14.25" customHeight="1">
      <c r="R28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Clearances'!$A$4:$Q$4)),FALSE)),ROWS(R$5:R286)))&amp;""  –  ""&amp;INDEX('Chemical Clearances'!$D$5:$D$169,MATCH(INDEX('Chemical Clearances'!$B$5:$B$169,LARGE(FILTER((ROW('Chemical Clearances'!$B$5:$B$169)-ROW('"&amp;"Chemical Clearances'!$A$4:$Q$4)),IFERROR((MATCH('Chemical Clearances'!$B$5:$B$169,'Chemical Clearances'!$B$5:$B$169,0)=ROW('Chemical Clearances'!$B$5:$B$169)-ROW('Chemical Clearances'!$A$4:$Q$4)),FALSE)),ROWS(R$5:R286))),'Chemical Clearances'!$B$5:$B$169,"&amp;"0)),"""")), 1, 1)"),"")</f>
        <v/>
      </c>
      <c r="X28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Invoices'!$A$4:$V$4)),FALSE)),ROWS(X$5:X286))),"""")), 1, 1)"),"")</f>
        <v/>
      </c>
      <c r="Y286" s="333" t="str">
        <f t="array" ref="Y286">IF(X286="","",X286&amp;"  –  "&amp;INDEX('Bills &amp; Invoices'!$D$5:$D$32,MATCH(X286,'Bills &amp; Invoices'!$B$5:$B$32,0))&amp;"  –  $"&amp;TEXT(SUMIFS('Bills &amp; Invoices'!$J$5:$J$32,'Bills &amp; Invoices'!$B$5:$B$32,X286),"#,##0"))</f>
        <v/>
      </c>
      <c r="Z286" s="333" t="str">
        <f t="array" ref="Z286">IF(X286="","",INDEX('Bills &amp; Invoices'!$D$5:$D$32,MATCH(X286,'Bills &amp; Invoices'!$B$5:$B$32,0)))</f>
        <v/>
      </c>
      <c r="AA286" s="334" t="str">
        <f t="array" ref="AA286">IF(X286="","",INDEX('Bills &amp; Invoices'!$K$5:$K$32,MATCH(X286,'Bills &amp; Invoices'!$B$5:$B$32,0)))</f>
        <v/>
      </c>
      <c r="AB286" s="335" t="str">
        <f>IF(X286="","",SUMIFS('Bills &amp; Invoices'!$J$5:$J$32,'Bills &amp; Invoices'!$B$5:$B$32,X286))</f>
        <v/>
      </c>
      <c r="AC286" s="335" t="str">
        <f>IF(X286="","",SUMIFS('Payments &amp; Receipts'!$F$5:$F$58,'Payments &amp; Receipts'!$L$5:$L$58,X286))</f>
        <v/>
      </c>
      <c r="AD286" s="333" t="str">
        <f t="array" ref="AD286">IF(X286="","",INDEX('Bills &amp; Invoices'!$U$5:$U$32,MATCH(X286,'Bills &amp; Invoices'!$B$5:$B$32,0)))</f>
        <v/>
      </c>
    </row>
    <row r="287" ht="14.25" customHeight="1">
      <c r="R28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Clearances'!$A$4:$Q$4)),FALSE)),ROWS(R$5:R287)))&amp;""  –  ""&amp;INDEX('Chemical Clearances'!$D$5:$D$169,MATCH(INDEX('Chemical Clearances'!$B$5:$B$169,LARGE(FILTER((ROW('Chemical Clearances'!$B$5:$B$169)-ROW('"&amp;"Chemical Clearances'!$A$4:$Q$4)),IFERROR((MATCH('Chemical Clearances'!$B$5:$B$169,'Chemical Clearances'!$B$5:$B$169,0)=ROW('Chemical Clearances'!$B$5:$B$169)-ROW('Chemical Clearances'!$A$4:$Q$4)),FALSE)),ROWS(R$5:R287))),'Chemical Clearances'!$B$5:$B$169,"&amp;"0)),"""")), 1, 1)"),"")</f>
        <v/>
      </c>
      <c r="X28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Invoices'!$A$4:$V$4)),FALSE)),ROWS(X$5:X287))),"""")), 1, 1)"),"")</f>
        <v/>
      </c>
      <c r="Y287" s="333" t="str">
        <f t="array" ref="Y287">IF(X287="","",X287&amp;"  –  "&amp;INDEX('Bills &amp; Invoices'!$D$5:$D$32,MATCH(X287,'Bills &amp; Invoices'!$B$5:$B$32,0))&amp;"  –  $"&amp;TEXT(SUMIFS('Bills &amp; Invoices'!$J$5:$J$32,'Bills &amp; Invoices'!$B$5:$B$32,X287),"#,##0"))</f>
        <v/>
      </c>
      <c r="Z287" s="333" t="str">
        <f t="array" ref="Z287">IF(X287="","",INDEX('Bills &amp; Invoices'!$D$5:$D$32,MATCH(X287,'Bills &amp; Invoices'!$B$5:$B$32,0)))</f>
        <v/>
      </c>
      <c r="AA287" s="334" t="str">
        <f t="array" ref="AA287">IF(X287="","",INDEX('Bills &amp; Invoices'!$K$5:$K$32,MATCH(X287,'Bills &amp; Invoices'!$B$5:$B$32,0)))</f>
        <v/>
      </c>
      <c r="AB287" s="335" t="str">
        <f>IF(X287="","",SUMIFS('Bills &amp; Invoices'!$J$5:$J$32,'Bills &amp; Invoices'!$B$5:$B$32,X287))</f>
        <v/>
      </c>
      <c r="AC287" s="335" t="str">
        <f>IF(X287="","",SUMIFS('Payments &amp; Receipts'!$F$5:$F$58,'Payments &amp; Receipts'!$L$5:$L$58,X287))</f>
        <v/>
      </c>
      <c r="AD287" s="333" t="str">
        <f t="array" ref="AD287">IF(X287="","",INDEX('Bills &amp; Invoices'!$U$5:$U$32,MATCH(X287,'Bills &amp; Invoices'!$B$5:$B$32,0)))</f>
        <v/>
      </c>
    </row>
    <row r="288" ht="14.25" customHeight="1">
      <c r="R28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Clearances'!$A$4:$Q$4)),FALSE)),ROWS(R$5:R288)))&amp;""  –  ""&amp;INDEX('Chemical Clearances'!$D$5:$D$169,MATCH(INDEX('Chemical Clearances'!$B$5:$B$169,LARGE(FILTER((ROW('Chemical Clearances'!$B$5:$B$169)-ROW('"&amp;"Chemical Clearances'!$A$4:$Q$4)),IFERROR((MATCH('Chemical Clearances'!$B$5:$B$169,'Chemical Clearances'!$B$5:$B$169,0)=ROW('Chemical Clearances'!$B$5:$B$169)-ROW('Chemical Clearances'!$A$4:$Q$4)),FALSE)),ROWS(R$5:R288))),'Chemical Clearances'!$B$5:$B$169,"&amp;"0)),"""")), 1, 1)"),"")</f>
        <v/>
      </c>
      <c r="X28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Invoices'!$A$4:$V$4)),FALSE)),ROWS(X$5:X288))),"""")), 1, 1)"),"")</f>
        <v/>
      </c>
      <c r="Y288" s="333" t="str">
        <f t="array" ref="Y288">IF(X288="","",X288&amp;"  –  "&amp;INDEX('Bills &amp; Invoices'!$D$5:$D$32,MATCH(X288,'Bills &amp; Invoices'!$B$5:$B$32,0))&amp;"  –  $"&amp;TEXT(SUMIFS('Bills &amp; Invoices'!$J$5:$J$32,'Bills &amp; Invoices'!$B$5:$B$32,X288),"#,##0"))</f>
        <v/>
      </c>
      <c r="Z288" s="333" t="str">
        <f t="array" ref="Z288">IF(X288="","",INDEX('Bills &amp; Invoices'!$D$5:$D$32,MATCH(X288,'Bills &amp; Invoices'!$B$5:$B$32,0)))</f>
        <v/>
      </c>
      <c r="AA288" s="334" t="str">
        <f t="array" ref="AA288">IF(X288="","",INDEX('Bills &amp; Invoices'!$K$5:$K$32,MATCH(X288,'Bills &amp; Invoices'!$B$5:$B$32,0)))</f>
        <v/>
      </c>
      <c r="AB288" s="335" t="str">
        <f>IF(X288="","",SUMIFS('Bills &amp; Invoices'!$J$5:$J$32,'Bills &amp; Invoices'!$B$5:$B$32,X288))</f>
        <v/>
      </c>
      <c r="AC288" s="335" t="str">
        <f>IF(X288="","",SUMIFS('Payments &amp; Receipts'!$F$5:$F$58,'Payments &amp; Receipts'!$L$5:$L$58,X288))</f>
        <v/>
      </c>
      <c r="AD288" s="333" t="str">
        <f t="array" ref="AD288">IF(X288="","",INDEX('Bills &amp; Invoices'!$U$5:$U$32,MATCH(X288,'Bills &amp; Invoices'!$B$5:$B$32,0)))</f>
        <v/>
      </c>
    </row>
    <row r="289" ht="14.25" customHeight="1">
      <c r="R28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Clearances'!$A$4:$Q$4)),FALSE)),ROWS(R$5:R289)))&amp;""  –  ""&amp;INDEX('Chemical Clearances'!$D$5:$D$169,MATCH(INDEX('Chemical Clearances'!$B$5:$B$169,LARGE(FILTER((ROW('Chemical Clearances'!$B$5:$B$169)-ROW('"&amp;"Chemical Clearances'!$A$4:$Q$4)),IFERROR((MATCH('Chemical Clearances'!$B$5:$B$169,'Chemical Clearances'!$B$5:$B$169,0)=ROW('Chemical Clearances'!$B$5:$B$169)-ROW('Chemical Clearances'!$A$4:$Q$4)),FALSE)),ROWS(R$5:R289))),'Chemical Clearances'!$B$5:$B$169,"&amp;"0)),"""")), 1, 1)"),"")</f>
        <v/>
      </c>
      <c r="X28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Invoices'!$A$4:$V$4)),FALSE)),ROWS(X$5:X289))),"""")), 1, 1)"),"")</f>
        <v/>
      </c>
      <c r="Y289" s="333" t="str">
        <f t="array" ref="Y289">IF(X289="","",X289&amp;"  –  "&amp;INDEX('Bills &amp; Invoices'!$D$5:$D$32,MATCH(X289,'Bills &amp; Invoices'!$B$5:$B$32,0))&amp;"  –  $"&amp;TEXT(SUMIFS('Bills &amp; Invoices'!$J$5:$J$32,'Bills &amp; Invoices'!$B$5:$B$32,X289),"#,##0"))</f>
        <v/>
      </c>
      <c r="Z289" s="333" t="str">
        <f t="array" ref="Z289">IF(X289="","",INDEX('Bills &amp; Invoices'!$D$5:$D$32,MATCH(X289,'Bills &amp; Invoices'!$B$5:$B$32,0)))</f>
        <v/>
      </c>
      <c r="AA289" s="334" t="str">
        <f t="array" ref="AA289">IF(X289="","",INDEX('Bills &amp; Invoices'!$K$5:$K$32,MATCH(X289,'Bills &amp; Invoices'!$B$5:$B$32,0)))</f>
        <v/>
      </c>
      <c r="AB289" s="335" t="str">
        <f>IF(X289="","",SUMIFS('Bills &amp; Invoices'!$J$5:$J$32,'Bills &amp; Invoices'!$B$5:$B$32,X289))</f>
        <v/>
      </c>
      <c r="AC289" s="335" t="str">
        <f>IF(X289="","",SUMIFS('Payments &amp; Receipts'!$F$5:$F$58,'Payments &amp; Receipts'!$L$5:$L$58,X289))</f>
        <v/>
      </c>
      <c r="AD289" s="333" t="str">
        <f t="array" ref="AD289">IF(X289="","",INDEX('Bills &amp; Invoices'!$U$5:$U$32,MATCH(X289,'Bills &amp; Invoices'!$B$5:$B$32,0)))</f>
        <v/>
      </c>
    </row>
    <row r="290" ht="14.25" customHeight="1">
      <c r="R29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Clearances'!$A$4:$Q$4)),FALSE)),ROWS(R$5:R290)))&amp;""  –  ""&amp;INDEX('Chemical Clearances'!$D$5:$D$169,MATCH(INDEX('Chemical Clearances'!$B$5:$B$169,LARGE(FILTER((ROW('Chemical Clearances'!$B$5:$B$169)-ROW('"&amp;"Chemical Clearances'!$A$4:$Q$4)),IFERROR((MATCH('Chemical Clearances'!$B$5:$B$169,'Chemical Clearances'!$B$5:$B$169,0)=ROW('Chemical Clearances'!$B$5:$B$169)-ROW('Chemical Clearances'!$A$4:$Q$4)),FALSE)),ROWS(R$5:R290))),'Chemical Clearances'!$B$5:$B$169,"&amp;"0)),"""")), 1, 1)"),"")</f>
        <v/>
      </c>
      <c r="X29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Invoices'!$A$4:$V$4)),FALSE)),ROWS(X$5:X290))),"""")), 1, 1)"),"")</f>
        <v/>
      </c>
      <c r="Y290" s="333" t="str">
        <f t="array" ref="Y290">IF(X290="","",X290&amp;"  –  "&amp;INDEX('Bills &amp; Invoices'!$D$5:$D$32,MATCH(X290,'Bills &amp; Invoices'!$B$5:$B$32,0))&amp;"  –  $"&amp;TEXT(SUMIFS('Bills &amp; Invoices'!$J$5:$J$32,'Bills &amp; Invoices'!$B$5:$B$32,X290),"#,##0"))</f>
        <v/>
      </c>
      <c r="Z290" s="333" t="str">
        <f t="array" ref="Z290">IF(X290="","",INDEX('Bills &amp; Invoices'!$D$5:$D$32,MATCH(X290,'Bills &amp; Invoices'!$B$5:$B$32,0)))</f>
        <v/>
      </c>
      <c r="AA290" s="334" t="str">
        <f t="array" ref="AA290">IF(X290="","",INDEX('Bills &amp; Invoices'!$K$5:$K$32,MATCH(X290,'Bills &amp; Invoices'!$B$5:$B$32,0)))</f>
        <v/>
      </c>
      <c r="AB290" s="335" t="str">
        <f>IF(X290="","",SUMIFS('Bills &amp; Invoices'!$J$5:$J$32,'Bills &amp; Invoices'!$B$5:$B$32,X290))</f>
        <v/>
      </c>
      <c r="AC290" s="335" t="str">
        <f>IF(X290="","",SUMIFS('Payments &amp; Receipts'!$F$5:$F$58,'Payments &amp; Receipts'!$L$5:$L$58,X290))</f>
        <v/>
      </c>
      <c r="AD290" s="333" t="str">
        <f t="array" ref="AD290">IF(X290="","",INDEX('Bills &amp; Invoices'!$U$5:$U$32,MATCH(X290,'Bills &amp; Invoices'!$B$5:$B$32,0)))</f>
        <v/>
      </c>
    </row>
    <row r="291" ht="14.25" customHeight="1">
      <c r="R29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Clearances'!$A$4:$Q$4)),FALSE)),ROWS(R$5:R291)))&amp;""  –  ""&amp;INDEX('Chemical Clearances'!$D$5:$D$169,MATCH(INDEX('Chemical Clearances'!$B$5:$B$169,LARGE(FILTER((ROW('Chemical Clearances'!$B$5:$B$169)-ROW('"&amp;"Chemical Clearances'!$A$4:$Q$4)),IFERROR((MATCH('Chemical Clearances'!$B$5:$B$169,'Chemical Clearances'!$B$5:$B$169,0)=ROW('Chemical Clearances'!$B$5:$B$169)-ROW('Chemical Clearances'!$A$4:$Q$4)),FALSE)),ROWS(R$5:R291))),'Chemical Clearances'!$B$5:$B$169,"&amp;"0)),"""")), 1, 1)"),"")</f>
        <v/>
      </c>
      <c r="X29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Invoices'!$A$4:$V$4)),FALSE)),ROWS(X$5:X291))),"""")), 1, 1)"),"")</f>
        <v/>
      </c>
      <c r="Y291" s="333" t="str">
        <f t="array" ref="Y291">IF(X291="","",X291&amp;"  –  "&amp;INDEX('Bills &amp; Invoices'!$D$5:$D$32,MATCH(X291,'Bills &amp; Invoices'!$B$5:$B$32,0))&amp;"  –  $"&amp;TEXT(SUMIFS('Bills &amp; Invoices'!$J$5:$J$32,'Bills &amp; Invoices'!$B$5:$B$32,X291),"#,##0"))</f>
        <v/>
      </c>
      <c r="Z291" s="333" t="str">
        <f t="array" ref="Z291">IF(X291="","",INDEX('Bills &amp; Invoices'!$D$5:$D$32,MATCH(X291,'Bills &amp; Invoices'!$B$5:$B$32,0)))</f>
        <v/>
      </c>
      <c r="AA291" s="334" t="str">
        <f t="array" ref="AA291">IF(X291="","",INDEX('Bills &amp; Invoices'!$K$5:$K$32,MATCH(X291,'Bills &amp; Invoices'!$B$5:$B$32,0)))</f>
        <v/>
      </c>
      <c r="AB291" s="335" t="str">
        <f>IF(X291="","",SUMIFS('Bills &amp; Invoices'!$J$5:$J$32,'Bills &amp; Invoices'!$B$5:$B$32,X291))</f>
        <v/>
      </c>
      <c r="AC291" s="335" t="str">
        <f>IF(X291="","",SUMIFS('Payments &amp; Receipts'!$F$5:$F$58,'Payments &amp; Receipts'!$L$5:$L$58,X291))</f>
        <v/>
      </c>
      <c r="AD291" s="333" t="str">
        <f t="array" ref="AD291">IF(X291="","",INDEX('Bills &amp; Invoices'!$U$5:$U$32,MATCH(X291,'Bills &amp; Invoices'!$B$5:$B$32,0)))</f>
        <v/>
      </c>
    </row>
    <row r="292" ht="14.25" customHeight="1">
      <c r="R29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Clearances'!$A$4:$Q$4)),FALSE)),ROWS(R$5:R292)))&amp;""  –  ""&amp;INDEX('Chemical Clearances'!$D$5:$D$169,MATCH(INDEX('Chemical Clearances'!$B$5:$B$169,LARGE(FILTER((ROW('Chemical Clearances'!$B$5:$B$169)-ROW('"&amp;"Chemical Clearances'!$A$4:$Q$4)),IFERROR((MATCH('Chemical Clearances'!$B$5:$B$169,'Chemical Clearances'!$B$5:$B$169,0)=ROW('Chemical Clearances'!$B$5:$B$169)-ROW('Chemical Clearances'!$A$4:$Q$4)),FALSE)),ROWS(R$5:R292))),'Chemical Clearances'!$B$5:$B$169,"&amp;"0)),"""")), 1, 1)"),"")</f>
        <v/>
      </c>
      <c r="X29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Invoices'!$A$4:$V$4)),FALSE)),ROWS(X$5:X292))),"""")), 1, 1)"),"")</f>
        <v/>
      </c>
      <c r="Y292" s="333" t="str">
        <f t="array" ref="Y292">IF(X292="","",X292&amp;"  –  "&amp;INDEX('Bills &amp; Invoices'!$D$5:$D$32,MATCH(X292,'Bills &amp; Invoices'!$B$5:$B$32,0))&amp;"  –  $"&amp;TEXT(SUMIFS('Bills &amp; Invoices'!$J$5:$J$32,'Bills &amp; Invoices'!$B$5:$B$32,X292),"#,##0"))</f>
        <v/>
      </c>
      <c r="Z292" s="333" t="str">
        <f t="array" ref="Z292">IF(X292="","",INDEX('Bills &amp; Invoices'!$D$5:$D$32,MATCH(X292,'Bills &amp; Invoices'!$B$5:$B$32,0)))</f>
        <v/>
      </c>
      <c r="AA292" s="334" t="str">
        <f t="array" ref="AA292">IF(X292="","",INDEX('Bills &amp; Invoices'!$K$5:$K$32,MATCH(X292,'Bills &amp; Invoices'!$B$5:$B$32,0)))</f>
        <v/>
      </c>
      <c r="AB292" s="335" t="str">
        <f>IF(X292="","",SUMIFS('Bills &amp; Invoices'!$J$5:$J$32,'Bills &amp; Invoices'!$B$5:$B$32,X292))</f>
        <v/>
      </c>
      <c r="AC292" s="335" t="str">
        <f>IF(X292="","",SUMIFS('Payments &amp; Receipts'!$F$5:$F$58,'Payments &amp; Receipts'!$L$5:$L$58,X292))</f>
        <v/>
      </c>
      <c r="AD292" s="333" t="str">
        <f t="array" ref="AD292">IF(X292="","",INDEX('Bills &amp; Invoices'!$U$5:$U$32,MATCH(X292,'Bills &amp; Invoices'!$B$5:$B$32,0)))</f>
        <v/>
      </c>
    </row>
    <row r="293" ht="14.25" customHeight="1">
      <c r="R29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Clearances'!$A$4:$Q$4)),FALSE)),ROWS(R$5:R293)))&amp;""  –  ""&amp;INDEX('Chemical Clearances'!$D$5:$D$169,MATCH(INDEX('Chemical Clearances'!$B$5:$B$169,LARGE(FILTER((ROW('Chemical Clearances'!$B$5:$B$169)-ROW('"&amp;"Chemical Clearances'!$A$4:$Q$4)),IFERROR((MATCH('Chemical Clearances'!$B$5:$B$169,'Chemical Clearances'!$B$5:$B$169,0)=ROW('Chemical Clearances'!$B$5:$B$169)-ROW('Chemical Clearances'!$A$4:$Q$4)),FALSE)),ROWS(R$5:R293))),'Chemical Clearances'!$B$5:$B$169,"&amp;"0)),"""")), 1, 1)"),"")</f>
        <v/>
      </c>
      <c r="X29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Invoices'!$A$4:$V$4)),FALSE)),ROWS(X$5:X293))),"""")), 1, 1)"),"")</f>
        <v/>
      </c>
      <c r="Y293" s="333" t="str">
        <f t="array" ref="Y293">IF(X293="","",X293&amp;"  –  "&amp;INDEX('Bills &amp; Invoices'!$D$5:$D$32,MATCH(X293,'Bills &amp; Invoices'!$B$5:$B$32,0))&amp;"  –  $"&amp;TEXT(SUMIFS('Bills &amp; Invoices'!$J$5:$J$32,'Bills &amp; Invoices'!$B$5:$B$32,X293),"#,##0"))</f>
        <v/>
      </c>
      <c r="Z293" s="333" t="str">
        <f t="array" ref="Z293">IF(X293="","",INDEX('Bills &amp; Invoices'!$D$5:$D$32,MATCH(X293,'Bills &amp; Invoices'!$B$5:$B$32,0)))</f>
        <v/>
      </c>
      <c r="AA293" s="334" t="str">
        <f t="array" ref="AA293">IF(X293="","",INDEX('Bills &amp; Invoices'!$K$5:$K$32,MATCH(X293,'Bills &amp; Invoices'!$B$5:$B$32,0)))</f>
        <v/>
      </c>
      <c r="AB293" s="335" t="str">
        <f>IF(X293="","",SUMIFS('Bills &amp; Invoices'!$J$5:$J$32,'Bills &amp; Invoices'!$B$5:$B$32,X293))</f>
        <v/>
      </c>
      <c r="AC293" s="335" t="str">
        <f>IF(X293="","",SUMIFS('Payments &amp; Receipts'!$F$5:$F$58,'Payments &amp; Receipts'!$L$5:$L$58,X293))</f>
        <v/>
      </c>
      <c r="AD293" s="333" t="str">
        <f t="array" ref="AD293">IF(X293="","",INDEX('Bills &amp; Invoices'!$U$5:$U$32,MATCH(X293,'Bills &amp; Invoices'!$B$5:$B$32,0)))</f>
        <v/>
      </c>
    </row>
    <row r="294" ht="14.25" customHeight="1">
      <c r="R29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Clearances'!$A$4:$Q$4)),FALSE)),ROWS(R$5:R294)))&amp;""  –  ""&amp;INDEX('Chemical Clearances'!$D$5:$D$169,MATCH(INDEX('Chemical Clearances'!$B$5:$B$169,LARGE(FILTER((ROW('Chemical Clearances'!$B$5:$B$169)-ROW('"&amp;"Chemical Clearances'!$A$4:$Q$4)),IFERROR((MATCH('Chemical Clearances'!$B$5:$B$169,'Chemical Clearances'!$B$5:$B$169,0)=ROW('Chemical Clearances'!$B$5:$B$169)-ROW('Chemical Clearances'!$A$4:$Q$4)),FALSE)),ROWS(R$5:R294))),'Chemical Clearances'!$B$5:$B$169,"&amp;"0)),"""")), 1, 1)"),"")</f>
        <v/>
      </c>
      <c r="X29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Invoices'!$A$4:$V$4)),FALSE)),ROWS(X$5:X294))),"""")), 1, 1)"),"")</f>
        <v/>
      </c>
      <c r="Y294" s="333" t="str">
        <f t="array" ref="Y294">IF(X294="","",X294&amp;"  –  "&amp;INDEX('Bills &amp; Invoices'!$D$5:$D$32,MATCH(X294,'Bills &amp; Invoices'!$B$5:$B$32,0))&amp;"  –  $"&amp;TEXT(SUMIFS('Bills &amp; Invoices'!$J$5:$J$32,'Bills &amp; Invoices'!$B$5:$B$32,X294),"#,##0"))</f>
        <v/>
      </c>
      <c r="Z294" s="333" t="str">
        <f t="array" ref="Z294">IF(X294="","",INDEX('Bills &amp; Invoices'!$D$5:$D$32,MATCH(X294,'Bills &amp; Invoices'!$B$5:$B$32,0)))</f>
        <v/>
      </c>
      <c r="AA294" s="334" t="str">
        <f t="array" ref="AA294">IF(X294="","",INDEX('Bills &amp; Invoices'!$K$5:$K$32,MATCH(X294,'Bills &amp; Invoices'!$B$5:$B$32,0)))</f>
        <v/>
      </c>
      <c r="AB294" s="335" t="str">
        <f>IF(X294="","",SUMIFS('Bills &amp; Invoices'!$J$5:$J$32,'Bills &amp; Invoices'!$B$5:$B$32,X294))</f>
        <v/>
      </c>
      <c r="AC294" s="335" t="str">
        <f>IF(X294="","",SUMIFS('Payments &amp; Receipts'!$F$5:$F$58,'Payments &amp; Receipts'!$L$5:$L$58,X294))</f>
        <v/>
      </c>
      <c r="AD294" s="333" t="str">
        <f t="array" ref="AD294">IF(X294="","",INDEX('Bills &amp; Invoices'!$U$5:$U$32,MATCH(X294,'Bills &amp; Invoices'!$B$5:$B$32,0)))</f>
        <v/>
      </c>
    </row>
    <row r="295" ht="14.25" customHeight="1">
      <c r="R29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Clearances'!$A$4:$Q$4)),FALSE)),ROWS(R$5:R295)))&amp;""  –  ""&amp;INDEX('Chemical Clearances'!$D$5:$D$169,MATCH(INDEX('Chemical Clearances'!$B$5:$B$169,LARGE(FILTER((ROW('Chemical Clearances'!$B$5:$B$169)-ROW('"&amp;"Chemical Clearances'!$A$4:$Q$4)),IFERROR((MATCH('Chemical Clearances'!$B$5:$B$169,'Chemical Clearances'!$B$5:$B$169,0)=ROW('Chemical Clearances'!$B$5:$B$169)-ROW('Chemical Clearances'!$A$4:$Q$4)),FALSE)),ROWS(R$5:R295))),'Chemical Clearances'!$B$5:$B$169,"&amp;"0)),"""")), 1, 1)"),"")</f>
        <v/>
      </c>
      <c r="X29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Invoices'!$A$4:$V$4)),FALSE)),ROWS(X$5:X295))),"""")), 1, 1)"),"")</f>
        <v/>
      </c>
      <c r="Y295" s="333" t="str">
        <f t="array" ref="Y295">IF(X295="","",X295&amp;"  –  "&amp;INDEX('Bills &amp; Invoices'!$D$5:$D$32,MATCH(X295,'Bills &amp; Invoices'!$B$5:$B$32,0))&amp;"  –  $"&amp;TEXT(SUMIFS('Bills &amp; Invoices'!$J$5:$J$32,'Bills &amp; Invoices'!$B$5:$B$32,X295),"#,##0"))</f>
        <v/>
      </c>
      <c r="Z295" s="333" t="str">
        <f t="array" ref="Z295">IF(X295="","",INDEX('Bills &amp; Invoices'!$D$5:$D$32,MATCH(X295,'Bills &amp; Invoices'!$B$5:$B$32,0)))</f>
        <v/>
      </c>
      <c r="AA295" s="334" t="str">
        <f t="array" ref="AA295">IF(X295="","",INDEX('Bills &amp; Invoices'!$K$5:$K$32,MATCH(X295,'Bills &amp; Invoices'!$B$5:$B$32,0)))</f>
        <v/>
      </c>
      <c r="AB295" s="335" t="str">
        <f>IF(X295="","",SUMIFS('Bills &amp; Invoices'!$J$5:$J$32,'Bills &amp; Invoices'!$B$5:$B$32,X295))</f>
        <v/>
      </c>
      <c r="AC295" s="335" t="str">
        <f>IF(X295="","",SUMIFS('Payments &amp; Receipts'!$F$5:$F$58,'Payments &amp; Receipts'!$L$5:$L$58,X295))</f>
        <v/>
      </c>
      <c r="AD295" s="333" t="str">
        <f t="array" ref="AD295">IF(X295="","",INDEX('Bills &amp; Invoices'!$U$5:$U$32,MATCH(X295,'Bills &amp; Invoices'!$B$5:$B$32,0)))</f>
        <v/>
      </c>
    </row>
    <row r="296" ht="14.25" customHeight="1">
      <c r="R29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Clearances'!$A$4:$Q$4)),FALSE)),ROWS(R$5:R296)))&amp;""  –  ""&amp;INDEX('Chemical Clearances'!$D$5:$D$169,MATCH(INDEX('Chemical Clearances'!$B$5:$B$169,LARGE(FILTER((ROW('Chemical Clearances'!$B$5:$B$169)-ROW('"&amp;"Chemical Clearances'!$A$4:$Q$4)),IFERROR((MATCH('Chemical Clearances'!$B$5:$B$169,'Chemical Clearances'!$B$5:$B$169,0)=ROW('Chemical Clearances'!$B$5:$B$169)-ROW('Chemical Clearances'!$A$4:$Q$4)),FALSE)),ROWS(R$5:R296))),'Chemical Clearances'!$B$5:$B$169,"&amp;"0)),"""")), 1, 1)"),"")</f>
        <v/>
      </c>
      <c r="X29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Invoices'!$A$4:$V$4)),FALSE)),ROWS(X$5:X296))),"""")), 1, 1)"),"")</f>
        <v/>
      </c>
      <c r="Y296" s="333" t="str">
        <f t="array" ref="Y296">IF(X296="","",X296&amp;"  –  "&amp;INDEX('Bills &amp; Invoices'!$D$5:$D$32,MATCH(X296,'Bills &amp; Invoices'!$B$5:$B$32,0))&amp;"  –  $"&amp;TEXT(SUMIFS('Bills &amp; Invoices'!$J$5:$J$32,'Bills &amp; Invoices'!$B$5:$B$32,X296),"#,##0"))</f>
        <v/>
      </c>
      <c r="Z296" s="333" t="str">
        <f t="array" ref="Z296">IF(X296="","",INDEX('Bills &amp; Invoices'!$D$5:$D$32,MATCH(X296,'Bills &amp; Invoices'!$B$5:$B$32,0)))</f>
        <v/>
      </c>
      <c r="AA296" s="334" t="str">
        <f t="array" ref="AA296">IF(X296="","",INDEX('Bills &amp; Invoices'!$K$5:$K$32,MATCH(X296,'Bills &amp; Invoices'!$B$5:$B$32,0)))</f>
        <v/>
      </c>
      <c r="AB296" s="335" t="str">
        <f>IF(X296="","",SUMIFS('Bills &amp; Invoices'!$J$5:$J$32,'Bills &amp; Invoices'!$B$5:$B$32,X296))</f>
        <v/>
      </c>
      <c r="AC296" s="335" t="str">
        <f>IF(X296="","",SUMIFS('Payments &amp; Receipts'!$F$5:$F$58,'Payments &amp; Receipts'!$L$5:$L$58,X296))</f>
        <v/>
      </c>
      <c r="AD296" s="333" t="str">
        <f t="array" ref="AD296">IF(X296="","",INDEX('Bills &amp; Invoices'!$U$5:$U$32,MATCH(X296,'Bills &amp; Invoices'!$B$5:$B$32,0)))</f>
        <v/>
      </c>
    </row>
    <row r="297" ht="14.25" customHeight="1">
      <c r="R29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Clearances'!$A$4:$Q$4)),FALSE)),ROWS(R$5:R297)))&amp;""  –  ""&amp;INDEX('Chemical Clearances'!$D$5:$D$169,MATCH(INDEX('Chemical Clearances'!$B$5:$B$169,LARGE(FILTER((ROW('Chemical Clearances'!$B$5:$B$169)-ROW('"&amp;"Chemical Clearances'!$A$4:$Q$4)),IFERROR((MATCH('Chemical Clearances'!$B$5:$B$169,'Chemical Clearances'!$B$5:$B$169,0)=ROW('Chemical Clearances'!$B$5:$B$169)-ROW('Chemical Clearances'!$A$4:$Q$4)),FALSE)),ROWS(R$5:R297))),'Chemical Clearances'!$B$5:$B$169,"&amp;"0)),"""")), 1, 1)"),"")</f>
        <v/>
      </c>
      <c r="X29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Invoices'!$A$4:$V$4)),FALSE)),ROWS(X$5:X297))),"""")), 1, 1)"),"")</f>
        <v/>
      </c>
      <c r="Y297" s="333" t="str">
        <f t="array" ref="Y297">IF(X297="","",X297&amp;"  –  "&amp;INDEX('Bills &amp; Invoices'!$D$5:$D$32,MATCH(X297,'Bills &amp; Invoices'!$B$5:$B$32,0))&amp;"  –  $"&amp;TEXT(SUMIFS('Bills &amp; Invoices'!$J$5:$J$32,'Bills &amp; Invoices'!$B$5:$B$32,X297),"#,##0"))</f>
        <v/>
      </c>
      <c r="Z297" s="333" t="str">
        <f t="array" ref="Z297">IF(X297="","",INDEX('Bills &amp; Invoices'!$D$5:$D$32,MATCH(X297,'Bills &amp; Invoices'!$B$5:$B$32,0)))</f>
        <v/>
      </c>
      <c r="AA297" s="334" t="str">
        <f t="array" ref="AA297">IF(X297="","",INDEX('Bills &amp; Invoices'!$K$5:$K$32,MATCH(X297,'Bills &amp; Invoices'!$B$5:$B$32,0)))</f>
        <v/>
      </c>
      <c r="AB297" s="335" t="str">
        <f>IF(X297="","",SUMIFS('Bills &amp; Invoices'!$J$5:$J$32,'Bills &amp; Invoices'!$B$5:$B$32,X297))</f>
        <v/>
      </c>
      <c r="AC297" s="335" t="str">
        <f>IF(X297="","",SUMIFS('Payments &amp; Receipts'!$F$5:$F$58,'Payments &amp; Receipts'!$L$5:$L$58,X297))</f>
        <v/>
      </c>
      <c r="AD297" s="333" t="str">
        <f t="array" ref="AD297">IF(X297="","",INDEX('Bills &amp; Invoices'!$U$5:$U$32,MATCH(X297,'Bills &amp; Invoices'!$B$5:$B$32,0)))</f>
        <v/>
      </c>
    </row>
    <row r="298" ht="14.25" customHeight="1">
      <c r="R29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Clearances'!$A$4:$Q$4)),FALSE)),ROWS(R$5:R298)))&amp;""  –  ""&amp;INDEX('Chemical Clearances'!$D$5:$D$169,MATCH(INDEX('Chemical Clearances'!$B$5:$B$169,LARGE(FILTER((ROW('Chemical Clearances'!$B$5:$B$169)-ROW('"&amp;"Chemical Clearances'!$A$4:$Q$4)),IFERROR((MATCH('Chemical Clearances'!$B$5:$B$169,'Chemical Clearances'!$B$5:$B$169,0)=ROW('Chemical Clearances'!$B$5:$B$169)-ROW('Chemical Clearances'!$A$4:$Q$4)),FALSE)),ROWS(R$5:R298))),'Chemical Clearances'!$B$5:$B$169,"&amp;"0)),"""")), 1, 1)"),"")</f>
        <v/>
      </c>
      <c r="X29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Invoices'!$A$4:$V$4)),FALSE)),ROWS(X$5:X298))),"""")), 1, 1)"),"")</f>
        <v/>
      </c>
      <c r="Y298" s="333" t="str">
        <f t="array" ref="Y298">IF(X298="","",X298&amp;"  –  "&amp;INDEX('Bills &amp; Invoices'!$D$5:$D$32,MATCH(X298,'Bills &amp; Invoices'!$B$5:$B$32,0))&amp;"  –  $"&amp;TEXT(SUMIFS('Bills &amp; Invoices'!$J$5:$J$32,'Bills &amp; Invoices'!$B$5:$B$32,X298),"#,##0"))</f>
        <v/>
      </c>
      <c r="Z298" s="333" t="str">
        <f t="array" ref="Z298">IF(X298="","",INDEX('Bills &amp; Invoices'!$D$5:$D$32,MATCH(X298,'Bills &amp; Invoices'!$B$5:$B$32,0)))</f>
        <v/>
      </c>
      <c r="AA298" s="334" t="str">
        <f t="array" ref="AA298">IF(X298="","",INDEX('Bills &amp; Invoices'!$K$5:$K$32,MATCH(X298,'Bills &amp; Invoices'!$B$5:$B$32,0)))</f>
        <v/>
      </c>
      <c r="AB298" s="335" t="str">
        <f>IF(X298="","",SUMIFS('Bills &amp; Invoices'!$J$5:$J$32,'Bills &amp; Invoices'!$B$5:$B$32,X298))</f>
        <v/>
      </c>
      <c r="AC298" s="335" t="str">
        <f>IF(X298="","",SUMIFS('Payments &amp; Receipts'!$F$5:$F$58,'Payments &amp; Receipts'!$L$5:$L$58,X298))</f>
        <v/>
      </c>
      <c r="AD298" s="333" t="str">
        <f t="array" ref="AD298">IF(X298="","",INDEX('Bills &amp; Invoices'!$U$5:$U$32,MATCH(X298,'Bills &amp; Invoices'!$B$5:$B$32,0)))</f>
        <v/>
      </c>
    </row>
    <row r="299" ht="14.25" customHeight="1">
      <c r="R29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Clearances'!$A$4:$Q$4)),FALSE)),ROWS(R$5:R299)))&amp;""  –  ""&amp;INDEX('Chemical Clearances'!$D$5:$D$169,MATCH(INDEX('Chemical Clearances'!$B$5:$B$169,LARGE(FILTER((ROW('Chemical Clearances'!$B$5:$B$169)-ROW('"&amp;"Chemical Clearances'!$A$4:$Q$4)),IFERROR((MATCH('Chemical Clearances'!$B$5:$B$169,'Chemical Clearances'!$B$5:$B$169,0)=ROW('Chemical Clearances'!$B$5:$B$169)-ROW('Chemical Clearances'!$A$4:$Q$4)),FALSE)),ROWS(R$5:R299))),'Chemical Clearances'!$B$5:$B$169,"&amp;"0)),"""")), 1, 1)"),"")</f>
        <v/>
      </c>
      <c r="X29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Invoices'!$A$4:$V$4)),FALSE)),ROWS(X$5:X299))),"""")), 1, 1)"),"")</f>
        <v/>
      </c>
      <c r="Y299" s="333" t="str">
        <f t="array" ref="Y299">IF(X299="","",X299&amp;"  –  "&amp;INDEX('Bills &amp; Invoices'!$D$5:$D$32,MATCH(X299,'Bills &amp; Invoices'!$B$5:$B$32,0))&amp;"  –  $"&amp;TEXT(SUMIFS('Bills &amp; Invoices'!$J$5:$J$32,'Bills &amp; Invoices'!$B$5:$B$32,X299),"#,##0"))</f>
        <v/>
      </c>
      <c r="Z299" s="333" t="str">
        <f t="array" ref="Z299">IF(X299="","",INDEX('Bills &amp; Invoices'!$D$5:$D$32,MATCH(X299,'Bills &amp; Invoices'!$B$5:$B$32,0)))</f>
        <v/>
      </c>
      <c r="AA299" s="334" t="str">
        <f t="array" ref="AA299">IF(X299="","",INDEX('Bills &amp; Invoices'!$K$5:$K$32,MATCH(X299,'Bills &amp; Invoices'!$B$5:$B$32,0)))</f>
        <v/>
      </c>
      <c r="AB299" s="335" t="str">
        <f>IF(X299="","",SUMIFS('Bills &amp; Invoices'!$J$5:$J$32,'Bills &amp; Invoices'!$B$5:$B$32,X299))</f>
        <v/>
      </c>
      <c r="AC299" s="335" t="str">
        <f>IF(X299="","",SUMIFS('Payments &amp; Receipts'!$F$5:$F$58,'Payments &amp; Receipts'!$L$5:$L$58,X299))</f>
        <v/>
      </c>
      <c r="AD299" s="333" t="str">
        <f t="array" ref="AD299">IF(X299="","",INDEX('Bills &amp; Invoices'!$U$5:$U$32,MATCH(X299,'Bills &amp; Invoices'!$B$5:$B$32,0)))</f>
        <v/>
      </c>
    </row>
    <row r="300" ht="14.25" customHeight="1">
      <c r="R30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Clearances'!$A$4:$Q$4)),FALSE)),ROWS(R$5:R300)))&amp;""  –  ""&amp;INDEX('Chemical Clearances'!$D$5:$D$169,MATCH(INDEX('Chemical Clearances'!$B$5:$B$169,LARGE(FILTER((ROW('Chemical Clearances'!$B$5:$B$169)-ROW('"&amp;"Chemical Clearances'!$A$4:$Q$4)),IFERROR((MATCH('Chemical Clearances'!$B$5:$B$169,'Chemical Clearances'!$B$5:$B$169,0)=ROW('Chemical Clearances'!$B$5:$B$169)-ROW('Chemical Clearances'!$A$4:$Q$4)),FALSE)),ROWS(R$5:R300))),'Chemical Clearances'!$B$5:$B$169,"&amp;"0)),"""")), 1, 1)"),"")</f>
        <v/>
      </c>
      <c r="X30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Invoices'!$A$4:$V$4)),FALSE)),ROWS(X$5:X300))),"""")), 1, 1)"),"")</f>
        <v/>
      </c>
      <c r="Y300" s="333" t="str">
        <f t="array" ref="Y300">IF(X300="","",X300&amp;"  –  "&amp;INDEX('Bills &amp; Invoices'!$D$5:$D$32,MATCH(X300,'Bills &amp; Invoices'!$B$5:$B$32,0))&amp;"  –  $"&amp;TEXT(SUMIFS('Bills &amp; Invoices'!$J$5:$J$32,'Bills &amp; Invoices'!$B$5:$B$32,X300),"#,##0"))</f>
        <v/>
      </c>
      <c r="Z300" s="333" t="str">
        <f t="array" ref="Z300">IF(X300="","",INDEX('Bills &amp; Invoices'!$D$5:$D$32,MATCH(X300,'Bills &amp; Invoices'!$B$5:$B$32,0)))</f>
        <v/>
      </c>
      <c r="AA300" s="334" t="str">
        <f t="array" ref="AA300">IF(X300="","",INDEX('Bills &amp; Invoices'!$K$5:$K$32,MATCH(X300,'Bills &amp; Invoices'!$B$5:$B$32,0)))</f>
        <v/>
      </c>
      <c r="AB300" s="335" t="str">
        <f>IF(X300="","",SUMIFS('Bills &amp; Invoices'!$J$5:$J$32,'Bills &amp; Invoices'!$B$5:$B$32,X300))</f>
        <v/>
      </c>
      <c r="AC300" s="335" t="str">
        <f>IF(X300="","",SUMIFS('Payments &amp; Receipts'!$F$5:$F$58,'Payments &amp; Receipts'!$L$5:$L$58,X300))</f>
        <v/>
      </c>
      <c r="AD300" s="333" t="str">
        <f t="array" ref="AD300">IF(X300="","",INDEX('Bills &amp; Invoices'!$U$5:$U$32,MATCH(X300,'Bills &amp; Invoices'!$B$5:$B$32,0)))</f>
        <v/>
      </c>
    </row>
    <row r="301" ht="14.25" customHeight="1">
      <c r="R30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Clearances'!$A$4:$Q$4)),FALSE)),ROWS(R$5:R301)))&amp;""  –  ""&amp;INDEX('Chemical Clearances'!$D$5:$D$169,MATCH(INDEX('Chemical Clearances'!$B$5:$B$169,LARGE(FILTER((ROW('Chemical Clearances'!$B$5:$B$169)-ROW('"&amp;"Chemical Clearances'!$A$4:$Q$4)),IFERROR((MATCH('Chemical Clearances'!$B$5:$B$169,'Chemical Clearances'!$B$5:$B$169,0)=ROW('Chemical Clearances'!$B$5:$B$169)-ROW('Chemical Clearances'!$A$4:$Q$4)),FALSE)),ROWS(R$5:R301))),'Chemical Clearances'!$B$5:$B$169,"&amp;"0)),"""")), 1, 1)"),"")</f>
        <v/>
      </c>
      <c r="X30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Invoices'!$A$4:$V$4)),FALSE)),ROWS(X$5:X301))),"""")), 1, 1)"),"")</f>
        <v/>
      </c>
      <c r="Y301" s="333" t="str">
        <f t="array" ref="Y301">IF(X301="","",X301&amp;"  –  "&amp;INDEX('Bills &amp; Invoices'!$D$5:$D$32,MATCH(X301,'Bills &amp; Invoices'!$B$5:$B$32,0))&amp;"  –  $"&amp;TEXT(SUMIFS('Bills &amp; Invoices'!$J$5:$J$32,'Bills &amp; Invoices'!$B$5:$B$32,X301),"#,##0"))</f>
        <v/>
      </c>
      <c r="Z301" s="333" t="str">
        <f t="array" ref="Z301">IF(X301="","",INDEX('Bills &amp; Invoices'!$D$5:$D$32,MATCH(X301,'Bills &amp; Invoices'!$B$5:$B$32,0)))</f>
        <v/>
      </c>
      <c r="AA301" s="334" t="str">
        <f t="array" ref="AA301">IF(X301="","",INDEX('Bills &amp; Invoices'!$K$5:$K$32,MATCH(X301,'Bills &amp; Invoices'!$B$5:$B$32,0)))</f>
        <v/>
      </c>
      <c r="AB301" s="335" t="str">
        <f>IF(X301="","",SUMIFS('Bills &amp; Invoices'!$J$5:$J$32,'Bills &amp; Invoices'!$B$5:$B$32,X301))</f>
        <v/>
      </c>
      <c r="AC301" s="335" t="str">
        <f>IF(X301="","",SUMIFS('Payments &amp; Receipts'!$F$5:$F$58,'Payments &amp; Receipts'!$L$5:$L$58,X301))</f>
        <v/>
      </c>
      <c r="AD301" s="333" t="str">
        <f t="array" ref="AD301">IF(X301="","",INDEX('Bills &amp; Invoices'!$U$5:$U$32,MATCH(X301,'Bills &amp; Invoices'!$B$5:$B$32,0)))</f>
        <v/>
      </c>
    </row>
    <row r="302" ht="14.25" customHeight="1">
      <c r="R30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Clearances'!$A$4:$Q$4)),FALSE)),ROWS(R$5:R302)))&amp;""  –  ""&amp;INDEX('Chemical Clearances'!$D$5:$D$169,MATCH(INDEX('Chemical Clearances'!$B$5:$B$169,LARGE(FILTER((ROW('Chemical Clearances'!$B$5:$B$169)-ROW('"&amp;"Chemical Clearances'!$A$4:$Q$4)),IFERROR((MATCH('Chemical Clearances'!$B$5:$B$169,'Chemical Clearances'!$B$5:$B$169,0)=ROW('Chemical Clearances'!$B$5:$B$169)-ROW('Chemical Clearances'!$A$4:$Q$4)),FALSE)),ROWS(R$5:R302))),'Chemical Clearances'!$B$5:$B$169,"&amp;"0)),"""")), 1, 1)"),"")</f>
        <v/>
      </c>
      <c r="X30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Invoices'!$A$4:$V$4)),FALSE)),ROWS(X$5:X302))),"""")), 1, 1)"),"")</f>
        <v/>
      </c>
      <c r="Y302" s="333" t="str">
        <f t="array" ref="Y302">IF(X302="","",X302&amp;"  –  "&amp;INDEX('Bills &amp; Invoices'!$D$5:$D$32,MATCH(X302,'Bills &amp; Invoices'!$B$5:$B$32,0))&amp;"  –  $"&amp;TEXT(SUMIFS('Bills &amp; Invoices'!$J$5:$J$32,'Bills &amp; Invoices'!$B$5:$B$32,X302),"#,##0"))</f>
        <v/>
      </c>
      <c r="Z302" s="333" t="str">
        <f t="array" ref="Z302">IF(X302="","",INDEX('Bills &amp; Invoices'!$D$5:$D$32,MATCH(X302,'Bills &amp; Invoices'!$B$5:$B$32,0)))</f>
        <v/>
      </c>
      <c r="AA302" s="334" t="str">
        <f t="array" ref="AA302">IF(X302="","",INDEX('Bills &amp; Invoices'!$K$5:$K$32,MATCH(X302,'Bills &amp; Invoices'!$B$5:$B$32,0)))</f>
        <v/>
      </c>
      <c r="AB302" s="335" t="str">
        <f>IF(X302="","",SUMIFS('Bills &amp; Invoices'!$J$5:$J$32,'Bills &amp; Invoices'!$B$5:$B$32,X302))</f>
        <v/>
      </c>
      <c r="AC302" s="335" t="str">
        <f>IF(X302="","",SUMIFS('Payments &amp; Receipts'!$F$5:$F$58,'Payments &amp; Receipts'!$L$5:$L$58,X302))</f>
        <v/>
      </c>
      <c r="AD302" s="333" t="str">
        <f t="array" ref="AD302">IF(X302="","",INDEX('Bills &amp; Invoices'!$U$5:$U$32,MATCH(X302,'Bills &amp; Invoices'!$B$5:$B$32,0)))</f>
        <v/>
      </c>
    </row>
    <row r="303" ht="14.25" customHeight="1">
      <c r="R30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Clearances'!$A$4:$Q$4)),FALSE)),ROWS(R$5:R303)))&amp;""  –  ""&amp;INDEX('Chemical Clearances'!$D$5:$D$169,MATCH(INDEX('Chemical Clearances'!$B$5:$B$169,LARGE(FILTER((ROW('Chemical Clearances'!$B$5:$B$169)-ROW('"&amp;"Chemical Clearances'!$A$4:$Q$4)),IFERROR((MATCH('Chemical Clearances'!$B$5:$B$169,'Chemical Clearances'!$B$5:$B$169,0)=ROW('Chemical Clearances'!$B$5:$B$169)-ROW('Chemical Clearances'!$A$4:$Q$4)),FALSE)),ROWS(R$5:R303))),'Chemical Clearances'!$B$5:$B$169,"&amp;"0)),"""")), 1, 1)"),"")</f>
        <v/>
      </c>
      <c r="X30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Invoices'!$A$4:$V$4)),FALSE)),ROWS(X$5:X303))),"""")), 1, 1)"),"")</f>
        <v/>
      </c>
      <c r="Y303" s="333" t="str">
        <f t="array" ref="Y303">IF(X303="","",X303&amp;"  –  "&amp;INDEX('Bills &amp; Invoices'!$D$5:$D$32,MATCH(X303,'Bills &amp; Invoices'!$B$5:$B$32,0))&amp;"  –  $"&amp;TEXT(SUMIFS('Bills &amp; Invoices'!$J$5:$J$32,'Bills &amp; Invoices'!$B$5:$B$32,X303),"#,##0"))</f>
        <v/>
      </c>
      <c r="Z303" s="333" t="str">
        <f t="array" ref="Z303">IF(X303="","",INDEX('Bills &amp; Invoices'!$D$5:$D$32,MATCH(X303,'Bills &amp; Invoices'!$B$5:$B$32,0)))</f>
        <v/>
      </c>
      <c r="AA303" s="334" t="str">
        <f t="array" ref="AA303">IF(X303="","",INDEX('Bills &amp; Invoices'!$K$5:$K$32,MATCH(X303,'Bills &amp; Invoices'!$B$5:$B$32,0)))</f>
        <v/>
      </c>
      <c r="AB303" s="335" t="str">
        <f>IF(X303="","",SUMIFS('Bills &amp; Invoices'!$J$5:$J$32,'Bills &amp; Invoices'!$B$5:$B$32,X303))</f>
        <v/>
      </c>
      <c r="AC303" s="335" t="str">
        <f>IF(X303="","",SUMIFS('Payments &amp; Receipts'!$F$5:$F$58,'Payments &amp; Receipts'!$L$5:$L$58,X303))</f>
        <v/>
      </c>
      <c r="AD303" s="333" t="str">
        <f t="array" ref="AD303">IF(X303="","",INDEX('Bills &amp; Invoices'!$U$5:$U$32,MATCH(X303,'Bills &amp; Invoices'!$B$5:$B$32,0)))</f>
        <v/>
      </c>
    </row>
    <row r="304" ht="14.25" customHeight="1">
      <c r="R30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Clearances'!$A$4:$Q$4)),FALSE)),ROWS(R$5:R304)))&amp;""  –  ""&amp;INDEX('Chemical Clearances'!$D$5:$D$169,MATCH(INDEX('Chemical Clearances'!$B$5:$B$169,LARGE(FILTER((ROW('Chemical Clearances'!$B$5:$B$169)-ROW('"&amp;"Chemical Clearances'!$A$4:$Q$4)),IFERROR((MATCH('Chemical Clearances'!$B$5:$B$169,'Chemical Clearances'!$B$5:$B$169,0)=ROW('Chemical Clearances'!$B$5:$B$169)-ROW('Chemical Clearances'!$A$4:$Q$4)),FALSE)),ROWS(R$5:R304))),'Chemical Clearances'!$B$5:$B$169,"&amp;"0)),"""")), 1, 1)"),"")</f>
        <v/>
      </c>
      <c r="X30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Invoices'!$A$4:$V$4)),FALSE)),ROWS(X$5:X304))),"""")), 1, 1)"),"")</f>
        <v/>
      </c>
      <c r="Y304" s="333" t="str">
        <f t="array" ref="Y304">IF(X304="","",X304&amp;"  –  "&amp;INDEX('Bills &amp; Invoices'!$D$5:$D$32,MATCH(X304,'Bills &amp; Invoices'!$B$5:$B$32,0))&amp;"  –  $"&amp;TEXT(SUMIFS('Bills &amp; Invoices'!$J$5:$J$32,'Bills &amp; Invoices'!$B$5:$B$32,X304),"#,##0"))</f>
        <v/>
      </c>
      <c r="Z304" s="333" t="str">
        <f t="array" ref="Z304">IF(X304="","",INDEX('Bills &amp; Invoices'!$D$5:$D$32,MATCH(X304,'Bills &amp; Invoices'!$B$5:$B$32,0)))</f>
        <v/>
      </c>
      <c r="AA304" s="334" t="str">
        <f t="array" ref="AA304">IF(X304="","",INDEX('Bills &amp; Invoices'!$K$5:$K$32,MATCH(X304,'Bills &amp; Invoices'!$B$5:$B$32,0)))</f>
        <v/>
      </c>
      <c r="AB304" s="335" t="str">
        <f>IF(X304="","",SUMIFS('Bills &amp; Invoices'!$J$5:$J$32,'Bills &amp; Invoices'!$B$5:$B$32,X304))</f>
        <v/>
      </c>
      <c r="AC304" s="335" t="str">
        <f>IF(X304="","",SUMIFS('Payments &amp; Receipts'!$F$5:$F$58,'Payments &amp; Receipts'!$L$5:$L$58,X304))</f>
        <v/>
      </c>
      <c r="AD304" s="333" t="str">
        <f t="array" ref="AD304">IF(X304="","",INDEX('Bills &amp; Invoices'!$U$5:$U$32,MATCH(X304,'Bills &amp; Invoices'!$B$5:$B$32,0)))</f>
        <v/>
      </c>
    </row>
    <row r="305" ht="14.25" customHeight="1">
      <c r="R30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Clearances'!$A$4:$Q$4)),FALSE)),ROWS(R$5:R305)))&amp;""  –  ""&amp;INDEX('Chemical Clearances'!$D$5:$D$169,MATCH(INDEX('Chemical Clearances'!$B$5:$B$169,LARGE(FILTER((ROW('Chemical Clearances'!$B$5:$B$169)-ROW('"&amp;"Chemical Clearances'!$A$4:$Q$4)),IFERROR((MATCH('Chemical Clearances'!$B$5:$B$169,'Chemical Clearances'!$B$5:$B$169,0)=ROW('Chemical Clearances'!$B$5:$B$169)-ROW('Chemical Clearances'!$A$4:$Q$4)),FALSE)),ROWS(R$5:R305))),'Chemical Clearances'!$B$5:$B$169,"&amp;"0)),"""")), 1, 1)"),"")</f>
        <v/>
      </c>
      <c r="X30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Invoices'!$A$4:$V$4)),FALSE)),ROWS(X$5:X305))),"""")), 1, 1)"),"")</f>
        <v/>
      </c>
      <c r="Y305" s="333" t="str">
        <f t="array" ref="Y305">IF(X305="","",X305&amp;"  –  "&amp;INDEX('Bills &amp; Invoices'!$D$5:$D$32,MATCH(X305,'Bills &amp; Invoices'!$B$5:$B$32,0))&amp;"  –  $"&amp;TEXT(SUMIFS('Bills &amp; Invoices'!$J$5:$J$32,'Bills &amp; Invoices'!$B$5:$B$32,X305),"#,##0"))</f>
        <v/>
      </c>
      <c r="Z305" s="333" t="str">
        <f t="array" ref="Z305">IF(X305="","",INDEX('Bills &amp; Invoices'!$D$5:$D$32,MATCH(X305,'Bills &amp; Invoices'!$B$5:$B$32,0)))</f>
        <v/>
      </c>
      <c r="AA305" s="334" t="str">
        <f t="array" ref="AA305">IF(X305="","",INDEX('Bills &amp; Invoices'!$K$5:$K$32,MATCH(X305,'Bills &amp; Invoices'!$B$5:$B$32,0)))</f>
        <v/>
      </c>
      <c r="AB305" s="335" t="str">
        <f>IF(X305="","",SUMIFS('Bills &amp; Invoices'!$J$5:$J$32,'Bills &amp; Invoices'!$B$5:$B$32,X305))</f>
        <v/>
      </c>
      <c r="AC305" s="335" t="str">
        <f>IF(X305="","",SUMIFS('Payments &amp; Receipts'!$F$5:$F$58,'Payments &amp; Receipts'!$L$5:$L$58,X305))</f>
        <v/>
      </c>
      <c r="AD305" s="333" t="str">
        <f t="array" ref="AD305">IF(X305="","",INDEX('Bills &amp; Invoices'!$U$5:$U$32,MATCH(X305,'Bills &amp; Invoices'!$B$5:$B$32,0)))</f>
        <v/>
      </c>
    </row>
    <row r="306" ht="14.25" customHeight="1">
      <c r="R30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Clearances'!$A$4:$Q$4)),FALSE)),ROWS(R$5:R306)))&amp;""  –  ""&amp;INDEX('Chemical Clearances'!$D$5:$D$169,MATCH(INDEX('Chemical Clearances'!$B$5:$B$169,LARGE(FILTER((ROW('Chemical Clearances'!$B$5:$B$169)-ROW('"&amp;"Chemical Clearances'!$A$4:$Q$4)),IFERROR((MATCH('Chemical Clearances'!$B$5:$B$169,'Chemical Clearances'!$B$5:$B$169,0)=ROW('Chemical Clearances'!$B$5:$B$169)-ROW('Chemical Clearances'!$A$4:$Q$4)),FALSE)),ROWS(R$5:R306))),'Chemical Clearances'!$B$5:$B$169,"&amp;"0)),"""")), 1, 1)"),"")</f>
        <v/>
      </c>
      <c r="X30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Invoices'!$A$4:$V$4)),FALSE)),ROWS(X$5:X306))),"""")), 1, 1)"),"")</f>
        <v/>
      </c>
      <c r="Y306" s="333" t="str">
        <f t="array" ref="Y306">IF(X306="","",X306&amp;"  –  "&amp;INDEX('Bills &amp; Invoices'!$D$5:$D$32,MATCH(X306,'Bills &amp; Invoices'!$B$5:$B$32,0))&amp;"  –  $"&amp;TEXT(SUMIFS('Bills &amp; Invoices'!$J$5:$J$32,'Bills &amp; Invoices'!$B$5:$B$32,X306),"#,##0"))</f>
        <v/>
      </c>
      <c r="Z306" s="333" t="str">
        <f t="array" ref="Z306">IF(X306="","",INDEX('Bills &amp; Invoices'!$D$5:$D$32,MATCH(X306,'Bills &amp; Invoices'!$B$5:$B$32,0)))</f>
        <v/>
      </c>
      <c r="AA306" s="334" t="str">
        <f t="array" ref="AA306">IF(X306="","",INDEX('Bills &amp; Invoices'!$K$5:$K$32,MATCH(X306,'Bills &amp; Invoices'!$B$5:$B$32,0)))</f>
        <v/>
      </c>
      <c r="AB306" s="335" t="str">
        <f>IF(X306="","",SUMIFS('Bills &amp; Invoices'!$J$5:$J$32,'Bills &amp; Invoices'!$B$5:$B$32,X306))</f>
        <v/>
      </c>
      <c r="AC306" s="335" t="str">
        <f>IF(X306="","",SUMIFS('Payments &amp; Receipts'!$F$5:$F$58,'Payments &amp; Receipts'!$L$5:$L$58,X306))</f>
        <v/>
      </c>
      <c r="AD306" s="333" t="str">
        <f t="array" ref="AD306">IF(X306="","",INDEX('Bills &amp; Invoices'!$U$5:$U$32,MATCH(X306,'Bills &amp; Invoices'!$B$5:$B$32,0)))</f>
        <v/>
      </c>
    </row>
    <row r="307" ht="14.25" customHeight="1">
      <c r="R30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Clearances'!$A$4:$Q$4)),FALSE)),ROWS(R$5:R307)))&amp;""  –  ""&amp;INDEX('Chemical Clearances'!$D$5:$D$169,MATCH(INDEX('Chemical Clearances'!$B$5:$B$169,LARGE(FILTER((ROW('Chemical Clearances'!$B$5:$B$169)-ROW('"&amp;"Chemical Clearances'!$A$4:$Q$4)),IFERROR((MATCH('Chemical Clearances'!$B$5:$B$169,'Chemical Clearances'!$B$5:$B$169,0)=ROW('Chemical Clearances'!$B$5:$B$169)-ROW('Chemical Clearances'!$A$4:$Q$4)),FALSE)),ROWS(R$5:R307))),'Chemical Clearances'!$B$5:$B$169,"&amp;"0)),"""")), 1, 1)"),"")</f>
        <v/>
      </c>
      <c r="X30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Invoices'!$A$4:$V$4)),FALSE)),ROWS(X$5:X307))),"""")), 1, 1)"),"")</f>
        <v/>
      </c>
      <c r="Y307" s="333" t="str">
        <f t="array" ref="Y307">IF(X307="","",X307&amp;"  –  "&amp;INDEX('Bills &amp; Invoices'!$D$5:$D$32,MATCH(X307,'Bills &amp; Invoices'!$B$5:$B$32,0))&amp;"  –  $"&amp;TEXT(SUMIFS('Bills &amp; Invoices'!$J$5:$J$32,'Bills &amp; Invoices'!$B$5:$B$32,X307),"#,##0"))</f>
        <v/>
      </c>
      <c r="Z307" s="333" t="str">
        <f t="array" ref="Z307">IF(X307="","",INDEX('Bills &amp; Invoices'!$D$5:$D$32,MATCH(X307,'Bills &amp; Invoices'!$B$5:$B$32,0)))</f>
        <v/>
      </c>
      <c r="AA307" s="334" t="str">
        <f t="array" ref="AA307">IF(X307="","",INDEX('Bills &amp; Invoices'!$K$5:$K$32,MATCH(X307,'Bills &amp; Invoices'!$B$5:$B$32,0)))</f>
        <v/>
      </c>
      <c r="AB307" s="335" t="str">
        <f>IF(X307="","",SUMIFS('Bills &amp; Invoices'!$J$5:$J$32,'Bills &amp; Invoices'!$B$5:$B$32,X307))</f>
        <v/>
      </c>
      <c r="AC307" s="335" t="str">
        <f>IF(X307="","",SUMIFS('Payments &amp; Receipts'!$F$5:$F$58,'Payments &amp; Receipts'!$L$5:$L$58,X307))</f>
        <v/>
      </c>
      <c r="AD307" s="333" t="str">
        <f t="array" ref="AD307">IF(X307="","",INDEX('Bills &amp; Invoices'!$U$5:$U$32,MATCH(X307,'Bills &amp; Invoices'!$B$5:$B$32,0)))</f>
        <v/>
      </c>
    </row>
    <row r="308" ht="14.25" customHeight="1">
      <c r="R30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Clearances'!$A$4:$Q$4)),FALSE)),ROWS(R$5:R308)))&amp;""  –  ""&amp;INDEX('Chemical Clearances'!$D$5:$D$169,MATCH(INDEX('Chemical Clearances'!$B$5:$B$169,LARGE(FILTER((ROW('Chemical Clearances'!$B$5:$B$169)-ROW('"&amp;"Chemical Clearances'!$A$4:$Q$4)),IFERROR((MATCH('Chemical Clearances'!$B$5:$B$169,'Chemical Clearances'!$B$5:$B$169,0)=ROW('Chemical Clearances'!$B$5:$B$169)-ROW('Chemical Clearances'!$A$4:$Q$4)),FALSE)),ROWS(R$5:R308))),'Chemical Clearances'!$B$5:$B$169,"&amp;"0)),"""")), 1, 1)"),"")</f>
        <v/>
      </c>
      <c r="X30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Invoices'!$A$4:$V$4)),FALSE)),ROWS(X$5:X308))),"""")), 1, 1)"),"")</f>
        <v/>
      </c>
      <c r="Y308" s="333" t="str">
        <f t="array" ref="Y308">IF(X308="","",X308&amp;"  –  "&amp;INDEX('Bills &amp; Invoices'!$D$5:$D$32,MATCH(X308,'Bills &amp; Invoices'!$B$5:$B$32,0))&amp;"  –  $"&amp;TEXT(SUMIFS('Bills &amp; Invoices'!$J$5:$J$32,'Bills &amp; Invoices'!$B$5:$B$32,X308),"#,##0"))</f>
        <v/>
      </c>
      <c r="Z308" s="333" t="str">
        <f t="array" ref="Z308">IF(X308="","",INDEX('Bills &amp; Invoices'!$D$5:$D$32,MATCH(X308,'Bills &amp; Invoices'!$B$5:$B$32,0)))</f>
        <v/>
      </c>
      <c r="AA308" s="334" t="str">
        <f t="array" ref="AA308">IF(X308="","",INDEX('Bills &amp; Invoices'!$K$5:$K$32,MATCH(X308,'Bills &amp; Invoices'!$B$5:$B$32,0)))</f>
        <v/>
      </c>
      <c r="AB308" s="335" t="str">
        <f>IF(X308="","",SUMIFS('Bills &amp; Invoices'!$J$5:$J$32,'Bills &amp; Invoices'!$B$5:$B$32,X308))</f>
        <v/>
      </c>
      <c r="AC308" s="335" t="str">
        <f>IF(X308="","",SUMIFS('Payments &amp; Receipts'!$F$5:$F$58,'Payments &amp; Receipts'!$L$5:$L$58,X308))</f>
        <v/>
      </c>
      <c r="AD308" s="333" t="str">
        <f t="array" ref="AD308">IF(X308="","",INDEX('Bills &amp; Invoices'!$U$5:$U$32,MATCH(X308,'Bills &amp; Invoices'!$B$5:$B$32,0)))</f>
        <v/>
      </c>
    </row>
    <row r="309" ht="14.25" customHeight="1">
      <c r="R30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Clearances'!$A$4:$Q$4)),FALSE)),ROWS(R$5:R309)))&amp;""  –  ""&amp;INDEX('Chemical Clearances'!$D$5:$D$169,MATCH(INDEX('Chemical Clearances'!$B$5:$B$169,LARGE(FILTER((ROW('Chemical Clearances'!$B$5:$B$169)-ROW('"&amp;"Chemical Clearances'!$A$4:$Q$4)),IFERROR((MATCH('Chemical Clearances'!$B$5:$B$169,'Chemical Clearances'!$B$5:$B$169,0)=ROW('Chemical Clearances'!$B$5:$B$169)-ROW('Chemical Clearances'!$A$4:$Q$4)),FALSE)),ROWS(R$5:R309))),'Chemical Clearances'!$B$5:$B$169,"&amp;"0)),"""")), 1, 1)"),"")</f>
        <v/>
      </c>
      <c r="X30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Invoices'!$A$4:$V$4)),FALSE)),ROWS(X$5:X309))),"""")), 1, 1)"),"")</f>
        <v/>
      </c>
      <c r="Y309" s="333" t="str">
        <f t="array" ref="Y309">IF(X309="","",X309&amp;"  –  "&amp;INDEX('Bills &amp; Invoices'!$D$5:$D$32,MATCH(X309,'Bills &amp; Invoices'!$B$5:$B$32,0))&amp;"  –  $"&amp;TEXT(SUMIFS('Bills &amp; Invoices'!$J$5:$J$32,'Bills &amp; Invoices'!$B$5:$B$32,X309),"#,##0"))</f>
        <v/>
      </c>
      <c r="Z309" s="333" t="str">
        <f t="array" ref="Z309">IF(X309="","",INDEX('Bills &amp; Invoices'!$D$5:$D$32,MATCH(X309,'Bills &amp; Invoices'!$B$5:$B$32,0)))</f>
        <v/>
      </c>
      <c r="AA309" s="334" t="str">
        <f t="array" ref="AA309">IF(X309="","",INDEX('Bills &amp; Invoices'!$K$5:$K$32,MATCH(X309,'Bills &amp; Invoices'!$B$5:$B$32,0)))</f>
        <v/>
      </c>
      <c r="AB309" s="335" t="str">
        <f>IF(X309="","",SUMIFS('Bills &amp; Invoices'!$J$5:$J$32,'Bills &amp; Invoices'!$B$5:$B$32,X309))</f>
        <v/>
      </c>
      <c r="AC309" s="335" t="str">
        <f>IF(X309="","",SUMIFS('Payments &amp; Receipts'!$F$5:$F$58,'Payments &amp; Receipts'!$L$5:$L$58,X309))</f>
        <v/>
      </c>
      <c r="AD309" s="333" t="str">
        <f t="array" ref="AD309">IF(X309="","",INDEX('Bills &amp; Invoices'!$U$5:$U$32,MATCH(X309,'Bills &amp; Invoices'!$B$5:$B$32,0)))</f>
        <v/>
      </c>
    </row>
    <row r="310" ht="14.25" customHeight="1">
      <c r="R31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Clearances'!$A$4:$Q$4)),FALSE)),ROWS(R$5:R310)))&amp;""  –  ""&amp;INDEX('Chemical Clearances'!$D$5:$D$169,MATCH(INDEX('Chemical Clearances'!$B$5:$B$169,LARGE(FILTER((ROW('Chemical Clearances'!$B$5:$B$169)-ROW('"&amp;"Chemical Clearances'!$A$4:$Q$4)),IFERROR((MATCH('Chemical Clearances'!$B$5:$B$169,'Chemical Clearances'!$B$5:$B$169,0)=ROW('Chemical Clearances'!$B$5:$B$169)-ROW('Chemical Clearances'!$A$4:$Q$4)),FALSE)),ROWS(R$5:R310))),'Chemical Clearances'!$B$5:$B$169,"&amp;"0)),"""")), 1, 1)"),"")</f>
        <v/>
      </c>
      <c r="X31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Invoices'!$A$4:$V$4)),FALSE)),ROWS(X$5:X310))),"""")), 1, 1)"),"")</f>
        <v/>
      </c>
      <c r="Y310" s="333" t="str">
        <f t="array" ref="Y310">IF(X310="","",X310&amp;"  –  "&amp;INDEX('Bills &amp; Invoices'!$D$5:$D$32,MATCH(X310,'Bills &amp; Invoices'!$B$5:$B$32,0))&amp;"  –  $"&amp;TEXT(SUMIFS('Bills &amp; Invoices'!$J$5:$J$32,'Bills &amp; Invoices'!$B$5:$B$32,X310),"#,##0"))</f>
        <v/>
      </c>
      <c r="Z310" s="333" t="str">
        <f t="array" ref="Z310">IF(X310="","",INDEX('Bills &amp; Invoices'!$D$5:$D$32,MATCH(X310,'Bills &amp; Invoices'!$B$5:$B$32,0)))</f>
        <v/>
      </c>
      <c r="AA310" s="334" t="str">
        <f t="array" ref="AA310">IF(X310="","",INDEX('Bills &amp; Invoices'!$K$5:$K$32,MATCH(X310,'Bills &amp; Invoices'!$B$5:$B$32,0)))</f>
        <v/>
      </c>
      <c r="AB310" s="335" t="str">
        <f>IF(X310="","",SUMIFS('Bills &amp; Invoices'!$J$5:$J$32,'Bills &amp; Invoices'!$B$5:$B$32,X310))</f>
        <v/>
      </c>
      <c r="AC310" s="335" t="str">
        <f>IF(X310="","",SUMIFS('Payments &amp; Receipts'!$F$5:$F$58,'Payments &amp; Receipts'!$L$5:$L$58,X310))</f>
        <v/>
      </c>
      <c r="AD310" s="333" t="str">
        <f t="array" ref="AD310">IF(X310="","",INDEX('Bills &amp; Invoices'!$U$5:$U$32,MATCH(X310,'Bills &amp; Invoices'!$B$5:$B$32,0)))</f>
        <v/>
      </c>
    </row>
    <row r="311" ht="14.25" customHeight="1">
      <c r="R31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Clearances'!$A$4:$Q$4)),FALSE)),ROWS(R$5:R311)))&amp;""  –  ""&amp;INDEX('Chemical Clearances'!$D$5:$D$169,MATCH(INDEX('Chemical Clearances'!$B$5:$B$169,LARGE(FILTER((ROW('Chemical Clearances'!$B$5:$B$169)-ROW('"&amp;"Chemical Clearances'!$A$4:$Q$4)),IFERROR((MATCH('Chemical Clearances'!$B$5:$B$169,'Chemical Clearances'!$B$5:$B$169,0)=ROW('Chemical Clearances'!$B$5:$B$169)-ROW('Chemical Clearances'!$A$4:$Q$4)),FALSE)),ROWS(R$5:R311))),'Chemical Clearances'!$B$5:$B$169,"&amp;"0)),"""")), 1, 1)"),"")</f>
        <v/>
      </c>
      <c r="X31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Invoices'!$A$4:$V$4)),FALSE)),ROWS(X$5:X311))),"""")), 1, 1)"),"")</f>
        <v/>
      </c>
      <c r="Y311" s="333" t="str">
        <f t="array" ref="Y311">IF(X311="","",X311&amp;"  –  "&amp;INDEX('Bills &amp; Invoices'!$D$5:$D$32,MATCH(X311,'Bills &amp; Invoices'!$B$5:$B$32,0))&amp;"  –  $"&amp;TEXT(SUMIFS('Bills &amp; Invoices'!$J$5:$J$32,'Bills &amp; Invoices'!$B$5:$B$32,X311),"#,##0"))</f>
        <v/>
      </c>
      <c r="Z311" s="333" t="str">
        <f t="array" ref="Z311">IF(X311="","",INDEX('Bills &amp; Invoices'!$D$5:$D$32,MATCH(X311,'Bills &amp; Invoices'!$B$5:$B$32,0)))</f>
        <v/>
      </c>
      <c r="AA311" s="334" t="str">
        <f t="array" ref="AA311">IF(X311="","",INDEX('Bills &amp; Invoices'!$K$5:$K$32,MATCH(X311,'Bills &amp; Invoices'!$B$5:$B$32,0)))</f>
        <v/>
      </c>
      <c r="AB311" s="335" t="str">
        <f>IF(X311="","",SUMIFS('Bills &amp; Invoices'!$J$5:$J$32,'Bills &amp; Invoices'!$B$5:$B$32,X311))</f>
        <v/>
      </c>
      <c r="AC311" s="335" t="str">
        <f>IF(X311="","",SUMIFS('Payments &amp; Receipts'!$F$5:$F$58,'Payments &amp; Receipts'!$L$5:$L$58,X311))</f>
        <v/>
      </c>
      <c r="AD311" s="333" t="str">
        <f t="array" ref="AD311">IF(X311="","",INDEX('Bills &amp; Invoices'!$U$5:$U$32,MATCH(X311,'Bills &amp; Invoices'!$B$5:$B$32,0)))</f>
        <v/>
      </c>
    </row>
    <row r="312" ht="14.25" customHeight="1">
      <c r="R31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Clearances'!$A$4:$Q$4)),FALSE)),ROWS(R$5:R312)))&amp;""  –  ""&amp;INDEX('Chemical Clearances'!$D$5:$D$169,MATCH(INDEX('Chemical Clearances'!$B$5:$B$169,LARGE(FILTER((ROW('Chemical Clearances'!$B$5:$B$169)-ROW('"&amp;"Chemical Clearances'!$A$4:$Q$4)),IFERROR((MATCH('Chemical Clearances'!$B$5:$B$169,'Chemical Clearances'!$B$5:$B$169,0)=ROW('Chemical Clearances'!$B$5:$B$169)-ROW('Chemical Clearances'!$A$4:$Q$4)),FALSE)),ROWS(R$5:R312))),'Chemical Clearances'!$B$5:$B$169,"&amp;"0)),"""")), 1, 1)"),"")</f>
        <v/>
      </c>
      <c r="X31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Invoices'!$A$4:$V$4)),FALSE)),ROWS(X$5:X312))),"""")), 1, 1)"),"")</f>
        <v/>
      </c>
      <c r="Y312" s="333" t="str">
        <f t="array" ref="Y312">IF(X312="","",X312&amp;"  –  "&amp;INDEX('Bills &amp; Invoices'!$D$5:$D$32,MATCH(X312,'Bills &amp; Invoices'!$B$5:$B$32,0))&amp;"  –  $"&amp;TEXT(SUMIFS('Bills &amp; Invoices'!$J$5:$J$32,'Bills &amp; Invoices'!$B$5:$B$32,X312),"#,##0"))</f>
        <v/>
      </c>
      <c r="Z312" s="333" t="str">
        <f t="array" ref="Z312">IF(X312="","",INDEX('Bills &amp; Invoices'!$D$5:$D$32,MATCH(X312,'Bills &amp; Invoices'!$B$5:$B$32,0)))</f>
        <v/>
      </c>
      <c r="AA312" s="334" t="str">
        <f t="array" ref="AA312">IF(X312="","",INDEX('Bills &amp; Invoices'!$K$5:$K$32,MATCH(X312,'Bills &amp; Invoices'!$B$5:$B$32,0)))</f>
        <v/>
      </c>
      <c r="AB312" s="335" t="str">
        <f>IF(X312="","",SUMIFS('Bills &amp; Invoices'!$J$5:$J$32,'Bills &amp; Invoices'!$B$5:$B$32,X312))</f>
        <v/>
      </c>
      <c r="AC312" s="335" t="str">
        <f>IF(X312="","",SUMIFS('Payments &amp; Receipts'!$F$5:$F$58,'Payments &amp; Receipts'!$L$5:$L$58,X312))</f>
        <v/>
      </c>
      <c r="AD312" s="333" t="str">
        <f t="array" ref="AD312">IF(X312="","",INDEX('Bills &amp; Invoices'!$U$5:$U$32,MATCH(X312,'Bills &amp; Invoices'!$B$5:$B$32,0)))</f>
        <v/>
      </c>
    </row>
    <row r="313" ht="14.25" customHeight="1">
      <c r="R31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Clearances'!$A$4:$Q$4)),FALSE)),ROWS(R$5:R313)))&amp;""  –  ""&amp;INDEX('Chemical Clearances'!$D$5:$D$169,MATCH(INDEX('Chemical Clearances'!$B$5:$B$169,LARGE(FILTER((ROW('Chemical Clearances'!$B$5:$B$169)-ROW('"&amp;"Chemical Clearances'!$A$4:$Q$4)),IFERROR((MATCH('Chemical Clearances'!$B$5:$B$169,'Chemical Clearances'!$B$5:$B$169,0)=ROW('Chemical Clearances'!$B$5:$B$169)-ROW('Chemical Clearances'!$A$4:$Q$4)),FALSE)),ROWS(R$5:R313))),'Chemical Clearances'!$B$5:$B$169,"&amp;"0)),"""")), 1, 1)"),"")</f>
        <v/>
      </c>
      <c r="X31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Invoices'!$A$4:$V$4)),FALSE)),ROWS(X$5:X313))),"""")), 1, 1)"),"")</f>
        <v/>
      </c>
      <c r="Y313" s="333" t="str">
        <f t="array" ref="Y313">IF(X313="","",X313&amp;"  –  "&amp;INDEX('Bills &amp; Invoices'!$D$5:$D$32,MATCH(X313,'Bills &amp; Invoices'!$B$5:$B$32,0))&amp;"  –  $"&amp;TEXT(SUMIFS('Bills &amp; Invoices'!$J$5:$J$32,'Bills &amp; Invoices'!$B$5:$B$32,X313),"#,##0"))</f>
        <v/>
      </c>
      <c r="Z313" s="333" t="str">
        <f t="array" ref="Z313">IF(X313="","",INDEX('Bills &amp; Invoices'!$D$5:$D$32,MATCH(X313,'Bills &amp; Invoices'!$B$5:$B$32,0)))</f>
        <v/>
      </c>
      <c r="AA313" s="334" t="str">
        <f t="array" ref="AA313">IF(X313="","",INDEX('Bills &amp; Invoices'!$K$5:$K$32,MATCH(X313,'Bills &amp; Invoices'!$B$5:$B$32,0)))</f>
        <v/>
      </c>
      <c r="AB313" s="335" t="str">
        <f>IF(X313="","",SUMIFS('Bills &amp; Invoices'!$J$5:$J$32,'Bills &amp; Invoices'!$B$5:$B$32,X313))</f>
        <v/>
      </c>
      <c r="AC313" s="335" t="str">
        <f>IF(X313="","",SUMIFS('Payments &amp; Receipts'!$F$5:$F$58,'Payments &amp; Receipts'!$L$5:$L$58,X313))</f>
        <v/>
      </c>
      <c r="AD313" s="333" t="str">
        <f t="array" ref="AD313">IF(X313="","",INDEX('Bills &amp; Invoices'!$U$5:$U$32,MATCH(X313,'Bills &amp; Invoices'!$B$5:$B$32,0)))</f>
        <v/>
      </c>
    </row>
    <row r="314" ht="14.25" customHeight="1">
      <c r="R31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Clearances'!$A$4:$Q$4)),FALSE)),ROWS(R$5:R314)))&amp;""  –  ""&amp;INDEX('Chemical Clearances'!$D$5:$D$169,MATCH(INDEX('Chemical Clearances'!$B$5:$B$169,LARGE(FILTER((ROW('Chemical Clearances'!$B$5:$B$169)-ROW('"&amp;"Chemical Clearances'!$A$4:$Q$4)),IFERROR((MATCH('Chemical Clearances'!$B$5:$B$169,'Chemical Clearances'!$B$5:$B$169,0)=ROW('Chemical Clearances'!$B$5:$B$169)-ROW('Chemical Clearances'!$A$4:$Q$4)),FALSE)),ROWS(R$5:R314))),'Chemical Clearances'!$B$5:$B$169,"&amp;"0)),"""")), 1, 1)"),"")</f>
        <v/>
      </c>
      <c r="X31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Invoices'!$A$4:$V$4)),FALSE)),ROWS(X$5:X314))),"""")), 1, 1)"),"")</f>
        <v/>
      </c>
      <c r="Y314" s="333" t="str">
        <f t="array" ref="Y314">IF(X314="","",X314&amp;"  –  "&amp;INDEX('Bills &amp; Invoices'!$D$5:$D$32,MATCH(X314,'Bills &amp; Invoices'!$B$5:$B$32,0))&amp;"  –  $"&amp;TEXT(SUMIFS('Bills &amp; Invoices'!$J$5:$J$32,'Bills &amp; Invoices'!$B$5:$B$32,X314),"#,##0"))</f>
        <v/>
      </c>
      <c r="Z314" s="333" t="str">
        <f t="array" ref="Z314">IF(X314="","",INDEX('Bills &amp; Invoices'!$D$5:$D$32,MATCH(X314,'Bills &amp; Invoices'!$B$5:$B$32,0)))</f>
        <v/>
      </c>
      <c r="AA314" s="334" t="str">
        <f t="array" ref="AA314">IF(X314="","",INDEX('Bills &amp; Invoices'!$K$5:$K$32,MATCH(X314,'Bills &amp; Invoices'!$B$5:$B$32,0)))</f>
        <v/>
      </c>
      <c r="AB314" s="335" t="str">
        <f>IF(X314="","",SUMIFS('Bills &amp; Invoices'!$J$5:$J$32,'Bills &amp; Invoices'!$B$5:$B$32,X314))</f>
        <v/>
      </c>
      <c r="AC314" s="335" t="str">
        <f>IF(X314="","",SUMIFS('Payments &amp; Receipts'!$F$5:$F$58,'Payments &amp; Receipts'!$L$5:$L$58,X314))</f>
        <v/>
      </c>
      <c r="AD314" s="333" t="str">
        <f t="array" ref="AD314">IF(X314="","",INDEX('Bills &amp; Invoices'!$U$5:$U$32,MATCH(X314,'Bills &amp; Invoices'!$B$5:$B$32,0)))</f>
        <v/>
      </c>
    </row>
    <row r="315" ht="14.25" customHeight="1">
      <c r="R31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Clearances'!$A$4:$Q$4)),FALSE)),ROWS(R$5:R315)))&amp;""  –  ""&amp;INDEX('Chemical Clearances'!$D$5:$D$169,MATCH(INDEX('Chemical Clearances'!$B$5:$B$169,LARGE(FILTER((ROW('Chemical Clearances'!$B$5:$B$169)-ROW('"&amp;"Chemical Clearances'!$A$4:$Q$4)),IFERROR((MATCH('Chemical Clearances'!$B$5:$B$169,'Chemical Clearances'!$B$5:$B$169,0)=ROW('Chemical Clearances'!$B$5:$B$169)-ROW('Chemical Clearances'!$A$4:$Q$4)),FALSE)),ROWS(R$5:R315))),'Chemical Clearances'!$B$5:$B$169,"&amp;"0)),"""")), 1, 1)"),"")</f>
        <v/>
      </c>
      <c r="X31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Invoices'!$A$4:$V$4)),FALSE)),ROWS(X$5:X315))),"""")), 1, 1)"),"")</f>
        <v/>
      </c>
      <c r="Y315" s="333" t="str">
        <f t="array" ref="Y315">IF(X315="","",X315&amp;"  –  "&amp;INDEX('Bills &amp; Invoices'!$D$5:$D$32,MATCH(X315,'Bills &amp; Invoices'!$B$5:$B$32,0))&amp;"  –  $"&amp;TEXT(SUMIFS('Bills &amp; Invoices'!$J$5:$J$32,'Bills &amp; Invoices'!$B$5:$B$32,X315),"#,##0"))</f>
        <v/>
      </c>
      <c r="Z315" s="333" t="str">
        <f t="array" ref="Z315">IF(X315="","",INDEX('Bills &amp; Invoices'!$D$5:$D$32,MATCH(X315,'Bills &amp; Invoices'!$B$5:$B$32,0)))</f>
        <v/>
      </c>
      <c r="AA315" s="334" t="str">
        <f t="array" ref="AA315">IF(X315="","",INDEX('Bills &amp; Invoices'!$K$5:$K$32,MATCH(X315,'Bills &amp; Invoices'!$B$5:$B$32,0)))</f>
        <v/>
      </c>
      <c r="AB315" s="335" t="str">
        <f>IF(X315="","",SUMIFS('Bills &amp; Invoices'!$J$5:$J$32,'Bills &amp; Invoices'!$B$5:$B$32,X315))</f>
        <v/>
      </c>
      <c r="AC315" s="335" t="str">
        <f>IF(X315="","",SUMIFS('Payments &amp; Receipts'!$F$5:$F$58,'Payments &amp; Receipts'!$L$5:$L$58,X315))</f>
        <v/>
      </c>
      <c r="AD315" s="333" t="str">
        <f t="array" ref="AD315">IF(X315="","",INDEX('Bills &amp; Invoices'!$U$5:$U$32,MATCH(X315,'Bills &amp; Invoices'!$B$5:$B$32,0)))</f>
        <v/>
      </c>
    </row>
    <row r="316" ht="14.25" customHeight="1">
      <c r="R31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Clearances'!$A$4:$Q$4)),FALSE)),ROWS(R$5:R316)))&amp;""  –  ""&amp;INDEX('Chemical Clearances'!$D$5:$D$169,MATCH(INDEX('Chemical Clearances'!$B$5:$B$169,LARGE(FILTER((ROW('Chemical Clearances'!$B$5:$B$169)-ROW('"&amp;"Chemical Clearances'!$A$4:$Q$4)),IFERROR((MATCH('Chemical Clearances'!$B$5:$B$169,'Chemical Clearances'!$B$5:$B$169,0)=ROW('Chemical Clearances'!$B$5:$B$169)-ROW('Chemical Clearances'!$A$4:$Q$4)),FALSE)),ROWS(R$5:R316))),'Chemical Clearances'!$B$5:$B$169,"&amp;"0)),"""")), 1, 1)"),"")</f>
        <v/>
      </c>
      <c r="X31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Invoices'!$A$4:$V$4)),FALSE)),ROWS(X$5:X316))),"""")), 1, 1)"),"")</f>
        <v/>
      </c>
      <c r="Y316" s="333" t="str">
        <f t="array" ref="Y316">IF(X316="","",X316&amp;"  –  "&amp;INDEX('Bills &amp; Invoices'!$D$5:$D$32,MATCH(X316,'Bills &amp; Invoices'!$B$5:$B$32,0))&amp;"  –  $"&amp;TEXT(SUMIFS('Bills &amp; Invoices'!$J$5:$J$32,'Bills &amp; Invoices'!$B$5:$B$32,X316),"#,##0"))</f>
        <v/>
      </c>
      <c r="Z316" s="333" t="str">
        <f t="array" ref="Z316">IF(X316="","",INDEX('Bills &amp; Invoices'!$D$5:$D$32,MATCH(X316,'Bills &amp; Invoices'!$B$5:$B$32,0)))</f>
        <v/>
      </c>
      <c r="AA316" s="334" t="str">
        <f t="array" ref="AA316">IF(X316="","",INDEX('Bills &amp; Invoices'!$K$5:$K$32,MATCH(X316,'Bills &amp; Invoices'!$B$5:$B$32,0)))</f>
        <v/>
      </c>
      <c r="AB316" s="335" t="str">
        <f>IF(X316="","",SUMIFS('Bills &amp; Invoices'!$J$5:$J$32,'Bills &amp; Invoices'!$B$5:$B$32,X316))</f>
        <v/>
      </c>
      <c r="AC316" s="335" t="str">
        <f>IF(X316="","",SUMIFS('Payments &amp; Receipts'!$F$5:$F$58,'Payments &amp; Receipts'!$L$5:$L$58,X316))</f>
        <v/>
      </c>
      <c r="AD316" s="333" t="str">
        <f t="array" ref="AD316">IF(X316="","",INDEX('Bills &amp; Invoices'!$U$5:$U$32,MATCH(X316,'Bills &amp; Invoices'!$B$5:$B$32,0)))</f>
        <v/>
      </c>
    </row>
    <row r="317" ht="14.25" customHeight="1">
      <c r="R31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Clearances'!$A$4:$Q$4)),FALSE)),ROWS(R$5:R317)))&amp;""  –  ""&amp;INDEX('Chemical Clearances'!$D$5:$D$169,MATCH(INDEX('Chemical Clearances'!$B$5:$B$169,LARGE(FILTER((ROW('Chemical Clearances'!$B$5:$B$169)-ROW('"&amp;"Chemical Clearances'!$A$4:$Q$4)),IFERROR((MATCH('Chemical Clearances'!$B$5:$B$169,'Chemical Clearances'!$B$5:$B$169,0)=ROW('Chemical Clearances'!$B$5:$B$169)-ROW('Chemical Clearances'!$A$4:$Q$4)),FALSE)),ROWS(R$5:R317))),'Chemical Clearances'!$B$5:$B$169,"&amp;"0)),"""")), 1, 1)"),"")</f>
        <v/>
      </c>
      <c r="X31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Invoices'!$A$4:$V$4)),FALSE)),ROWS(X$5:X317))),"""")), 1, 1)"),"")</f>
        <v/>
      </c>
      <c r="Y317" s="333" t="str">
        <f t="array" ref="Y317">IF(X317="","",X317&amp;"  –  "&amp;INDEX('Bills &amp; Invoices'!$D$5:$D$32,MATCH(X317,'Bills &amp; Invoices'!$B$5:$B$32,0))&amp;"  –  $"&amp;TEXT(SUMIFS('Bills &amp; Invoices'!$J$5:$J$32,'Bills &amp; Invoices'!$B$5:$B$32,X317),"#,##0"))</f>
        <v/>
      </c>
      <c r="Z317" s="333" t="str">
        <f t="array" ref="Z317">IF(X317="","",INDEX('Bills &amp; Invoices'!$D$5:$D$32,MATCH(X317,'Bills &amp; Invoices'!$B$5:$B$32,0)))</f>
        <v/>
      </c>
      <c r="AA317" s="334" t="str">
        <f t="array" ref="AA317">IF(X317="","",INDEX('Bills &amp; Invoices'!$K$5:$K$32,MATCH(X317,'Bills &amp; Invoices'!$B$5:$B$32,0)))</f>
        <v/>
      </c>
      <c r="AB317" s="335" t="str">
        <f>IF(X317="","",SUMIFS('Bills &amp; Invoices'!$J$5:$J$32,'Bills &amp; Invoices'!$B$5:$B$32,X317))</f>
        <v/>
      </c>
      <c r="AC317" s="335" t="str">
        <f>IF(X317="","",SUMIFS('Payments &amp; Receipts'!$F$5:$F$58,'Payments &amp; Receipts'!$L$5:$L$58,X317))</f>
        <v/>
      </c>
      <c r="AD317" s="333" t="str">
        <f t="array" ref="AD317">IF(X317="","",INDEX('Bills &amp; Invoices'!$U$5:$U$32,MATCH(X317,'Bills &amp; Invoices'!$B$5:$B$32,0)))</f>
        <v/>
      </c>
    </row>
    <row r="318" ht="14.25" customHeight="1">
      <c r="R31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Clearances'!$A$4:$Q$4)),FALSE)),ROWS(R$5:R318)))&amp;""  –  ""&amp;INDEX('Chemical Clearances'!$D$5:$D$169,MATCH(INDEX('Chemical Clearances'!$B$5:$B$169,LARGE(FILTER((ROW('Chemical Clearances'!$B$5:$B$169)-ROW('"&amp;"Chemical Clearances'!$A$4:$Q$4)),IFERROR((MATCH('Chemical Clearances'!$B$5:$B$169,'Chemical Clearances'!$B$5:$B$169,0)=ROW('Chemical Clearances'!$B$5:$B$169)-ROW('Chemical Clearances'!$A$4:$Q$4)),FALSE)),ROWS(R$5:R318))),'Chemical Clearances'!$B$5:$B$169,"&amp;"0)),"""")), 1, 1)"),"")</f>
        <v/>
      </c>
      <c r="X31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Invoices'!$A$4:$V$4)),FALSE)),ROWS(X$5:X318))),"""")), 1, 1)"),"")</f>
        <v/>
      </c>
      <c r="Y318" s="333" t="str">
        <f t="array" ref="Y318">IF(X318="","",X318&amp;"  –  "&amp;INDEX('Bills &amp; Invoices'!$D$5:$D$32,MATCH(X318,'Bills &amp; Invoices'!$B$5:$B$32,0))&amp;"  –  $"&amp;TEXT(SUMIFS('Bills &amp; Invoices'!$J$5:$J$32,'Bills &amp; Invoices'!$B$5:$B$32,X318),"#,##0"))</f>
        <v/>
      </c>
      <c r="Z318" s="333" t="str">
        <f t="array" ref="Z318">IF(X318="","",INDEX('Bills &amp; Invoices'!$D$5:$D$32,MATCH(X318,'Bills &amp; Invoices'!$B$5:$B$32,0)))</f>
        <v/>
      </c>
      <c r="AA318" s="334" t="str">
        <f t="array" ref="AA318">IF(X318="","",INDEX('Bills &amp; Invoices'!$K$5:$K$32,MATCH(X318,'Bills &amp; Invoices'!$B$5:$B$32,0)))</f>
        <v/>
      </c>
      <c r="AB318" s="335" t="str">
        <f>IF(X318="","",SUMIFS('Bills &amp; Invoices'!$J$5:$J$32,'Bills &amp; Invoices'!$B$5:$B$32,X318))</f>
        <v/>
      </c>
      <c r="AC318" s="335" t="str">
        <f>IF(X318="","",SUMIFS('Payments &amp; Receipts'!$F$5:$F$58,'Payments &amp; Receipts'!$L$5:$L$58,X318))</f>
        <v/>
      </c>
      <c r="AD318" s="333" t="str">
        <f t="array" ref="AD318">IF(X318="","",INDEX('Bills &amp; Invoices'!$U$5:$U$32,MATCH(X318,'Bills &amp; Invoices'!$B$5:$B$32,0)))</f>
        <v/>
      </c>
    </row>
    <row r="319" ht="14.25" customHeight="1">
      <c r="R31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Clearances'!$A$4:$Q$4)),FALSE)),ROWS(R$5:R319)))&amp;""  –  ""&amp;INDEX('Chemical Clearances'!$D$5:$D$169,MATCH(INDEX('Chemical Clearances'!$B$5:$B$169,LARGE(FILTER((ROW('Chemical Clearances'!$B$5:$B$169)-ROW('"&amp;"Chemical Clearances'!$A$4:$Q$4)),IFERROR((MATCH('Chemical Clearances'!$B$5:$B$169,'Chemical Clearances'!$B$5:$B$169,0)=ROW('Chemical Clearances'!$B$5:$B$169)-ROW('Chemical Clearances'!$A$4:$Q$4)),FALSE)),ROWS(R$5:R319))),'Chemical Clearances'!$B$5:$B$169,"&amp;"0)),"""")), 1, 1)"),"")</f>
        <v/>
      </c>
      <c r="X31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Invoices'!$A$4:$V$4)),FALSE)),ROWS(X$5:X319))),"""")), 1, 1)"),"")</f>
        <v/>
      </c>
      <c r="Y319" s="333" t="str">
        <f t="array" ref="Y319">IF(X319="","",X319&amp;"  –  "&amp;INDEX('Bills &amp; Invoices'!$D$5:$D$32,MATCH(X319,'Bills &amp; Invoices'!$B$5:$B$32,0))&amp;"  –  $"&amp;TEXT(SUMIFS('Bills &amp; Invoices'!$J$5:$J$32,'Bills &amp; Invoices'!$B$5:$B$32,X319),"#,##0"))</f>
        <v/>
      </c>
      <c r="Z319" s="333" t="str">
        <f t="array" ref="Z319">IF(X319="","",INDEX('Bills &amp; Invoices'!$D$5:$D$32,MATCH(X319,'Bills &amp; Invoices'!$B$5:$B$32,0)))</f>
        <v/>
      </c>
      <c r="AA319" s="334" t="str">
        <f t="array" ref="AA319">IF(X319="","",INDEX('Bills &amp; Invoices'!$K$5:$K$32,MATCH(X319,'Bills &amp; Invoices'!$B$5:$B$32,0)))</f>
        <v/>
      </c>
      <c r="AB319" s="335" t="str">
        <f>IF(X319="","",SUMIFS('Bills &amp; Invoices'!$J$5:$J$32,'Bills &amp; Invoices'!$B$5:$B$32,X319))</f>
        <v/>
      </c>
      <c r="AC319" s="335" t="str">
        <f>IF(X319="","",SUMIFS('Payments &amp; Receipts'!$F$5:$F$58,'Payments &amp; Receipts'!$L$5:$L$58,X319))</f>
        <v/>
      </c>
      <c r="AD319" s="333" t="str">
        <f t="array" ref="AD319">IF(X319="","",INDEX('Bills &amp; Invoices'!$U$5:$U$32,MATCH(X319,'Bills &amp; Invoices'!$B$5:$B$32,0)))</f>
        <v/>
      </c>
    </row>
    <row r="320" ht="14.25" customHeight="1">
      <c r="R32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Clearances'!$A$4:$Q$4)),FALSE)),ROWS(R$5:R320)))&amp;""  –  ""&amp;INDEX('Chemical Clearances'!$D$5:$D$169,MATCH(INDEX('Chemical Clearances'!$B$5:$B$169,LARGE(FILTER((ROW('Chemical Clearances'!$B$5:$B$169)-ROW('"&amp;"Chemical Clearances'!$A$4:$Q$4)),IFERROR((MATCH('Chemical Clearances'!$B$5:$B$169,'Chemical Clearances'!$B$5:$B$169,0)=ROW('Chemical Clearances'!$B$5:$B$169)-ROW('Chemical Clearances'!$A$4:$Q$4)),FALSE)),ROWS(R$5:R320))),'Chemical Clearances'!$B$5:$B$169,"&amp;"0)),"""")), 1, 1)"),"")</f>
        <v/>
      </c>
      <c r="X32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Invoices'!$A$4:$V$4)),FALSE)),ROWS(X$5:X320))),"""")), 1, 1)"),"")</f>
        <v/>
      </c>
      <c r="Y320" s="333" t="str">
        <f t="array" ref="Y320">IF(X320="","",X320&amp;"  –  "&amp;INDEX('Bills &amp; Invoices'!$D$5:$D$32,MATCH(X320,'Bills &amp; Invoices'!$B$5:$B$32,0))&amp;"  –  $"&amp;TEXT(SUMIFS('Bills &amp; Invoices'!$J$5:$J$32,'Bills &amp; Invoices'!$B$5:$B$32,X320),"#,##0"))</f>
        <v/>
      </c>
      <c r="Z320" s="333" t="str">
        <f t="array" ref="Z320">IF(X320="","",INDEX('Bills &amp; Invoices'!$D$5:$D$32,MATCH(X320,'Bills &amp; Invoices'!$B$5:$B$32,0)))</f>
        <v/>
      </c>
      <c r="AA320" s="334" t="str">
        <f t="array" ref="AA320">IF(X320="","",INDEX('Bills &amp; Invoices'!$K$5:$K$32,MATCH(X320,'Bills &amp; Invoices'!$B$5:$B$32,0)))</f>
        <v/>
      </c>
      <c r="AB320" s="335" t="str">
        <f>IF(X320="","",SUMIFS('Bills &amp; Invoices'!$J$5:$J$32,'Bills &amp; Invoices'!$B$5:$B$32,X320))</f>
        <v/>
      </c>
      <c r="AC320" s="335" t="str">
        <f>IF(X320="","",SUMIFS('Payments &amp; Receipts'!$F$5:$F$58,'Payments &amp; Receipts'!$L$5:$L$58,X320))</f>
        <v/>
      </c>
      <c r="AD320" s="333" t="str">
        <f t="array" ref="AD320">IF(X320="","",INDEX('Bills &amp; Invoices'!$U$5:$U$32,MATCH(X320,'Bills &amp; Invoices'!$B$5:$B$32,0)))</f>
        <v/>
      </c>
    </row>
    <row r="321" ht="14.25" customHeight="1">
      <c r="R32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Clearances'!$A$4:$Q$4)),FALSE)),ROWS(R$5:R321)))&amp;""  –  ""&amp;INDEX('Chemical Clearances'!$D$5:$D$169,MATCH(INDEX('Chemical Clearances'!$B$5:$B$169,LARGE(FILTER((ROW('Chemical Clearances'!$B$5:$B$169)-ROW('"&amp;"Chemical Clearances'!$A$4:$Q$4)),IFERROR((MATCH('Chemical Clearances'!$B$5:$B$169,'Chemical Clearances'!$B$5:$B$169,0)=ROW('Chemical Clearances'!$B$5:$B$169)-ROW('Chemical Clearances'!$A$4:$Q$4)),FALSE)),ROWS(R$5:R321))),'Chemical Clearances'!$B$5:$B$169,"&amp;"0)),"""")), 1, 1)"),"")</f>
        <v/>
      </c>
      <c r="X32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Invoices'!$A$4:$V$4)),FALSE)),ROWS(X$5:X321))),"""")), 1, 1)"),"")</f>
        <v/>
      </c>
      <c r="Y321" s="333" t="str">
        <f t="array" ref="Y321">IF(X321="","",X321&amp;"  –  "&amp;INDEX('Bills &amp; Invoices'!$D$5:$D$32,MATCH(X321,'Bills &amp; Invoices'!$B$5:$B$32,0))&amp;"  –  $"&amp;TEXT(SUMIFS('Bills &amp; Invoices'!$J$5:$J$32,'Bills &amp; Invoices'!$B$5:$B$32,X321),"#,##0"))</f>
        <v/>
      </c>
      <c r="Z321" s="333" t="str">
        <f t="array" ref="Z321">IF(X321="","",INDEX('Bills &amp; Invoices'!$D$5:$D$32,MATCH(X321,'Bills &amp; Invoices'!$B$5:$B$32,0)))</f>
        <v/>
      </c>
      <c r="AA321" s="334" t="str">
        <f t="array" ref="AA321">IF(X321="","",INDEX('Bills &amp; Invoices'!$K$5:$K$32,MATCH(X321,'Bills &amp; Invoices'!$B$5:$B$32,0)))</f>
        <v/>
      </c>
      <c r="AB321" s="335" t="str">
        <f>IF(X321="","",SUMIFS('Bills &amp; Invoices'!$J$5:$J$32,'Bills &amp; Invoices'!$B$5:$B$32,X321))</f>
        <v/>
      </c>
      <c r="AC321" s="335" t="str">
        <f>IF(X321="","",SUMIFS('Payments &amp; Receipts'!$F$5:$F$58,'Payments &amp; Receipts'!$L$5:$L$58,X321))</f>
        <v/>
      </c>
      <c r="AD321" s="333" t="str">
        <f t="array" ref="AD321">IF(X321="","",INDEX('Bills &amp; Invoices'!$U$5:$U$32,MATCH(X321,'Bills &amp; Invoices'!$B$5:$B$32,0)))</f>
        <v/>
      </c>
    </row>
    <row r="322" ht="14.25" customHeight="1">
      <c r="R32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Clearances'!$A$4:$Q$4)),FALSE)),ROWS(R$5:R322)))&amp;""  –  ""&amp;INDEX('Chemical Clearances'!$D$5:$D$169,MATCH(INDEX('Chemical Clearances'!$B$5:$B$169,LARGE(FILTER((ROW('Chemical Clearances'!$B$5:$B$169)-ROW('"&amp;"Chemical Clearances'!$A$4:$Q$4)),IFERROR((MATCH('Chemical Clearances'!$B$5:$B$169,'Chemical Clearances'!$B$5:$B$169,0)=ROW('Chemical Clearances'!$B$5:$B$169)-ROW('Chemical Clearances'!$A$4:$Q$4)),FALSE)),ROWS(R$5:R322))),'Chemical Clearances'!$B$5:$B$169,"&amp;"0)),"""")), 1, 1)"),"")</f>
        <v/>
      </c>
      <c r="X32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Invoices'!$A$4:$V$4)),FALSE)),ROWS(X$5:X322))),"""")), 1, 1)"),"")</f>
        <v/>
      </c>
      <c r="Y322" s="333" t="str">
        <f t="array" ref="Y322">IF(X322="","",X322&amp;"  –  "&amp;INDEX('Bills &amp; Invoices'!$D$5:$D$32,MATCH(X322,'Bills &amp; Invoices'!$B$5:$B$32,0))&amp;"  –  $"&amp;TEXT(SUMIFS('Bills &amp; Invoices'!$J$5:$J$32,'Bills &amp; Invoices'!$B$5:$B$32,X322),"#,##0"))</f>
        <v/>
      </c>
      <c r="Z322" s="333" t="str">
        <f t="array" ref="Z322">IF(X322="","",INDEX('Bills &amp; Invoices'!$D$5:$D$32,MATCH(X322,'Bills &amp; Invoices'!$B$5:$B$32,0)))</f>
        <v/>
      </c>
      <c r="AA322" s="334" t="str">
        <f t="array" ref="AA322">IF(X322="","",INDEX('Bills &amp; Invoices'!$K$5:$K$32,MATCH(X322,'Bills &amp; Invoices'!$B$5:$B$32,0)))</f>
        <v/>
      </c>
      <c r="AB322" s="335" t="str">
        <f>IF(X322="","",SUMIFS('Bills &amp; Invoices'!$J$5:$J$32,'Bills &amp; Invoices'!$B$5:$B$32,X322))</f>
        <v/>
      </c>
      <c r="AC322" s="335" t="str">
        <f>IF(X322="","",SUMIFS('Payments &amp; Receipts'!$F$5:$F$58,'Payments &amp; Receipts'!$L$5:$L$58,X322))</f>
        <v/>
      </c>
      <c r="AD322" s="333" t="str">
        <f t="array" ref="AD322">IF(X322="","",INDEX('Bills &amp; Invoices'!$U$5:$U$32,MATCH(X322,'Bills &amp; Invoices'!$B$5:$B$32,0)))</f>
        <v/>
      </c>
    </row>
    <row r="323" ht="14.25" customHeight="1">
      <c r="R32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Clearances'!$A$4:$Q$4)),FALSE)),ROWS(R$5:R323)))&amp;""  –  ""&amp;INDEX('Chemical Clearances'!$D$5:$D$169,MATCH(INDEX('Chemical Clearances'!$B$5:$B$169,LARGE(FILTER((ROW('Chemical Clearances'!$B$5:$B$169)-ROW('"&amp;"Chemical Clearances'!$A$4:$Q$4)),IFERROR((MATCH('Chemical Clearances'!$B$5:$B$169,'Chemical Clearances'!$B$5:$B$169,0)=ROW('Chemical Clearances'!$B$5:$B$169)-ROW('Chemical Clearances'!$A$4:$Q$4)),FALSE)),ROWS(R$5:R323))),'Chemical Clearances'!$B$5:$B$169,"&amp;"0)),"""")), 1, 1)"),"")</f>
        <v/>
      </c>
      <c r="X32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Invoices'!$A$4:$V$4)),FALSE)),ROWS(X$5:X323))),"""")), 1, 1)"),"")</f>
        <v/>
      </c>
      <c r="Y323" s="333" t="str">
        <f t="array" ref="Y323">IF(X323="","",X323&amp;"  –  "&amp;INDEX('Bills &amp; Invoices'!$D$5:$D$32,MATCH(X323,'Bills &amp; Invoices'!$B$5:$B$32,0))&amp;"  –  $"&amp;TEXT(SUMIFS('Bills &amp; Invoices'!$J$5:$J$32,'Bills &amp; Invoices'!$B$5:$B$32,X323),"#,##0"))</f>
        <v/>
      </c>
      <c r="Z323" s="333" t="str">
        <f t="array" ref="Z323">IF(X323="","",INDEX('Bills &amp; Invoices'!$D$5:$D$32,MATCH(X323,'Bills &amp; Invoices'!$B$5:$B$32,0)))</f>
        <v/>
      </c>
      <c r="AA323" s="334" t="str">
        <f t="array" ref="AA323">IF(X323="","",INDEX('Bills &amp; Invoices'!$K$5:$K$32,MATCH(X323,'Bills &amp; Invoices'!$B$5:$B$32,0)))</f>
        <v/>
      </c>
      <c r="AB323" s="335" t="str">
        <f>IF(X323="","",SUMIFS('Bills &amp; Invoices'!$J$5:$J$32,'Bills &amp; Invoices'!$B$5:$B$32,X323))</f>
        <v/>
      </c>
      <c r="AC323" s="335" t="str">
        <f>IF(X323="","",SUMIFS('Payments &amp; Receipts'!$F$5:$F$58,'Payments &amp; Receipts'!$L$5:$L$58,X323))</f>
        <v/>
      </c>
      <c r="AD323" s="333" t="str">
        <f t="array" ref="AD323">IF(X323="","",INDEX('Bills &amp; Invoices'!$U$5:$U$32,MATCH(X323,'Bills &amp; Invoices'!$B$5:$B$32,0)))</f>
        <v/>
      </c>
    </row>
    <row r="324" ht="14.25" customHeight="1">
      <c r="R32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Clearances'!$A$4:$Q$4)),FALSE)),ROWS(R$5:R324)))&amp;""  –  ""&amp;INDEX('Chemical Clearances'!$D$5:$D$169,MATCH(INDEX('Chemical Clearances'!$B$5:$B$169,LARGE(FILTER((ROW('Chemical Clearances'!$B$5:$B$169)-ROW('"&amp;"Chemical Clearances'!$A$4:$Q$4)),IFERROR((MATCH('Chemical Clearances'!$B$5:$B$169,'Chemical Clearances'!$B$5:$B$169,0)=ROW('Chemical Clearances'!$B$5:$B$169)-ROW('Chemical Clearances'!$A$4:$Q$4)),FALSE)),ROWS(R$5:R324))),'Chemical Clearances'!$B$5:$B$169,"&amp;"0)),"""")), 1, 1)"),"")</f>
        <v/>
      </c>
      <c r="X32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Invoices'!$A$4:$V$4)),FALSE)),ROWS(X$5:X324))),"""")), 1, 1)"),"")</f>
        <v/>
      </c>
      <c r="Y324" s="333" t="str">
        <f t="array" ref="Y324">IF(X324="","",X324&amp;"  –  "&amp;INDEX('Bills &amp; Invoices'!$D$5:$D$32,MATCH(X324,'Bills &amp; Invoices'!$B$5:$B$32,0))&amp;"  –  $"&amp;TEXT(SUMIFS('Bills &amp; Invoices'!$J$5:$J$32,'Bills &amp; Invoices'!$B$5:$B$32,X324),"#,##0"))</f>
        <v/>
      </c>
      <c r="Z324" s="333" t="str">
        <f t="array" ref="Z324">IF(X324="","",INDEX('Bills &amp; Invoices'!$D$5:$D$32,MATCH(X324,'Bills &amp; Invoices'!$B$5:$B$32,0)))</f>
        <v/>
      </c>
      <c r="AA324" s="334" t="str">
        <f t="array" ref="AA324">IF(X324="","",INDEX('Bills &amp; Invoices'!$K$5:$K$32,MATCH(X324,'Bills &amp; Invoices'!$B$5:$B$32,0)))</f>
        <v/>
      </c>
      <c r="AB324" s="335" t="str">
        <f>IF(X324="","",SUMIFS('Bills &amp; Invoices'!$J$5:$J$32,'Bills &amp; Invoices'!$B$5:$B$32,X324))</f>
        <v/>
      </c>
      <c r="AC324" s="335" t="str">
        <f>IF(X324="","",SUMIFS('Payments &amp; Receipts'!$F$5:$F$58,'Payments &amp; Receipts'!$L$5:$L$58,X324))</f>
        <v/>
      </c>
      <c r="AD324" s="333" t="str">
        <f t="array" ref="AD324">IF(X324="","",INDEX('Bills &amp; Invoices'!$U$5:$U$32,MATCH(X324,'Bills &amp; Invoices'!$B$5:$B$32,0)))</f>
        <v/>
      </c>
    </row>
    <row r="325" ht="14.25" customHeight="1">
      <c r="R32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Clearances'!$A$4:$Q$4)),FALSE)),ROWS(R$5:R325)))&amp;""  –  ""&amp;INDEX('Chemical Clearances'!$D$5:$D$169,MATCH(INDEX('Chemical Clearances'!$B$5:$B$169,LARGE(FILTER((ROW('Chemical Clearances'!$B$5:$B$169)-ROW('"&amp;"Chemical Clearances'!$A$4:$Q$4)),IFERROR((MATCH('Chemical Clearances'!$B$5:$B$169,'Chemical Clearances'!$B$5:$B$169,0)=ROW('Chemical Clearances'!$B$5:$B$169)-ROW('Chemical Clearances'!$A$4:$Q$4)),FALSE)),ROWS(R$5:R325))),'Chemical Clearances'!$B$5:$B$169,"&amp;"0)),"""")), 1, 1)"),"")</f>
        <v/>
      </c>
      <c r="X32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Invoices'!$A$4:$V$4)),FALSE)),ROWS(X$5:X325))),"""")), 1, 1)"),"")</f>
        <v/>
      </c>
      <c r="Y325" s="333" t="str">
        <f t="array" ref="Y325">IF(X325="","",X325&amp;"  –  "&amp;INDEX('Bills &amp; Invoices'!$D$5:$D$32,MATCH(X325,'Bills &amp; Invoices'!$B$5:$B$32,0))&amp;"  –  $"&amp;TEXT(SUMIFS('Bills &amp; Invoices'!$J$5:$J$32,'Bills &amp; Invoices'!$B$5:$B$32,X325),"#,##0"))</f>
        <v/>
      </c>
      <c r="Z325" s="333" t="str">
        <f t="array" ref="Z325">IF(X325="","",INDEX('Bills &amp; Invoices'!$D$5:$D$32,MATCH(X325,'Bills &amp; Invoices'!$B$5:$B$32,0)))</f>
        <v/>
      </c>
      <c r="AA325" s="334" t="str">
        <f t="array" ref="AA325">IF(X325="","",INDEX('Bills &amp; Invoices'!$K$5:$K$32,MATCH(X325,'Bills &amp; Invoices'!$B$5:$B$32,0)))</f>
        <v/>
      </c>
      <c r="AB325" s="335" t="str">
        <f>IF(X325="","",SUMIFS('Bills &amp; Invoices'!$J$5:$J$32,'Bills &amp; Invoices'!$B$5:$B$32,X325))</f>
        <v/>
      </c>
      <c r="AC325" s="335" t="str">
        <f>IF(X325="","",SUMIFS('Payments &amp; Receipts'!$F$5:$F$58,'Payments &amp; Receipts'!$L$5:$L$58,X325))</f>
        <v/>
      </c>
      <c r="AD325" s="333" t="str">
        <f t="array" ref="AD325">IF(X325="","",INDEX('Bills &amp; Invoices'!$U$5:$U$32,MATCH(X325,'Bills &amp; Invoices'!$B$5:$B$32,0)))</f>
        <v/>
      </c>
    </row>
    <row r="326" ht="14.25" customHeight="1">
      <c r="R32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Clearances'!$A$4:$Q$4)),FALSE)),ROWS(R$5:R326)))&amp;""  –  ""&amp;INDEX('Chemical Clearances'!$D$5:$D$169,MATCH(INDEX('Chemical Clearances'!$B$5:$B$169,LARGE(FILTER((ROW('Chemical Clearances'!$B$5:$B$169)-ROW('"&amp;"Chemical Clearances'!$A$4:$Q$4)),IFERROR((MATCH('Chemical Clearances'!$B$5:$B$169,'Chemical Clearances'!$B$5:$B$169,0)=ROW('Chemical Clearances'!$B$5:$B$169)-ROW('Chemical Clearances'!$A$4:$Q$4)),FALSE)),ROWS(R$5:R326))),'Chemical Clearances'!$B$5:$B$169,"&amp;"0)),"""")), 1, 1)"),"")</f>
        <v/>
      </c>
      <c r="X32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Invoices'!$A$4:$V$4)),FALSE)),ROWS(X$5:X326))),"""")), 1, 1)"),"")</f>
        <v/>
      </c>
      <c r="Y326" s="333" t="str">
        <f t="array" ref="Y326">IF(X326="","",X326&amp;"  –  "&amp;INDEX('Bills &amp; Invoices'!$D$5:$D$32,MATCH(X326,'Bills &amp; Invoices'!$B$5:$B$32,0))&amp;"  –  $"&amp;TEXT(SUMIFS('Bills &amp; Invoices'!$J$5:$J$32,'Bills &amp; Invoices'!$B$5:$B$32,X326),"#,##0"))</f>
        <v/>
      </c>
      <c r="Z326" s="333" t="str">
        <f t="array" ref="Z326">IF(X326="","",INDEX('Bills &amp; Invoices'!$D$5:$D$32,MATCH(X326,'Bills &amp; Invoices'!$B$5:$B$32,0)))</f>
        <v/>
      </c>
      <c r="AA326" s="334" t="str">
        <f t="array" ref="AA326">IF(X326="","",INDEX('Bills &amp; Invoices'!$K$5:$K$32,MATCH(X326,'Bills &amp; Invoices'!$B$5:$B$32,0)))</f>
        <v/>
      </c>
      <c r="AB326" s="335" t="str">
        <f>IF(X326="","",SUMIFS('Bills &amp; Invoices'!$J$5:$J$32,'Bills &amp; Invoices'!$B$5:$B$32,X326))</f>
        <v/>
      </c>
      <c r="AC326" s="335" t="str">
        <f>IF(X326="","",SUMIFS('Payments &amp; Receipts'!$F$5:$F$58,'Payments &amp; Receipts'!$L$5:$L$58,X326))</f>
        <v/>
      </c>
      <c r="AD326" s="333" t="str">
        <f t="array" ref="AD326">IF(X326="","",INDEX('Bills &amp; Invoices'!$U$5:$U$32,MATCH(X326,'Bills &amp; Invoices'!$B$5:$B$32,0)))</f>
        <v/>
      </c>
    </row>
    <row r="327" ht="14.25" customHeight="1">
      <c r="R32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Clearances'!$A$4:$Q$4)),FALSE)),ROWS(R$5:R327)))&amp;""  –  ""&amp;INDEX('Chemical Clearances'!$D$5:$D$169,MATCH(INDEX('Chemical Clearances'!$B$5:$B$169,LARGE(FILTER((ROW('Chemical Clearances'!$B$5:$B$169)-ROW('"&amp;"Chemical Clearances'!$A$4:$Q$4)),IFERROR((MATCH('Chemical Clearances'!$B$5:$B$169,'Chemical Clearances'!$B$5:$B$169,0)=ROW('Chemical Clearances'!$B$5:$B$169)-ROW('Chemical Clearances'!$A$4:$Q$4)),FALSE)),ROWS(R$5:R327))),'Chemical Clearances'!$B$5:$B$169,"&amp;"0)),"""")), 1, 1)"),"")</f>
        <v/>
      </c>
      <c r="X32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Invoices'!$A$4:$V$4)),FALSE)),ROWS(X$5:X327))),"""")), 1, 1)"),"")</f>
        <v/>
      </c>
      <c r="Y327" s="333" t="str">
        <f t="array" ref="Y327">IF(X327="","",X327&amp;"  –  "&amp;INDEX('Bills &amp; Invoices'!$D$5:$D$32,MATCH(X327,'Bills &amp; Invoices'!$B$5:$B$32,0))&amp;"  –  $"&amp;TEXT(SUMIFS('Bills &amp; Invoices'!$J$5:$J$32,'Bills &amp; Invoices'!$B$5:$B$32,X327),"#,##0"))</f>
        <v/>
      </c>
      <c r="Z327" s="333" t="str">
        <f t="array" ref="Z327">IF(X327="","",INDEX('Bills &amp; Invoices'!$D$5:$D$32,MATCH(X327,'Bills &amp; Invoices'!$B$5:$B$32,0)))</f>
        <v/>
      </c>
      <c r="AA327" s="334" t="str">
        <f t="array" ref="AA327">IF(X327="","",INDEX('Bills &amp; Invoices'!$K$5:$K$32,MATCH(X327,'Bills &amp; Invoices'!$B$5:$B$32,0)))</f>
        <v/>
      </c>
      <c r="AB327" s="335" t="str">
        <f>IF(X327="","",SUMIFS('Bills &amp; Invoices'!$J$5:$J$32,'Bills &amp; Invoices'!$B$5:$B$32,X327))</f>
        <v/>
      </c>
      <c r="AC327" s="335" t="str">
        <f>IF(X327="","",SUMIFS('Payments &amp; Receipts'!$F$5:$F$58,'Payments &amp; Receipts'!$L$5:$L$58,X327))</f>
        <v/>
      </c>
      <c r="AD327" s="333" t="str">
        <f t="array" ref="AD327">IF(X327="","",INDEX('Bills &amp; Invoices'!$U$5:$U$32,MATCH(X327,'Bills &amp; Invoices'!$B$5:$B$32,0)))</f>
        <v/>
      </c>
    </row>
    <row r="328" ht="14.25" customHeight="1">
      <c r="R32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Clearances'!$A$4:$Q$4)),FALSE)),ROWS(R$5:R328)))&amp;""  –  ""&amp;INDEX('Chemical Clearances'!$D$5:$D$169,MATCH(INDEX('Chemical Clearances'!$B$5:$B$169,LARGE(FILTER((ROW('Chemical Clearances'!$B$5:$B$169)-ROW('"&amp;"Chemical Clearances'!$A$4:$Q$4)),IFERROR((MATCH('Chemical Clearances'!$B$5:$B$169,'Chemical Clearances'!$B$5:$B$169,0)=ROW('Chemical Clearances'!$B$5:$B$169)-ROW('Chemical Clearances'!$A$4:$Q$4)),FALSE)),ROWS(R$5:R328))),'Chemical Clearances'!$B$5:$B$169,"&amp;"0)),"""")), 1, 1)"),"")</f>
        <v/>
      </c>
      <c r="X32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Invoices'!$A$4:$V$4)),FALSE)),ROWS(X$5:X328))),"""")), 1, 1)"),"")</f>
        <v/>
      </c>
      <c r="Y328" s="333" t="str">
        <f t="array" ref="Y328">IF(X328="","",X328&amp;"  –  "&amp;INDEX('Bills &amp; Invoices'!$D$5:$D$32,MATCH(X328,'Bills &amp; Invoices'!$B$5:$B$32,0))&amp;"  –  $"&amp;TEXT(SUMIFS('Bills &amp; Invoices'!$J$5:$J$32,'Bills &amp; Invoices'!$B$5:$B$32,X328),"#,##0"))</f>
        <v/>
      </c>
      <c r="Z328" s="333" t="str">
        <f t="array" ref="Z328">IF(X328="","",INDEX('Bills &amp; Invoices'!$D$5:$D$32,MATCH(X328,'Bills &amp; Invoices'!$B$5:$B$32,0)))</f>
        <v/>
      </c>
      <c r="AA328" s="334" t="str">
        <f t="array" ref="AA328">IF(X328="","",INDEX('Bills &amp; Invoices'!$K$5:$K$32,MATCH(X328,'Bills &amp; Invoices'!$B$5:$B$32,0)))</f>
        <v/>
      </c>
      <c r="AB328" s="335" t="str">
        <f>IF(X328="","",SUMIFS('Bills &amp; Invoices'!$J$5:$J$32,'Bills &amp; Invoices'!$B$5:$B$32,X328))</f>
        <v/>
      </c>
      <c r="AC328" s="335" t="str">
        <f>IF(X328="","",SUMIFS('Payments &amp; Receipts'!$F$5:$F$58,'Payments &amp; Receipts'!$L$5:$L$58,X328))</f>
        <v/>
      </c>
      <c r="AD328" s="333" t="str">
        <f t="array" ref="AD328">IF(X328="","",INDEX('Bills &amp; Invoices'!$U$5:$U$32,MATCH(X328,'Bills &amp; Invoices'!$B$5:$B$32,0)))</f>
        <v/>
      </c>
    </row>
    <row r="329" ht="14.25" customHeight="1">
      <c r="R32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Clearances'!$A$4:$Q$4)),FALSE)),ROWS(R$5:R329)))&amp;""  –  ""&amp;INDEX('Chemical Clearances'!$D$5:$D$169,MATCH(INDEX('Chemical Clearances'!$B$5:$B$169,LARGE(FILTER((ROW('Chemical Clearances'!$B$5:$B$169)-ROW('"&amp;"Chemical Clearances'!$A$4:$Q$4)),IFERROR((MATCH('Chemical Clearances'!$B$5:$B$169,'Chemical Clearances'!$B$5:$B$169,0)=ROW('Chemical Clearances'!$B$5:$B$169)-ROW('Chemical Clearances'!$A$4:$Q$4)),FALSE)),ROWS(R$5:R329))),'Chemical Clearances'!$B$5:$B$169,"&amp;"0)),"""")), 1, 1)"),"")</f>
        <v/>
      </c>
      <c r="X32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Invoices'!$A$4:$V$4)),FALSE)),ROWS(X$5:X329))),"""")), 1, 1)"),"")</f>
        <v/>
      </c>
      <c r="Y329" s="333" t="str">
        <f t="array" ref="Y329">IF(X329="","",X329&amp;"  –  "&amp;INDEX('Bills &amp; Invoices'!$D$5:$D$32,MATCH(X329,'Bills &amp; Invoices'!$B$5:$B$32,0))&amp;"  –  $"&amp;TEXT(SUMIFS('Bills &amp; Invoices'!$J$5:$J$32,'Bills &amp; Invoices'!$B$5:$B$32,X329),"#,##0"))</f>
        <v/>
      </c>
      <c r="Z329" s="333" t="str">
        <f t="array" ref="Z329">IF(X329="","",INDEX('Bills &amp; Invoices'!$D$5:$D$32,MATCH(X329,'Bills &amp; Invoices'!$B$5:$B$32,0)))</f>
        <v/>
      </c>
      <c r="AA329" s="334" t="str">
        <f t="array" ref="AA329">IF(X329="","",INDEX('Bills &amp; Invoices'!$K$5:$K$32,MATCH(X329,'Bills &amp; Invoices'!$B$5:$B$32,0)))</f>
        <v/>
      </c>
      <c r="AB329" s="335" t="str">
        <f>IF(X329="","",SUMIFS('Bills &amp; Invoices'!$J$5:$J$32,'Bills &amp; Invoices'!$B$5:$B$32,X329))</f>
        <v/>
      </c>
      <c r="AC329" s="335" t="str">
        <f>IF(X329="","",SUMIFS('Payments &amp; Receipts'!$F$5:$F$58,'Payments &amp; Receipts'!$L$5:$L$58,X329))</f>
        <v/>
      </c>
      <c r="AD329" s="333" t="str">
        <f t="array" ref="AD329">IF(X329="","",INDEX('Bills &amp; Invoices'!$U$5:$U$32,MATCH(X329,'Bills &amp; Invoices'!$B$5:$B$32,0)))</f>
        <v/>
      </c>
    </row>
    <row r="330" ht="14.25" customHeight="1">
      <c r="R33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Clearances'!$A$4:$Q$4)),FALSE)),ROWS(R$5:R330)))&amp;""  –  ""&amp;INDEX('Chemical Clearances'!$D$5:$D$169,MATCH(INDEX('Chemical Clearances'!$B$5:$B$169,LARGE(FILTER((ROW('Chemical Clearances'!$B$5:$B$169)-ROW('"&amp;"Chemical Clearances'!$A$4:$Q$4)),IFERROR((MATCH('Chemical Clearances'!$B$5:$B$169,'Chemical Clearances'!$B$5:$B$169,0)=ROW('Chemical Clearances'!$B$5:$B$169)-ROW('Chemical Clearances'!$A$4:$Q$4)),FALSE)),ROWS(R$5:R330))),'Chemical Clearances'!$B$5:$B$169,"&amp;"0)),"""")), 1, 1)"),"")</f>
        <v/>
      </c>
      <c r="X33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Invoices'!$A$4:$V$4)),FALSE)),ROWS(X$5:X330))),"""")), 1, 1)"),"")</f>
        <v/>
      </c>
      <c r="Y330" s="333" t="str">
        <f t="array" ref="Y330">IF(X330="","",X330&amp;"  –  "&amp;INDEX('Bills &amp; Invoices'!$D$5:$D$32,MATCH(X330,'Bills &amp; Invoices'!$B$5:$B$32,0))&amp;"  –  $"&amp;TEXT(SUMIFS('Bills &amp; Invoices'!$J$5:$J$32,'Bills &amp; Invoices'!$B$5:$B$32,X330),"#,##0"))</f>
        <v/>
      </c>
      <c r="Z330" s="333" t="str">
        <f t="array" ref="Z330">IF(X330="","",INDEX('Bills &amp; Invoices'!$D$5:$D$32,MATCH(X330,'Bills &amp; Invoices'!$B$5:$B$32,0)))</f>
        <v/>
      </c>
      <c r="AA330" s="334" t="str">
        <f t="array" ref="AA330">IF(X330="","",INDEX('Bills &amp; Invoices'!$K$5:$K$32,MATCH(X330,'Bills &amp; Invoices'!$B$5:$B$32,0)))</f>
        <v/>
      </c>
      <c r="AB330" s="335" t="str">
        <f>IF(X330="","",SUMIFS('Bills &amp; Invoices'!$J$5:$J$32,'Bills &amp; Invoices'!$B$5:$B$32,X330))</f>
        <v/>
      </c>
      <c r="AC330" s="335" t="str">
        <f>IF(X330="","",SUMIFS('Payments &amp; Receipts'!$F$5:$F$58,'Payments &amp; Receipts'!$L$5:$L$58,X330))</f>
        <v/>
      </c>
      <c r="AD330" s="333" t="str">
        <f t="array" ref="AD330">IF(X330="","",INDEX('Bills &amp; Invoices'!$U$5:$U$32,MATCH(X330,'Bills &amp; Invoices'!$B$5:$B$32,0)))</f>
        <v/>
      </c>
    </row>
    <row r="331" ht="14.25" customHeight="1">
      <c r="R33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Clearances'!$A$4:$Q$4)),FALSE)),ROWS(R$5:R331)))&amp;""  –  ""&amp;INDEX('Chemical Clearances'!$D$5:$D$169,MATCH(INDEX('Chemical Clearances'!$B$5:$B$169,LARGE(FILTER((ROW('Chemical Clearances'!$B$5:$B$169)-ROW('"&amp;"Chemical Clearances'!$A$4:$Q$4)),IFERROR((MATCH('Chemical Clearances'!$B$5:$B$169,'Chemical Clearances'!$B$5:$B$169,0)=ROW('Chemical Clearances'!$B$5:$B$169)-ROW('Chemical Clearances'!$A$4:$Q$4)),FALSE)),ROWS(R$5:R331))),'Chemical Clearances'!$B$5:$B$169,"&amp;"0)),"""")), 1, 1)"),"")</f>
        <v/>
      </c>
      <c r="X33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Invoices'!$A$4:$V$4)),FALSE)),ROWS(X$5:X331))),"""")), 1, 1)"),"")</f>
        <v/>
      </c>
      <c r="Y331" s="333" t="str">
        <f t="array" ref="Y331">IF(X331="","",X331&amp;"  –  "&amp;INDEX('Bills &amp; Invoices'!$D$5:$D$32,MATCH(X331,'Bills &amp; Invoices'!$B$5:$B$32,0))&amp;"  –  $"&amp;TEXT(SUMIFS('Bills &amp; Invoices'!$J$5:$J$32,'Bills &amp; Invoices'!$B$5:$B$32,X331),"#,##0"))</f>
        <v/>
      </c>
      <c r="Z331" s="333" t="str">
        <f t="array" ref="Z331">IF(X331="","",INDEX('Bills &amp; Invoices'!$D$5:$D$32,MATCH(X331,'Bills &amp; Invoices'!$B$5:$B$32,0)))</f>
        <v/>
      </c>
      <c r="AA331" s="334" t="str">
        <f t="array" ref="AA331">IF(X331="","",INDEX('Bills &amp; Invoices'!$K$5:$K$32,MATCH(X331,'Bills &amp; Invoices'!$B$5:$B$32,0)))</f>
        <v/>
      </c>
      <c r="AB331" s="335" t="str">
        <f>IF(X331="","",SUMIFS('Bills &amp; Invoices'!$J$5:$J$32,'Bills &amp; Invoices'!$B$5:$B$32,X331))</f>
        <v/>
      </c>
      <c r="AC331" s="335" t="str">
        <f>IF(X331="","",SUMIFS('Payments &amp; Receipts'!$F$5:$F$58,'Payments &amp; Receipts'!$L$5:$L$58,X331))</f>
        <v/>
      </c>
      <c r="AD331" s="333" t="str">
        <f t="array" ref="AD331">IF(X331="","",INDEX('Bills &amp; Invoices'!$U$5:$U$32,MATCH(X331,'Bills &amp; Invoices'!$B$5:$B$32,0)))</f>
        <v/>
      </c>
    </row>
    <row r="332" ht="14.25" customHeight="1">
      <c r="R33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Clearances'!$A$4:$Q$4)),FALSE)),ROWS(R$5:R332)))&amp;""  –  ""&amp;INDEX('Chemical Clearances'!$D$5:$D$169,MATCH(INDEX('Chemical Clearances'!$B$5:$B$169,LARGE(FILTER((ROW('Chemical Clearances'!$B$5:$B$169)-ROW('"&amp;"Chemical Clearances'!$A$4:$Q$4)),IFERROR((MATCH('Chemical Clearances'!$B$5:$B$169,'Chemical Clearances'!$B$5:$B$169,0)=ROW('Chemical Clearances'!$B$5:$B$169)-ROW('Chemical Clearances'!$A$4:$Q$4)),FALSE)),ROWS(R$5:R332))),'Chemical Clearances'!$B$5:$B$169,"&amp;"0)),"""")), 1, 1)"),"")</f>
        <v/>
      </c>
      <c r="X33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Invoices'!$A$4:$V$4)),FALSE)),ROWS(X$5:X332))),"""")), 1, 1)"),"")</f>
        <v/>
      </c>
      <c r="Y332" s="333" t="str">
        <f t="array" ref="Y332">IF(X332="","",X332&amp;"  –  "&amp;INDEX('Bills &amp; Invoices'!$D$5:$D$32,MATCH(X332,'Bills &amp; Invoices'!$B$5:$B$32,0))&amp;"  –  $"&amp;TEXT(SUMIFS('Bills &amp; Invoices'!$J$5:$J$32,'Bills &amp; Invoices'!$B$5:$B$32,X332),"#,##0"))</f>
        <v/>
      </c>
      <c r="Z332" s="333" t="str">
        <f t="array" ref="Z332">IF(X332="","",INDEX('Bills &amp; Invoices'!$D$5:$D$32,MATCH(X332,'Bills &amp; Invoices'!$B$5:$B$32,0)))</f>
        <v/>
      </c>
      <c r="AA332" s="334" t="str">
        <f t="array" ref="AA332">IF(X332="","",INDEX('Bills &amp; Invoices'!$K$5:$K$32,MATCH(X332,'Bills &amp; Invoices'!$B$5:$B$32,0)))</f>
        <v/>
      </c>
      <c r="AB332" s="335" t="str">
        <f>IF(X332="","",SUMIFS('Bills &amp; Invoices'!$J$5:$J$32,'Bills &amp; Invoices'!$B$5:$B$32,X332))</f>
        <v/>
      </c>
      <c r="AC332" s="335" t="str">
        <f>IF(X332="","",SUMIFS('Payments &amp; Receipts'!$F$5:$F$58,'Payments &amp; Receipts'!$L$5:$L$58,X332))</f>
        <v/>
      </c>
      <c r="AD332" s="333" t="str">
        <f t="array" ref="AD332">IF(X332="","",INDEX('Bills &amp; Invoices'!$U$5:$U$32,MATCH(X332,'Bills &amp; Invoices'!$B$5:$B$32,0)))</f>
        <v/>
      </c>
    </row>
    <row r="333" ht="14.25" customHeight="1">
      <c r="R33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Clearances'!$A$4:$Q$4)),FALSE)),ROWS(R$5:R333)))&amp;""  –  ""&amp;INDEX('Chemical Clearances'!$D$5:$D$169,MATCH(INDEX('Chemical Clearances'!$B$5:$B$169,LARGE(FILTER((ROW('Chemical Clearances'!$B$5:$B$169)-ROW('"&amp;"Chemical Clearances'!$A$4:$Q$4)),IFERROR((MATCH('Chemical Clearances'!$B$5:$B$169,'Chemical Clearances'!$B$5:$B$169,0)=ROW('Chemical Clearances'!$B$5:$B$169)-ROW('Chemical Clearances'!$A$4:$Q$4)),FALSE)),ROWS(R$5:R333))),'Chemical Clearances'!$B$5:$B$169,"&amp;"0)),"""")), 1, 1)"),"")</f>
        <v/>
      </c>
      <c r="X33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Invoices'!$A$4:$V$4)),FALSE)),ROWS(X$5:X333))),"""")), 1, 1)"),"")</f>
        <v/>
      </c>
      <c r="Y333" s="333" t="str">
        <f t="array" ref="Y333">IF(X333="","",X333&amp;"  –  "&amp;INDEX('Bills &amp; Invoices'!$D$5:$D$32,MATCH(X333,'Bills &amp; Invoices'!$B$5:$B$32,0))&amp;"  –  $"&amp;TEXT(SUMIFS('Bills &amp; Invoices'!$J$5:$J$32,'Bills &amp; Invoices'!$B$5:$B$32,X333),"#,##0"))</f>
        <v/>
      </c>
      <c r="Z333" s="333" t="str">
        <f t="array" ref="Z333">IF(X333="","",INDEX('Bills &amp; Invoices'!$D$5:$D$32,MATCH(X333,'Bills &amp; Invoices'!$B$5:$B$32,0)))</f>
        <v/>
      </c>
      <c r="AA333" s="334" t="str">
        <f t="array" ref="AA333">IF(X333="","",INDEX('Bills &amp; Invoices'!$K$5:$K$32,MATCH(X333,'Bills &amp; Invoices'!$B$5:$B$32,0)))</f>
        <v/>
      </c>
      <c r="AB333" s="335" t="str">
        <f>IF(X333="","",SUMIFS('Bills &amp; Invoices'!$J$5:$J$32,'Bills &amp; Invoices'!$B$5:$B$32,X333))</f>
        <v/>
      </c>
      <c r="AC333" s="335" t="str">
        <f>IF(X333="","",SUMIFS('Payments &amp; Receipts'!$F$5:$F$58,'Payments &amp; Receipts'!$L$5:$L$58,X333))</f>
        <v/>
      </c>
      <c r="AD333" s="333" t="str">
        <f t="array" ref="AD333">IF(X333="","",INDEX('Bills &amp; Invoices'!$U$5:$U$32,MATCH(X333,'Bills &amp; Invoices'!$B$5:$B$32,0)))</f>
        <v/>
      </c>
    </row>
    <row r="334" ht="14.25" customHeight="1">
      <c r="R33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Clearances'!$A$4:$Q$4)),FALSE)),ROWS(R$5:R334)))&amp;""  –  ""&amp;INDEX('Chemical Clearances'!$D$5:$D$169,MATCH(INDEX('Chemical Clearances'!$B$5:$B$169,LARGE(FILTER((ROW('Chemical Clearances'!$B$5:$B$169)-ROW('"&amp;"Chemical Clearances'!$A$4:$Q$4)),IFERROR((MATCH('Chemical Clearances'!$B$5:$B$169,'Chemical Clearances'!$B$5:$B$169,0)=ROW('Chemical Clearances'!$B$5:$B$169)-ROW('Chemical Clearances'!$A$4:$Q$4)),FALSE)),ROWS(R$5:R334))),'Chemical Clearances'!$B$5:$B$169,"&amp;"0)),"""")), 1, 1)"),"")</f>
        <v/>
      </c>
      <c r="X33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Invoices'!$A$4:$V$4)),FALSE)),ROWS(X$5:X334))),"""")), 1, 1)"),"")</f>
        <v/>
      </c>
      <c r="Y334" s="333" t="str">
        <f t="array" ref="Y334">IF(X334="","",X334&amp;"  –  "&amp;INDEX('Bills &amp; Invoices'!$D$5:$D$32,MATCH(X334,'Bills &amp; Invoices'!$B$5:$B$32,0))&amp;"  –  $"&amp;TEXT(SUMIFS('Bills &amp; Invoices'!$J$5:$J$32,'Bills &amp; Invoices'!$B$5:$B$32,X334),"#,##0"))</f>
        <v/>
      </c>
      <c r="Z334" s="333" t="str">
        <f t="array" ref="Z334">IF(X334="","",INDEX('Bills &amp; Invoices'!$D$5:$D$32,MATCH(X334,'Bills &amp; Invoices'!$B$5:$B$32,0)))</f>
        <v/>
      </c>
      <c r="AA334" s="334" t="str">
        <f t="array" ref="AA334">IF(X334="","",INDEX('Bills &amp; Invoices'!$K$5:$K$32,MATCH(X334,'Bills &amp; Invoices'!$B$5:$B$32,0)))</f>
        <v/>
      </c>
      <c r="AB334" s="335" t="str">
        <f>IF(X334="","",SUMIFS('Bills &amp; Invoices'!$J$5:$J$32,'Bills &amp; Invoices'!$B$5:$B$32,X334))</f>
        <v/>
      </c>
      <c r="AC334" s="335" t="str">
        <f>IF(X334="","",SUMIFS('Payments &amp; Receipts'!$F$5:$F$58,'Payments &amp; Receipts'!$L$5:$L$58,X334))</f>
        <v/>
      </c>
      <c r="AD334" s="333" t="str">
        <f t="array" ref="AD334">IF(X334="","",INDEX('Bills &amp; Invoices'!$U$5:$U$32,MATCH(X334,'Bills &amp; Invoices'!$B$5:$B$32,0)))</f>
        <v/>
      </c>
    </row>
    <row r="335" ht="14.25" customHeight="1">
      <c r="R33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Clearances'!$A$4:$Q$4)),FALSE)),ROWS(R$5:R335)))&amp;""  –  ""&amp;INDEX('Chemical Clearances'!$D$5:$D$169,MATCH(INDEX('Chemical Clearances'!$B$5:$B$169,LARGE(FILTER((ROW('Chemical Clearances'!$B$5:$B$169)-ROW('"&amp;"Chemical Clearances'!$A$4:$Q$4)),IFERROR((MATCH('Chemical Clearances'!$B$5:$B$169,'Chemical Clearances'!$B$5:$B$169,0)=ROW('Chemical Clearances'!$B$5:$B$169)-ROW('Chemical Clearances'!$A$4:$Q$4)),FALSE)),ROWS(R$5:R335))),'Chemical Clearances'!$B$5:$B$169,"&amp;"0)),"""")), 1, 1)"),"")</f>
        <v/>
      </c>
      <c r="X33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Invoices'!$A$4:$V$4)),FALSE)),ROWS(X$5:X335))),"""")), 1, 1)"),"")</f>
        <v/>
      </c>
      <c r="Y335" s="333" t="str">
        <f t="array" ref="Y335">IF(X335="","",X335&amp;"  –  "&amp;INDEX('Bills &amp; Invoices'!$D$5:$D$32,MATCH(X335,'Bills &amp; Invoices'!$B$5:$B$32,0))&amp;"  –  $"&amp;TEXT(SUMIFS('Bills &amp; Invoices'!$J$5:$J$32,'Bills &amp; Invoices'!$B$5:$B$32,X335),"#,##0"))</f>
        <v/>
      </c>
      <c r="Z335" s="333" t="str">
        <f t="array" ref="Z335">IF(X335="","",INDEX('Bills &amp; Invoices'!$D$5:$D$32,MATCH(X335,'Bills &amp; Invoices'!$B$5:$B$32,0)))</f>
        <v/>
      </c>
      <c r="AA335" s="334" t="str">
        <f t="array" ref="AA335">IF(X335="","",INDEX('Bills &amp; Invoices'!$K$5:$K$32,MATCH(X335,'Bills &amp; Invoices'!$B$5:$B$32,0)))</f>
        <v/>
      </c>
      <c r="AB335" s="335" t="str">
        <f>IF(X335="","",SUMIFS('Bills &amp; Invoices'!$J$5:$J$32,'Bills &amp; Invoices'!$B$5:$B$32,X335))</f>
        <v/>
      </c>
      <c r="AC335" s="335" t="str">
        <f>IF(X335="","",SUMIFS('Payments &amp; Receipts'!$F$5:$F$58,'Payments &amp; Receipts'!$L$5:$L$58,X335))</f>
        <v/>
      </c>
      <c r="AD335" s="333" t="str">
        <f t="array" ref="AD335">IF(X335="","",INDEX('Bills &amp; Invoices'!$U$5:$U$32,MATCH(X335,'Bills &amp; Invoices'!$B$5:$B$32,0)))</f>
        <v/>
      </c>
    </row>
    <row r="336" ht="14.25" customHeight="1">
      <c r="R33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Clearances'!$A$4:$Q$4)),FALSE)),ROWS(R$5:R336)))&amp;""  –  ""&amp;INDEX('Chemical Clearances'!$D$5:$D$169,MATCH(INDEX('Chemical Clearances'!$B$5:$B$169,LARGE(FILTER((ROW('Chemical Clearances'!$B$5:$B$169)-ROW('"&amp;"Chemical Clearances'!$A$4:$Q$4)),IFERROR((MATCH('Chemical Clearances'!$B$5:$B$169,'Chemical Clearances'!$B$5:$B$169,0)=ROW('Chemical Clearances'!$B$5:$B$169)-ROW('Chemical Clearances'!$A$4:$Q$4)),FALSE)),ROWS(R$5:R336))),'Chemical Clearances'!$B$5:$B$169,"&amp;"0)),"""")), 1, 1)"),"")</f>
        <v/>
      </c>
      <c r="X33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Invoices'!$A$4:$V$4)),FALSE)),ROWS(X$5:X336))),"""")), 1, 1)"),"")</f>
        <v/>
      </c>
      <c r="Y336" s="333" t="str">
        <f t="array" ref="Y336">IF(X336="","",X336&amp;"  –  "&amp;INDEX('Bills &amp; Invoices'!$D$5:$D$32,MATCH(X336,'Bills &amp; Invoices'!$B$5:$B$32,0))&amp;"  –  $"&amp;TEXT(SUMIFS('Bills &amp; Invoices'!$J$5:$J$32,'Bills &amp; Invoices'!$B$5:$B$32,X336),"#,##0"))</f>
        <v/>
      </c>
      <c r="Z336" s="333" t="str">
        <f t="array" ref="Z336">IF(X336="","",INDEX('Bills &amp; Invoices'!$D$5:$D$32,MATCH(X336,'Bills &amp; Invoices'!$B$5:$B$32,0)))</f>
        <v/>
      </c>
      <c r="AA336" s="334" t="str">
        <f t="array" ref="AA336">IF(X336="","",INDEX('Bills &amp; Invoices'!$K$5:$K$32,MATCH(X336,'Bills &amp; Invoices'!$B$5:$B$32,0)))</f>
        <v/>
      </c>
      <c r="AB336" s="335" t="str">
        <f>IF(X336="","",SUMIFS('Bills &amp; Invoices'!$J$5:$J$32,'Bills &amp; Invoices'!$B$5:$B$32,X336))</f>
        <v/>
      </c>
      <c r="AC336" s="335" t="str">
        <f>IF(X336="","",SUMIFS('Payments &amp; Receipts'!$F$5:$F$58,'Payments &amp; Receipts'!$L$5:$L$58,X336))</f>
        <v/>
      </c>
      <c r="AD336" s="333" t="str">
        <f t="array" ref="AD336">IF(X336="","",INDEX('Bills &amp; Invoices'!$U$5:$U$32,MATCH(X336,'Bills &amp; Invoices'!$B$5:$B$32,0)))</f>
        <v/>
      </c>
    </row>
    <row r="337" ht="14.25" customHeight="1">
      <c r="R33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Clearances'!$A$4:$Q$4)),FALSE)),ROWS(R$5:R337)))&amp;""  –  ""&amp;INDEX('Chemical Clearances'!$D$5:$D$169,MATCH(INDEX('Chemical Clearances'!$B$5:$B$169,LARGE(FILTER((ROW('Chemical Clearances'!$B$5:$B$169)-ROW('"&amp;"Chemical Clearances'!$A$4:$Q$4)),IFERROR((MATCH('Chemical Clearances'!$B$5:$B$169,'Chemical Clearances'!$B$5:$B$169,0)=ROW('Chemical Clearances'!$B$5:$B$169)-ROW('Chemical Clearances'!$A$4:$Q$4)),FALSE)),ROWS(R$5:R337))),'Chemical Clearances'!$B$5:$B$169,"&amp;"0)),"""")), 1, 1)"),"")</f>
        <v/>
      </c>
      <c r="X33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Invoices'!$A$4:$V$4)),FALSE)),ROWS(X$5:X337))),"""")), 1, 1)"),"")</f>
        <v/>
      </c>
      <c r="Y337" s="333" t="str">
        <f t="array" ref="Y337">IF(X337="","",X337&amp;"  –  "&amp;INDEX('Bills &amp; Invoices'!$D$5:$D$32,MATCH(X337,'Bills &amp; Invoices'!$B$5:$B$32,0))&amp;"  –  $"&amp;TEXT(SUMIFS('Bills &amp; Invoices'!$J$5:$J$32,'Bills &amp; Invoices'!$B$5:$B$32,X337),"#,##0"))</f>
        <v/>
      </c>
      <c r="Z337" s="333" t="str">
        <f t="array" ref="Z337">IF(X337="","",INDEX('Bills &amp; Invoices'!$D$5:$D$32,MATCH(X337,'Bills &amp; Invoices'!$B$5:$B$32,0)))</f>
        <v/>
      </c>
      <c r="AA337" s="334" t="str">
        <f t="array" ref="AA337">IF(X337="","",INDEX('Bills &amp; Invoices'!$K$5:$K$32,MATCH(X337,'Bills &amp; Invoices'!$B$5:$B$32,0)))</f>
        <v/>
      </c>
      <c r="AB337" s="335" t="str">
        <f>IF(X337="","",SUMIFS('Bills &amp; Invoices'!$J$5:$J$32,'Bills &amp; Invoices'!$B$5:$B$32,X337))</f>
        <v/>
      </c>
      <c r="AC337" s="335" t="str">
        <f>IF(X337="","",SUMIFS('Payments &amp; Receipts'!$F$5:$F$58,'Payments &amp; Receipts'!$L$5:$L$58,X337))</f>
        <v/>
      </c>
      <c r="AD337" s="333" t="str">
        <f t="array" ref="AD337">IF(X337="","",INDEX('Bills &amp; Invoices'!$U$5:$U$32,MATCH(X337,'Bills &amp; Invoices'!$B$5:$B$32,0)))</f>
        <v/>
      </c>
    </row>
    <row r="338" ht="14.25" customHeight="1">
      <c r="R33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Clearances'!$A$4:$Q$4)),FALSE)),ROWS(R$5:R338)))&amp;""  –  ""&amp;INDEX('Chemical Clearances'!$D$5:$D$169,MATCH(INDEX('Chemical Clearances'!$B$5:$B$169,LARGE(FILTER((ROW('Chemical Clearances'!$B$5:$B$169)-ROW('"&amp;"Chemical Clearances'!$A$4:$Q$4)),IFERROR((MATCH('Chemical Clearances'!$B$5:$B$169,'Chemical Clearances'!$B$5:$B$169,0)=ROW('Chemical Clearances'!$B$5:$B$169)-ROW('Chemical Clearances'!$A$4:$Q$4)),FALSE)),ROWS(R$5:R338))),'Chemical Clearances'!$B$5:$B$169,"&amp;"0)),"""")), 1, 1)"),"")</f>
        <v/>
      </c>
      <c r="X33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Invoices'!$A$4:$V$4)),FALSE)),ROWS(X$5:X338))),"""")), 1, 1)"),"")</f>
        <v/>
      </c>
      <c r="Y338" s="333" t="str">
        <f t="array" ref="Y338">IF(X338="","",X338&amp;"  –  "&amp;INDEX('Bills &amp; Invoices'!$D$5:$D$32,MATCH(X338,'Bills &amp; Invoices'!$B$5:$B$32,0))&amp;"  –  $"&amp;TEXT(SUMIFS('Bills &amp; Invoices'!$J$5:$J$32,'Bills &amp; Invoices'!$B$5:$B$32,X338),"#,##0"))</f>
        <v/>
      </c>
      <c r="Z338" s="333" t="str">
        <f t="array" ref="Z338">IF(X338="","",INDEX('Bills &amp; Invoices'!$D$5:$D$32,MATCH(X338,'Bills &amp; Invoices'!$B$5:$B$32,0)))</f>
        <v/>
      </c>
      <c r="AA338" s="334" t="str">
        <f t="array" ref="AA338">IF(X338="","",INDEX('Bills &amp; Invoices'!$K$5:$K$32,MATCH(X338,'Bills &amp; Invoices'!$B$5:$B$32,0)))</f>
        <v/>
      </c>
      <c r="AB338" s="335" t="str">
        <f>IF(X338="","",SUMIFS('Bills &amp; Invoices'!$J$5:$J$32,'Bills &amp; Invoices'!$B$5:$B$32,X338))</f>
        <v/>
      </c>
      <c r="AC338" s="335" t="str">
        <f>IF(X338="","",SUMIFS('Payments &amp; Receipts'!$F$5:$F$58,'Payments &amp; Receipts'!$L$5:$L$58,X338))</f>
        <v/>
      </c>
      <c r="AD338" s="333" t="str">
        <f t="array" ref="AD338">IF(X338="","",INDEX('Bills &amp; Invoices'!$U$5:$U$32,MATCH(X338,'Bills &amp; Invoices'!$B$5:$B$32,0)))</f>
        <v/>
      </c>
    </row>
    <row r="339" ht="14.25" customHeight="1">
      <c r="R33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Clearances'!$A$4:$Q$4)),FALSE)),ROWS(R$5:R339)))&amp;""  –  ""&amp;INDEX('Chemical Clearances'!$D$5:$D$169,MATCH(INDEX('Chemical Clearances'!$B$5:$B$169,LARGE(FILTER((ROW('Chemical Clearances'!$B$5:$B$169)-ROW('"&amp;"Chemical Clearances'!$A$4:$Q$4)),IFERROR((MATCH('Chemical Clearances'!$B$5:$B$169,'Chemical Clearances'!$B$5:$B$169,0)=ROW('Chemical Clearances'!$B$5:$B$169)-ROW('Chemical Clearances'!$A$4:$Q$4)),FALSE)),ROWS(R$5:R339))),'Chemical Clearances'!$B$5:$B$169,"&amp;"0)),"""")), 1, 1)"),"")</f>
        <v/>
      </c>
      <c r="X33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Invoices'!$A$4:$V$4)),FALSE)),ROWS(X$5:X339))),"""")), 1, 1)"),"")</f>
        <v/>
      </c>
      <c r="Y339" s="333" t="str">
        <f t="array" ref="Y339">IF(X339="","",X339&amp;"  –  "&amp;INDEX('Bills &amp; Invoices'!$D$5:$D$32,MATCH(X339,'Bills &amp; Invoices'!$B$5:$B$32,0))&amp;"  –  $"&amp;TEXT(SUMIFS('Bills &amp; Invoices'!$J$5:$J$32,'Bills &amp; Invoices'!$B$5:$B$32,X339),"#,##0"))</f>
        <v/>
      </c>
      <c r="Z339" s="333" t="str">
        <f t="array" ref="Z339">IF(X339="","",INDEX('Bills &amp; Invoices'!$D$5:$D$32,MATCH(X339,'Bills &amp; Invoices'!$B$5:$B$32,0)))</f>
        <v/>
      </c>
      <c r="AA339" s="334" t="str">
        <f t="array" ref="AA339">IF(X339="","",INDEX('Bills &amp; Invoices'!$K$5:$K$32,MATCH(X339,'Bills &amp; Invoices'!$B$5:$B$32,0)))</f>
        <v/>
      </c>
      <c r="AB339" s="335" t="str">
        <f>IF(X339="","",SUMIFS('Bills &amp; Invoices'!$J$5:$J$32,'Bills &amp; Invoices'!$B$5:$B$32,X339))</f>
        <v/>
      </c>
      <c r="AC339" s="335" t="str">
        <f>IF(X339="","",SUMIFS('Payments &amp; Receipts'!$F$5:$F$58,'Payments &amp; Receipts'!$L$5:$L$58,X339))</f>
        <v/>
      </c>
      <c r="AD339" s="333" t="str">
        <f t="array" ref="AD339">IF(X339="","",INDEX('Bills &amp; Invoices'!$U$5:$U$32,MATCH(X339,'Bills &amp; Invoices'!$B$5:$B$32,0)))</f>
        <v/>
      </c>
    </row>
    <row r="340" ht="14.25" customHeight="1">
      <c r="R34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Clearances'!$A$4:$Q$4)),FALSE)),ROWS(R$5:R340)))&amp;""  –  ""&amp;INDEX('Chemical Clearances'!$D$5:$D$169,MATCH(INDEX('Chemical Clearances'!$B$5:$B$169,LARGE(FILTER((ROW('Chemical Clearances'!$B$5:$B$169)-ROW('"&amp;"Chemical Clearances'!$A$4:$Q$4)),IFERROR((MATCH('Chemical Clearances'!$B$5:$B$169,'Chemical Clearances'!$B$5:$B$169,0)=ROW('Chemical Clearances'!$B$5:$B$169)-ROW('Chemical Clearances'!$A$4:$Q$4)),FALSE)),ROWS(R$5:R340))),'Chemical Clearances'!$B$5:$B$169,"&amp;"0)),"""")), 1, 1)"),"")</f>
        <v/>
      </c>
      <c r="X34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Invoices'!$A$4:$V$4)),FALSE)),ROWS(X$5:X340))),"""")), 1, 1)"),"")</f>
        <v/>
      </c>
      <c r="Y340" s="333" t="str">
        <f t="array" ref="Y340">IF(X340="","",X340&amp;"  –  "&amp;INDEX('Bills &amp; Invoices'!$D$5:$D$32,MATCH(X340,'Bills &amp; Invoices'!$B$5:$B$32,0))&amp;"  –  $"&amp;TEXT(SUMIFS('Bills &amp; Invoices'!$J$5:$J$32,'Bills &amp; Invoices'!$B$5:$B$32,X340),"#,##0"))</f>
        <v/>
      </c>
      <c r="Z340" s="333" t="str">
        <f t="array" ref="Z340">IF(X340="","",INDEX('Bills &amp; Invoices'!$D$5:$D$32,MATCH(X340,'Bills &amp; Invoices'!$B$5:$B$32,0)))</f>
        <v/>
      </c>
      <c r="AA340" s="334" t="str">
        <f t="array" ref="AA340">IF(X340="","",INDEX('Bills &amp; Invoices'!$K$5:$K$32,MATCH(X340,'Bills &amp; Invoices'!$B$5:$B$32,0)))</f>
        <v/>
      </c>
      <c r="AB340" s="335" t="str">
        <f>IF(X340="","",SUMIFS('Bills &amp; Invoices'!$J$5:$J$32,'Bills &amp; Invoices'!$B$5:$B$32,X340))</f>
        <v/>
      </c>
      <c r="AC340" s="335" t="str">
        <f>IF(X340="","",SUMIFS('Payments &amp; Receipts'!$F$5:$F$58,'Payments &amp; Receipts'!$L$5:$L$58,X340))</f>
        <v/>
      </c>
      <c r="AD340" s="333" t="str">
        <f t="array" ref="AD340">IF(X340="","",INDEX('Bills &amp; Invoices'!$U$5:$U$32,MATCH(X340,'Bills &amp; Invoices'!$B$5:$B$32,0)))</f>
        <v/>
      </c>
    </row>
    <row r="341" ht="14.25" customHeight="1">
      <c r="R34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Clearances'!$A$4:$Q$4)),FALSE)),ROWS(R$5:R341)))&amp;""  –  ""&amp;INDEX('Chemical Clearances'!$D$5:$D$169,MATCH(INDEX('Chemical Clearances'!$B$5:$B$169,LARGE(FILTER((ROW('Chemical Clearances'!$B$5:$B$169)-ROW('"&amp;"Chemical Clearances'!$A$4:$Q$4)),IFERROR((MATCH('Chemical Clearances'!$B$5:$B$169,'Chemical Clearances'!$B$5:$B$169,0)=ROW('Chemical Clearances'!$B$5:$B$169)-ROW('Chemical Clearances'!$A$4:$Q$4)),FALSE)),ROWS(R$5:R341))),'Chemical Clearances'!$B$5:$B$169,"&amp;"0)),"""")), 1, 1)"),"")</f>
        <v/>
      </c>
      <c r="X34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Invoices'!$A$4:$V$4)),FALSE)),ROWS(X$5:X341))),"""")), 1, 1)"),"")</f>
        <v/>
      </c>
      <c r="Y341" s="333" t="str">
        <f t="array" ref="Y341">IF(X341="","",X341&amp;"  –  "&amp;INDEX('Bills &amp; Invoices'!$D$5:$D$32,MATCH(X341,'Bills &amp; Invoices'!$B$5:$B$32,0))&amp;"  –  $"&amp;TEXT(SUMIFS('Bills &amp; Invoices'!$J$5:$J$32,'Bills &amp; Invoices'!$B$5:$B$32,X341),"#,##0"))</f>
        <v/>
      </c>
      <c r="Z341" s="333" t="str">
        <f t="array" ref="Z341">IF(X341="","",INDEX('Bills &amp; Invoices'!$D$5:$D$32,MATCH(X341,'Bills &amp; Invoices'!$B$5:$B$32,0)))</f>
        <v/>
      </c>
      <c r="AA341" s="334" t="str">
        <f t="array" ref="AA341">IF(X341="","",INDEX('Bills &amp; Invoices'!$K$5:$K$32,MATCH(X341,'Bills &amp; Invoices'!$B$5:$B$32,0)))</f>
        <v/>
      </c>
      <c r="AB341" s="335" t="str">
        <f>IF(X341="","",SUMIFS('Bills &amp; Invoices'!$J$5:$J$32,'Bills &amp; Invoices'!$B$5:$B$32,X341))</f>
        <v/>
      </c>
      <c r="AC341" s="335" t="str">
        <f>IF(X341="","",SUMIFS('Payments &amp; Receipts'!$F$5:$F$58,'Payments &amp; Receipts'!$L$5:$L$58,X341))</f>
        <v/>
      </c>
      <c r="AD341" s="333" t="str">
        <f t="array" ref="AD341">IF(X341="","",INDEX('Bills &amp; Invoices'!$U$5:$U$32,MATCH(X341,'Bills &amp; Invoices'!$B$5:$B$32,0)))</f>
        <v/>
      </c>
    </row>
    <row r="342" ht="14.25" customHeight="1">
      <c r="R34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Clearances'!$A$4:$Q$4)),FALSE)),ROWS(R$5:R342)))&amp;""  –  ""&amp;INDEX('Chemical Clearances'!$D$5:$D$169,MATCH(INDEX('Chemical Clearances'!$B$5:$B$169,LARGE(FILTER((ROW('Chemical Clearances'!$B$5:$B$169)-ROW('"&amp;"Chemical Clearances'!$A$4:$Q$4)),IFERROR((MATCH('Chemical Clearances'!$B$5:$B$169,'Chemical Clearances'!$B$5:$B$169,0)=ROW('Chemical Clearances'!$B$5:$B$169)-ROW('Chemical Clearances'!$A$4:$Q$4)),FALSE)),ROWS(R$5:R342))),'Chemical Clearances'!$B$5:$B$169,"&amp;"0)),"""")), 1, 1)"),"")</f>
        <v/>
      </c>
      <c r="X34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Invoices'!$A$4:$V$4)),FALSE)),ROWS(X$5:X342))),"""")), 1, 1)"),"")</f>
        <v/>
      </c>
      <c r="Y342" s="333" t="str">
        <f t="array" ref="Y342">IF(X342="","",X342&amp;"  –  "&amp;INDEX('Bills &amp; Invoices'!$D$5:$D$32,MATCH(X342,'Bills &amp; Invoices'!$B$5:$B$32,0))&amp;"  –  $"&amp;TEXT(SUMIFS('Bills &amp; Invoices'!$J$5:$J$32,'Bills &amp; Invoices'!$B$5:$B$32,X342),"#,##0"))</f>
        <v/>
      </c>
      <c r="Z342" s="333" t="str">
        <f t="array" ref="Z342">IF(X342="","",INDEX('Bills &amp; Invoices'!$D$5:$D$32,MATCH(X342,'Bills &amp; Invoices'!$B$5:$B$32,0)))</f>
        <v/>
      </c>
      <c r="AA342" s="334" t="str">
        <f t="array" ref="AA342">IF(X342="","",INDEX('Bills &amp; Invoices'!$K$5:$K$32,MATCH(X342,'Bills &amp; Invoices'!$B$5:$B$32,0)))</f>
        <v/>
      </c>
      <c r="AB342" s="335" t="str">
        <f>IF(X342="","",SUMIFS('Bills &amp; Invoices'!$J$5:$J$32,'Bills &amp; Invoices'!$B$5:$B$32,X342))</f>
        <v/>
      </c>
      <c r="AC342" s="335" t="str">
        <f>IF(X342="","",SUMIFS('Payments &amp; Receipts'!$F$5:$F$58,'Payments &amp; Receipts'!$L$5:$L$58,X342))</f>
        <v/>
      </c>
      <c r="AD342" s="333" t="str">
        <f t="array" ref="AD342">IF(X342="","",INDEX('Bills &amp; Invoices'!$U$5:$U$32,MATCH(X342,'Bills &amp; Invoices'!$B$5:$B$32,0)))</f>
        <v/>
      </c>
    </row>
    <row r="343" ht="14.25" customHeight="1">
      <c r="R34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Clearances'!$A$4:$Q$4)),FALSE)),ROWS(R$5:R343)))&amp;""  –  ""&amp;INDEX('Chemical Clearances'!$D$5:$D$169,MATCH(INDEX('Chemical Clearances'!$B$5:$B$169,LARGE(FILTER((ROW('Chemical Clearances'!$B$5:$B$169)-ROW('"&amp;"Chemical Clearances'!$A$4:$Q$4)),IFERROR((MATCH('Chemical Clearances'!$B$5:$B$169,'Chemical Clearances'!$B$5:$B$169,0)=ROW('Chemical Clearances'!$B$5:$B$169)-ROW('Chemical Clearances'!$A$4:$Q$4)),FALSE)),ROWS(R$5:R343))),'Chemical Clearances'!$B$5:$B$169,"&amp;"0)),"""")), 1, 1)"),"")</f>
        <v/>
      </c>
      <c r="X34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Invoices'!$A$4:$V$4)),FALSE)),ROWS(X$5:X343))),"""")), 1, 1)"),"")</f>
        <v/>
      </c>
      <c r="Y343" s="333" t="str">
        <f t="array" ref="Y343">IF(X343="","",X343&amp;"  –  "&amp;INDEX('Bills &amp; Invoices'!$D$5:$D$32,MATCH(X343,'Bills &amp; Invoices'!$B$5:$B$32,0))&amp;"  –  $"&amp;TEXT(SUMIFS('Bills &amp; Invoices'!$J$5:$J$32,'Bills &amp; Invoices'!$B$5:$B$32,X343),"#,##0"))</f>
        <v/>
      </c>
      <c r="Z343" s="333" t="str">
        <f t="array" ref="Z343">IF(X343="","",INDEX('Bills &amp; Invoices'!$D$5:$D$32,MATCH(X343,'Bills &amp; Invoices'!$B$5:$B$32,0)))</f>
        <v/>
      </c>
      <c r="AA343" s="334" t="str">
        <f t="array" ref="AA343">IF(X343="","",INDEX('Bills &amp; Invoices'!$K$5:$K$32,MATCH(X343,'Bills &amp; Invoices'!$B$5:$B$32,0)))</f>
        <v/>
      </c>
      <c r="AB343" s="335" t="str">
        <f>IF(X343="","",SUMIFS('Bills &amp; Invoices'!$J$5:$J$32,'Bills &amp; Invoices'!$B$5:$B$32,X343))</f>
        <v/>
      </c>
      <c r="AC343" s="335" t="str">
        <f>IF(X343="","",SUMIFS('Payments &amp; Receipts'!$F$5:$F$58,'Payments &amp; Receipts'!$L$5:$L$58,X343))</f>
        <v/>
      </c>
      <c r="AD343" s="333" t="str">
        <f t="array" ref="AD343">IF(X343="","",INDEX('Bills &amp; Invoices'!$U$5:$U$32,MATCH(X343,'Bills &amp; Invoices'!$B$5:$B$32,0)))</f>
        <v/>
      </c>
    </row>
    <row r="344" ht="14.25" customHeight="1">
      <c r="R34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Clearances'!$A$4:$Q$4)),FALSE)),ROWS(R$5:R344)))&amp;""  –  ""&amp;INDEX('Chemical Clearances'!$D$5:$D$169,MATCH(INDEX('Chemical Clearances'!$B$5:$B$169,LARGE(FILTER((ROW('Chemical Clearances'!$B$5:$B$169)-ROW('"&amp;"Chemical Clearances'!$A$4:$Q$4)),IFERROR((MATCH('Chemical Clearances'!$B$5:$B$169,'Chemical Clearances'!$B$5:$B$169,0)=ROW('Chemical Clearances'!$B$5:$B$169)-ROW('Chemical Clearances'!$A$4:$Q$4)),FALSE)),ROWS(R$5:R344))),'Chemical Clearances'!$B$5:$B$169,"&amp;"0)),"""")), 1, 1)"),"")</f>
        <v/>
      </c>
      <c r="X34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Invoices'!$A$4:$V$4)),FALSE)),ROWS(X$5:X344))),"""")), 1, 1)"),"")</f>
        <v/>
      </c>
      <c r="Y344" s="333" t="str">
        <f t="array" ref="Y344">IF(X344="","",X344&amp;"  –  "&amp;INDEX('Bills &amp; Invoices'!$D$5:$D$32,MATCH(X344,'Bills &amp; Invoices'!$B$5:$B$32,0))&amp;"  –  $"&amp;TEXT(SUMIFS('Bills &amp; Invoices'!$J$5:$J$32,'Bills &amp; Invoices'!$B$5:$B$32,X344),"#,##0"))</f>
        <v/>
      </c>
      <c r="Z344" s="333" t="str">
        <f t="array" ref="Z344">IF(X344="","",INDEX('Bills &amp; Invoices'!$D$5:$D$32,MATCH(X344,'Bills &amp; Invoices'!$B$5:$B$32,0)))</f>
        <v/>
      </c>
      <c r="AA344" s="334" t="str">
        <f t="array" ref="AA344">IF(X344="","",INDEX('Bills &amp; Invoices'!$K$5:$K$32,MATCH(X344,'Bills &amp; Invoices'!$B$5:$B$32,0)))</f>
        <v/>
      </c>
      <c r="AB344" s="335" t="str">
        <f>IF(X344="","",SUMIFS('Bills &amp; Invoices'!$J$5:$J$32,'Bills &amp; Invoices'!$B$5:$B$32,X344))</f>
        <v/>
      </c>
      <c r="AC344" s="335" t="str">
        <f>IF(X344="","",SUMIFS('Payments &amp; Receipts'!$F$5:$F$58,'Payments &amp; Receipts'!$L$5:$L$58,X344))</f>
        <v/>
      </c>
      <c r="AD344" s="333" t="str">
        <f t="array" ref="AD344">IF(X344="","",INDEX('Bills &amp; Invoices'!$U$5:$U$32,MATCH(X344,'Bills &amp; Invoices'!$B$5:$B$32,0)))</f>
        <v/>
      </c>
    </row>
    <row r="345" ht="14.25" customHeight="1">
      <c r="R34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Clearances'!$A$4:$Q$4)),FALSE)),ROWS(R$5:R345)))&amp;""  –  ""&amp;INDEX('Chemical Clearances'!$D$5:$D$169,MATCH(INDEX('Chemical Clearances'!$B$5:$B$169,LARGE(FILTER((ROW('Chemical Clearances'!$B$5:$B$169)-ROW('"&amp;"Chemical Clearances'!$A$4:$Q$4)),IFERROR((MATCH('Chemical Clearances'!$B$5:$B$169,'Chemical Clearances'!$B$5:$B$169,0)=ROW('Chemical Clearances'!$B$5:$B$169)-ROW('Chemical Clearances'!$A$4:$Q$4)),FALSE)),ROWS(R$5:R345))),'Chemical Clearances'!$B$5:$B$169,"&amp;"0)),"""")), 1, 1)"),"")</f>
        <v/>
      </c>
      <c r="X34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Invoices'!$A$4:$V$4)),FALSE)),ROWS(X$5:X345))),"""")), 1, 1)"),"")</f>
        <v/>
      </c>
      <c r="Y345" s="333" t="str">
        <f t="array" ref="Y345">IF(X345="","",X345&amp;"  –  "&amp;INDEX('Bills &amp; Invoices'!$D$5:$D$32,MATCH(X345,'Bills &amp; Invoices'!$B$5:$B$32,0))&amp;"  –  $"&amp;TEXT(SUMIFS('Bills &amp; Invoices'!$J$5:$J$32,'Bills &amp; Invoices'!$B$5:$B$32,X345),"#,##0"))</f>
        <v/>
      </c>
      <c r="Z345" s="333" t="str">
        <f t="array" ref="Z345">IF(X345="","",INDEX('Bills &amp; Invoices'!$D$5:$D$32,MATCH(X345,'Bills &amp; Invoices'!$B$5:$B$32,0)))</f>
        <v/>
      </c>
      <c r="AA345" s="334" t="str">
        <f t="array" ref="AA345">IF(X345="","",INDEX('Bills &amp; Invoices'!$K$5:$K$32,MATCH(X345,'Bills &amp; Invoices'!$B$5:$B$32,0)))</f>
        <v/>
      </c>
      <c r="AB345" s="335" t="str">
        <f>IF(X345="","",SUMIFS('Bills &amp; Invoices'!$J$5:$J$32,'Bills &amp; Invoices'!$B$5:$B$32,X345))</f>
        <v/>
      </c>
      <c r="AC345" s="335" t="str">
        <f>IF(X345="","",SUMIFS('Payments &amp; Receipts'!$F$5:$F$58,'Payments &amp; Receipts'!$L$5:$L$58,X345))</f>
        <v/>
      </c>
      <c r="AD345" s="333" t="str">
        <f t="array" ref="AD345">IF(X345="","",INDEX('Bills &amp; Invoices'!$U$5:$U$32,MATCH(X345,'Bills &amp; Invoices'!$B$5:$B$32,0)))</f>
        <v/>
      </c>
    </row>
    <row r="346" ht="14.25" customHeight="1">
      <c r="R34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Clearances'!$A$4:$Q$4)),FALSE)),ROWS(R$5:R346)))&amp;""  –  ""&amp;INDEX('Chemical Clearances'!$D$5:$D$169,MATCH(INDEX('Chemical Clearances'!$B$5:$B$169,LARGE(FILTER((ROW('Chemical Clearances'!$B$5:$B$169)-ROW('"&amp;"Chemical Clearances'!$A$4:$Q$4)),IFERROR((MATCH('Chemical Clearances'!$B$5:$B$169,'Chemical Clearances'!$B$5:$B$169,0)=ROW('Chemical Clearances'!$B$5:$B$169)-ROW('Chemical Clearances'!$A$4:$Q$4)),FALSE)),ROWS(R$5:R346))),'Chemical Clearances'!$B$5:$B$169,"&amp;"0)),"""")), 1, 1)"),"")</f>
        <v/>
      </c>
      <c r="X34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Invoices'!$A$4:$V$4)),FALSE)),ROWS(X$5:X346))),"""")), 1, 1)"),"")</f>
        <v/>
      </c>
      <c r="Y346" s="333" t="str">
        <f t="array" ref="Y346">IF(X346="","",X346&amp;"  –  "&amp;INDEX('Bills &amp; Invoices'!$D$5:$D$32,MATCH(X346,'Bills &amp; Invoices'!$B$5:$B$32,0))&amp;"  –  $"&amp;TEXT(SUMIFS('Bills &amp; Invoices'!$J$5:$J$32,'Bills &amp; Invoices'!$B$5:$B$32,X346),"#,##0"))</f>
        <v/>
      </c>
      <c r="Z346" s="333" t="str">
        <f t="array" ref="Z346">IF(X346="","",INDEX('Bills &amp; Invoices'!$D$5:$D$32,MATCH(X346,'Bills &amp; Invoices'!$B$5:$B$32,0)))</f>
        <v/>
      </c>
      <c r="AA346" s="334" t="str">
        <f t="array" ref="AA346">IF(X346="","",INDEX('Bills &amp; Invoices'!$K$5:$K$32,MATCH(X346,'Bills &amp; Invoices'!$B$5:$B$32,0)))</f>
        <v/>
      </c>
      <c r="AB346" s="335" t="str">
        <f>IF(X346="","",SUMIFS('Bills &amp; Invoices'!$J$5:$J$32,'Bills &amp; Invoices'!$B$5:$B$32,X346))</f>
        <v/>
      </c>
      <c r="AC346" s="335" t="str">
        <f>IF(X346="","",SUMIFS('Payments &amp; Receipts'!$F$5:$F$58,'Payments &amp; Receipts'!$L$5:$L$58,X346))</f>
        <v/>
      </c>
      <c r="AD346" s="333" t="str">
        <f t="array" ref="AD346">IF(X346="","",INDEX('Bills &amp; Invoices'!$U$5:$U$32,MATCH(X346,'Bills &amp; Invoices'!$B$5:$B$32,0)))</f>
        <v/>
      </c>
    </row>
    <row r="347" ht="14.25" customHeight="1">
      <c r="R34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Clearances'!$A$4:$Q$4)),FALSE)),ROWS(R$5:R347)))&amp;""  –  ""&amp;INDEX('Chemical Clearances'!$D$5:$D$169,MATCH(INDEX('Chemical Clearances'!$B$5:$B$169,LARGE(FILTER((ROW('Chemical Clearances'!$B$5:$B$169)-ROW('"&amp;"Chemical Clearances'!$A$4:$Q$4)),IFERROR((MATCH('Chemical Clearances'!$B$5:$B$169,'Chemical Clearances'!$B$5:$B$169,0)=ROW('Chemical Clearances'!$B$5:$B$169)-ROW('Chemical Clearances'!$A$4:$Q$4)),FALSE)),ROWS(R$5:R347))),'Chemical Clearances'!$B$5:$B$169,"&amp;"0)),"""")), 1, 1)"),"")</f>
        <v/>
      </c>
      <c r="X34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Invoices'!$A$4:$V$4)),FALSE)),ROWS(X$5:X347))),"""")), 1, 1)"),"")</f>
        <v/>
      </c>
      <c r="Y347" s="333" t="str">
        <f t="array" ref="Y347">IF(X347="","",X347&amp;"  –  "&amp;INDEX('Bills &amp; Invoices'!$D$5:$D$32,MATCH(X347,'Bills &amp; Invoices'!$B$5:$B$32,0))&amp;"  –  $"&amp;TEXT(SUMIFS('Bills &amp; Invoices'!$J$5:$J$32,'Bills &amp; Invoices'!$B$5:$B$32,X347),"#,##0"))</f>
        <v/>
      </c>
      <c r="Z347" s="333" t="str">
        <f t="array" ref="Z347">IF(X347="","",INDEX('Bills &amp; Invoices'!$D$5:$D$32,MATCH(X347,'Bills &amp; Invoices'!$B$5:$B$32,0)))</f>
        <v/>
      </c>
      <c r="AA347" s="334" t="str">
        <f t="array" ref="AA347">IF(X347="","",INDEX('Bills &amp; Invoices'!$K$5:$K$32,MATCH(X347,'Bills &amp; Invoices'!$B$5:$B$32,0)))</f>
        <v/>
      </c>
      <c r="AB347" s="335" t="str">
        <f>IF(X347="","",SUMIFS('Bills &amp; Invoices'!$J$5:$J$32,'Bills &amp; Invoices'!$B$5:$B$32,X347))</f>
        <v/>
      </c>
      <c r="AC347" s="335" t="str">
        <f>IF(X347="","",SUMIFS('Payments &amp; Receipts'!$F$5:$F$58,'Payments &amp; Receipts'!$L$5:$L$58,X347))</f>
        <v/>
      </c>
      <c r="AD347" s="333" t="str">
        <f t="array" ref="AD347">IF(X347="","",INDEX('Bills &amp; Invoices'!$U$5:$U$32,MATCH(X347,'Bills &amp; Invoices'!$B$5:$B$32,0)))</f>
        <v/>
      </c>
    </row>
    <row r="348" ht="14.25" customHeight="1">
      <c r="R34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Clearances'!$A$4:$Q$4)),FALSE)),ROWS(R$5:R348)))&amp;""  –  ""&amp;INDEX('Chemical Clearances'!$D$5:$D$169,MATCH(INDEX('Chemical Clearances'!$B$5:$B$169,LARGE(FILTER((ROW('Chemical Clearances'!$B$5:$B$169)-ROW('"&amp;"Chemical Clearances'!$A$4:$Q$4)),IFERROR((MATCH('Chemical Clearances'!$B$5:$B$169,'Chemical Clearances'!$B$5:$B$169,0)=ROW('Chemical Clearances'!$B$5:$B$169)-ROW('Chemical Clearances'!$A$4:$Q$4)),FALSE)),ROWS(R$5:R348))),'Chemical Clearances'!$B$5:$B$169,"&amp;"0)),"""")), 1, 1)"),"")</f>
        <v/>
      </c>
      <c r="X34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Invoices'!$A$4:$V$4)),FALSE)),ROWS(X$5:X348))),"""")), 1, 1)"),"")</f>
        <v/>
      </c>
      <c r="Y348" s="333" t="str">
        <f t="array" ref="Y348">IF(X348="","",X348&amp;"  –  "&amp;INDEX('Bills &amp; Invoices'!$D$5:$D$32,MATCH(X348,'Bills &amp; Invoices'!$B$5:$B$32,0))&amp;"  –  $"&amp;TEXT(SUMIFS('Bills &amp; Invoices'!$J$5:$J$32,'Bills &amp; Invoices'!$B$5:$B$32,X348),"#,##0"))</f>
        <v/>
      </c>
      <c r="Z348" s="333" t="str">
        <f t="array" ref="Z348">IF(X348="","",INDEX('Bills &amp; Invoices'!$D$5:$D$32,MATCH(X348,'Bills &amp; Invoices'!$B$5:$B$32,0)))</f>
        <v/>
      </c>
      <c r="AA348" s="334" t="str">
        <f t="array" ref="AA348">IF(X348="","",INDEX('Bills &amp; Invoices'!$K$5:$K$32,MATCH(X348,'Bills &amp; Invoices'!$B$5:$B$32,0)))</f>
        <v/>
      </c>
      <c r="AB348" s="335" t="str">
        <f>IF(X348="","",SUMIFS('Bills &amp; Invoices'!$J$5:$J$32,'Bills &amp; Invoices'!$B$5:$B$32,X348))</f>
        <v/>
      </c>
      <c r="AC348" s="335" t="str">
        <f>IF(X348="","",SUMIFS('Payments &amp; Receipts'!$F$5:$F$58,'Payments &amp; Receipts'!$L$5:$L$58,X348))</f>
        <v/>
      </c>
      <c r="AD348" s="333" t="str">
        <f t="array" ref="AD348">IF(X348="","",INDEX('Bills &amp; Invoices'!$U$5:$U$32,MATCH(X348,'Bills &amp; Invoices'!$B$5:$B$32,0)))</f>
        <v/>
      </c>
    </row>
    <row r="349" ht="14.25" customHeight="1">
      <c r="R34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Clearances'!$A$4:$Q$4)),FALSE)),ROWS(R$5:R349)))&amp;""  –  ""&amp;INDEX('Chemical Clearances'!$D$5:$D$169,MATCH(INDEX('Chemical Clearances'!$B$5:$B$169,LARGE(FILTER((ROW('Chemical Clearances'!$B$5:$B$169)-ROW('"&amp;"Chemical Clearances'!$A$4:$Q$4)),IFERROR((MATCH('Chemical Clearances'!$B$5:$B$169,'Chemical Clearances'!$B$5:$B$169,0)=ROW('Chemical Clearances'!$B$5:$B$169)-ROW('Chemical Clearances'!$A$4:$Q$4)),FALSE)),ROWS(R$5:R349))),'Chemical Clearances'!$B$5:$B$169,"&amp;"0)),"""")), 1, 1)"),"")</f>
        <v/>
      </c>
      <c r="X34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Invoices'!$A$4:$V$4)),FALSE)),ROWS(X$5:X349))),"""")), 1, 1)"),"")</f>
        <v/>
      </c>
      <c r="Y349" s="333" t="str">
        <f t="array" ref="Y349">IF(X349="","",X349&amp;"  –  "&amp;INDEX('Bills &amp; Invoices'!$D$5:$D$32,MATCH(X349,'Bills &amp; Invoices'!$B$5:$B$32,0))&amp;"  –  $"&amp;TEXT(SUMIFS('Bills &amp; Invoices'!$J$5:$J$32,'Bills &amp; Invoices'!$B$5:$B$32,X349),"#,##0"))</f>
        <v/>
      </c>
      <c r="Z349" s="333" t="str">
        <f t="array" ref="Z349">IF(X349="","",INDEX('Bills &amp; Invoices'!$D$5:$D$32,MATCH(X349,'Bills &amp; Invoices'!$B$5:$B$32,0)))</f>
        <v/>
      </c>
      <c r="AA349" s="334" t="str">
        <f t="array" ref="AA349">IF(X349="","",INDEX('Bills &amp; Invoices'!$K$5:$K$32,MATCH(X349,'Bills &amp; Invoices'!$B$5:$B$32,0)))</f>
        <v/>
      </c>
      <c r="AB349" s="335" t="str">
        <f>IF(X349="","",SUMIFS('Bills &amp; Invoices'!$J$5:$J$32,'Bills &amp; Invoices'!$B$5:$B$32,X349))</f>
        <v/>
      </c>
      <c r="AC349" s="335" t="str">
        <f>IF(X349="","",SUMIFS('Payments &amp; Receipts'!$F$5:$F$58,'Payments &amp; Receipts'!$L$5:$L$58,X349))</f>
        <v/>
      </c>
      <c r="AD349" s="333" t="str">
        <f t="array" ref="AD349">IF(X349="","",INDEX('Bills &amp; Invoices'!$U$5:$U$32,MATCH(X349,'Bills &amp; Invoices'!$B$5:$B$32,0)))</f>
        <v/>
      </c>
    </row>
    <row r="350" ht="14.25" customHeight="1">
      <c r="R35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Clearances'!$A$4:$Q$4)),FALSE)),ROWS(R$5:R350)))&amp;""  –  ""&amp;INDEX('Chemical Clearances'!$D$5:$D$169,MATCH(INDEX('Chemical Clearances'!$B$5:$B$169,LARGE(FILTER((ROW('Chemical Clearances'!$B$5:$B$169)-ROW('"&amp;"Chemical Clearances'!$A$4:$Q$4)),IFERROR((MATCH('Chemical Clearances'!$B$5:$B$169,'Chemical Clearances'!$B$5:$B$169,0)=ROW('Chemical Clearances'!$B$5:$B$169)-ROW('Chemical Clearances'!$A$4:$Q$4)),FALSE)),ROWS(R$5:R350))),'Chemical Clearances'!$B$5:$B$169,"&amp;"0)),"""")), 1, 1)"),"")</f>
        <v/>
      </c>
      <c r="X35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Invoices'!$A$4:$V$4)),FALSE)),ROWS(X$5:X350))),"""")), 1, 1)"),"")</f>
        <v/>
      </c>
      <c r="Y350" s="333" t="str">
        <f t="array" ref="Y350">IF(X350="","",X350&amp;"  –  "&amp;INDEX('Bills &amp; Invoices'!$D$5:$D$32,MATCH(X350,'Bills &amp; Invoices'!$B$5:$B$32,0))&amp;"  –  $"&amp;TEXT(SUMIFS('Bills &amp; Invoices'!$J$5:$J$32,'Bills &amp; Invoices'!$B$5:$B$32,X350),"#,##0"))</f>
        <v/>
      </c>
      <c r="Z350" s="333" t="str">
        <f t="array" ref="Z350">IF(X350="","",INDEX('Bills &amp; Invoices'!$D$5:$D$32,MATCH(X350,'Bills &amp; Invoices'!$B$5:$B$32,0)))</f>
        <v/>
      </c>
      <c r="AA350" s="334" t="str">
        <f t="array" ref="AA350">IF(X350="","",INDEX('Bills &amp; Invoices'!$K$5:$K$32,MATCH(X350,'Bills &amp; Invoices'!$B$5:$B$32,0)))</f>
        <v/>
      </c>
      <c r="AB350" s="335" t="str">
        <f>IF(X350="","",SUMIFS('Bills &amp; Invoices'!$J$5:$J$32,'Bills &amp; Invoices'!$B$5:$B$32,X350))</f>
        <v/>
      </c>
      <c r="AC350" s="335" t="str">
        <f>IF(X350="","",SUMIFS('Payments &amp; Receipts'!$F$5:$F$58,'Payments &amp; Receipts'!$L$5:$L$58,X350))</f>
        <v/>
      </c>
      <c r="AD350" s="333" t="str">
        <f t="array" ref="AD350">IF(X350="","",INDEX('Bills &amp; Invoices'!$U$5:$U$32,MATCH(X350,'Bills &amp; Invoices'!$B$5:$B$32,0)))</f>
        <v/>
      </c>
    </row>
    <row r="351" ht="14.25" customHeight="1">
      <c r="R35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Clearances'!$A$4:$Q$4)),FALSE)),ROWS(R$5:R351)))&amp;""  –  ""&amp;INDEX('Chemical Clearances'!$D$5:$D$169,MATCH(INDEX('Chemical Clearances'!$B$5:$B$169,LARGE(FILTER((ROW('Chemical Clearances'!$B$5:$B$169)-ROW('"&amp;"Chemical Clearances'!$A$4:$Q$4)),IFERROR((MATCH('Chemical Clearances'!$B$5:$B$169,'Chemical Clearances'!$B$5:$B$169,0)=ROW('Chemical Clearances'!$B$5:$B$169)-ROW('Chemical Clearances'!$A$4:$Q$4)),FALSE)),ROWS(R$5:R351))),'Chemical Clearances'!$B$5:$B$169,"&amp;"0)),"""")), 1, 1)"),"")</f>
        <v/>
      </c>
      <c r="X35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Invoices'!$A$4:$V$4)),FALSE)),ROWS(X$5:X351))),"""")), 1, 1)"),"")</f>
        <v/>
      </c>
      <c r="Y351" s="333" t="str">
        <f t="array" ref="Y351">IF(X351="","",X351&amp;"  –  "&amp;INDEX('Bills &amp; Invoices'!$D$5:$D$32,MATCH(X351,'Bills &amp; Invoices'!$B$5:$B$32,0))&amp;"  –  $"&amp;TEXT(SUMIFS('Bills &amp; Invoices'!$J$5:$J$32,'Bills &amp; Invoices'!$B$5:$B$32,X351),"#,##0"))</f>
        <v/>
      </c>
      <c r="Z351" s="333" t="str">
        <f t="array" ref="Z351">IF(X351="","",INDEX('Bills &amp; Invoices'!$D$5:$D$32,MATCH(X351,'Bills &amp; Invoices'!$B$5:$B$32,0)))</f>
        <v/>
      </c>
      <c r="AA351" s="334" t="str">
        <f t="array" ref="AA351">IF(X351="","",INDEX('Bills &amp; Invoices'!$K$5:$K$32,MATCH(X351,'Bills &amp; Invoices'!$B$5:$B$32,0)))</f>
        <v/>
      </c>
      <c r="AB351" s="335" t="str">
        <f>IF(X351="","",SUMIFS('Bills &amp; Invoices'!$J$5:$J$32,'Bills &amp; Invoices'!$B$5:$B$32,X351))</f>
        <v/>
      </c>
      <c r="AC351" s="335" t="str">
        <f>IF(X351="","",SUMIFS('Payments &amp; Receipts'!$F$5:$F$58,'Payments &amp; Receipts'!$L$5:$L$58,X351))</f>
        <v/>
      </c>
      <c r="AD351" s="333" t="str">
        <f t="array" ref="AD351">IF(X351="","",INDEX('Bills &amp; Invoices'!$U$5:$U$32,MATCH(X351,'Bills &amp; Invoices'!$B$5:$B$32,0)))</f>
        <v/>
      </c>
    </row>
    <row r="352" ht="14.25" customHeight="1">
      <c r="R35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Clearances'!$A$4:$Q$4)),FALSE)),ROWS(R$5:R352)))&amp;""  –  ""&amp;INDEX('Chemical Clearances'!$D$5:$D$169,MATCH(INDEX('Chemical Clearances'!$B$5:$B$169,LARGE(FILTER((ROW('Chemical Clearances'!$B$5:$B$169)-ROW('"&amp;"Chemical Clearances'!$A$4:$Q$4)),IFERROR((MATCH('Chemical Clearances'!$B$5:$B$169,'Chemical Clearances'!$B$5:$B$169,0)=ROW('Chemical Clearances'!$B$5:$B$169)-ROW('Chemical Clearances'!$A$4:$Q$4)),FALSE)),ROWS(R$5:R352))),'Chemical Clearances'!$B$5:$B$169,"&amp;"0)),"""")), 1, 1)"),"")</f>
        <v/>
      </c>
      <c r="X35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Invoices'!$A$4:$V$4)),FALSE)),ROWS(X$5:X352))),"""")), 1, 1)"),"")</f>
        <v/>
      </c>
      <c r="Y352" s="333" t="str">
        <f t="array" ref="Y352">IF(X352="","",X352&amp;"  –  "&amp;INDEX('Bills &amp; Invoices'!$D$5:$D$32,MATCH(X352,'Bills &amp; Invoices'!$B$5:$B$32,0))&amp;"  –  $"&amp;TEXT(SUMIFS('Bills &amp; Invoices'!$J$5:$J$32,'Bills &amp; Invoices'!$B$5:$B$32,X352),"#,##0"))</f>
        <v/>
      </c>
      <c r="Z352" s="333" t="str">
        <f t="array" ref="Z352">IF(X352="","",INDEX('Bills &amp; Invoices'!$D$5:$D$32,MATCH(X352,'Bills &amp; Invoices'!$B$5:$B$32,0)))</f>
        <v/>
      </c>
      <c r="AA352" s="334" t="str">
        <f t="array" ref="AA352">IF(X352="","",INDEX('Bills &amp; Invoices'!$K$5:$K$32,MATCH(X352,'Bills &amp; Invoices'!$B$5:$B$32,0)))</f>
        <v/>
      </c>
      <c r="AB352" s="335" t="str">
        <f>IF(X352="","",SUMIFS('Bills &amp; Invoices'!$J$5:$J$32,'Bills &amp; Invoices'!$B$5:$B$32,X352))</f>
        <v/>
      </c>
      <c r="AC352" s="335" t="str">
        <f>IF(X352="","",SUMIFS('Payments &amp; Receipts'!$F$5:$F$58,'Payments &amp; Receipts'!$L$5:$L$58,X352))</f>
        <v/>
      </c>
      <c r="AD352" s="333" t="str">
        <f t="array" ref="AD352">IF(X352="","",INDEX('Bills &amp; Invoices'!$U$5:$U$32,MATCH(X352,'Bills &amp; Invoices'!$B$5:$B$32,0)))</f>
        <v/>
      </c>
    </row>
    <row r="353" ht="14.25" customHeight="1">
      <c r="R35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Clearances'!$A$4:$Q$4)),FALSE)),ROWS(R$5:R353)))&amp;""  –  ""&amp;INDEX('Chemical Clearances'!$D$5:$D$169,MATCH(INDEX('Chemical Clearances'!$B$5:$B$169,LARGE(FILTER((ROW('Chemical Clearances'!$B$5:$B$169)-ROW('"&amp;"Chemical Clearances'!$A$4:$Q$4)),IFERROR((MATCH('Chemical Clearances'!$B$5:$B$169,'Chemical Clearances'!$B$5:$B$169,0)=ROW('Chemical Clearances'!$B$5:$B$169)-ROW('Chemical Clearances'!$A$4:$Q$4)),FALSE)),ROWS(R$5:R353))),'Chemical Clearances'!$B$5:$B$169,"&amp;"0)),"""")), 1, 1)"),"")</f>
        <v/>
      </c>
      <c r="X35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Invoices'!$A$4:$V$4)),FALSE)),ROWS(X$5:X353))),"""")), 1, 1)"),"")</f>
        <v/>
      </c>
      <c r="Y353" s="333" t="str">
        <f t="array" ref="Y353">IF(X353="","",X353&amp;"  –  "&amp;INDEX('Bills &amp; Invoices'!$D$5:$D$32,MATCH(X353,'Bills &amp; Invoices'!$B$5:$B$32,0))&amp;"  –  $"&amp;TEXT(SUMIFS('Bills &amp; Invoices'!$J$5:$J$32,'Bills &amp; Invoices'!$B$5:$B$32,X353),"#,##0"))</f>
        <v/>
      </c>
      <c r="Z353" s="333" t="str">
        <f t="array" ref="Z353">IF(X353="","",INDEX('Bills &amp; Invoices'!$D$5:$D$32,MATCH(X353,'Bills &amp; Invoices'!$B$5:$B$32,0)))</f>
        <v/>
      </c>
      <c r="AA353" s="334" t="str">
        <f t="array" ref="AA353">IF(X353="","",INDEX('Bills &amp; Invoices'!$K$5:$K$32,MATCH(X353,'Bills &amp; Invoices'!$B$5:$B$32,0)))</f>
        <v/>
      </c>
      <c r="AB353" s="335" t="str">
        <f>IF(X353="","",SUMIFS('Bills &amp; Invoices'!$J$5:$J$32,'Bills &amp; Invoices'!$B$5:$B$32,X353))</f>
        <v/>
      </c>
      <c r="AC353" s="335" t="str">
        <f>IF(X353="","",SUMIFS('Payments &amp; Receipts'!$F$5:$F$58,'Payments &amp; Receipts'!$L$5:$L$58,X353))</f>
        <v/>
      </c>
      <c r="AD353" s="333" t="str">
        <f t="array" ref="AD353">IF(X353="","",INDEX('Bills &amp; Invoices'!$U$5:$U$32,MATCH(X353,'Bills &amp; Invoices'!$B$5:$B$32,0)))</f>
        <v/>
      </c>
    </row>
    <row r="354" ht="14.25" customHeight="1">
      <c r="R35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Clearances'!$A$4:$Q$4)),FALSE)),ROWS(R$5:R354)))&amp;""  –  ""&amp;INDEX('Chemical Clearances'!$D$5:$D$169,MATCH(INDEX('Chemical Clearances'!$B$5:$B$169,LARGE(FILTER((ROW('Chemical Clearances'!$B$5:$B$169)-ROW('"&amp;"Chemical Clearances'!$A$4:$Q$4)),IFERROR((MATCH('Chemical Clearances'!$B$5:$B$169,'Chemical Clearances'!$B$5:$B$169,0)=ROW('Chemical Clearances'!$B$5:$B$169)-ROW('Chemical Clearances'!$A$4:$Q$4)),FALSE)),ROWS(R$5:R354))),'Chemical Clearances'!$B$5:$B$169,"&amp;"0)),"""")), 1, 1)"),"")</f>
        <v/>
      </c>
      <c r="X35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Invoices'!$A$4:$V$4)),FALSE)),ROWS(X$5:X354))),"""")), 1, 1)"),"")</f>
        <v/>
      </c>
      <c r="Y354" s="333" t="str">
        <f t="array" ref="Y354">IF(X354="","",X354&amp;"  –  "&amp;INDEX('Bills &amp; Invoices'!$D$5:$D$32,MATCH(X354,'Bills &amp; Invoices'!$B$5:$B$32,0))&amp;"  –  $"&amp;TEXT(SUMIFS('Bills &amp; Invoices'!$J$5:$J$32,'Bills &amp; Invoices'!$B$5:$B$32,X354),"#,##0"))</f>
        <v/>
      </c>
      <c r="Z354" s="333" t="str">
        <f t="array" ref="Z354">IF(X354="","",INDEX('Bills &amp; Invoices'!$D$5:$D$32,MATCH(X354,'Bills &amp; Invoices'!$B$5:$B$32,0)))</f>
        <v/>
      </c>
      <c r="AA354" s="334" t="str">
        <f t="array" ref="AA354">IF(X354="","",INDEX('Bills &amp; Invoices'!$K$5:$K$32,MATCH(X354,'Bills &amp; Invoices'!$B$5:$B$32,0)))</f>
        <v/>
      </c>
      <c r="AB354" s="335" t="str">
        <f>IF(X354="","",SUMIFS('Bills &amp; Invoices'!$J$5:$J$32,'Bills &amp; Invoices'!$B$5:$B$32,X354))</f>
        <v/>
      </c>
      <c r="AC354" s="335" t="str">
        <f>IF(X354="","",SUMIFS('Payments &amp; Receipts'!$F$5:$F$58,'Payments &amp; Receipts'!$L$5:$L$58,X354))</f>
        <v/>
      </c>
      <c r="AD354" s="333" t="str">
        <f t="array" ref="AD354">IF(X354="","",INDEX('Bills &amp; Invoices'!$U$5:$U$32,MATCH(X354,'Bills &amp; Invoices'!$B$5:$B$32,0)))</f>
        <v/>
      </c>
    </row>
    <row r="355" ht="14.25" customHeight="1">
      <c r="R35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Clearances'!$A$4:$Q$4)),FALSE)),ROWS(R$5:R355)))&amp;""  –  ""&amp;INDEX('Chemical Clearances'!$D$5:$D$169,MATCH(INDEX('Chemical Clearances'!$B$5:$B$169,LARGE(FILTER((ROW('Chemical Clearances'!$B$5:$B$169)-ROW('"&amp;"Chemical Clearances'!$A$4:$Q$4)),IFERROR((MATCH('Chemical Clearances'!$B$5:$B$169,'Chemical Clearances'!$B$5:$B$169,0)=ROW('Chemical Clearances'!$B$5:$B$169)-ROW('Chemical Clearances'!$A$4:$Q$4)),FALSE)),ROWS(R$5:R355))),'Chemical Clearances'!$B$5:$B$169,"&amp;"0)),"""")), 1, 1)"),"")</f>
        <v/>
      </c>
      <c r="X35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Invoices'!$A$4:$V$4)),FALSE)),ROWS(X$5:X355))),"""")), 1, 1)"),"")</f>
        <v/>
      </c>
      <c r="Y355" s="333" t="str">
        <f t="array" ref="Y355">IF(X355="","",X355&amp;"  –  "&amp;INDEX('Bills &amp; Invoices'!$D$5:$D$32,MATCH(X355,'Bills &amp; Invoices'!$B$5:$B$32,0))&amp;"  –  $"&amp;TEXT(SUMIFS('Bills &amp; Invoices'!$J$5:$J$32,'Bills &amp; Invoices'!$B$5:$B$32,X355),"#,##0"))</f>
        <v/>
      </c>
      <c r="Z355" s="333" t="str">
        <f t="array" ref="Z355">IF(X355="","",INDEX('Bills &amp; Invoices'!$D$5:$D$32,MATCH(X355,'Bills &amp; Invoices'!$B$5:$B$32,0)))</f>
        <v/>
      </c>
      <c r="AA355" s="334" t="str">
        <f t="array" ref="AA355">IF(X355="","",INDEX('Bills &amp; Invoices'!$K$5:$K$32,MATCH(X355,'Bills &amp; Invoices'!$B$5:$B$32,0)))</f>
        <v/>
      </c>
      <c r="AB355" s="335" t="str">
        <f>IF(X355="","",SUMIFS('Bills &amp; Invoices'!$J$5:$J$32,'Bills &amp; Invoices'!$B$5:$B$32,X355))</f>
        <v/>
      </c>
      <c r="AC355" s="335" t="str">
        <f>IF(X355="","",SUMIFS('Payments &amp; Receipts'!$F$5:$F$58,'Payments &amp; Receipts'!$L$5:$L$58,X355))</f>
        <v/>
      </c>
      <c r="AD355" s="333" t="str">
        <f t="array" ref="AD355">IF(X355="","",INDEX('Bills &amp; Invoices'!$U$5:$U$32,MATCH(X355,'Bills &amp; Invoices'!$B$5:$B$32,0)))</f>
        <v/>
      </c>
    </row>
    <row r="356" ht="14.25" customHeight="1">
      <c r="R35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Clearances'!$A$4:$Q$4)),FALSE)),ROWS(R$5:R356)))&amp;""  –  ""&amp;INDEX('Chemical Clearances'!$D$5:$D$169,MATCH(INDEX('Chemical Clearances'!$B$5:$B$169,LARGE(FILTER((ROW('Chemical Clearances'!$B$5:$B$169)-ROW('"&amp;"Chemical Clearances'!$A$4:$Q$4)),IFERROR((MATCH('Chemical Clearances'!$B$5:$B$169,'Chemical Clearances'!$B$5:$B$169,0)=ROW('Chemical Clearances'!$B$5:$B$169)-ROW('Chemical Clearances'!$A$4:$Q$4)),FALSE)),ROWS(R$5:R356))),'Chemical Clearances'!$B$5:$B$169,"&amp;"0)),"""")), 1, 1)"),"")</f>
        <v/>
      </c>
      <c r="X35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Invoices'!$A$4:$V$4)),FALSE)),ROWS(X$5:X356))),"""")), 1, 1)"),"")</f>
        <v/>
      </c>
      <c r="Y356" s="333" t="str">
        <f t="array" ref="Y356">IF(X356="","",X356&amp;"  –  "&amp;INDEX('Bills &amp; Invoices'!$D$5:$D$32,MATCH(X356,'Bills &amp; Invoices'!$B$5:$B$32,0))&amp;"  –  $"&amp;TEXT(SUMIFS('Bills &amp; Invoices'!$J$5:$J$32,'Bills &amp; Invoices'!$B$5:$B$32,X356),"#,##0"))</f>
        <v/>
      </c>
      <c r="Z356" s="333" t="str">
        <f t="array" ref="Z356">IF(X356="","",INDEX('Bills &amp; Invoices'!$D$5:$D$32,MATCH(X356,'Bills &amp; Invoices'!$B$5:$B$32,0)))</f>
        <v/>
      </c>
      <c r="AA356" s="334" t="str">
        <f t="array" ref="AA356">IF(X356="","",INDEX('Bills &amp; Invoices'!$K$5:$K$32,MATCH(X356,'Bills &amp; Invoices'!$B$5:$B$32,0)))</f>
        <v/>
      </c>
      <c r="AB356" s="335" t="str">
        <f>IF(X356="","",SUMIFS('Bills &amp; Invoices'!$J$5:$J$32,'Bills &amp; Invoices'!$B$5:$B$32,X356))</f>
        <v/>
      </c>
      <c r="AC356" s="335" t="str">
        <f>IF(X356="","",SUMIFS('Payments &amp; Receipts'!$F$5:$F$58,'Payments &amp; Receipts'!$L$5:$L$58,X356))</f>
        <v/>
      </c>
      <c r="AD356" s="333" t="str">
        <f t="array" ref="AD356">IF(X356="","",INDEX('Bills &amp; Invoices'!$U$5:$U$32,MATCH(X356,'Bills &amp; Invoices'!$B$5:$B$32,0)))</f>
        <v/>
      </c>
    </row>
    <row r="357" ht="14.25" customHeight="1">
      <c r="R35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Clearances'!$A$4:$Q$4)),FALSE)),ROWS(R$5:R357)))&amp;""  –  ""&amp;INDEX('Chemical Clearances'!$D$5:$D$169,MATCH(INDEX('Chemical Clearances'!$B$5:$B$169,LARGE(FILTER((ROW('Chemical Clearances'!$B$5:$B$169)-ROW('"&amp;"Chemical Clearances'!$A$4:$Q$4)),IFERROR((MATCH('Chemical Clearances'!$B$5:$B$169,'Chemical Clearances'!$B$5:$B$169,0)=ROW('Chemical Clearances'!$B$5:$B$169)-ROW('Chemical Clearances'!$A$4:$Q$4)),FALSE)),ROWS(R$5:R357))),'Chemical Clearances'!$B$5:$B$169,"&amp;"0)),"""")), 1, 1)"),"")</f>
        <v/>
      </c>
      <c r="X35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Invoices'!$A$4:$V$4)),FALSE)),ROWS(X$5:X357))),"""")), 1, 1)"),"")</f>
        <v/>
      </c>
      <c r="Y357" s="333" t="str">
        <f t="array" ref="Y357">IF(X357="","",X357&amp;"  –  "&amp;INDEX('Bills &amp; Invoices'!$D$5:$D$32,MATCH(X357,'Bills &amp; Invoices'!$B$5:$B$32,0))&amp;"  –  $"&amp;TEXT(SUMIFS('Bills &amp; Invoices'!$J$5:$J$32,'Bills &amp; Invoices'!$B$5:$B$32,X357),"#,##0"))</f>
        <v/>
      </c>
      <c r="Z357" s="333" t="str">
        <f t="array" ref="Z357">IF(X357="","",INDEX('Bills &amp; Invoices'!$D$5:$D$32,MATCH(X357,'Bills &amp; Invoices'!$B$5:$B$32,0)))</f>
        <v/>
      </c>
      <c r="AA357" s="334" t="str">
        <f t="array" ref="AA357">IF(X357="","",INDEX('Bills &amp; Invoices'!$K$5:$K$32,MATCH(X357,'Bills &amp; Invoices'!$B$5:$B$32,0)))</f>
        <v/>
      </c>
      <c r="AB357" s="335" t="str">
        <f>IF(X357="","",SUMIFS('Bills &amp; Invoices'!$J$5:$J$32,'Bills &amp; Invoices'!$B$5:$B$32,X357))</f>
        <v/>
      </c>
      <c r="AC357" s="335" t="str">
        <f>IF(X357="","",SUMIFS('Payments &amp; Receipts'!$F$5:$F$58,'Payments &amp; Receipts'!$L$5:$L$58,X357))</f>
        <v/>
      </c>
      <c r="AD357" s="333" t="str">
        <f t="array" ref="AD357">IF(X357="","",INDEX('Bills &amp; Invoices'!$U$5:$U$32,MATCH(X357,'Bills &amp; Invoices'!$B$5:$B$32,0)))</f>
        <v/>
      </c>
    </row>
    <row r="358" ht="14.25" customHeight="1">
      <c r="R35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Clearances'!$A$4:$Q$4)),FALSE)),ROWS(R$5:R358)))&amp;""  –  ""&amp;INDEX('Chemical Clearances'!$D$5:$D$169,MATCH(INDEX('Chemical Clearances'!$B$5:$B$169,LARGE(FILTER((ROW('Chemical Clearances'!$B$5:$B$169)-ROW('"&amp;"Chemical Clearances'!$A$4:$Q$4)),IFERROR((MATCH('Chemical Clearances'!$B$5:$B$169,'Chemical Clearances'!$B$5:$B$169,0)=ROW('Chemical Clearances'!$B$5:$B$169)-ROW('Chemical Clearances'!$A$4:$Q$4)),FALSE)),ROWS(R$5:R358))),'Chemical Clearances'!$B$5:$B$169,"&amp;"0)),"""")), 1, 1)"),"")</f>
        <v/>
      </c>
      <c r="X35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Invoices'!$A$4:$V$4)),FALSE)),ROWS(X$5:X358))),"""")), 1, 1)"),"")</f>
        <v/>
      </c>
      <c r="Y358" s="333" t="str">
        <f t="array" ref="Y358">IF(X358="","",X358&amp;"  –  "&amp;INDEX('Bills &amp; Invoices'!$D$5:$D$32,MATCH(X358,'Bills &amp; Invoices'!$B$5:$B$32,0))&amp;"  –  $"&amp;TEXT(SUMIFS('Bills &amp; Invoices'!$J$5:$J$32,'Bills &amp; Invoices'!$B$5:$B$32,X358),"#,##0"))</f>
        <v/>
      </c>
      <c r="Z358" s="333" t="str">
        <f t="array" ref="Z358">IF(X358="","",INDEX('Bills &amp; Invoices'!$D$5:$D$32,MATCH(X358,'Bills &amp; Invoices'!$B$5:$B$32,0)))</f>
        <v/>
      </c>
      <c r="AA358" s="334" t="str">
        <f t="array" ref="AA358">IF(X358="","",INDEX('Bills &amp; Invoices'!$K$5:$K$32,MATCH(X358,'Bills &amp; Invoices'!$B$5:$B$32,0)))</f>
        <v/>
      </c>
      <c r="AB358" s="335" t="str">
        <f>IF(X358="","",SUMIFS('Bills &amp; Invoices'!$J$5:$J$32,'Bills &amp; Invoices'!$B$5:$B$32,X358))</f>
        <v/>
      </c>
      <c r="AC358" s="335" t="str">
        <f>IF(X358="","",SUMIFS('Payments &amp; Receipts'!$F$5:$F$58,'Payments &amp; Receipts'!$L$5:$L$58,X358))</f>
        <v/>
      </c>
      <c r="AD358" s="333" t="str">
        <f t="array" ref="AD358">IF(X358="","",INDEX('Bills &amp; Invoices'!$U$5:$U$32,MATCH(X358,'Bills &amp; Invoices'!$B$5:$B$32,0)))</f>
        <v/>
      </c>
    </row>
    <row r="359" ht="14.25" customHeight="1">
      <c r="R35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Clearances'!$A$4:$Q$4)),FALSE)),ROWS(R$5:R359)))&amp;""  –  ""&amp;INDEX('Chemical Clearances'!$D$5:$D$169,MATCH(INDEX('Chemical Clearances'!$B$5:$B$169,LARGE(FILTER((ROW('Chemical Clearances'!$B$5:$B$169)-ROW('"&amp;"Chemical Clearances'!$A$4:$Q$4)),IFERROR((MATCH('Chemical Clearances'!$B$5:$B$169,'Chemical Clearances'!$B$5:$B$169,0)=ROW('Chemical Clearances'!$B$5:$B$169)-ROW('Chemical Clearances'!$A$4:$Q$4)),FALSE)),ROWS(R$5:R359))),'Chemical Clearances'!$B$5:$B$169,"&amp;"0)),"""")), 1, 1)"),"")</f>
        <v/>
      </c>
      <c r="X35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Invoices'!$A$4:$V$4)),FALSE)),ROWS(X$5:X359))),"""")), 1, 1)"),"")</f>
        <v/>
      </c>
      <c r="Y359" s="333" t="str">
        <f t="array" ref="Y359">IF(X359="","",X359&amp;"  –  "&amp;INDEX('Bills &amp; Invoices'!$D$5:$D$32,MATCH(X359,'Bills &amp; Invoices'!$B$5:$B$32,0))&amp;"  –  $"&amp;TEXT(SUMIFS('Bills &amp; Invoices'!$J$5:$J$32,'Bills &amp; Invoices'!$B$5:$B$32,X359),"#,##0"))</f>
        <v/>
      </c>
      <c r="Z359" s="333" t="str">
        <f t="array" ref="Z359">IF(X359="","",INDEX('Bills &amp; Invoices'!$D$5:$D$32,MATCH(X359,'Bills &amp; Invoices'!$B$5:$B$32,0)))</f>
        <v/>
      </c>
      <c r="AA359" s="334" t="str">
        <f t="array" ref="AA359">IF(X359="","",INDEX('Bills &amp; Invoices'!$K$5:$K$32,MATCH(X359,'Bills &amp; Invoices'!$B$5:$B$32,0)))</f>
        <v/>
      </c>
      <c r="AB359" s="335" t="str">
        <f>IF(X359="","",SUMIFS('Bills &amp; Invoices'!$J$5:$J$32,'Bills &amp; Invoices'!$B$5:$B$32,X359))</f>
        <v/>
      </c>
      <c r="AC359" s="335" t="str">
        <f>IF(X359="","",SUMIFS('Payments &amp; Receipts'!$F$5:$F$58,'Payments &amp; Receipts'!$L$5:$L$58,X359))</f>
        <v/>
      </c>
      <c r="AD359" s="333" t="str">
        <f t="array" ref="AD359">IF(X359="","",INDEX('Bills &amp; Invoices'!$U$5:$U$32,MATCH(X359,'Bills &amp; Invoices'!$B$5:$B$32,0)))</f>
        <v/>
      </c>
    </row>
    <row r="360" ht="14.25" customHeight="1">
      <c r="R36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Clearances'!$A$4:$Q$4)),FALSE)),ROWS(R$5:R360)))&amp;""  –  ""&amp;INDEX('Chemical Clearances'!$D$5:$D$169,MATCH(INDEX('Chemical Clearances'!$B$5:$B$169,LARGE(FILTER((ROW('Chemical Clearances'!$B$5:$B$169)-ROW('"&amp;"Chemical Clearances'!$A$4:$Q$4)),IFERROR((MATCH('Chemical Clearances'!$B$5:$B$169,'Chemical Clearances'!$B$5:$B$169,0)=ROW('Chemical Clearances'!$B$5:$B$169)-ROW('Chemical Clearances'!$A$4:$Q$4)),FALSE)),ROWS(R$5:R360))),'Chemical Clearances'!$B$5:$B$169,"&amp;"0)),"""")), 1, 1)"),"")</f>
        <v/>
      </c>
      <c r="X36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Invoices'!$A$4:$V$4)),FALSE)),ROWS(X$5:X360))),"""")), 1, 1)"),"")</f>
        <v/>
      </c>
      <c r="Y360" s="333" t="str">
        <f t="array" ref="Y360">IF(X360="","",X360&amp;"  –  "&amp;INDEX('Bills &amp; Invoices'!$D$5:$D$32,MATCH(X360,'Bills &amp; Invoices'!$B$5:$B$32,0))&amp;"  –  $"&amp;TEXT(SUMIFS('Bills &amp; Invoices'!$J$5:$J$32,'Bills &amp; Invoices'!$B$5:$B$32,X360),"#,##0"))</f>
        <v/>
      </c>
      <c r="Z360" s="333" t="str">
        <f t="array" ref="Z360">IF(X360="","",INDEX('Bills &amp; Invoices'!$D$5:$D$32,MATCH(X360,'Bills &amp; Invoices'!$B$5:$B$32,0)))</f>
        <v/>
      </c>
      <c r="AA360" s="334" t="str">
        <f t="array" ref="AA360">IF(X360="","",INDEX('Bills &amp; Invoices'!$K$5:$K$32,MATCH(X360,'Bills &amp; Invoices'!$B$5:$B$32,0)))</f>
        <v/>
      </c>
      <c r="AB360" s="335" t="str">
        <f>IF(X360="","",SUMIFS('Bills &amp; Invoices'!$J$5:$J$32,'Bills &amp; Invoices'!$B$5:$B$32,X360))</f>
        <v/>
      </c>
      <c r="AC360" s="335" t="str">
        <f>IF(X360="","",SUMIFS('Payments &amp; Receipts'!$F$5:$F$58,'Payments &amp; Receipts'!$L$5:$L$58,X360))</f>
        <v/>
      </c>
      <c r="AD360" s="333" t="str">
        <f t="array" ref="AD360">IF(X360="","",INDEX('Bills &amp; Invoices'!$U$5:$U$32,MATCH(X360,'Bills &amp; Invoices'!$B$5:$B$32,0)))</f>
        <v/>
      </c>
    </row>
    <row r="361" ht="14.25" customHeight="1">
      <c r="R36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Clearances'!$A$4:$Q$4)),FALSE)),ROWS(R$5:R361)))&amp;""  –  ""&amp;INDEX('Chemical Clearances'!$D$5:$D$169,MATCH(INDEX('Chemical Clearances'!$B$5:$B$169,LARGE(FILTER((ROW('Chemical Clearances'!$B$5:$B$169)-ROW('"&amp;"Chemical Clearances'!$A$4:$Q$4)),IFERROR((MATCH('Chemical Clearances'!$B$5:$B$169,'Chemical Clearances'!$B$5:$B$169,0)=ROW('Chemical Clearances'!$B$5:$B$169)-ROW('Chemical Clearances'!$A$4:$Q$4)),FALSE)),ROWS(R$5:R361))),'Chemical Clearances'!$B$5:$B$169,"&amp;"0)),"""")), 1, 1)"),"")</f>
        <v/>
      </c>
      <c r="X36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Invoices'!$A$4:$V$4)),FALSE)),ROWS(X$5:X361))),"""")), 1, 1)"),"")</f>
        <v/>
      </c>
      <c r="Y361" s="333" t="str">
        <f t="array" ref="Y361">IF(X361="","",X361&amp;"  –  "&amp;INDEX('Bills &amp; Invoices'!$D$5:$D$32,MATCH(X361,'Bills &amp; Invoices'!$B$5:$B$32,0))&amp;"  –  $"&amp;TEXT(SUMIFS('Bills &amp; Invoices'!$J$5:$J$32,'Bills &amp; Invoices'!$B$5:$B$32,X361),"#,##0"))</f>
        <v/>
      </c>
      <c r="Z361" s="333" t="str">
        <f t="array" ref="Z361">IF(X361="","",INDEX('Bills &amp; Invoices'!$D$5:$D$32,MATCH(X361,'Bills &amp; Invoices'!$B$5:$B$32,0)))</f>
        <v/>
      </c>
      <c r="AA361" s="334" t="str">
        <f t="array" ref="AA361">IF(X361="","",INDEX('Bills &amp; Invoices'!$K$5:$K$32,MATCH(X361,'Bills &amp; Invoices'!$B$5:$B$32,0)))</f>
        <v/>
      </c>
      <c r="AB361" s="335" t="str">
        <f>IF(X361="","",SUMIFS('Bills &amp; Invoices'!$J$5:$J$32,'Bills &amp; Invoices'!$B$5:$B$32,X361))</f>
        <v/>
      </c>
      <c r="AC361" s="335" t="str">
        <f>IF(X361="","",SUMIFS('Payments &amp; Receipts'!$F$5:$F$58,'Payments &amp; Receipts'!$L$5:$L$58,X361))</f>
        <v/>
      </c>
      <c r="AD361" s="333" t="str">
        <f t="array" ref="AD361">IF(X361="","",INDEX('Bills &amp; Invoices'!$U$5:$U$32,MATCH(X361,'Bills &amp; Invoices'!$B$5:$B$32,0)))</f>
        <v/>
      </c>
    </row>
    <row r="362" ht="14.25" customHeight="1">
      <c r="R36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Clearances'!$A$4:$Q$4)),FALSE)),ROWS(R$5:R362)))&amp;""  –  ""&amp;INDEX('Chemical Clearances'!$D$5:$D$169,MATCH(INDEX('Chemical Clearances'!$B$5:$B$169,LARGE(FILTER((ROW('Chemical Clearances'!$B$5:$B$169)-ROW('"&amp;"Chemical Clearances'!$A$4:$Q$4)),IFERROR((MATCH('Chemical Clearances'!$B$5:$B$169,'Chemical Clearances'!$B$5:$B$169,0)=ROW('Chemical Clearances'!$B$5:$B$169)-ROW('Chemical Clearances'!$A$4:$Q$4)),FALSE)),ROWS(R$5:R362))),'Chemical Clearances'!$B$5:$B$169,"&amp;"0)),"""")), 1, 1)"),"")</f>
        <v/>
      </c>
      <c r="X36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Invoices'!$A$4:$V$4)),FALSE)),ROWS(X$5:X362))),"""")), 1, 1)"),"")</f>
        <v/>
      </c>
      <c r="Y362" s="333" t="str">
        <f t="array" ref="Y362">IF(X362="","",X362&amp;"  –  "&amp;INDEX('Bills &amp; Invoices'!$D$5:$D$32,MATCH(X362,'Bills &amp; Invoices'!$B$5:$B$32,0))&amp;"  –  $"&amp;TEXT(SUMIFS('Bills &amp; Invoices'!$J$5:$J$32,'Bills &amp; Invoices'!$B$5:$B$32,X362),"#,##0"))</f>
        <v/>
      </c>
      <c r="Z362" s="333" t="str">
        <f t="array" ref="Z362">IF(X362="","",INDEX('Bills &amp; Invoices'!$D$5:$D$32,MATCH(X362,'Bills &amp; Invoices'!$B$5:$B$32,0)))</f>
        <v/>
      </c>
      <c r="AA362" s="334" t="str">
        <f t="array" ref="AA362">IF(X362="","",INDEX('Bills &amp; Invoices'!$K$5:$K$32,MATCH(X362,'Bills &amp; Invoices'!$B$5:$B$32,0)))</f>
        <v/>
      </c>
      <c r="AB362" s="335" t="str">
        <f>IF(X362="","",SUMIFS('Bills &amp; Invoices'!$J$5:$J$32,'Bills &amp; Invoices'!$B$5:$B$32,X362))</f>
        <v/>
      </c>
      <c r="AC362" s="335" t="str">
        <f>IF(X362="","",SUMIFS('Payments &amp; Receipts'!$F$5:$F$58,'Payments &amp; Receipts'!$L$5:$L$58,X362))</f>
        <v/>
      </c>
      <c r="AD362" s="333" t="str">
        <f t="array" ref="AD362">IF(X362="","",INDEX('Bills &amp; Invoices'!$U$5:$U$32,MATCH(X362,'Bills &amp; Invoices'!$B$5:$B$32,0)))</f>
        <v/>
      </c>
    </row>
    <row r="363" ht="14.25" customHeight="1">
      <c r="R36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Clearances'!$A$4:$Q$4)),FALSE)),ROWS(R$5:R363)))&amp;""  –  ""&amp;INDEX('Chemical Clearances'!$D$5:$D$169,MATCH(INDEX('Chemical Clearances'!$B$5:$B$169,LARGE(FILTER((ROW('Chemical Clearances'!$B$5:$B$169)-ROW('"&amp;"Chemical Clearances'!$A$4:$Q$4)),IFERROR((MATCH('Chemical Clearances'!$B$5:$B$169,'Chemical Clearances'!$B$5:$B$169,0)=ROW('Chemical Clearances'!$B$5:$B$169)-ROW('Chemical Clearances'!$A$4:$Q$4)),FALSE)),ROWS(R$5:R363))),'Chemical Clearances'!$B$5:$B$169,"&amp;"0)),"""")), 1, 1)"),"")</f>
        <v/>
      </c>
      <c r="X36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Invoices'!$A$4:$V$4)),FALSE)),ROWS(X$5:X363))),"""")), 1, 1)"),"")</f>
        <v/>
      </c>
      <c r="Y363" s="333" t="str">
        <f t="array" ref="Y363">IF(X363="","",X363&amp;"  –  "&amp;INDEX('Bills &amp; Invoices'!$D$5:$D$32,MATCH(X363,'Bills &amp; Invoices'!$B$5:$B$32,0))&amp;"  –  $"&amp;TEXT(SUMIFS('Bills &amp; Invoices'!$J$5:$J$32,'Bills &amp; Invoices'!$B$5:$B$32,X363),"#,##0"))</f>
        <v/>
      </c>
      <c r="Z363" s="333" t="str">
        <f t="array" ref="Z363">IF(X363="","",INDEX('Bills &amp; Invoices'!$D$5:$D$32,MATCH(X363,'Bills &amp; Invoices'!$B$5:$B$32,0)))</f>
        <v/>
      </c>
      <c r="AA363" s="334" t="str">
        <f t="array" ref="AA363">IF(X363="","",INDEX('Bills &amp; Invoices'!$K$5:$K$32,MATCH(X363,'Bills &amp; Invoices'!$B$5:$B$32,0)))</f>
        <v/>
      </c>
      <c r="AB363" s="335" t="str">
        <f>IF(X363="","",SUMIFS('Bills &amp; Invoices'!$J$5:$J$32,'Bills &amp; Invoices'!$B$5:$B$32,X363))</f>
        <v/>
      </c>
      <c r="AC363" s="335" t="str">
        <f>IF(X363="","",SUMIFS('Payments &amp; Receipts'!$F$5:$F$58,'Payments &amp; Receipts'!$L$5:$L$58,X363))</f>
        <v/>
      </c>
      <c r="AD363" s="333" t="str">
        <f t="array" ref="AD363">IF(X363="","",INDEX('Bills &amp; Invoices'!$U$5:$U$32,MATCH(X363,'Bills &amp; Invoices'!$B$5:$B$32,0)))</f>
        <v/>
      </c>
    </row>
    <row r="364" ht="14.25" customHeight="1">
      <c r="R36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Clearances'!$A$4:$Q$4)),FALSE)),ROWS(R$5:R364)))&amp;""  –  ""&amp;INDEX('Chemical Clearances'!$D$5:$D$169,MATCH(INDEX('Chemical Clearances'!$B$5:$B$169,LARGE(FILTER((ROW('Chemical Clearances'!$B$5:$B$169)-ROW('"&amp;"Chemical Clearances'!$A$4:$Q$4)),IFERROR((MATCH('Chemical Clearances'!$B$5:$B$169,'Chemical Clearances'!$B$5:$B$169,0)=ROW('Chemical Clearances'!$B$5:$B$169)-ROW('Chemical Clearances'!$A$4:$Q$4)),FALSE)),ROWS(R$5:R364))),'Chemical Clearances'!$B$5:$B$169,"&amp;"0)),"""")), 1, 1)"),"")</f>
        <v/>
      </c>
      <c r="X36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Invoices'!$A$4:$V$4)),FALSE)),ROWS(X$5:X364))),"""")), 1, 1)"),"")</f>
        <v/>
      </c>
      <c r="Y364" s="333" t="str">
        <f t="array" ref="Y364">IF(X364="","",X364&amp;"  –  "&amp;INDEX('Bills &amp; Invoices'!$D$5:$D$32,MATCH(X364,'Bills &amp; Invoices'!$B$5:$B$32,0))&amp;"  –  $"&amp;TEXT(SUMIFS('Bills &amp; Invoices'!$J$5:$J$32,'Bills &amp; Invoices'!$B$5:$B$32,X364),"#,##0"))</f>
        <v/>
      </c>
      <c r="Z364" s="333" t="str">
        <f t="array" ref="Z364">IF(X364="","",INDEX('Bills &amp; Invoices'!$D$5:$D$32,MATCH(X364,'Bills &amp; Invoices'!$B$5:$B$32,0)))</f>
        <v/>
      </c>
      <c r="AA364" s="334" t="str">
        <f t="array" ref="AA364">IF(X364="","",INDEX('Bills &amp; Invoices'!$K$5:$K$32,MATCH(X364,'Bills &amp; Invoices'!$B$5:$B$32,0)))</f>
        <v/>
      </c>
      <c r="AB364" s="335" t="str">
        <f>IF(X364="","",SUMIFS('Bills &amp; Invoices'!$J$5:$J$32,'Bills &amp; Invoices'!$B$5:$B$32,X364))</f>
        <v/>
      </c>
      <c r="AC364" s="335" t="str">
        <f>IF(X364="","",SUMIFS('Payments &amp; Receipts'!$F$5:$F$58,'Payments &amp; Receipts'!$L$5:$L$58,X364))</f>
        <v/>
      </c>
      <c r="AD364" s="333" t="str">
        <f t="array" ref="AD364">IF(X364="","",INDEX('Bills &amp; Invoices'!$U$5:$U$32,MATCH(X364,'Bills &amp; Invoices'!$B$5:$B$32,0)))</f>
        <v/>
      </c>
    </row>
    <row r="365" ht="14.25" customHeight="1">
      <c r="R36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Clearances'!$A$4:$Q$4)),FALSE)),ROWS(R$5:R365)))&amp;""  –  ""&amp;INDEX('Chemical Clearances'!$D$5:$D$169,MATCH(INDEX('Chemical Clearances'!$B$5:$B$169,LARGE(FILTER((ROW('Chemical Clearances'!$B$5:$B$169)-ROW('"&amp;"Chemical Clearances'!$A$4:$Q$4)),IFERROR((MATCH('Chemical Clearances'!$B$5:$B$169,'Chemical Clearances'!$B$5:$B$169,0)=ROW('Chemical Clearances'!$B$5:$B$169)-ROW('Chemical Clearances'!$A$4:$Q$4)),FALSE)),ROWS(R$5:R365))),'Chemical Clearances'!$B$5:$B$169,"&amp;"0)),"""")), 1, 1)"),"")</f>
        <v/>
      </c>
      <c r="X36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Invoices'!$A$4:$V$4)),FALSE)),ROWS(X$5:X365))),"""")), 1, 1)"),"")</f>
        <v/>
      </c>
      <c r="Y365" s="333" t="str">
        <f t="array" ref="Y365">IF(X365="","",X365&amp;"  –  "&amp;INDEX('Bills &amp; Invoices'!$D$5:$D$32,MATCH(X365,'Bills &amp; Invoices'!$B$5:$B$32,0))&amp;"  –  $"&amp;TEXT(SUMIFS('Bills &amp; Invoices'!$J$5:$J$32,'Bills &amp; Invoices'!$B$5:$B$32,X365),"#,##0"))</f>
        <v/>
      </c>
      <c r="Z365" s="333" t="str">
        <f t="array" ref="Z365">IF(X365="","",INDEX('Bills &amp; Invoices'!$D$5:$D$32,MATCH(X365,'Bills &amp; Invoices'!$B$5:$B$32,0)))</f>
        <v/>
      </c>
      <c r="AA365" s="334" t="str">
        <f t="array" ref="AA365">IF(X365="","",INDEX('Bills &amp; Invoices'!$K$5:$K$32,MATCH(X365,'Bills &amp; Invoices'!$B$5:$B$32,0)))</f>
        <v/>
      </c>
      <c r="AB365" s="335" t="str">
        <f>IF(X365="","",SUMIFS('Bills &amp; Invoices'!$J$5:$J$32,'Bills &amp; Invoices'!$B$5:$B$32,X365))</f>
        <v/>
      </c>
      <c r="AC365" s="335" t="str">
        <f>IF(X365="","",SUMIFS('Payments &amp; Receipts'!$F$5:$F$58,'Payments &amp; Receipts'!$L$5:$L$58,X365))</f>
        <v/>
      </c>
      <c r="AD365" s="333" t="str">
        <f t="array" ref="AD365">IF(X365="","",INDEX('Bills &amp; Invoices'!$U$5:$U$32,MATCH(X365,'Bills &amp; Invoices'!$B$5:$B$32,0)))</f>
        <v/>
      </c>
    </row>
    <row r="366" ht="14.25" customHeight="1">
      <c r="R36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Clearances'!$A$4:$Q$4)),FALSE)),ROWS(R$5:R366)))&amp;""  –  ""&amp;INDEX('Chemical Clearances'!$D$5:$D$169,MATCH(INDEX('Chemical Clearances'!$B$5:$B$169,LARGE(FILTER((ROW('Chemical Clearances'!$B$5:$B$169)-ROW('"&amp;"Chemical Clearances'!$A$4:$Q$4)),IFERROR((MATCH('Chemical Clearances'!$B$5:$B$169,'Chemical Clearances'!$B$5:$B$169,0)=ROW('Chemical Clearances'!$B$5:$B$169)-ROW('Chemical Clearances'!$A$4:$Q$4)),FALSE)),ROWS(R$5:R366))),'Chemical Clearances'!$B$5:$B$169,"&amp;"0)),"""")), 1, 1)"),"")</f>
        <v/>
      </c>
      <c r="X36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Invoices'!$A$4:$V$4)),FALSE)),ROWS(X$5:X366))),"""")), 1, 1)"),"")</f>
        <v/>
      </c>
      <c r="Y366" s="333" t="str">
        <f t="array" ref="Y366">IF(X366="","",X366&amp;"  –  "&amp;INDEX('Bills &amp; Invoices'!$D$5:$D$32,MATCH(X366,'Bills &amp; Invoices'!$B$5:$B$32,0))&amp;"  –  $"&amp;TEXT(SUMIFS('Bills &amp; Invoices'!$J$5:$J$32,'Bills &amp; Invoices'!$B$5:$B$32,X366),"#,##0"))</f>
        <v/>
      </c>
      <c r="Z366" s="333" t="str">
        <f t="array" ref="Z366">IF(X366="","",INDEX('Bills &amp; Invoices'!$D$5:$D$32,MATCH(X366,'Bills &amp; Invoices'!$B$5:$B$32,0)))</f>
        <v/>
      </c>
      <c r="AA366" s="334" t="str">
        <f t="array" ref="AA366">IF(X366="","",INDEX('Bills &amp; Invoices'!$K$5:$K$32,MATCH(X366,'Bills &amp; Invoices'!$B$5:$B$32,0)))</f>
        <v/>
      </c>
      <c r="AB366" s="335" t="str">
        <f>IF(X366="","",SUMIFS('Bills &amp; Invoices'!$J$5:$J$32,'Bills &amp; Invoices'!$B$5:$B$32,X366))</f>
        <v/>
      </c>
      <c r="AC366" s="335" t="str">
        <f>IF(X366="","",SUMIFS('Payments &amp; Receipts'!$F$5:$F$58,'Payments &amp; Receipts'!$L$5:$L$58,X366))</f>
        <v/>
      </c>
      <c r="AD366" s="333" t="str">
        <f t="array" ref="AD366">IF(X366="","",INDEX('Bills &amp; Invoices'!$U$5:$U$32,MATCH(X366,'Bills &amp; Invoices'!$B$5:$B$32,0)))</f>
        <v/>
      </c>
    </row>
    <row r="367" ht="14.25" customHeight="1">
      <c r="R36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Clearances'!$A$4:$Q$4)),FALSE)),ROWS(R$5:R367)))&amp;""  –  ""&amp;INDEX('Chemical Clearances'!$D$5:$D$169,MATCH(INDEX('Chemical Clearances'!$B$5:$B$169,LARGE(FILTER((ROW('Chemical Clearances'!$B$5:$B$169)-ROW('"&amp;"Chemical Clearances'!$A$4:$Q$4)),IFERROR((MATCH('Chemical Clearances'!$B$5:$B$169,'Chemical Clearances'!$B$5:$B$169,0)=ROW('Chemical Clearances'!$B$5:$B$169)-ROW('Chemical Clearances'!$A$4:$Q$4)),FALSE)),ROWS(R$5:R367))),'Chemical Clearances'!$B$5:$B$169,"&amp;"0)),"""")), 1, 1)"),"")</f>
        <v/>
      </c>
      <c r="X36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Invoices'!$A$4:$V$4)),FALSE)),ROWS(X$5:X367))),"""")), 1, 1)"),"")</f>
        <v/>
      </c>
      <c r="Y367" s="333" t="str">
        <f t="array" ref="Y367">IF(X367="","",X367&amp;"  –  "&amp;INDEX('Bills &amp; Invoices'!$D$5:$D$32,MATCH(X367,'Bills &amp; Invoices'!$B$5:$B$32,0))&amp;"  –  $"&amp;TEXT(SUMIFS('Bills &amp; Invoices'!$J$5:$J$32,'Bills &amp; Invoices'!$B$5:$B$32,X367),"#,##0"))</f>
        <v/>
      </c>
      <c r="Z367" s="333" t="str">
        <f t="array" ref="Z367">IF(X367="","",INDEX('Bills &amp; Invoices'!$D$5:$D$32,MATCH(X367,'Bills &amp; Invoices'!$B$5:$B$32,0)))</f>
        <v/>
      </c>
      <c r="AA367" s="334" t="str">
        <f t="array" ref="AA367">IF(X367="","",INDEX('Bills &amp; Invoices'!$K$5:$K$32,MATCH(X367,'Bills &amp; Invoices'!$B$5:$B$32,0)))</f>
        <v/>
      </c>
      <c r="AB367" s="335" t="str">
        <f>IF(X367="","",SUMIFS('Bills &amp; Invoices'!$J$5:$J$32,'Bills &amp; Invoices'!$B$5:$B$32,X367))</f>
        <v/>
      </c>
      <c r="AC367" s="335" t="str">
        <f>IF(X367="","",SUMIFS('Payments &amp; Receipts'!$F$5:$F$58,'Payments &amp; Receipts'!$L$5:$L$58,X367))</f>
        <v/>
      </c>
      <c r="AD367" s="333" t="str">
        <f t="array" ref="AD367">IF(X367="","",INDEX('Bills &amp; Invoices'!$U$5:$U$32,MATCH(X367,'Bills &amp; Invoices'!$B$5:$B$32,0)))</f>
        <v/>
      </c>
    </row>
    <row r="368" ht="14.25" customHeight="1">
      <c r="R36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Clearances'!$A$4:$Q$4)),FALSE)),ROWS(R$5:R368)))&amp;""  –  ""&amp;INDEX('Chemical Clearances'!$D$5:$D$169,MATCH(INDEX('Chemical Clearances'!$B$5:$B$169,LARGE(FILTER((ROW('Chemical Clearances'!$B$5:$B$169)-ROW('"&amp;"Chemical Clearances'!$A$4:$Q$4)),IFERROR((MATCH('Chemical Clearances'!$B$5:$B$169,'Chemical Clearances'!$B$5:$B$169,0)=ROW('Chemical Clearances'!$B$5:$B$169)-ROW('Chemical Clearances'!$A$4:$Q$4)),FALSE)),ROWS(R$5:R368))),'Chemical Clearances'!$B$5:$B$169,"&amp;"0)),"""")), 1, 1)"),"")</f>
        <v/>
      </c>
      <c r="X36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Invoices'!$A$4:$V$4)),FALSE)),ROWS(X$5:X368))),"""")), 1, 1)"),"")</f>
        <v/>
      </c>
      <c r="Y368" s="333" t="str">
        <f t="array" ref="Y368">IF(X368="","",X368&amp;"  –  "&amp;INDEX('Bills &amp; Invoices'!$D$5:$D$32,MATCH(X368,'Bills &amp; Invoices'!$B$5:$B$32,0))&amp;"  –  $"&amp;TEXT(SUMIFS('Bills &amp; Invoices'!$J$5:$J$32,'Bills &amp; Invoices'!$B$5:$B$32,X368),"#,##0"))</f>
        <v/>
      </c>
      <c r="Z368" s="333" t="str">
        <f t="array" ref="Z368">IF(X368="","",INDEX('Bills &amp; Invoices'!$D$5:$D$32,MATCH(X368,'Bills &amp; Invoices'!$B$5:$B$32,0)))</f>
        <v/>
      </c>
      <c r="AA368" s="334" t="str">
        <f t="array" ref="AA368">IF(X368="","",INDEX('Bills &amp; Invoices'!$K$5:$K$32,MATCH(X368,'Bills &amp; Invoices'!$B$5:$B$32,0)))</f>
        <v/>
      </c>
      <c r="AB368" s="335" t="str">
        <f>IF(X368="","",SUMIFS('Bills &amp; Invoices'!$J$5:$J$32,'Bills &amp; Invoices'!$B$5:$B$32,X368))</f>
        <v/>
      </c>
      <c r="AC368" s="335" t="str">
        <f>IF(X368="","",SUMIFS('Payments &amp; Receipts'!$F$5:$F$58,'Payments &amp; Receipts'!$L$5:$L$58,X368))</f>
        <v/>
      </c>
      <c r="AD368" s="333" t="str">
        <f t="array" ref="AD368">IF(X368="","",INDEX('Bills &amp; Invoices'!$U$5:$U$32,MATCH(X368,'Bills &amp; Invoices'!$B$5:$B$32,0)))</f>
        <v/>
      </c>
    </row>
    <row r="369" ht="14.25" customHeight="1">
      <c r="R36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Clearances'!$A$4:$Q$4)),FALSE)),ROWS(R$5:R369)))&amp;""  –  ""&amp;INDEX('Chemical Clearances'!$D$5:$D$169,MATCH(INDEX('Chemical Clearances'!$B$5:$B$169,LARGE(FILTER((ROW('Chemical Clearances'!$B$5:$B$169)-ROW('"&amp;"Chemical Clearances'!$A$4:$Q$4)),IFERROR((MATCH('Chemical Clearances'!$B$5:$B$169,'Chemical Clearances'!$B$5:$B$169,0)=ROW('Chemical Clearances'!$B$5:$B$169)-ROW('Chemical Clearances'!$A$4:$Q$4)),FALSE)),ROWS(R$5:R369))),'Chemical Clearances'!$B$5:$B$169,"&amp;"0)),"""")), 1, 1)"),"")</f>
        <v/>
      </c>
      <c r="X36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Invoices'!$A$4:$V$4)),FALSE)),ROWS(X$5:X369))),"""")), 1, 1)"),"")</f>
        <v/>
      </c>
      <c r="Y369" s="333" t="str">
        <f t="array" ref="Y369">IF(X369="","",X369&amp;"  –  "&amp;INDEX('Bills &amp; Invoices'!$D$5:$D$32,MATCH(X369,'Bills &amp; Invoices'!$B$5:$B$32,0))&amp;"  –  $"&amp;TEXT(SUMIFS('Bills &amp; Invoices'!$J$5:$J$32,'Bills &amp; Invoices'!$B$5:$B$32,X369),"#,##0"))</f>
        <v/>
      </c>
      <c r="Z369" s="333" t="str">
        <f t="array" ref="Z369">IF(X369="","",INDEX('Bills &amp; Invoices'!$D$5:$D$32,MATCH(X369,'Bills &amp; Invoices'!$B$5:$B$32,0)))</f>
        <v/>
      </c>
      <c r="AA369" s="334" t="str">
        <f t="array" ref="AA369">IF(X369="","",INDEX('Bills &amp; Invoices'!$K$5:$K$32,MATCH(X369,'Bills &amp; Invoices'!$B$5:$B$32,0)))</f>
        <v/>
      </c>
      <c r="AB369" s="335" t="str">
        <f>IF(X369="","",SUMIFS('Bills &amp; Invoices'!$J$5:$J$32,'Bills &amp; Invoices'!$B$5:$B$32,X369))</f>
        <v/>
      </c>
      <c r="AC369" s="335" t="str">
        <f>IF(X369="","",SUMIFS('Payments &amp; Receipts'!$F$5:$F$58,'Payments &amp; Receipts'!$L$5:$L$58,X369))</f>
        <v/>
      </c>
      <c r="AD369" s="333" t="str">
        <f t="array" ref="AD369">IF(X369="","",INDEX('Bills &amp; Invoices'!$U$5:$U$32,MATCH(X369,'Bills &amp; Invoices'!$B$5:$B$32,0)))</f>
        <v/>
      </c>
    </row>
    <row r="370" ht="14.25" customHeight="1">
      <c r="R37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Clearances'!$A$4:$Q$4)),FALSE)),ROWS(R$5:R370)))&amp;""  –  ""&amp;INDEX('Chemical Clearances'!$D$5:$D$169,MATCH(INDEX('Chemical Clearances'!$B$5:$B$169,LARGE(FILTER((ROW('Chemical Clearances'!$B$5:$B$169)-ROW('"&amp;"Chemical Clearances'!$A$4:$Q$4)),IFERROR((MATCH('Chemical Clearances'!$B$5:$B$169,'Chemical Clearances'!$B$5:$B$169,0)=ROW('Chemical Clearances'!$B$5:$B$169)-ROW('Chemical Clearances'!$A$4:$Q$4)),FALSE)),ROWS(R$5:R370))),'Chemical Clearances'!$B$5:$B$169,"&amp;"0)),"""")), 1, 1)"),"")</f>
        <v/>
      </c>
      <c r="X37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Invoices'!$A$4:$V$4)),FALSE)),ROWS(X$5:X370))),"""")), 1, 1)"),"")</f>
        <v/>
      </c>
      <c r="Y370" s="333" t="str">
        <f t="array" ref="Y370">IF(X370="","",X370&amp;"  –  "&amp;INDEX('Bills &amp; Invoices'!$D$5:$D$32,MATCH(X370,'Bills &amp; Invoices'!$B$5:$B$32,0))&amp;"  –  $"&amp;TEXT(SUMIFS('Bills &amp; Invoices'!$J$5:$J$32,'Bills &amp; Invoices'!$B$5:$B$32,X370),"#,##0"))</f>
        <v/>
      </c>
      <c r="Z370" s="333" t="str">
        <f t="array" ref="Z370">IF(X370="","",INDEX('Bills &amp; Invoices'!$D$5:$D$32,MATCH(X370,'Bills &amp; Invoices'!$B$5:$B$32,0)))</f>
        <v/>
      </c>
      <c r="AA370" s="334" t="str">
        <f t="array" ref="AA370">IF(X370="","",INDEX('Bills &amp; Invoices'!$K$5:$K$32,MATCH(X370,'Bills &amp; Invoices'!$B$5:$B$32,0)))</f>
        <v/>
      </c>
      <c r="AB370" s="335" t="str">
        <f>IF(X370="","",SUMIFS('Bills &amp; Invoices'!$J$5:$J$32,'Bills &amp; Invoices'!$B$5:$B$32,X370))</f>
        <v/>
      </c>
      <c r="AC370" s="335" t="str">
        <f>IF(X370="","",SUMIFS('Payments &amp; Receipts'!$F$5:$F$58,'Payments &amp; Receipts'!$L$5:$L$58,X370))</f>
        <v/>
      </c>
      <c r="AD370" s="333" t="str">
        <f t="array" ref="AD370">IF(X370="","",INDEX('Bills &amp; Invoices'!$U$5:$U$32,MATCH(X370,'Bills &amp; Invoices'!$B$5:$B$32,0)))</f>
        <v/>
      </c>
    </row>
    <row r="371" ht="14.25" customHeight="1">
      <c r="R37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Clearances'!$A$4:$Q$4)),FALSE)),ROWS(R$5:R371)))&amp;""  –  ""&amp;INDEX('Chemical Clearances'!$D$5:$D$169,MATCH(INDEX('Chemical Clearances'!$B$5:$B$169,LARGE(FILTER((ROW('Chemical Clearances'!$B$5:$B$169)-ROW('"&amp;"Chemical Clearances'!$A$4:$Q$4)),IFERROR((MATCH('Chemical Clearances'!$B$5:$B$169,'Chemical Clearances'!$B$5:$B$169,0)=ROW('Chemical Clearances'!$B$5:$B$169)-ROW('Chemical Clearances'!$A$4:$Q$4)),FALSE)),ROWS(R$5:R371))),'Chemical Clearances'!$B$5:$B$169,"&amp;"0)),"""")), 1, 1)"),"")</f>
        <v/>
      </c>
      <c r="X37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Invoices'!$A$4:$V$4)),FALSE)),ROWS(X$5:X371))),"""")), 1, 1)"),"")</f>
        <v/>
      </c>
      <c r="Y371" s="333" t="str">
        <f t="array" ref="Y371">IF(X371="","",X371&amp;"  –  "&amp;INDEX('Bills &amp; Invoices'!$D$5:$D$32,MATCH(X371,'Bills &amp; Invoices'!$B$5:$B$32,0))&amp;"  –  $"&amp;TEXT(SUMIFS('Bills &amp; Invoices'!$J$5:$J$32,'Bills &amp; Invoices'!$B$5:$B$32,X371),"#,##0"))</f>
        <v/>
      </c>
      <c r="Z371" s="333" t="str">
        <f t="array" ref="Z371">IF(X371="","",INDEX('Bills &amp; Invoices'!$D$5:$D$32,MATCH(X371,'Bills &amp; Invoices'!$B$5:$B$32,0)))</f>
        <v/>
      </c>
      <c r="AA371" s="334" t="str">
        <f t="array" ref="AA371">IF(X371="","",INDEX('Bills &amp; Invoices'!$K$5:$K$32,MATCH(X371,'Bills &amp; Invoices'!$B$5:$B$32,0)))</f>
        <v/>
      </c>
      <c r="AB371" s="335" t="str">
        <f>IF(X371="","",SUMIFS('Bills &amp; Invoices'!$J$5:$J$32,'Bills &amp; Invoices'!$B$5:$B$32,X371))</f>
        <v/>
      </c>
      <c r="AC371" s="335" t="str">
        <f>IF(X371="","",SUMIFS('Payments &amp; Receipts'!$F$5:$F$58,'Payments &amp; Receipts'!$L$5:$L$58,X371))</f>
        <v/>
      </c>
      <c r="AD371" s="333" t="str">
        <f t="array" ref="AD371">IF(X371="","",INDEX('Bills &amp; Invoices'!$U$5:$U$32,MATCH(X371,'Bills &amp; Invoices'!$B$5:$B$32,0)))</f>
        <v/>
      </c>
    </row>
    <row r="372" ht="14.25" customHeight="1">
      <c r="R37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Clearances'!$A$4:$Q$4)),FALSE)),ROWS(R$5:R372)))&amp;""  –  ""&amp;INDEX('Chemical Clearances'!$D$5:$D$169,MATCH(INDEX('Chemical Clearances'!$B$5:$B$169,LARGE(FILTER((ROW('Chemical Clearances'!$B$5:$B$169)-ROW('"&amp;"Chemical Clearances'!$A$4:$Q$4)),IFERROR((MATCH('Chemical Clearances'!$B$5:$B$169,'Chemical Clearances'!$B$5:$B$169,0)=ROW('Chemical Clearances'!$B$5:$B$169)-ROW('Chemical Clearances'!$A$4:$Q$4)),FALSE)),ROWS(R$5:R372))),'Chemical Clearances'!$B$5:$B$169,"&amp;"0)),"""")), 1, 1)"),"")</f>
        <v/>
      </c>
      <c r="X37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Invoices'!$A$4:$V$4)),FALSE)),ROWS(X$5:X372))),"""")), 1, 1)"),"")</f>
        <v/>
      </c>
      <c r="Y372" s="333" t="str">
        <f t="array" ref="Y372">IF(X372="","",X372&amp;"  –  "&amp;INDEX('Bills &amp; Invoices'!$D$5:$D$32,MATCH(X372,'Bills &amp; Invoices'!$B$5:$B$32,0))&amp;"  –  $"&amp;TEXT(SUMIFS('Bills &amp; Invoices'!$J$5:$J$32,'Bills &amp; Invoices'!$B$5:$B$32,X372),"#,##0"))</f>
        <v/>
      </c>
      <c r="Z372" s="333" t="str">
        <f t="array" ref="Z372">IF(X372="","",INDEX('Bills &amp; Invoices'!$D$5:$D$32,MATCH(X372,'Bills &amp; Invoices'!$B$5:$B$32,0)))</f>
        <v/>
      </c>
      <c r="AA372" s="334" t="str">
        <f t="array" ref="AA372">IF(X372="","",INDEX('Bills &amp; Invoices'!$K$5:$K$32,MATCH(X372,'Bills &amp; Invoices'!$B$5:$B$32,0)))</f>
        <v/>
      </c>
      <c r="AB372" s="335" t="str">
        <f>IF(X372="","",SUMIFS('Bills &amp; Invoices'!$J$5:$J$32,'Bills &amp; Invoices'!$B$5:$B$32,X372))</f>
        <v/>
      </c>
      <c r="AC372" s="335" t="str">
        <f>IF(X372="","",SUMIFS('Payments &amp; Receipts'!$F$5:$F$58,'Payments &amp; Receipts'!$L$5:$L$58,X372))</f>
        <v/>
      </c>
      <c r="AD372" s="333" t="str">
        <f t="array" ref="AD372">IF(X372="","",INDEX('Bills &amp; Invoices'!$U$5:$U$32,MATCH(X372,'Bills &amp; Invoices'!$B$5:$B$32,0)))</f>
        <v/>
      </c>
    </row>
    <row r="373" ht="14.25" customHeight="1">
      <c r="R37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Clearances'!$A$4:$Q$4)),FALSE)),ROWS(R$5:R373)))&amp;""  –  ""&amp;INDEX('Chemical Clearances'!$D$5:$D$169,MATCH(INDEX('Chemical Clearances'!$B$5:$B$169,LARGE(FILTER((ROW('Chemical Clearances'!$B$5:$B$169)-ROW('"&amp;"Chemical Clearances'!$A$4:$Q$4)),IFERROR((MATCH('Chemical Clearances'!$B$5:$B$169,'Chemical Clearances'!$B$5:$B$169,0)=ROW('Chemical Clearances'!$B$5:$B$169)-ROW('Chemical Clearances'!$A$4:$Q$4)),FALSE)),ROWS(R$5:R373))),'Chemical Clearances'!$B$5:$B$169,"&amp;"0)),"""")), 1, 1)"),"")</f>
        <v/>
      </c>
      <c r="X37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Invoices'!$A$4:$V$4)),FALSE)),ROWS(X$5:X373))),"""")), 1, 1)"),"")</f>
        <v/>
      </c>
      <c r="Y373" s="333" t="str">
        <f t="array" ref="Y373">IF(X373="","",X373&amp;"  –  "&amp;INDEX('Bills &amp; Invoices'!$D$5:$D$32,MATCH(X373,'Bills &amp; Invoices'!$B$5:$B$32,0))&amp;"  –  $"&amp;TEXT(SUMIFS('Bills &amp; Invoices'!$J$5:$J$32,'Bills &amp; Invoices'!$B$5:$B$32,X373),"#,##0"))</f>
        <v/>
      </c>
      <c r="Z373" s="333" t="str">
        <f t="array" ref="Z373">IF(X373="","",INDEX('Bills &amp; Invoices'!$D$5:$D$32,MATCH(X373,'Bills &amp; Invoices'!$B$5:$B$32,0)))</f>
        <v/>
      </c>
      <c r="AA373" s="334" t="str">
        <f t="array" ref="AA373">IF(X373="","",INDEX('Bills &amp; Invoices'!$K$5:$K$32,MATCH(X373,'Bills &amp; Invoices'!$B$5:$B$32,0)))</f>
        <v/>
      </c>
      <c r="AB373" s="335" t="str">
        <f>IF(X373="","",SUMIFS('Bills &amp; Invoices'!$J$5:$J$32,'Bills &amp; Invoices'!$B$5:$B$32,X373))</f>
        <v/>
      </c>
      <c r="AC373" s="335" t="str">
        <f>IF(X373="","",SUMIFS('Payments &amp; Receipts'!$F$5:$F$58,'Payments &amp; Receipts'!$L$5:$L$58,X373))</f>
        <v/>
      </c>
      <c r="AD373" s="333" t="str">
        <f t="array" ref="AD373">IF(X373="","",INDEX('Bills &amp; Invoices'!$U$5:$U$32,MATCH(X373,'Bills &amp; Invoices'!$B$5:$B$32,0)))</f>
        <v/>
      </c>
    </row>
    <row r="374" ht="14.25" customHeight="1">
      <c r="R37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Clearances'!$A$4:$Q$4)),FALSE)),ROWS(R$5:R374)))&amp;""  –  ""&amp;INDEX('Chemical Clearances'!$D$5:$D$169,MATCH(INDEX('Chemical Clearances'!$B$5:$B$169,LARGE(FILTER((ROW('Chemical Clearances'!$B$5:$B$169)-ROW('"&amp;"Chemical Clearances'!$A$4:$Q$4)),IFERROR((MATCH('Chemical Clearances'!$B$5:$B$169,'Chemical Clearances'!$B$5:$B$169,0)=ROW('Chemical Clearances'!$B$5:$B$169)-ROW('Chemical Clearances'!$A$4:$Q$4)),FALSE)),ROWS(R$5:R374))),'Chemical Clearances'!$B$5:$B$169,"&amp;"0)),"""")), 1, 1)"),"")</f>
        <v/>
      </c>
      <c r="X37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Invoices'!$A$4:$V$4)),FALSE)),ROWS(X$5:X374))),"""")), 1, 1)"),"")</f>
        <v/>
      </c>
      <c r="Y374" s="333" t="str">
        <f t="array" ref="Y374">IF(X374="","",X374&amp;"  –  "&amp;INDEX('Bills &amp; Invoices'!$D$5:$D$32,MATCH(X374,'Bills &amp; Invoices'!$B$5:$B$32,0))&amp;"  –  $"&amp;TEXT(SUMIFS('Bills &amp; Invoices'!$J$5:$J$32,'Bills &amp; Invoices'!$B$5:$B$32,X374),"#,##0"))</f>
        <v/>
      </c>
      <c r="Z374" s="333" t="str">
        <f t="array" ref="Z374">IF(X374="","",INDEX('Bills &amp; Invoices'!$D$5:$D$32,MATCH(X374,'Bills &amp; Invoices'!$B$5:$B$32,0)))</f>
        <v/>
      </c>
      <c r="AA374" s="334" t="str">
        <f t="array" ref="AA374">IF(X374="","",INDEX('Bills &amp; Invoices'!$K$5:$K$32,MATCH(X374,'Bills &amp; Invoices'!$B$5:$B$32,0)))</f>
        <v/>
      </c>
      <c r="AB374" s="335" t="str">
        <f>IF(X374="","",SUMIFS('Bills &amp; Invoices'!$J$5:$J$32,'Bills &amp; Invoices'!$B$5:$B$32,X374))</f>
        <v/>
      </c>
      <c r="AC374" s="335" t="str">
        <f>IF(X374="","",SUMIFS('Payments &amp; Receipts'!$F$5:$F$58,'Payments &amp; Receipts'!$L$5:$L$58,X374))</f>
        <v/>
      </c>
      <c r="AD374" s="333" t="str">
        <f t="array" ref="AD374">IF(X374="","",INDEX('Bills &amp; Invoices'!$U$5:$U$32,MATCH(X374,'Bills &amp; Invoices'!$B$5:$B$32,0)))</f>
        <v/>
      </c>
    </row>
    <row r="375" ht="14.25" customHeight="1">
      <c r="R37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Clearances'!$A$4:$Q$4)),FALSE)),ROWS(R$5:R375)))&amp;""  –  ""&amp;INDEX('Chemical Clearances'!$D$5:$D$169,MATCH(INDEX('Chemical Clearances'!$B$5:$B$169,LARGE(FILTER((ROW('Chemical Clearances'!$B$5:$B$169)-ROW('"&amp;"Chemical Clearances'!$A$4:$Q$4)),IFERROR((MATCH('Chemical Clearances'!$B$5:$B$169,'Chemical Clearances'!$B$5:$B$169,0)=ROW('Chemical Clearances'!$B$5:$B$169)-ROW('Chemical Clearances'!$A$4:$Q$4)),FALSE)),ROWS(R$5:R375))),'Chemical Clearances'!$B$5:$B$169,"&amp;"0)),"""")), 1, 1)"),"")</f>
        <v/>
      </c>
      <c r="X37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Invoices'!$A$4:$V$4)),FALSE)),ROWS(X$5:X375))),"""")), 1, 1)"),"")</f>
        <v/>
      </c>
      <c r="Y375" s="333" t="str">
        <f t="array" ref="Y375">IF(X375="","",X375&amp;"  –  "&amp;INDEX('Bills &amp; Invoices'!$D$5:$D$32,MATCH(X375,'Bills &amp; Invoices'!$B$5:$B$32,0))&amp;"  –  $"&amp;TEXT(SUMIFS('Bills &amp; Invoices'!$J$5:$J$32,'Bills &amp; Invoices'!$B$5:$B$32,X375),"#,##0"))</f>
        <v/>
      </c>
      <c r="Z375" s="333" t="str">
        <f t="array" ref="Z375">IF(X375="","",INDEX('Bills &amp; Invoices'!$D$5:$D$32,MATCH(X375,'Bills &amp; Invoices'!$B$5:$B$32,0)))</f>
        <v/>
      </c>
      <c r="AA375" s="334" t="str">
        <f t="array" ref="AA375">IF(X375="","",INDEX('Bills &amp; Invoices'!$K$5:$K$32,MATCH(X375,'Bills &amp; Invoices'!$B$5:$B$32,0)))</f>
        <v/>
      </c>
      <c r="AB375" s="335" t="str">
        <f>IF(X375="","",SUMIFS('Bills &amp; Invoices'!$J$5:$J$32,'Bills &amp; Invoices'!$B$5:$B$32,X375))</f>
        <v/>
      </c>
      <c r="AC375" s="335" t="str">
        <f>IF(X375="","",SUMIFS('Payments &amp; Receipts'!$F$5:$F$58,'Payments &amp; Receipts'!$L$5:$L$58,X375))</f>
        <v/>
      </c>
      <c r="AD375" s="333" t="str">
        <f t="array" ref="AD375">IF(X375="","",INDEX('Bills &amp; Invoices'!$U$5:$U$32,MATCH(X375,'Bills &amp; Invoices'!$B$5:$B$32,0)))</f>
        <v/>
      </c>
    </row>
    <row r="376" ht="14.25" customHeight="1">
      <c r="R37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Clearances'!$A$4:$Q$4)),FALSE)),ROWS(R$5:R376)))&amp;""  –  ""&amp;INDEX('Chemical Clearances'!$D$5:$D$169,MATCH(INDEX('Chemical Clearances'!$B$5:$B$169,LARGE(FILTER((ROW('Chemical Clearances'!$B$5:$B$169)-ROW('"&amp;"Chemical Clearances'!$A$4:$Q$4)),IFERROR((MATCH('Chemical Clearances'!$B$5:$B$169,'Chemical Clearances'!$B$5:$B$169,0)=ROW('Chemical Clearances'!$B$5:$B$169)-ROW('Chemical Clearances'!$A$4:$Q$4)),FALSE)),ROWS(R$5:R376))),'Chemical Clearances'!$B$5:$B$169,"&amp;"0)),"""")), 1, 1)"),"")</f>
        <v/>
      </c>
      <c r="X37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Invoices'!$A$4:$V$4)),FALSE)),ROWS(X$5:X376))),"""")), 1, 1)"),"")</f>
        <v/>
      </c>
      <c r="Y376" s="333" t="str">
        <f t="array" ref="Y376">IF(X376="","",X376&amp;"  –  "&amp;INDEX('Bills &amp; Invoices'!$D$5:$D$32,MATCH(X376,'Bills &amp; Invoices'!$B$5:$B$32,0))&amp;"  –  $"&amp;TEXT(SUMIFS('Bills &amp; Invoices'!$J$5:$J$32,'Bills &amp; Invoices'!$B$5:$B$32,X376),"#,##0"))</f>
        <v/>
      </c>
      <c r="Z376" s="333" t="str">
        <f t="array" ref="Z376">IF(X376="","",INDEX('Bills &amp; Invoices'!$D$5:$D$32,MATCH(X376,'Bills &amp; Invoices'!$B$5:$B$32,0)))</f>
        <v/>
      </c>
      <c r="AA376" s="334" t="str">
        <f t="array" ref="AA376">IF(X376="","",INDEX('Bills &amp; Invoices'!$K$5:$K$32,MATCH(X376,'Bills &amp; Invoices'!$B$5:$B$32,0)))</f>
        <v/>
      </c>
      <c r="AB376" s="335" t="str">
        <f>IF(X376="","",SUMIFS('Bills &amp; Invoices'!$J$5:$J$32,'Bills &amp; Invoices'!$B$5:$B$32,X376))</f>
        <v/>
      </c>
      <c r="AC376" s="335" t="str">
        <f>IF(X376="","",SUMIFS('Payments &amp; Receipts'!$F$5:$F$58,'Payments &amp; Receipts'!$L$5:$L$58,X376))</f>
        <v/>
      </c>
      <c r="AD376" s="333" t="str">
        <f t="array" ref="AD376">IF(X376="","",INDEX('Bills &amp; Invoices'!$U$5:$U$32,MATCH(X376,'Bills &amp; Invoices'!$B$5:$B$32,0)))</f>
        <v/>
      </c>
    </row>
    <row r="377" ht="14.25" customHeight="1">
      <c r="R37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Clearances'!$A$4:$Q$4)),FALSE)),ROWS(R$5:R377)))&amp;""  –  ""&amp;INDEX('Chemical Clearances'!$D$5:$D$169,MATCH(INDEX('Chemical Clearances'!$B$5:$B$169,LARGE(FILTER((ROW('Chemical Clearances'!$B$5:$B$169)-ROW('"&amp;"Chemical Clearances'!$A$4:$Q$4)),IFERROR((MATCH('Chemical Clearances'!$B$5:$B$169,'Chemical Clearances'!$B$5:$B$169,0)=ROW('Chemical Clearances'!$B$5:$B$169)-ROW('Chemical Clearances'!$A$4:$Q$4)),FALSE)),ROWS(R$5:R377))),'Chemical Clearances'!$B$5:$B$169,"&amp;"0)),"""")), 1, 1)"),"")</f>
        <v/>
      </c>
      <c r="X37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Invoices'!$A$4:$V$4)),FALSE)),ROWS(X$5:X377))),"""")), 1, 1)"),"")</f>
        <v/>
      </c>
      <c r="Y377" s="333" t="str">
        <f t="array" ref="Y377">IF(X377="","",X377&amp;"  –  "&amp;INDEX('Bills &amp; Invoices'!$D$5:$D$32,MATCH(X377,'Bills &amp; Invoices'!$B$5:$B$32,0))&amp;"  –  $"&amp;TEXT(SUMIFS('Bills &amp; Invoices'!$J$5:$J$32,'Bills &amp; Invoices'!$B$5:$B$32,X377),"#,##0"))</f>
        <v/>
      </c>
      <c r="Z377" s="333" t="str">
        <f t="array" ref="Z377">IF(X377="","",INDEX('Bills &amp; Invoices'!$D$5:$D$32,MATCH(X377,'Bills &amp; Invoices'!$B$5:$B$32,0)))</f>
        <v/>
      </c>
      <c r="AA377" s="334" t="str">
        <f t="array" ref="AA377">IF(X377="","",INDEX('Bills &amp; Invoices'!$K$5:$K$32,MATCH(X377,'Bills &amp; Invoices'!$B$5:$B$32,0)))</f>
        <v/>
      </c>
      <c r="AB377" s="335" t="str">
        <f>IF(X377="","",SUMIFS('Bills &amp; Invoices'!$J$5:$J$32,'Bills &amp; Invoices'!$B$5:$B$32,X377))</f>
        <v/>
      </c>
      <c r="AC377" s="335" t="str">
        <f>IF(X377="","",SUMIFS('Payments &amp; Receipts'!$F$5:$F$58,'Payments &amp; Receipts'!$L$5:$L$58,X377))</f>
        <v/>
      </c>
      <c r="AD377" s="333" t="str">
        <f t="array" ref="AD377">IF(X377="","",INDEX('Bills &amp; Invoices'!$U$5:$U$32,MATCH(X377,'Bills &amp; Invoices'!$B$5:$B$32,0)))</f>
        <v/>
      </c>
    </row>
    <row r="378" ht="14.25" customHeight="1">
      <c r="R37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Clearances'!$A$4:$Q$4)),FALSE)),ROWS(R$5:R378)))&amp;""  –  ""&amp;INDEX('Chemical Clearances'!$D$5:$D$169,MATCH(INDEX('Chemical Clearances'!$B$5:$B$169,LARGE(FILTER((ROW('Chemical Clearances'!$B$5:$B$169)-ROW('"&amp;"Chemical Clearances'!$A$4:$Q$4)),IFERROR((MATCH('Chemical Clearances'!$B$5:$B$169,'Chemical Clearances'!$B$5:$B$169,0)=ROW('Chemical Clearances'!$B$5:$B$169)-ROW('Chemical Clearances'!$A$4:$Q$4)),FALSE)),ROWS(R$5:R378))),'Chemical Clearances'!$B$5:$B$169,"&amp;"0)),"""")), 1, 1)"),"")</f>
        <v/>
      </c>
      <c r="X37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Invoices'!$A$4:$V$4)),FALSE)),ROWS(X$5:X378))),"""")), 1, 1)"),"")</f>
        <v/>
      </c>
      <c r="Y378" s="333" t="str">
        <f t="array" ref="Y378">IF(X378="","",X378&amp;"  –  "&amp;INDEX('Bills &amp; Invoices'!$D$5:$D$32,MATCH(X378,'Bills &amp; Invoices'!$B$5:$B$32,0))&amp;"  –  $"&amp;TEXT(SUMIFS('Bills &amp; Invoices'!$J$5:$J$32,'Bills &amp; Invoices'!$B$5:$B$32,X378),"#,##0"))</f>
        <v/>
      </c>
      <c r="Z378" s="333" t="str">
        <f t="array" ref="Z378">IF(X378="","",INDEX('Bills &amp; Invoices'!$D$5:$D$32,MATCH(X378,'Bills &amp; Invoices'!$B$5:$B$32,0)))</f>
        <v/>
      </c>
      <c r="AA378" s="334" t="str">
        <f t="array" ref="AA378">IF(X378="","",INDEX('Bills &amp; Invoices'!$K$5:$K$32,MATCH(X378,'Bills &amp; Invoices'!$B$5:$B$32,0)))</f>
        <v/>
      </c>
      <c r="AB378" s="335" t="str">
        <f>IF(X378="","",SUMIFS('Bills &amp; Invoices'!$J$5:$J$32,'Bills &amp; Invoices'!$B$5:$B$32,X378))</f>
        <v/>
      </c>
      <c r="AC378" s="335" t="str">
        <f>IF(X378="","",SUMIFS('Payments &amp; Receipts'!$F$5:$F$58,'Payments &amp; Receipts'!$L$5:$L$58,X378))</f>
        <v/>
      </c>
      <c r="AD378" s="333" t="str">
        <f t="array" ref="AD378">IF(X378="","",INDEX('Bills &amp; Invoices'!$U$5:$U$32,MATCH(X378,'Bills &amp; Invoices'!$B$5:$B$32,0)))</f>
        <v/>
      </c>
    </row>
    <row r="379" ht="14.25" customHeight="1">
      <c r="R37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Clearances'!$A$4:$Q$4)),FALSE)),ROWS(R$5:R379)))&amp;""  –  ""&amp;INDEX('Chemical Clearances'!$D$5:$D$169,MATCH(INDEX('Chemical Clearances'!$B$5:$B$169,LARGE(FILTER((ROW('Chemical Clearances'!$B$5:$B$169)-ROW('"&amp;"Chemical Clearances'!$A$4:$Q$4)),IFERROR((MATCH('Chemical Clearances'!$B$5:$B$169,'Chemical Clearances'!$B$5:$B$169,0)=ROW('Chemical Clearances'!$B$5:$B$169)-ROW('Chemical Clearances'!$A$4:$Q$4)),FALSE)),ROWS(R$5:R379))),'Chemical Clearances'!$B$5:$B$169,"&amp;"0)),"""")), 1, 1)"),"")</f>
        <v/>
      </c>
      <c r="X37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Invoices'!$A$4:$V$4)),FALSE)),ROWS(X$5:X379))),"""")), 1, 1)"),"")</f>
        <v/>
      </c>
      <c r="Y379" s="333" t="str">
        <f t="array" ref="Y379">IF(X379="","",X379&amp;"  –  "&amp;INDEX('Bills &amp; Invoices'!$D$5:$D$32,MATCH(X379,'Bills &amp; Invoices'!$B$5:$B$32,0))&amp;"  –  $"&amp;TEXT(SUMIFS('Bills &amp; Invoices'!$J$5:$J$32,'Bills &amp; Invoices'!$B$5:$B$32,X379),"#,##0"))</f>
        <v/>
      </c>
      <c r="Z379" s="333" t="str">
        <f t="array" ref="Z379">IF(X379="","",INDEX('Bills &amp; Invoices'!$D$5:$D$32,MATCH(X379,'Bills &amp; Invoices'!$B$5:$B$32,0)))</f>
        <v/>
      </c>
      <c r="AA379" s="334" t="str">
        <f t="array" ref="AA379">IF(X379="","",INDEX('Bills &amp; Invoices'!$K$5:$K$32,MATCH(X379,'Bills &amp; Invoices'!$B$5:$B$32,0)))</f>
        <v/>
      </c>
      <c r="AB379" s="335" t="str">
        <f>IF(X379="","",SUMIFS('Bills &amp; Invoices'!$J$5:$J$32,'Bills &amp; Invoices'!$B$5:$B$32,X379))</f>
        <v/>
      </c>
      <c r="AC379" s="335" t="str">
        <f>IF(X379="","",SUMIFS('Payments &amp; Receipts'!$F$5:$F$58,'Payments &amp; Receipts'!$L$5:$L$58,X379))</f>
        <v/>
      </c>
      <c r="AD379" s="333" t="str">
        <f t="array" ref="AD379">IF(X379="","",INDEX('Bills &amp; Invoices'!$U$5:$U$32,MATCH(X379,'Bills &amp; Invoices'!$B$5:$B$32,0)))</f>
        <v/>
      </c>
    </row>
    <row r="380" ht="14.25" customHeight="1">
      <c r="R38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Clearances'!$A$4:$Q$4)),FALSE)),ROWS(R$5:R380)))&amp;""  –  ""&amp;INDEX('Chemical Clearances'!$D$5:$D$169,MATCH(INDEX('Chemical Clearances'!$B$5:$B$169,LARGE(FILTER((ROW('Chemical Clearances'!$B$5:$B$169)-ROW('"&amp;"Chemical Clearances'!$A$4:$Q$4)),IFERROR((MATCH('Chemical Clearances'!$B$5:$B$169,'Chemical Clearances'!$B$5:$B$169,0)=ROW('Chemical Clearances'!$B$5:$B$169)-ROW('Chemical Clearances'!$A$4:$Q$4)),FALSE)),ROWS(R$5:R380))),'Chemical Clearances'!$B$5:$B$169,"&amp;"0)),"""")), 1, 1)"),"")</f>
        <v/>
      </c>
      <c r="X38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Invoices'!$A$4:$V$4)),FALSE)),ROWS(X$5:X380))),"""")), 1, 1)"),"")</f>
        <v/>
      </c>
      <c r="Y380" s="333" t="str">
        <f t="array" ref="Y380">IF(X380="","",X380&amp;"  –  "&amp;INDEX('Bills &amp; Invoices'!$D$5:$D$32,MATCH(X380,'Bills &amp; Invoices'!$B$5:$B$32,0))&amp;"  –  $"&amp;TEXT(SUMIFS('Bills &amp; Invoices'!$J$5:$J$32,'Bills &amp; Invoices'!$B$5:$B$32,X380),"#,##0"))</f>
        <v/>
      </c>
      <c r="Z380" s="333" t="str">
        <f t="array" ref="Z380">IF(X380="","",INDEX('Bills &amp; Invoices'!$D$5:$D$32,MATCH(X380,'Bills &amp; Invoices'!$B$5:$B$32,0)))</f>
        <v/>
      </c>
      <c r="AA380" s="334" t="str">
        <f t="array" ref="AA380">IF(X380="","",INDEX('Bills &amp; Invoices'!$K$5:$K$32,MATCH(X380,'Bills &amp; Invoices'!$B$5:$B$32,0)))</f>
        <v/>
      </c>
      <c r="AB380" s="335" t="str">
        <f>IF(X380="","",SUMIFS('Bills &amp; Invoices'!$J$5:$J$32,'Bills &amp; Invoices'!$B$5:$B$32,X380))</f>
        <v/>
      </c>
      <c r="AC380" s="335" t="str">
        <f>IF(X380="","",SUMIFS('Payments &amp; Receipts'!$F$5:$F$58,'Payments &amp; Receipts'!$L$5:$L$58,X380))</f>
        <v/>
      </c>
      <c r="AD380" s="333" t="str">
        <f t="array" ref="AD380">IF(X380="","",INDEX('Bills &amp; Invoices'!$U$5:$U$32,MATCH(X380,'Bills &amp; Invoices'!$B$5:$B$32,0)))</f>
        <v/>
      </c>
    </row>
    <row r="381" ht="14.25" customHeight="1">
      <c r="R38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Clearances'!$A$4:$Q$4)),FALSE)),ROWS(R$5:R381)))&amp;""  –  ""&amp;INDEX('Chemical Clearances'!$D$5:$D$169,MATCH(INDEX('Chemical Clearances'!$B$5:$B$169,LARGE(FILTER((ROW('Chemical Clearances'!$B$5:$B$169)-ROW('"&amp;"Chemical Clearances'!$A$4:$Q$4)),IFERROR((MATCH('Chemical Clearances'!$B$5:$B$169,'Chemical Clearances'!$B$5:$B$169,0)=ROW('Chemical Clearances'!$B$5:$B$169)-ROW('Chemical Clearances'!$A$4:$Q$4)),FALSE)),ROWS(R$5:R381))),'Chemical Clearances'!$B$5:$B$169,"&amp;"0)),"""")), 1, 1)"),"")</f>
        <v/>
      </c>
      <c r="X38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Invoices'!$A$4:$V$4)),FALSE)),ROWS(X$5:X381))),"""")), 1, 1)"),"")</f>
        <v/>
      </c>
      <c r="Y381" s="333" t="str">
        <f t="array" ref="Y381">IF(X381="","",X381&amp;"  –  "&amp;INDEX('Bills &amp; Invoices'!$D$5:$D$32,MATCH(X381,'Bills &amp; Invoices'!$B$5:$B$32,0))&amp;"  –  $"&amp;TEXT(SUMIFS('Bills &amp; Invoices'!$J$5:$J$32,'Bills &amp; Invoices'!$B$5:$B$32,X381),"#,##0"))</f>
        <v/>
      </c>
      <c r="Z381" s="333" t="str">
        <f t="array" ref="Z381">IF(X381="","",INDEX('Bills &amp; Invoices'!$D$5:$D$32,MATCH(X381,'Bills &amp; Invoices'!$B$5:$B$32,0)))</f>
        <v/>
      </c>
      <c r="AA381" s="334" t="str">
        <f t="array" ref="AA381">IF(X381="","",INDEX('Bills &amp; Invoices'!$K$5:$K$32,MATCH(X381,'Bills &amp; Invoices'!$B$5:$B$32,0)))</f>
        <v/>
      </c>
      <c r="AB381" s="335" t="str">
        <f>IF(X381="","",SUMIFS('Bills &amp; Invoices'!$J$5:$J$32,'Bills &amp; Invoices'!$B$5:$B$32,X381))</f>
        <v/>
      </c>
      <c r="AC381" s="335" t="str">
        <f>IF(X381="","",SUMIFS('Payments &amp; Receipts'!$F$5:$F$58,'Payments &amp; Receipts'!$L$5:$L$58,X381))</f>
        <v/>
      </c>
      <c r="AD381" s="333" t="str">
        <f t="array" ref="AD381">IF(X381="","",INDEX('Bills &amp; Invoices'!$U$5:$U$32,MATCH(X381,'Bills &amp; Invoices'!$B$5:$B$32,0)))</f>
        <v/>
      </c>
    </row>
    <row r="382" ht="14.25" customHeight="1">
      <c r="R38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Clearances'!$A$4:$Q$4)),FALSE)),ROWS(R$5:R382)))&amp;""  –  ""&amp;INDEX('Chemical Clearances'!$D$5:$D$169,MATCH(INDEX('Chemical Clearances'!$B$5:$B$169,LARGE(FILTER((ROW('Chemical Clearances'!$B$5:$B$169)-ROW('"&amp;"Chemical Clearances'!$A$4:$Q$4)),IFERROR((MATCH('Chemical Clearances'!$B$5:$B$169,'Chemical Clearances'!$B$5:$B$169,0)=ROW('Chemical Clearances'!$B$5:$B$169)-ROW('Chemical Clearances'!$A$4:$Q$4)),FALSE)),ROWS(R$5:R382))),'Chemical Clearances'!$B$5:$B$169,"&amp;"0)),"""")), 1, 1)"),"")</f>
        <v/>
      </c>
      <c r="X38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Invoices'!$A$4:$V$4)),FALSE)),ROWS(X$5:X382))),"""")), 1, 1)"),"")</f>
        <v/>
      </c>
      <c r="Y382" s="333" t="str">
        <f t="array" ref="Y382">IF(X382="","",X382&amp;"  –  "&amp;INDEX('Bills &amp; Invoices'!$D$5:$D$32,MATCH(X382,'Bills &amp; Invoices'!$B$5:$B$32,0))&amp;"  –  $"&amp;TEXT(SUMIFS('Bills &amp; Invoices'!$J$5:$J$32,'Bills &amp; Invoices'!$B$5:$B$32,X382),"#,##0"))</f>
        <v/>
      </c>
      <c r="Z382" s="333" t="str">
        <f t="array" ref="Z382">IF(X382="","",INDEX('Bills &amp; Invoices'!$D$5:$D$32,MATCH(X382,'Bills &amp; Invoices'!$B$5:$B$32,0)))</f>
        <v/>
      </c>
      <c r="AA382" s="334" t="str">
        <f t="array" ref="AA382">IF(X382="","",INDEX('Bills &amp; Invoices'!$K$5:$K$32,MATCH(X382,'Bills &amp; Invoices'!$B$5:$B$32,0)))</f>
        <v/>
      </c>
      <c r="AB382" s="335" t="str">
        <f>IF(X382="","",SUMIFS('Bills &amp; Invoices'!$J$5:$J$32,'Bills &amp; Invoices'!$B$5:$B$32,X382))</f>
        <v/>
      </c>
      <c r="AC382" s="335" t="str">
        <f>IF(X382="","",SUMIFS('Payments &amp; Receipts'!$F$5:$F$58,'Payments &amp; Receipts'!$L$5:$L$58,X382))</f>
        <v/>
      </c>
      <c r="AD382" s="333" t="str">
        <f t="array" ref="AD382">IF(X382="","",INDEX('Bills &amp; Invoices'!$U$5:$U$32,MATCH(X382,'Bills &amp; Invoices'!$B$5:$B$32,0)))</f>
        <v/>
      </c>
    </row>
    <row r="383" ht="14.25" customHeight="1">
      <c r="R38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Clearances'!$A$4:$Q$4)),FALSE)),ROWS(R$5:R383)))&amp;""  –  ""&amp;INDEX('Chemical Clearances'!$D$5:$D$169,MATCH(INDEX('Chemical Clearances'!$B$5:$B$169,LARGE(FILTER((ROW('Chemical Clearances'!$B$5:$B$169)-ROW('"&amp;"Chemical Clearances'!$A$4:$Q$4)),IFERROR((MATCH('Chemical Clearances'!$B$5:$B$169,'Chemical Clearances'!$B$5:$B$169,0)=ROW('Chemical Clearances'!$B$5:$B$169)-ROW('Chemical Clearances'!$A$4:$Q$4)),FALSE)),ROWS(R$5:R383))),'Chemical Clearances'!$B$5:$B$169,"&amp;"0)),"""")), 1, 1)"),"")</f>
        <v/>
      </c>
      <c r="X38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Invoices'!$A$4:$V$4)),FALSE)),ROWS(X$5:X383))),"""")), 1, 1)"),"")</f>
        <v/>
      </c>
      <c r="Y383" s="333" t="str">
        <f t="array" ref="Y383">IF(X383="","",X383&amp;"  –  "&amp;INDEX('Bills &amp; Invoices'!$D$5:$D$32,MATCH(X383,'Bills &amp; Invoices'!$B$5:$B$32,0))&amp;"  –  $"&amp;TEXT(SUMIFS('Bills &amp; Invoices'!$J$5:$J$32,'Bills &amp; Invoices'!$B$5:$B$32,X383),"#,##0"))</f>
        <v/>
      </c>
      <c r="Z383" s="333" t="str">
        <f t="array" ref="Z383">IF(X383="","",INDEX('Bills &amp; Invoices'!$D$5:$D$32,MATCH(X383,'Bills &amp; Invoices'!$B$5:$B$32,0)))</f>
        <v/>
      </c>
      <c r="AA383" s="334" t="str">
        <f t="array" ref="AA383">IF(X383="","",INDEX('Bills &amp; Invoices'!$K$5:$K$32,MATCH(X383,'Bills &amp; Invoices'!$B$5:$B$32,0)))</f>
        <v/>
      </c>
      <c r="AB383" s="335" t="str">
        <f>IF(X383="","",SUMIFS('Bills &amp; Invoices'!$J$5:$J$32,'Bills &amp; Invoices'!$B$5:$B$32,X383))</f>
        <v/>
      </c>
      <c r="AC383" s="335" t="str">
        <f>IF(X383="","",SUMIFS('Payments &amp; Receipts'!$F$5:$F$58,'Payments &amp; Receipts'!$L$5:$L$58,X383))</f>
        <v/>
      </c>
      <c r="AD383" s="333" t="str">
        <f t="array" ref="AD383">IF(X383="","",INDEX('Bills &amp; Invoices'!$U$5:$U$32,MATCH(X383,'Bills &amp; Invoices'!$B$5:$B$32,0)))</f>
        <v/>
      </c>
    </row>
    <row r="384" ht="14.25" customHeight="1">
      <c r="R38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Clearances'!$A$4:$Q$4)),FALSE)),ROWS(R$5:R384)))&amp;""  –  ""&amp;INDEX('Chemical Clearances'!$D$5:$D$169,MATCH(INDEX('Chemical Clearances'!$B$5:$B$169,LARGE(FILTER((ROW('Chemical Clearances'!$B$5:$B$169)-ROW('"&amp;"Chemical Clearances'!$A$4:$Q$4)),IFERROR((MATCH('Chemical Clearances'!$B$5:$B$169,'Chemical Clearances'!$B$5:$B$169,0)=ROW('Chemical Clearances'!$B$5:$B$169)-ROW('Chemical Clearances'!$A$4:$Q$4)),FALSE)),ROWS(R$5:R384))),'Chemical Clearances'!$B$5:$B$169,"&amp;"0)),"""")), 1, 1)"),"")</f>
        <v/>
      </c>
      <c r="X38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Invoices'!$A$4:$V$4)),FALSE)),ROWS(X$5:X384))),"""")), 1, 1)"),"")</f>
        <v/>
      </c>
      <c r="Y384" s="333" t="str">
        <f t="array" ref="Y384">IF(X384="","",X384&amp;"  –  "&amp;INDEX('Bills &amp; Invoices'!$D$5:$D$32,MATCH(X384,'Bills &amp; Invoices'!$B$5:$B$32,0))&amp;"  –  $"&amp;TEXT(SUMIFS('Bills &amp; Invoices'!$J$5:$J$32,'Bills &amp; Invoices'!$B$5:$B$32,X384),"#,##0"))</f>
        <v/>
      </c>
      <c r="Z384" s="333" t="str">
        <f t="array" ref="Z384">IF(X384="","",INDEX('Bills &amp; Invoices'!$D$5:$D$32,MATCH(X384,'Bills &amp; Invoices'!$B$5:$B$32,0)))</f>
        <v/>
      </c>
      <c r="AA384" s="334" t="str">
        <f t="array" ref="AA384">IF(X384="","",INDEX('Bills &amp; Invoices'!$K$5:$K$32,MATCH(X384,'Bills &amp; Invoices'!$B$5:$B$32,0)))</f>
        <v/>
      </c>
      <c r="AB384" s="335" t="str">
        <f>IF(X384="","",SUMIFS('Bills &amp; Invoices'!$J$5:$J$32,'Bills &amp; Invoices'!$B$5:$B$32,X384))</f>
        <v/>
      </c>
      <c r="AC384" s="335" t="str">
        <f>IF(X384="","",SUMIFS('Payments &amp; Receipts'!$F$5:$F$58,'Payments &amp; Receipts'!$L$5:$L$58,X384))</f>
        <v/>
      </c>
      <c r="AD384" s="333" t="str">
        <f t="array" ref="AD384">IF(X384="","",INDEX('Bills &amp; Invoices'!$U$5:$U$32,MATCH(X384,'Bills &amp; Invoices'!$B$5:$B$32,0)))</f>
        <v/>
      </c>
    </row>
    <row r="385" ht="14.25" customHeight="1">
      <c r="R38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Clearances'!$A$4:$Q$4)),FALSE)),ROWS(R$5:R385)))&amp;""  –  ""&amp;INDEX('Chemical Clearances'!$D$5:$D$169,MATCH(INDEX('Chemical Clearances'!$B$5:$B$169,LARGE(FILTER((ROW('Chemical Clearances'!$B$5:$B$169)-ROW('"&amp;"Chemical Clearances'!$A$4:$Q$4)),IFERROR((MATCH('Chemical Clearances'!$B$5:$B$169,'Chemical Clearances'!$B$5:$B$169,0)=ROW('Chemical Clearances'!$B$5:$B$169)-ROW('Chemical Clearances'!$A$4:$Q$4)),FALSE)),ROWS(R$5:R385))),'Chemical Clearances'!$B$5:$B$169,"&amp;"0)),"""")), 1, 1)"),"")</f>
        <v/>
      </c>
      <c r="X38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Invoices'!$A$4:$V$4)),FALSE)),ROWS(X$5:X385))),"""")), 1, 1)"),"")</f>
        <v/>
      </c>
      <c r="Y385" s="333" t="str">
        <f t="array" ref="Y385">IF(X385="","",X385&amp;"  –  "&amp;INDEX('Bills &amp; Invoices'!$D$5:$D$32,MATCH(X385,'Bills &amp; Invoices'!$B$5:$B$32,0))&amp;"  –  $"&amp;TEXT(SUMIFS('Bills &amp; Invoices'!$J$5:$J$32,'Bills &amp; Invoices'!$B$5:$B$32,X385),"#,##0"))</f>
        <v/>
      </c>
      <c r="Z385" s="333" t="str">
        <f t="array" ref="Z385">IF(X385="","",INDEX('Bills &amp; Invoices'!$D$5:$D$32,MATCH(X385,'Bills &amp; Invoices'!$B$5:$B$32,0)))</f>
        <v/>
      </c>
      <c r="AA385" s="334" t="str">
        <f t="array" ref="AA385">IF(X385="","",INDEX('Bills &amp; Invoices'!$K$5:$K$32,MATCH(X385,'Bills &amp; Invoices'!$B$5:$B$32,0)))</f>
        <v/>
      </c>
      <c r="AB385" s="335" t="str">
        <f>IF(X385="","",SUMIFS('Bills &amp; Invoices'!$J$5:$J$32,'Bills &amp; Invoices'!$B$5:$B$32,X385))</f>
        <v/>
      </c>
      <c r="AC385" s="335" t="str">
        <f>IF(X385="","",SUMIFS('Payments &amp; Receipts'!$F$5:$F$58,'Payments &amp; Receipts'!$L$5:$L$58,X385))</f>
        <v/>
      </c>
      <c r="AD385" s="333" t="str">
        <f t="array" ref="AD385">IF(X385="","",INDEX('Bills &amp; Invoices'!$U$5:$U$32,MATCH(X385,'Bills &amp; Invoices'!$B$5:$B$32,0)))</f>
        <v/>
      </c>
    </row>
    <row r="386" ht="14.25" customHeight="1">
      <c r="R38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Clearances'!$A$4:$Q$4)),FALSE)),ROWS(R$5:R386)))&amp;""  –  ""&amp;INDEX('Chemical Clearances'!$D$5:$D$169,MATCH(INDEX('Chemical Clearances'!$B$5:$B$169,LARGE(FILTER((ROW('Chemical Clearances'!$B$5:$B$169)-ROW('"&amp;"Chemical Clearances'!$A$4:$Q$4)),IFERROR((MATCH('Chemical Clearances'!$B$5:$B$169,'Chemical Clearances'!$B$5:$B$169,0)=ROW('Chemical Clearances'!$B$5:$B$169)-ROW('Chemical Clearances'!$A$4:$Q$4)),FALSE)),ROWS(R$5:R386))),'Chemical Clearances'!$B$5:$B$169,"&amp;"0)),"""")), 1, 1)"),"")</f>
        <v/>
      </c>
      <c r="X38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Invoices'!$A$4:$V$4)),FALSE)),ROWS(X$5:X386))),"""")), 1, 1)"),"")</f>
        <v/>
      </c>
      <c r="Y386" s="333" t="str">
        <f t="array" ref="Y386">IF(X386="","",X386&amp;"  –  "&amp;INDEX('Bills &amp; Invoices'!$D$5:$D$32,MATCH(X386,'Bills &amp; Invoices'!$B$5:$B$32,0))&amp;"  –  $"&amp;TEXT(SUMIFS('Bills &amp; Invoices'!$J$5:$J$32,'Bills &amp; Invoices'!$B$5:$B$32,X386),"#,##0"))</f>
        <v/>
      </c>
      <c r="Z386" s="333" t="str">
        <f t="array" ref="Z386">IF(X386="","",INDEX('Bills &amp; Invoices'!$D$5:$D$32,MATCH(X386,'Bills &amp; Invoices'!$B$5:$B$32,0)))</f>
        <v/>
      </c>
      <c r="AA386" s="334" t="str">
        <f t="array" ref="AA386">IF(X386="","",INDEX('Bills &amp; Invoices'!$K$5:$K$32,MATCH(X386,'Bills &amp; Invoices'!$B$5:$B$32,0)))</f>
        <v/>
      </c>
      <c r="AB386" s="335" t="str">
        <f>IF(X386="","",SUMIFS('Bills &amp; Invoices'!$J$5:$J$32,'Bills &amp; Invoices'!$B$5:$B$32,X386))</f>
        <v/>
      </c>
      <c r="AC386" s="335" t="str">
        <f>IF(X386="","",SUMIFS('Payments &amp; Receipts'!$F$5:$F$58,'Payments &amp; Receipts'!$L$5:$L$58,X386))</f>
        <v/>
      </c>
      <c r="AD386" s="333" t="str">
        <f t="array" ref="AD386">IF(X386="","",INDEX('Bills &amp; Invoices'!$U$5:$U$32,MATCH(X386,'Bills &amp; Invoices'!$B$5:$B$32,0)))</f>
        <v/>
      </c>
    </row>
    <row r="387" ht="14.25" customHeight="1">
      <c r="R38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Clearances'!$A$4:$Q$4)),FALSE)),ROWS(R$5:R387)))&amp;""  –  ""&amp;INDEX('Chemical Clearances'!$D$5:$D$169,MATCH(INDEX('Chemical Clearances'!$B$5:$B$169,LARGE(FILTER((ROW('Chemical Clearances'!$B$5:$B$169)-ROW('"&amp;"Chemical Clearances'!$A$4:$Q$4)),IFERROR((MATCH('Chemical Clearances'!$B$5:$B$169,'Chemical Clearances'!$B$5:$B$169,0)=ROW('Chemical Clearances'!$B$5:$B$169)-ROW('Chemical Clearances'!$A$4:$Q$4)),FALSE)),ROWS(R$5:R387))),'Chemical Clearances'!$B$5:$B$169,"&amp;"0)),"""")), 1, 1)"),"")</f>
        <v/>
      </c>
      <c r="X38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Invoices'!$A$4:$V$4)),FALSE)),ROWS(X$5:X387))),"""")), 1, 1)"),"")</f>
        <v/>
      </c>
      <c r="Y387" s="333" t="str">
        <f t="array" ref="Y387">IF(X387="","",X387&amp;"  –  "&amp;INDEX('Bills &amp; Invoices'!$D$5:$D$32,MATCH(X387,'Bills &amp; Invoices'!$B$5:$B$32,0))&amp;"  –  $"&amp;TEXT(SUMIFS('Bills &amp; Invoices'!$J$5:$J$32,'Bills &amp; Invoices'!$B$5:$B$32,X387),"#,##0"))</f>
        <v/>
      </c>
      <c r="Z387" s="333" t="str">
        <f t="array" ref="Z387">IF(X387="","",INDEX('Bills &amp; Invoices'!$D$5:$D$32,MATCH(X387,'Bills &amp; Invoices'!$B$5:$B$32,0)))</f>
        <v/>
      </c>
      <c r="AA387" s="334" t="str">
        <f t="array" ref="AA387">IF(X387="","",INDEX('Bills &amp; Invoices'!$K$5:$K$32,MATCH(X387,'Bills &amp; Invoices'!$B$5:$B$32,0)))</f>
        <v/>
      </c>
      <c r="AB387" s="335" t="str">
        <f>IF(X387="","",SUMIFS('Bills &amp; Invoices'!$J$5:$J$32,'Bills &amp; Invoices'!$B$5:$B$32,X387))</f>
        <v/>
      </c>
      <c r="AC387" s="335" t="str">
        <f>IF(X387="","",SUMIFS('Payments &amp; Receipts'!$F$5:$F$58,'Payments &amp; Receipts'!$L$5:$L$58,X387))</f>
        <v/>
      </c>
      <c r="AD387" s="333" t="str">
        <f t="array" ref="AD387">IF(X387="","",INDEX('Bills &amp; Invoices'!$U$5:$U$32,MATCH(X387,'Bills &amp; Invoices'!$B$5:$B$32,0)))</f>
        <v/>
      </c>
    </row>
    <row r="388" ht="14.25" customHeight="1">
      <c r="R38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Clearances'!$A$4:$Q$4)),FALSE)),ROWS(R$5:R388)))&amp;""  –  ""&amp;INDEX('Chemical Clearances'!$D$5:$D$169,MATCH(INDEX('Chemical Clearances'!$B$5:$B$169,LARGE(FILTER((ROW('Chemical Clearances'!$B$5:$B$169)-ROW('"&amp;"Chemical Clearances'!$A$4:$Q$4)),IFERROR((MATCH('Chemical Clearances'!$B$5:$B$169,'Chemical Clearances'!$B$5:$B$169,0)=ROW('Chemical Clearances'!$B$5:$B$169)-ROW('Chemical Clearances'!$A$4:$Q$4)),FALSE)),ROWS(R$5:R388))),'Chemical Clearances'!$B$5:$B$169,"&amp;"0)),"""")), 1, 1)"),"")</f>
        <v/>
      </c>
      <c r="X38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Invoices'!$A$4:$V$4)),FALSE)),ROWS(X$5:X388))),"""")), 1, 1)"),"")</f>
        <v/>
      </c>
      <c r="Y388" s="333" t="str">
        <f t="array" ref="Y388">IF(X388="","",X388&amp;"  –  "&amp;INDEX('Bills &amp; Invoices'!$D$5:$D$32,MATCH(X388,'Bills &amp; Invoices'!$B$5:$B$32,0))&amp;"  –  $"&amp;TEXT(SUMIFS('Bills &amp; Invoices'!$J$5:$J$32,'Bills &amp; Invoices'!$B$5:$B$32,X388),"#,##0"))</f>
        <v/>
      </c>
      <c r="Z388" s="333" t="str">
        <f t="array" ref="Z388">IF(X388="","",INDEX('Bills &amp; Invoices'!$D$5:$D$32,MATCH(X388,'Bills &amp; Invoices'!$B$5:$B$32,0)))</f>
        <v/>
      </c>
      <c r="AA388" s="334" t="str">
        <f t="array" ref="AA388">IF(X388="","",INDEX('Bills &amp; Invoices'!$K$5:$K$32,MATCH(X388,'Bills &amp; Invoices'!$B$5:$B$32,0)))</f>
        <v/>
      </c>
      <c r="AB388" s="335" t="str">
        <f>IF(X388="","",SUMIFS('Bills &amp; Invoices'!$J$5:$J$32,'Bills &amp; Invoices'!$B$5:$B$32,X388))</f>
        <v/>
      </c>
      <c r="AC388" s="335" t="str">
        <f>IF(X388="","",SUMIFS('Payments &amp; Receipts'!$F$5:$F$58,'Payments &amp; Receipts'!$L$5:$L$58,X388))</f>
        <v/>
      </c>
      <c r="AD388" s="333" t="str">
        <f t="array" ref="AD388">IF(X388="","",INDEX('Bills &amp; Invoices'!$U$5:$U$32,MATCH(X388,'Bills &amp; Invoices'!$B$5:$B$32,0)))</f>
        <v/>
      </c>
    </row>
    <row r="389" ht="14.25" customHeight="1">
      <c r="R38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Clearances'!$A$4:$Q$4)),FALSE)),ROWS(R$5:R389)))&amp;""  –  ""&amp;INDEX('Chemical Clearances'!$D$5:$D$169,MATCH(INDEX('Chemical Clearances'!$B$5:$B$169,LARGE(FILTER((ROW('Chemical Clearances'!$B$5:$B$169)-ROW('"&amp;"Chemical Clearances'!$A$4:$Q$4)),IFERROR((MATCH('Chemical Clearances'!$B$5:$B$169,'Chemical Clearances'!$B$5:$B$169,0)=ROW('Chemical Clearances'!$B$5:$B$169)-ROW('Chemical Clearances'!$A$4:$Q$4)),FALSE)),ROWS(R$5:R389))),'Chemical Clearances'!$B$5:$B$169,"&amp;"0)),"""")), 1, 1)"),"")</f>
        <v/>
      </c>
      <c r="X38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Invoices'!$A$4:$V$4)),FALSE)),ROWS(X$5:X389))),"""")), 1, 1)"),"")</f>
        <v/>
      </c>
      <c r="Y389" s="333" t="str">
        <f t="array" ref="Y389">IF(X389="","",X389&amp;"  –  "&amp;INDEX('Bills &amp; Invoices'!$D$5:$D$32,MATCH(X389,'Bills &amp; Invoices'!$B$5:$B$32,0))&amp;"  –  $"&amp;TEXT(SUMIFS('Bills &amp; Invoices'!$J$5:$J$32,'Bills &amp; Invoices'!$B$5:$B$32,X389),"#,##0"))</f>
        <v/>
      </c>
      <c r="Z389" s="333" t="str">
        <f t="array" ref="Z389">IF(X389="","",INDEX('Bills &amp; Invoices'!$D$5:$D$32,MATCH(X389,'Bills &amp; Invoices'!$B$5:$B$32,0)))</f>
        <v/>
      </c>
      <c r="AA389" s="334" t="str">
        <f t="array" ref="AA389">IF(X389="","",INDEX('Bills &amp; Invoices'!$K$5:$K$32,MATCH(X389,'Bills &amp; Invoices'!$B$5:$B$32,0)))</f>
        <v/>
      </c>
      <c r="AB389" s="335" t="str">
        <f>IF(X389="","",SUMIFS('Bills &amp; Invoices'!$J$5:$J$32,'Bills &amp; Invoices'!$B$5:$B$32,X389))</f>
        <v/>
      </c>
      <c r="AC389" s="335" t="str">
        <f>IF(X389="","",SUMIFS('Payments &amp; Receipts'!$F$5:$F$58,'Payments &amp; Receipts'!$L$5:$L$58,X389))</f>
        <v/>
      </c>
      <c r="AD389" s="333" t="str">
        <f t="array" ref="AD389">IF(X389="","",INDEX('Bills &amp; Invoices'!$U$5:$U$32,MATCH(X389,'Bills &amp; Invoices'!$B$5:$B$32,0)))</f>
        <v/>
      </c>
    </row>
    <row r="390" ht="14.25" customHeight="1">
      <c r="R39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Clearances'!$A$4:$Q$4)),FALSE)),ROWS(R$5:R390)))&amp;""  –  ""&amp;INDEX('Chemical Clearances'!$D$5:$D$169,MATCH(INDEX('Chemical Clearances'!$B$5:$B$169,LARGE(FILTER((ROW('Chemical Clearances'!$B$5:$B$169)-ROW('"&amp;"Chemical Clearances'!$A$4:$Q$4)),IFERROR((MATCH('Chemical Clearances'!$B$5:$B$169,'Chemical Clearances'!$B$5:$B$169,0)=ROW('Chemical Clearances'!$B$5:$B$169)-ROW('Chemical Clearances'!$A$4:$Q$4)),FALSE)),ROWS(R$5:R390))),'Chemical Clearances'!$B$5:$B$169,"&amp;"0)),"""")), 1, 1)"),"")</f>
        <v/>
      </c>
      <c r="X39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Invoices'!$A$4:$V$4)),FALSE)),ROWS(X$5:X390))),"""")), 1, 1)"),"")</f>
        <v/>
      </c>
      <c r="Y390" s="333" t="str">
        <f t="array" ref="Y390">IF(X390="","",X390&amp;"  –  "&amp;INDEX('Bills &amp; Invoices'!$D$5:$D$32,MATCH(X390,'Bills &amp; Invoices'!$B$5:$B$32,0))&amp;"  –  $"&amp;TEXT(SUMIFS('Bills &amp; Invoices'!$J$5:$J$32,'Bills &amp; Invoices'!$B$5:$B$32,X390),"#,##0"))</f>
        <v/>
      </c>
      <c r="Z390" s="333" t="str">
        <f t="array" ref="Z390">IF(X390="","",INDEX('Bills &amp; Invoices'!$D$5:$D$32,MATCH(X390,'Bills &amp; Invoices'!$B$5:$B$32,0)))</f>
        <v/>
      </c>
      <c r="AA390" s="334" t="str">
        <f t="array" ref="AA390">IF(X390="","",INDEX('Bills &amp; Invoices'!$K$5:$K$32,MATCH(X390,'Bills &amp; Invoices'!$B$5:$B$32,0)))</f>
        <v/>
      </c>
      <c r="AB390" s="335" t="str">
        <f>IF(X390="","",SUMIFS('Bills &amp; Invoices'!$J$5:$J$32,'Bills &amp; Invoices'!$B$5:$B$32,X390))</f>
        <v/>
      </c>
      <c r="AC390" s="335" t="str">
        <f>IF(X390="","",SUMIFS('Payments &amp; Receipts'!$F$5:$F$58,'Payments &amp; Receipts'!$L$5:$L$58,X390))</f>
        <v/>
      </c>
      <c r="AD390" s="333" t="str">
        <f t="array" ref="AD390">IF(X390="","",INDEX('Bills &amp; Invoices'!$U$5:$U$32,MATCH(X390,'Bills &amp; Invoices'!$B$5:$B$32,0)))</f>
        <v/>
      </c>
    </row>
    <row r="391" ht="14.25" customHeight="1">
      <c r="R39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Clearances'!$A$4:$Q$4)),FALSE)),ROWS(R$5:R391)))&amp;""  –  ""&amp;INDEX('Chemical Clearances'!$D$5:$D$169,MATCH(INDEX('Chemical Clearances'!$B$5:$B$169,LARGE(FILTER((ROW('Chemical Clearances'!$B$5:$B$169)-ROW('"&amp;"Chemical Clearances'!$A$4:$Q$4)),IFERROR((MATCH('Chemical Clearances'!$B$5:$B$169,'Chemical Clearances'!$B$5:$B$169,0)=ROW('Chemical Clearances'!$B$5:$B$169)-ROW('Chemical Clearances'!$A$4:$Q$4)),FALSE)),ROWS(R$5:R391))),'Chemical Clearances'!$B$5:$B$169,"&amp;"0)),"""")), 1, 1)"),"")</f>
        <v/>
      </c>
      <c r="X39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Invoices'!$A$4:$V$4)),FALSE)),ROWS(X$5:X391))),"""")), 1, 1)"),"")</f>
        <v/>
      </c>
      <c r="Y391" s="333" t="str">
        <f t="array" ref="Y391">IF(X391="","",X391&amp;"  –  "&amp;INDEX('Bills &amp; Invoices'!$D$5:$D$32,MATCH(X391,'Bills &amp; Invoices'!$B$5:$B$32,0))&amp;"  –  $"&amp;TEXT(SUMIFS('Bills &amp; Invoices'!$J$5:$J$32,'Bills &amp; Invoices'!$B$5:$B$32,X391),"#,##0"))</f>
        <v/>
      </c>
      <c r="Z391" s="333" t="str">
        <f t="array" ref="Z391">IF(X391="","",INDEX('Bills &amp; Invoices'!$D$5:$D$32,MATCH(X391,'Bills &amp; Invoices'!$B$5:$B$32,0)))</f>
        <v/>
      </c>
      <c r="AA391" s="334" t="str">
        <f t="array" ref="AA391">IF(X391="","",INDEX('Bills &amp; Invoices'!$K$5:$K$32,MATCH(X391,'Bills &amp; Invoices'!$B$5:$B$32,0)))</f>
        <v/>
      </c>
      <c r="AB391" s="335" t="str">
        <f>IF(X391="","",SUMIFS('Bills &amp; Invoices'!$J$5:$J$32,'Bills &amp; Invoices'!$B$5:$B$32,X391))</f>
        <v/>
      </c>
      <c r="AC391" s="335" t="str">
        <f>IF(X391="","",SUMIFS('Payments &amp; Receipts'!$F$5:$F$58,'Payments &amp; Receipts'!$L$5:$L$58,X391))</f>
        <v/>
      </c>
      <c r="AD391" s="333" t="str">
        <f t="array" ref="AD391">IF(X391="","",INDEX('Bills &amp; Invoices'!$U$5:$U$32,MATCH(X391,'Bills &amp; Invoices'!$B$5:$B$32,0)))</f>
        <v/>
      </c>
    </row>
    <row r="392" ht="14.25" customHeight="1">
      <c r="R39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Clearances'!$A$4:$Q$4)),FALSE)),ROWS(R$5:R392)))&amp;""  –  ""&amp;INDEX('Chemical Clearances'!$D$5:$D$169,MATCH(INDEX('Chemical Clearances'!$B$5:$B$169,LARGE(FILTER((ROW('Chemical Clearances'!$B$5:$B$169)-ROW('"&amp;"Chemical Clearances'!$A$4:$Q$4)),IFERROR((MATCH('Chemical Clearances'!$B$5:$B$169,'Chemical Clearances'!$B$5:$B$169,0)=ROW('Chemical Clearances'!$B$5:$B$169)-ROW('Chemical Clearances'!$A$4:$Q$4)),FALSE)),ROWS(R$5:R392))),'Chemical Clearances'!$B$5:$B$169,"&amp;"0)),"""")), 1, 1)"),"")</f>
        <v/>
      </c>
      <c r="X39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Invoices'!$A$4:$V$4)),FALSE)),ROWS(X$5:X392))),"""")), 1, 1)"),"")</f>
        <v/>
      </c>
      <c r="Y392" s="333" t="str">
        <f t="array" ref="Y392">IF(X392="","",X392&amp;"  –  "&amp;INDEX('Bills &amp; Invoices'!$D$5:$D$32,MATCH(X392,'Bills &amp; Invoices'!$B$5:$B$32,0))&amp;"  –  $"&amp;TEXT(SUMIFS('Bills &amp; Invoices'!$J$5:$J$32,'Bills &amp; Invoices'!$B$5:$B$32,X392),"#,##0"))</f>
        <v/>
      </c>
      <c r="Z392" s="333" t="str">
        <f t="array" ref="Z392">IF(X392="","",INDEX('Bills &amp; Invoices'!$D$5:$D$32,MATCH(X392,'Bills &amp; Invoices'!$B$5:$B$32,0)))</f>
        <v/>
      </c>
      <c r="AA392" s="334" t="str">
        <f t="array" ref="AA392">IF(X392="","",INDEX('Bills &amp; Invoices'!$K$5:$K$32,MATCH(X392,'Bills &amp; Invoices'!$B$5:$B$32,0)))</f>
        <v/>
      </c>
      <c r="AB392" s="335" t="str">
        <f>IF(X392="","",SUMIFS('Bills &amp; Invoices'!$J$5:$J$32,'Bills &amp; Invoices'!$B$5:$B$32,X392))</f>
        <v/>
      </c>
      <c r="AC392" s="335" t="str">
        <f>IF(X392="","",SUMIFS('Payments &amp; Receipts'!$F$5:$F$58,'Payments &amp; Receipts'!$L$5:$L$58,X392))</f>
        <v/>
      </c>
      <c r="AD392" s="333" t="str">
        <f t="array" ref="AD392">IF(X392="","",INDEX('Bills &amp; Invoices'!$U$5:$U$32,MATCH(X392,'Bills &amp; Invoices'!$B$5:$B$32,0)))</f>
        <v/>
      </c>
    </row>
    <row r="393" ht="14.25" customHeight="1">
      <c r="R39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Clearances'!$A$4:$Q$4)),FALSE)),ROWS(R$5:R393)))&amp;""  –  ""&amp;INDEX('Chemical Clearances'!$D$5:$D$169,MATCH(INDEX('Chemical Clearances'!$B$5:$B$169,LARGE(FILTER((ROW('Chemical Clearances'!$B$5:$B$169)-ROW('"&amp;"Chemical Clearances'!$A$4:$Q$4)),IFERROR((MATCH('Chemical Clearances'!$B$5:$B$169,'Chemical Clearances'!$B$5:$B$169,0)=ROW('Chemical Clearances'!$B$5:$B$169)-ROW('Chemical Clearances'!$A$4:$Q$4)),FALSE)),ROWS(R$5:R393))),'Chemical Clearances'!$B$5:$B$169,"&amp;"0)),"""")), 1, 1)"),"")</f>
        <v/>
      </c>
      <c r="X39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Invoices'!$A$4:$V$4)),FALSE)),ROWS(X$5:X393))),"""")), 1, 1)"),"")</f>
        <v/>
      </c>
      <c r="Y393" s="333" t="str">
        <f t="array" ref="Y393">IF(X393="","",X393&amp;"  –  "&amp;INDEX('Bills &amp; Invoices'!$D$5:$D$32,MATCH(X393,'Bills &amp; Invoices'!$B$5:$B$32,0))&amp;"  –  $"&amp;TEXT(SUMIFS('Bills &amp; Invoices'!$J$5:$J$32,'Bills &amp; Invoices'!$B$5:$B$32,X393),"#,##0"))</f>
        <v/>
      </c>
      <c r="Z393" s="333" t="str">
        <f t="array" ref="Z393">IF(X393="","",INDEX('Bills &amp; Invoices'!$D$5:$D$32,MATCH(X393,'Bills &amp; Invoices'!$B$5:$B$32,0)))</f>
        <v/>
      </c>
      <c r="AA393" s="334" t="str">
        <f t="array" ref="AA393">IF(X393="","",INDEX('Bills &amp; Invoices'!$K$5:$K$32,MATCH(X393,'Bills &amp; Invoices'!$B$5:$B$32,0)))</f>
        <v/>
      </c>
      <c r="AB393" s="335" t="str">
        <f>IF(X393="","",SUMIFS('Bills &amp; Invoices'!$J$5:$J$32,'Bills &amp; Invoices'!$B$5:$B$32,X393))</f>
        <v/>
      </c>
      <c r="AC393" s="335" t="str">
        <f>IF(X393="","",SUMIFS('Payments &amp; Receipts'!$F$5:$F$58,'Payments &amp; Receipts'!$L$5:$L$58,X393))</f>
        <v/>
      </c>
      <c r="AD393" s="333" t="str">
        <f t="array" ref="AD393">IF(X393="","",INDEX('Bills &amp; Invoices'!$U$5:$U$32,MATCH(X393,'Bills &amp; Invoices'!$B$5:$B$32,0)))</f>
        <v/>
      </c>
    </row>
    <row r="394" ht="14.25" customHeight="1">
      <c r="R39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Clearances'!$A$4:$Q$4)),FALSE)),ROWS(R$5:R394)))&amp;""  –  ""&amp;INDEX('Chemical Clearances'!$D$5:$D$169,MATCH(INDEX('Chemical Clearances'!$B$5:$B$169,LARGE(FILTER((ROW('Chemical Clearances'!$B$5:$B$169)-ROW('"&amp;"Chemical Clearances'!$A$4:$Q$4)),IFERROR((MATCH('Chemical Clearances'!$B$5:$B$169,'Chemical Clearances'!$B$5:$B$169,0)=ROW('Chemical Clearances'!$B$5:$B$169)-ROW('Chemical Clearances'!$A$4:$Q$4)),FALSE)),ROWS(R$5:R394))),'Chemical Clearances'!$B$5:$B$169,"&amp;"0)),"""")), 1, 1)"),"")</f>
        <v/>
      </c>
      <c r="X39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Invoices'!$A$4:$V$4)),FALSE)),ROWS(X$5:X394))),"""")), 1, 1)"),"")</f>
        <v/>
      </c>
      <c r="Y394" s="333" t="str">
        <f t="array" ref="Y394">IF(X394="","",X394&amp;"  –  "&amp;INDEX('Bills &amp; Invoices'!$D$5:$D$32,MATCH(X394,'Bills &amp; Invoices'!$B$5:$B$32,0))&amp;"  –  $"&amp;TEXT(SUMIFS('Bills &amp; Invoices'!$J$5:$J$32,'Bills &amp; Invoices'!$B$5:$B$32,X394),"#,##0"))</f>
        <v/>
      </c>
      <c r="Z394" s="333" t="str">
        <f t="array" ref="Z394">IF(X394="","",INDEX('Bills &amp; Invoices'!$D$5:$D$32,MATCH(X394,'Bills &amp; Invoices'!$B$5:$B$32,0)))</f>
        <v/>
      </c>
      <c r="AA394" s="334" t="str">
        <f t="array" ref="AA394">IF(X394="","",INDEX('Bills &amp; Invoices'!$K$5:$K$32,MATCH(X394,'Bills &amp; Invoices'!$B$5:$B$32,0)))</f>
        <v/>
      </c>
      <c r="AB394" s="335" t="str">
        <f>IF(X394="","",SUMIFS('Bills &amp; Invoices'!$J$5:$J$32,'Bills &amp; Invoices'!$B$5:$B$32,X394))</f>
        <v/>
      </c>
      <c r="AC394" s="335" t="str">
        <f>IF(X394="","",SUMIFS('Payments &amp; Receipts'!$F$5:$F$58,'Payments &amp; Receipts'!$L$5:$L$58,X394))</f>
        <v/>
      </c>
      <c r="AD394" s="333" t="str">
        <f t="array" ref="AD394">IF(X394="","",INDEX('Bills &amp; Invoices'!$U$5:$U$32,MATCH(X394,'Bills &amp; Invoices'!$B$5:$B$32,0)))</f>
        <v/>
      </c>
    </row>
    <row r="395" ht="14.25" customHeight="1">
      <c r="R395"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Clearances'!$A$4:$Q$4)),FALSE)),ROWS(R$5:R395)))&amp;""  –  ""&amp;INDEX('Chemical Clearances'!$D$5:$D$169,MATCH(INDEX('Chemical Clearances'!$B$5:$B$169,LARGE(FILTER((ROW('Chemical Clearances'!$B$5:$B$169)-ROW('"&amp;"Chemical Clearances'!$A$4:$Q$4)),IFERROR((MATCH('Chemical Clearances'!$B$5:$B$169,'Chemical Clearances'!$B$5:$B$169,0)=ROW('Chemical Clearances'!$B$5:$B$169)-ROW('Chemical Clearances'!$A$4:$Q$4)),FALSE)),ROWS(R$5:R395))),'Chemical Clearances'!$B$5:$B$169,"&amp;"0)),"""")), 1, 1)"),"")</f>
        <v/>
      </c>
      <c r="X395"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Invoices'!$A$4:$V$4)),FALSE)),ROWS(X$5:X395))),"""")), 1, 1)"),"")</f>
        <v/>
      </c>
      <c r="Y395" s="333" t="str">
        <f t="array" ref="Y395">IF(X395="","",X395&amp;"  –  "&amp;INDEX('Bills &amp; Invoices'!$D$5:$D$32,MATCH(X395,'Bills &amp; Invoices'!$B$5:$B$32,0))&amp;"  –  $"&amp;TEXT(SUMIFS('Bills &amp; Invoices'!$J$5:$J$32,'Bills &amp; Invoices'!$B$5:$B$32,X395),"#,##0"))</f>
        <v/>
      </c>
      <c r="Z395" s="333" t="str">
        <f t="array" ref="Z395">IF(X395="","",INDEX('Bills &amp; Invoices'!$D$5:$D$32,MATCH(X395,'Bills &amp; Invoices'!$B$5:$B$32,0)))</f>
        <v/>
      </c>
      <c r="AA395" s="334" t="str">
        <f t="array" ref="AA395">IF(X395="","",INDEX('Bills &amp; Invoices'!$K$5:$K$32,MATCH(X395,'Bills &amp; Invoices'!$B$5:$B$32,0)))</f>
        <v/>
      </c>
      <c r="AB395" s="335" t="str">
        <f>IF(X395="","",SUMIFS('Bills &amp; Invoices'!$J$5:$J$32,'Bills &amp; Invoices'!$B$5:$B$32,X395))</f>
        <v/>
      </c>
      <c r="AC395" s="335" t="str">
        <f>IF(X395="","",SUMIFS('Payments &amp; Receipts'!$F$5:$F$58,'Payments &amp; Receipts'!$L$5:$L$58,X395))</f>
        <v/>
      </c>
      <c r="AD395" s="333" t="str">
        <f t="array" ref="AD395">IF(X395="","",INDEX('Bills &amp; Invoices'!$U$5:$U$32,MATCH(X395,'Bills &amp; Invoices'!$B$5:$B$32,0)))</f>
        <v/>
      </c>
    </row>
    <row r="396" ht="14.25" customHeight="1">
      <c r="R396"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Clearances'!$A$4:$Q$4)),FALSE)),ROWS(R$5:R396)))&amp;""  –  ""&amp;INDEX('Chemical Clearances'!$D$5:$D$169,MATCH(INDEX('Chemical Clearances'!$B$5:$B$169,LARGE(FILTER((ROW('Chemical Clearances'!$B$5:$B$169)-ROW('"&amp;"Chemical Clearances'!$A$4:$Q$4)),IFERROR((MATCH('Chemical Clearances'!$B$5:$B$169,'Chemical Clearances'!$B$5:$B$169,0)=ROW('Chemical Clearances'!$B$5:$B$169)-ROW('Chemical Clearances'!$A$4:$Q$4)),FALSE)),ROWS(R$5:R396))),'Chemical Clearances'!$B$5:$B$169,"&amp;"0)),"""")), 1, 1)"),"")</f>
        <v/>
      </c>
      <c r="X396"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Invoices'!$A$4:$V$4)),FALSE)),ROWS(X$5:X396))),"""")), 1, 1)"),"")</f>
        <v/>
      </c>
      <c r="Y396" s="333" t="str">
        <f t="array" ref="Y396">IF(X396="","",X396&amp;"  –  "&amp;INDEX('Bills &amp; Invoices'!$D$5:$D$32,MATCH(X396,'Bills &amp; Invoices'!$B$5:$B$32,0))&amp;"  –  $"&amp;TEXT(SUMIFS('Bills &amp; Invoices'!$J$5:$J$32,'Bills &amp; Invoices'!$B$5:$B$32,X396),"#,##0"))</f>
        <v/>
      </c>
      <c r="Z396" s="333" t="str">
        <f t="array" ref="Z396">IF(X396="","",INDEX('Bills &amp; Invoices'!$D$5:$D$32,MATCH(X396,'Bills &amp; Invoices'!$B$5:$B$32,0)))</f>
        <v/>
      </c>
      <c r="AA396" s="334" t="str">
        <f t="array" ref="AA396">IF(X396="","",INDEX('Bills &amp; Invoices'!$K$5:$K$32,MATCH(X396,'Bills &amp; Invoices'!$B$5:$B$32,0)))</f>
        <v/>
      </c>
      <c r="AB396" s="335" t="str">
        <f>IF(X396="","",SUMIFS('Bills &amp; Invoices'!$J$5:$J$32,'Bills &amp; Invoices'!$B$5:$B$32,X396))</f>
        <v/>
      </c>
      <c r="AC396" s="335" t="str">
        <f>IF(X396="","",SUMIFS('Payments &amp; Receipts'!$F$5:$F$58,'Payments &amp; Receipts'!$L$5:$L$58,X396))</f>
        <v/>
      </c>
      <c r="AD396" s="333" t="str">
        <f t="array" ref="AD396">IF(X396="","",INDEX('Bills &amp; Invoices'!$U$5:$U$32,MATCH(X396,'Bills &amp; Invoices'!$B$5:$B$32,0)))</f>
        <v/>
      </c>
    </row>
    <row r="397" ht="14.25" customHeight="1">
      <c r="R397"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Clearances'!$A$4:$Q$4)),FALSE)),ROWS(R$5:R397)))&amp;""  –  ""&amp;INDEX('Chemical Clearances'!$D$5:$D$169,MATCH(INDEX('Chemical Clearances'!$B$5:$B$169,LARGE(FILTER((ROW('Chemical Clearances'!$B$5:$B$169)-ROW('"&amp;"Chemical Clearances'!$A$4:$Q$4)),IFERROR((MATCH('Chemical Clearances'!$B$5:$B$169,'Chemical Clearances'!$B$5:$B$169,0)=ROW('Chemical Clearances'!$B$5:$B$169)-ROW('Chemical Clearances'!$A$4:$Q$4)),FALSE)),ROWS(R$5:R397))),'Chemical Clearances'!$B$5:$B$169,"&amp;"0)),"""")), 1, 1)"),"")</f>
        <v/>
      </c>
      <c r="X397"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Invoices'!$A$4:$V$4)),FALSE)),ROWS(X$5:X397))),"""")), 1, 1)"),"")</f>
        <v/>
      </c>
      <c r="Y397" s="333" t="str">
        <f t="array" ref="Y397">IF(X397="","",X397&amp;"  –  "&amp;INDEX('Bills &amp; Invoices'!$D$5:$D$32,MATCH(X397,'Bills &amp; Invoices'!$B$5:$B$32,0))&amp;"  –  $"&amp;TEXT(SUMIFS('Bills &amp; Invoices'!$J$5:$J$32,'Bills &amp; Invoices'!$B$5:$B$32,X397),"#,##0"))</f>
        <v/>
      </c>
      <c r="Z397" s="333" t="str">
        <f t="array" ref="Z397">IF(X397="","",INDEX('Bills &amp; Invoices'!$D$5:$D$32,MATCH(X397,'Bills &amp; Invoices'!$B$5:$B$32,0)))</f>
        <v/>
      </c>
      <c r="AA397" s="334" t="str">
        <f t="array" ref="AA397">IF(X397="","",INDEX('Bills &amp; Invoices'!$K$5:$K$32,MATCH(X397,'Bills &amp; Invoices'!$B$5:$B$32,0)))</f>
        <v/>
      </c>
      <c r="AB397" s="335" t="str">
        <f>IF(X397="","",SUMIFS('Bills &amp; Invoices'!$J$5:$J$32,'Bills &amp; Invoices'!$B$5:$B$32,X397))</f>
        <v/>
      </c>
      <c r="AC397" s="335" t="str">
        <f>IF(X397="","",SUMIFS('Payments &amp; Receipts'!$F$5:$F$58,'Payments &amp; Receipts'!$L$5:$L$58,X397))</f>
        <v/>
      </c>
      <c r="AD397" s="333" t="str">
        <f t="array" ref="AD397">IF(X397="","",INDEX('Bills &amp; Invoices'!$U$5:$U$32,MATCH(X397,'Bills &amp; Invoices'!$B$5:$B$32,0)))</f>
        <v/>
      </c>
    </row>
    <row r="398" ht="14.25" customHeight="1">
      <c r="R398"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Clearances'!$A$4:$Q$4)),FALSE)),ROWS(R$5:R398)))&amp;""  –  ""&amp;INDEX('Chemical Clearances'!$D$5:$D$169,MATCH(INDEX('Chemical Clearances'!$B$5:$B$169,LARGE(FILTER((ROW('Chemical Clearances'!$B$5:$B$169)-ROW('"&amp;"Chemical Clearances'!$A$4:$Q$4)),IFERROR((MATCH('Chemical Clearances'!$B$5:$B$169,'Chemical Clearances'!$B$5:$B$169,0)=ROW('Chemical Clearances'!$B$5:$B$169)-ROW('Chemical Clearances'!$A$4:$Q$4)),FALSE)),ROWS(R$5:R398))),'Chemical Clearances'!$B$5:$B$169,"&amp;"0)),"""")), 1, 1)"),"")</f>
        <v/>
      </c>
      <c r="X398"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Invoices'!$A$4:$V$4)),FALSE)),ROWS(X$5:X398))),"""")), 1, 1)"),"")</f>
        <v/>
      </c>
      <c r="Y398" s="333" t="str">
        <f t="array" ref="Y398">IF(X398="","",X398&amp;"  –  "&amp;INDEX('Bills &amp; Invoices'!$D$5:$D$32,MATCH(X398,'Bills &amp; Invoices'!$B$5:$B$32,0))&amp;"  –  $"&amp;TEXT(SUMIFS('Bills &amp; Invoices'!$J$5:$J$32,'Bills &amp; Invoices'!$B$5:$B$32,X398),"#,##0"))</f>
        <v/>
      </c>
      <c r="Z398" s="333" t="str">
        <f t="array" ref="Z398">IF(X398="","",INDEX('Bills &amp; Invoices'!$D$5:$D$32,MATCH(X398,'Bills &amp; Invoices'!$B$5:$B$32,0)))</f>
        <v/>
      </c>
      <c r="AA398" s="334" t="str">
        <f t="array" ref="AA398">IF(X398="","",INDEX('Bills &amp; Invoices'!$K$5:$K$32,MATCH(X398,'Bills &amp; Invoices'!$B$5:$B$32,0)))</f>
        <v/>
      </c>
      <c r="AB398" s="335" t="str">
        <f>IF(X398="","",SUMIFS('Bills &amp; Invoices'!$J$5:$J$32,'Bills &amp; Invoices'!$B$5:$B$32,X398))</f>
        <v/>
      </c>
      <c r="AC398" s="335" t="str">
        <f>IF(X398="","",SUMIFS('Payments &amp; Receipts'!$F$5:$F$58,'Payments &amp; Receipts'!$L$5:$L$58,X398))</f>
        <v/>
      </c>
      <c r="AD398" s="333" t="str">
        <f t="array" ref="AD398">IF(X398="","",INDEX('Bills &amp; Invoices'!$U$5:$U$32,MATCH(X398,'Bills &amp; Invoices'!$B$5:$B$32,0)))</f>
        <v/>
      </c>
    </row>
    <row r="399" ht="14.25" customHeight="1">
      <c r="R399"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Clearances'!$A$4:$Q$4)),FALSE)),ROWS(R$5:R399)))&amp;""  –  ""&amp;INDEX('Chemical Clearances'!$D$5:$D$169,MATCH(INDEX('Chemical Clearances'!$B$5:$B$169,LARGE(FILTER((ROW('Chemical Clearances'!$B$5:$B$169)-ROW('"&amp;"Chemical Clearances'!$A$4:$Q$4)),IFERROR((MATCH('Chemical Clearances'!$B$5:$B$169,'Chemical Clearances'!$B$5:$B$169,0)=ROW('Chemical Clearances'!$B$5:$B$169)-ROW('Chemical Clearances'!$A$4:$Q$4)),FALSE)),ROWS(R$5:R399))),'Chemical Clearances'!$B$5:$B$169,"&amp;"0)),"""")), 1, 1)"),"")</f>
        <v/>
      </c>
      <c r="X399"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Invoices'!$A$4:$V$4)),FALSE)),ROWS(X$5:X399))),"""")), 1, 1)"),"")</f>
        <v/>
      </c>
      <c r="Y399" s="333" t="str">
        <f t="array" ref="Y399">IF(X399="","",X399&amp;"  –  "&amp;INDEX('Bills &amp; Invoices'!$D$5:$D$32,MATCH(X399,'Bills &amp; Invoices'!$B$5:$B$32,0))&amp;"  –  $"&amp;TEXT(SUMIFS('Bills &amp; Invoices'!$J$5:$J$32,'Bills &amp; Invoices'!$B$5:$B$32,X399),"#,##0"))</f>
        <v/>
      </c>
      <c r="Z399" s="333" t="str">
        <f t="array" ref="Z399">IF(X399="","",INDEX('Bills &amp; Invoices'!$D$5:$D$32,MATCH(X399,'Bills &amp; Invoices'!$B$5:$B$32,0)))</f>
        <v/>
      </c>
      <c r="AA399" s="334" t="str">
        <f t="array" ref="AA399">IF(X399="","",INDEX('Bills &amp; Invoices'!$K$5:$K$32,MATCH(X399,'Bills &amp; Invoices'!$B$5:$B$32,0)))</f>
        <v/>
      </c>
      <c r="AB399" s="335" t="str">
        <f>IF(X399="","",SUMIFS('Bills &amp; Invoices'!$J$5:$J$32,'Bills &amp; Invoices'!$B$5:$B$32,X399))</f>
        <v/>
      </c>
      <c r="AC399" s="335" t="str">
        <f>IF(X399="","",SUMIFS('Payments &amp; Receipts'!$F$5:$F$58,'Payments &amp; Receipts'!$L$5:$L$58,X399))</f>
        <v/>
      </c>
      <c r="AD399" s="333" t="str">
        <f t="array" ref="AD399">IF(X399="","",INDEX('Bills &amp; Invoices'!$U$5:$U$32,MATCH(X399,'Bills &amp; Invoices'!$B$5:$B$32,0)))</f>
        <v/>
      </c>
    </row>
    <row r="400" ht="14.25" customHeight="1">
      <c r="R400"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Clearances'!$A$4:$Q$4)),FALSE)),ROWS(R$5:R400)))&amp;""  –  ""&amp;INDEX('Chemical Clearances'!$D$5:$D$169,MATCH(INDEX('Chemical Clearances'!$B$5:$B$169,LARGE(FILTER((ROW('Chemical Clearances'!$B$5:$B$169)-ROW('"&amp;"Chemical Clearances'!$A$4:$Q$4)),IFERROR((MATCH('Chemical Clearances'!$B$5:$B$169,'Chemical Clearances'!$B$5:$B$169,0)=ROW('Chemical Clearances'!$B$5:$B$169)-ROW('Chemical Clearances'!$A$4:$Q$4)),FALSE)),ROWS(R$5:R400))),'Chemical Clearances'!$B$5:$B$169,"&amp;"0)),"""")), 1, 1)"),"")</f>
        <v/>
      </c>
      <c r="X400"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Invoices'!$A$4:$V$4)),FALSE)),ROWS(X$5:X400))),"""")), 1, 1)"),"")</f>
        <v/>
      </c>
      <c r="Y400" s="333" t="str">
        <f t="array" ref="Y400">IF(X400="","",X400&amp;"  –  "&amp;INDEX('Bills &amp; Invoices'!$D$5:$D$32,MATCH(X400,'Bills &amp; Invoices'!$B$5:$B$32,0))&amp;"  –  $"&amp;TEXT(SUMIFS('Bills &amp; Invoices'!$J$5:$J$32,'Bills &amp; Invoices'!$B$5:$B$32,X400),"#,##0"))</f>
        <v/>
      </c>
      <c r="Z400" s="333" t="str">
        <f t="array" ref="Z400">IF(X400="","",INDEX('Bills &amp; Invoices'!$D$5:$D$32,MATCH(X400,'Bills &amp; Invoices'!$B$5:$B$32,0)))</f>
        <v/>
      </c>
      <c r="AA400" s="334" t="str">
        <f t="array" ref="AA400">IF(X400="","",INDEX('Bills &amp; Invoices'!$K$5:$K$32,MATCH(X400,'Bills &amp; Invoices'!$B$5:$B$32,0)))</f>
        <v/>
      </c>
      <c r="AB400" s="335" t="str">
        <f>IF(X400="","",SUMIFS('Bills &amp; Invoices'!$J$5:$J$32,'Bills &amp; Invoices'!$B$5:$B$32,X400))</f>
        <v/>
      </c>
      <c r="AC400" s="335" t="str">
        <f>IF(X400="","",SUMIFS('Payments &amp; Receipts'!$F$5:$F$58,'Payments &amp; Receipts'!$L$5:$L$58,X400))</f>
        <v/>
      </c>
      <c r="AD400" s="333" t="str">
        <f t="array" ref="AD400">IF(X400="","",INDEX('Bills &amp; Invoices'!$U$5:$U$32,MATCH(X400,'Bills &amp; Invoices'!$B$5:$B$32,0)))</f>
        <v/>
      </c>
    </row>
    <row r="401" ht="14.25" customHeight="1">
      <c r="R401"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Clearances'!$A$4:$Q$4)),FALSE)),ROWS(R$5:R401)))&amp;""  –  ""&amp;INDEX('Chemical Clearances'!$D$5:$D$169,MATCH(INDEX('Chemical Clearances'!$B$5:$B$169,LARGE(FILTER((ROW('Chemical Clearances'!$B$5:$B$169)-ROW('"&amp;"Chemical Clearances'!$A$4:$Q$4)),IFERROR((MATCH('Chemical Clearances'!$B$5:$B$169,'Chemical Clearances'!$B$5:$B$169,0)=ROW('Chemical Clearances'!$B$5:$B$169)-ROW('Chemical Clearances'!$A$4:$Q$4)),FALSE)),ROWS(R$5:R401))),'Chemical Clearances'!$B$5:$B$169,"&amp;"0)),"""")), 1, 1)"),"")</f>
        <v/>
      </c>
      <c r="X401"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Invoices'!$A$4:$V$4)),FALSE)),ROWS(X$5:X401))),"""")), 1, 1)"),"")</f>
        <v/>
      </c>
      <c r="Y401" s="333" t="str">
        <f t="array" ref="Y401">IF(X401="","",X401&amp;"  –  "&amp;INDEX('Bills &amp; Invoices'!$D$5:$D$32,MATCH(X401,'Bills &amp; Invoices'!$B$5:$B$32,0))&amp;"  –  $"&amp;TEXT(SUMIFS('Bills &amp; Invoices'!$J$5:$J$32,'Bills &amp; Invoices'!$B$5:$B$32,X401),"#,##0"))</f>
        <v/>
      </c>
      <c r="Z401" s="333" t="str">
        <f t="array" ref="Z401">IF(X401="","",INDEX('Bills &amp; Invoices'!$D$5:$D$32,MATCH(X401,'Bills &amp; Invoices'!$B$5:$B$32,0)))</f>
        <v/>
      </c>
      <c r="AA401" s="334" t="str">
        <f t="array" ref="AA401">IF(X401="","",INDEX('Bills &amp; Invoices'!$K$5:$K$32,MATCH(X401,'Bills &amp; Invoices'!$B$5:$B$32,0)))</f>
        <v/>
      </c>
      <c r="AB401" s="335" t="str">
        <f>IF(X401="","",SUMIFS('Bills &amp; Invoices'!$J$5:$J$32,'Bills &amp; Invoices'!$B$5:$B$32,X401))</f>
        <v/>
      </c>
      <c r="AC401" s="335" t="str">
        <f>IF(X401="","",SUMIFS('Payments &amp; Receipts'!$F$5:$F$58,'Payments &amp; Receipts'!$L$5:$L$58,X401))</f>
        <v/>
      </c>
      <c r="AD401" s="333" t="str">
        <f t="array" ref="AD401">IF(X401="","",INDEX('Bills &amp; Invoices'!$U$5:$U$32,MATCH(X401,'Bills &amp; Invoices'!$B$5:$B$32,0)))</f>
        <v/>
      </c>
    </row>
    <row r="402" ht="14.25" customHeight="1">
      <c r="R402"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Clearances'!$A$4:$Q$4)),FALSE)),ROWS(R$5:R402)))&amp;""  –  ""&amp;INDEX('Chemical Clearances'!$D$5:$D$169,MATCH(INDEX('Chemical Clearances'!$B$5:$B$169,LARGE(FILTER((ROW('Chemical Clearances'!$B$5:$B$169)-ROW('"&amp;"Chemical Clearances'!$A$4:$Q$4)),IFERROR((MATCH('Chemical Clearances'!$B$5:$B$169,'Chemical Clearances'!$B$5:$B$169,0)=ROW('Chemical Clearances'!$B$5:$B$169)-ROW('Chemical Clearances'!$A$4:$Q$4)),FALSE)),ROWS(R$5:R402))),'Chemical Clearances'!$B$5:$B$169,"&amp;"0)),"""")), 1, 1)"),"")</f>
        <v/>
      </c>
      <c r="X402"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Invoices'!$A$4:$V$4)),FALSE)),ROWS(X$5:X402))),"""")), 1, 1)"),"")</f>
        <v/>
      </c>
      <c r="Y402" s="333" t="str">
        <f t="array" ref="Y402">IF(X402="","",X402&amp;"  –  "&amp;INDEX('Bills &amp; Invoices'!$D$5:$D$32,MATCH(X402,'Bills &amp; Invoices'!$B$5:$B$32,0))&amp;"  –  $"&amp;TEXT(SUMIFS('Bills &amp; Invoices'!$J$5:$J$32,'Bills &amp; Invoices'!$B$5:$B$32,X402),"#,##0"))</f>
        <v/>
      </c>
      <c r="Z402" s="333" t="str">
        <f t="array" ref="Z402">IF(X402="","",INDEX('Bills &amp; Invoices'!$D$5:$D$32,MATCH(X402,'Bills &amp; Invoices'!$B$5:$B$32,0)))</f>
        <v/>
      </c>
      <c r="AA402" s="334" t="str">
        <f t="array" ref="AA402">IF(X402="","",INDEX('Bills &amp; Invoices'!$K$5:$K$32,MATCH(X402,'Bills &amp; Invoices'!$B$5:$B$32,0)))</f>
        <v/>
      </c>
      <c r="AB402" s="335" t="str">
        <f>IF(X402="","",SUMIFS('Bills &amp; Invoices'!$J$5:$J$32,'Bills &amp; Invoices'!$B$5:$B$32,X402))</f>
        <v/>
      </c>
      <c r="AC402" s="335" t="str">
        <f>IF(X402="","",SUMIFS('Payments &amp; Receipts'!$F$5:$F$58,'Payments &amp; Receipts'!$L$5:$L$58,X402))</f>
        <v/>
      </c>
      <c r="AD402" s="333" t="str">
        <f t="array" ref="AD402">IF(X402="","",INDEX('Bills &amp; Invoices'!$U$5:$U$32,MATCH(X402,'Bills &amp; Invoices'!$B$5:$B$32,0)))</f>
        <v/>
      </c>
    </row>
    <row r="403" ht="14.25" customHeight="1">
      <c r="R403"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Clearances'!$A$4:$Q$4)),FALSE)),ROWS(R$5:R403)))&amp;""  –  ""&amp;INDEX('Chemical Clearances'!$D$5:$D$169,MATCH(INDEX('Chemical Clearances'!$B$5:$B$169,LARGE(FILTER((ROW('Chemical Clearances'!$B$5:$B$169)-ROW('"&amp;"Chemical Clearances'!$A$4:$Q$4)),IFERROR((MATCH('Chemical Clearances'!$B$5:$B$169,'Chemical Clearances'!$B$5:$B$169,0)=ROW('Chemical Clearances'!$B$5:$B$169)-ROW('Chemical Clearances'!$A$4:$Q$4)),FALSE)),ROWS(R$5:R403))),'Chemical Clearances'!$B$5:$B$169,"&amp;"0)),"""")), 1, 1)"),"")</f>
        <v/>
      </c>
      <c r="X403"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Invoices'!$A$4:$V$4)),FALSE)),ROWS(X$5:X403))),"""")), 1, 1)"),"")</f>
        <v/>
      </c>
      <c r="Y403" s="333" t="str">
        <f t="array" ref="Y403">IF(X403="","",X403&amp;"  –  "&amp;INDEX('Bills &amp; Invoices'!$D$5:$D$32,MATCH(X403,'Bills &amp; Invoices'!$B$5:$B$32,0))&amp;"  –  $"&amp;TEXT(SUMIFS('Bills &amp; Invoices'!$J$5:$J$32,'Bills &amp; Invoices'!$B$5:$B$32,X403),"#,##0"))</f>
        <v/>
      </c>
      <c r="Z403" s="333" t="str">
        <f t="array" ref="Z403">IF(X403="","",INDEX('Bills &amp; Invoices'!$D$5:$D$32,MATCH(X403,'Bills &amp; Invoices'!$B$5:$B$32,0)))</f>
        <v/>
      </c>
      <c r="AA403" s="334" t="str">
        <f t="array" ref="AA403">IF(X403="","",INDEX('Bills &amp; Invoices'!$K$5:$K$32,MATCH(X403,'Bills &amp; Invoices'!$B$5:$B$32,0)))</f>
        <v/>
      </c>
      <c r="AB403" s="335" t="str">
        <f>IF(X403="","",SUMIFS('Bills &amp; Invoices'!$J$5:$J$32,'Bills &amp; Invoices'!$B$5:$B$32,X403))</f>
        <v/>
      </c>
      <c r="AC403" s="335" t="str">
        <f>IF(X403="","",SUMIFS('Payments &amp; Receipts'!$F$5:$F$58,'Payments &amp; Receipts'!$L$5:$L$58,X403))</f>
        <v/>
      </c>
      <c r="AD403" s="333" t="str">
        <f t="array" ref="AD403">IF(X403="","",INDEX('Bills &amp; Invoices'!$U$5:$U$32,MATCH(X403,'Bills &amp; Invoices'!$B$5:$B$32,0)))</f>
        <v/>
      </c>
    </row>
    <row r="404" ht="14.25" customHeight="1">
      <c r="R404" s="333" t="str">
        <f>IFERROR(__xludf.DUMMYFUNCTION("ARRAY_CONSTRAIN(ARRAYFORMULA(IFERROR(INDEX('Chemical Clearances'!$B$5:$B$169,LARGE(FILTER((ROW('Chemical Clearances'!$B$5:$B$169)-ROW('Chemical Clearances'!$A$4:$Q$4)),IFERROR((MATCH('Chemical Clearances'!$B$5:$B$169,'Chemical Clearances'!$B$5:$B$169,0)=R"&amp;"OW('Chemical Clearances'!$B$5:$B$169)-ROW('Chemical Clearances'!$A$4:$Q$4)),FALSE)),ROWS(R$5:R404)))&amp;""  –  ""&amp;INDEX('Chemical Clearances'!$D$5:$D$169,MATCH(INDEX('Chemical Clearances'!$B$5:$B$169,LARGE(FILTER((ROW('Chemical Clearances'!$B$5:$B$169)-ROW('"&amp;"Chemical Clearances'!$A$4:$Q$4)),IFERROR((MATCH('Chemical Clearances'!$B$5:$B$169,'Chemical Clearances'!$B$5:$B$169,0)=ROW('Chemical Clearances'!$B$5:$B$169)-ROW('Chemical Clearances'!$A$4:$Q$4)),FALSE)),ROWS(R$5:R404))),'Chemical Clearances'!$B$5:$B$169,"&amp;"0)),"""")), 1, 1)"),"")</f>
        <v/>
      </c>
      <c r="X404" s="333" t="str">
        <f>IFERROR(__xludf.DUMMYFUNCTION("ARRAY_CONSTRAIN(ARRAYFORMULA(IFERROR(INDEX('Bills &amp; Invoices'!$B$5:$B$32,LARGE(FILTER((ROW('Bills &amp; Invoices'!$B$5:$B$32)-ROW('Bills &amp; Invoices'!$A$4:$V$4)),IFERROR((MATCH('Bills &amp; Invoices'!$B$5:$B$32,'Bills &amp; Invoices'!$B$5:$B$32,0)=ROW('Bills &amp; Invoice"&amp;"s'!$B$5:$B$32)-ROW('Bills &amp; Invoices'!$A$4:$V$4)),FALSE)),ROWS(X$5:X404))),"""")), 1, 1)"),"")</f>
        <v/>
      </c>
      <c r="Y404" s="333" t="str">
        <f t="array" ref="Y404">IF(X404="","",X404&amp;"  –  "&amp;INDEX('Bills &amp; Invoices'!$D$5:$D$32,MATCH(X404,'Bills &amp; Invoices'!$B$5:$B$32,0))&amp;"  –  $"&amp;TEXT(SUMIFS('Bills &amp; Invoices'!$J$5:$J$32,'Bills &amp; Invoices'!$B$5:$B$32,X404),"#,##0"))</f>
        <v/>
      </c>
      <c r="Z404" s="333" t="str">
        <f t="array" ref="Z404">IF(X404="","",INDEX('Bills &amp; Invoices'!$D$5:$D$32,MATCH(X404,'Bills &amp; Invoices'!$B$5:$B$32,0)))</f>
        <v/>
      </c>
      <c r="AA404" s="334" t="str">
        <f t="array" ref="AA404">IF(X404="","",INDEX('Bills &amp; Invoices'!$K$5:$K$32,MATCH(X404,'Bills &amp; Invoices'!$B$5:$B$32,0)))</f>
        <v/>
      </c>
      <c r="AB404" s="335" t="str">
        <f>IF(X404="","",SUMIFS('Bills &amp; Invoices'!$J$5:$J$32,'Bills &amp; Invoices'!$B$5:$B$32,X404))</f>
        <v/>
      </c>
      <c r="AC404" s="335" t="str">
        <f>IF(X404="","",SUMIFS('Payments &amp; Receipts'!$F$5:$F$58,'Payments &amp; Receipts'!$L$5:$L$58,X404))</f>
        <v/>
      </c>
      <c r="AD404" s="333" t="str">
        <f t="array" ref="AD404">IF(X404="","",INDEX('Bills &amp; Invoices'!$U$5:$U$32,MATCH(X404,'Bills &amp; Invoices'!$B$5:$B$32,0)))</f>
        <v/>
      </c>
    </row>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O4:P4"/>
  </mergeCells>
  <printOptions horizontalCentered="1"/>
  <pageMargins bottom="0.5555555555555556" footer="0.0" header="0.0" left="0.5" right="0.5" top="0.5555555555555556"/>
  <pageSetup fitToHeight="0" paperSize="9" orientation="landscape"/>
  <headerFooter>
    <oddFooter>&amp;LERRS – CMU Database 2026 | &amp;A&amp;CPage &amp;P of &amp;RPrinted &amp;D</oddFooter>
  </headerFooter>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309"/>
    <pageSetUpPr fitToPage="1"/>
  </sheetPr>
  <sheetViews>
    <sheetView showGridLines="0" workbookViewId="0"/>
  </sheetViews>
  <sheetFormatPr customHeight="1" defaultColWidth="14.43" defaultRowHeight="15.0"/>
  <cols>
    <col customWidth="1" min="1" max="1" width="151.86"/>
    <col customWidth="1" min="2" max="2" width="8.71"/>
    <col customWidth="1" min="3" max="3" width="103.71"/>
    <col customWidth="1" min="4" max="4" width="8.71"/>
    <col customWidth="1" min="5" max="5" width="70.29"/>
    <col customWidth="1" min="6" max="26" width="8.71"/>
  </cols>
  <sheetData>
    <row r="1" ht="27.75" customHeight="1">
      <c r="A1" s="307" t="s">
        <v>2716</v>
      </c>
      <c r="C1" s="330" t="s">
        <v>2717</v>
      </c>
      <c r="E1" s="330" t="s">
        <v>2718</v>
      </c>
    </row>
    <row r="2" ht="14.25" customHeight="1">
      <c r="A2" s="24" t="s">
        <v>2719</v>
      </c>
    </row>
    <row r="3" ht="14.25" customHeight="1">
      <c r="A3" s="24" t="s">
        <v>2720</v>
      </c>
      <c r="C3" s="336" t="s">
        <v>2721</v>
      </c>
      <c r="E3" s="337" t="s">
        <v>2722</v>
      </c>
    </row>
    <row r="4" ht="14.25" customHeight="1">
      <c r="A4" s="24" t="s">
        <v>2723</v>
      </c>
      <c r="C4" s="336" t="s">
        <v>2724</v>
      </c>
      <c r="E4" s="337" t="s">
        <v>2725</v>
      </c>
    </row>
    <row r="5" ht="14.25" customHeight="1">
      <c r="A5" s="24" t="s">
        <v>2726</v>
      </c>
      <c r="C5" s="336" t="s">
        <v>1547</v>
      </c>
      <c r="E5" s="337" t="s">
        <v>2727</v>
      </c>
    </row>
    <row r="6" ht="14.25" customHeight="1">
      <c r="A6" s="24" t="s">
        <v>2728</v>
      </c>
      <c r="C6" s="336" t="s">
        <v>2729</v>
      </c>
      <c r="E6" s="337" t="s">
        <v>1547</v>
      </c>
    </row>
    <row r="7" ht="14.25" customHeight="1">
      <c r="A7" s="24" t="s">
        <v>2730</v>
      </c>
      <c r="C7" s="336" t="s">
        <v>2731</v>
      </c>
      <c r="E7" s="337" t="s">
        <v>2732</v>
      </c>
    </row>
    <row r="8" ht="14.25" customHeight="1">
      <c r="A8" s="24" t="s">
        <v>2733</v>
      </c>
      <c r="C8" s="336" t="s">
        <v>2734</v>
      </c>
      <c r="E8" s="337" t="s">
        <v>2725</v>
      </c>
    </row>
    <row r="9" ht="14.25" customHeight="1">
      <c r="A9" s="58" t="s">
        <v>2735</v>
      </c>
      <c r="C9" s="336" t="s">
        <v>2736</v>
      </c>
      <c r="E9" s="337" t="s">
        <v>2737</v>
      </c>
    </row>
    <row r="10" ht="14.25" customHeight="1">
      <c r="A10" s="24" t="s">
        <v>2738</v>
      </c>
      <c r="C10" s="336" t="s">
        <v>2739</v>
      </c>
      <c r="E10" s="337" t="s">
        <v>2727</v>
      </c>
    </row>
    <row r="11" ht="14.25" customHeight="1">
      <c r="A11" s="24" t="s">
        <v>2740</v>
      </c>
      <c r="C11" s="336" t="s">
        <v>2741</v>
      </c>
    </row>
    <row r="12" ht="14.25" customHeight="1">
      <c r="A12" s="24" t="s">
        <v>2742</v>
      </c>
      <c r="C12" s="336" t="s">
        <v>2743</v>
      </c>
    </row>
    <row r="13" ht="14.25" customHeight="1">
      <c r="A13" s="24" t="s">
        <v>2744</v>
      </c>
      <c r="C13" s="336" t="s">
        <v>2745</v>
      </c>
    </row>
    <row r="14" ht="14.25" customHeight="1">
      <c r="C14" s="336" t="s">
        <v>2746</v>
      </c>
    </row>
    <row r="15" ht="14.25" customHeight="1">
      <c r="A15" s="338" t="s">
        <v>2747</v>
      </c>
      <c r="C15" s="336" t="s">
        <v>2748</v>
      </c>
    </row>
    <row r="16" ht="14.25" customHeight="1">
      <c r="A16" s="339" t="s">
        <v>2749</v>
      </c>
      <c r="C16" s="336" t="s">
        <v>2727</v>
      </c>
    </row>
    <row r="17" ht="14.25" customHeight="1">
      <c r="A17" s="339" t="s">
        <v>2750</v>
      </c>
      <c r="C17" s="336" t="s">
        <v>1547</v>
      </c>
    </row>
    <row r="18" ht="14.25" customHeight="1">
      <c r="A18" s="339" t="s">
        <v>2751</v>
      </c>
      <c r="C18" s="336" t="s">
        <v>2752</v>
      </c>
    </row>
    <row r="19" ht="14.25" customHeight="1">
      <c r="A19" s="339" t="s">
        <v>2753</v>
      </c>
      <c r="C19" s="336" t="s">
        <v>2754</v>
      </c>
    </row>
    <row r="20" ht="14.25" customHeight="1">
      <c r="A20" s="339" t="s">
        <v>2755</v>
      </c>
      <c r="C20" s="336" t="s">
        <v>2727</v>
      </c>
    </row>
    <row r="21" ht="14.25" customHeight="1">
      <c r="A21" s="339" t="s">
        <v>2756</v>
      </c>
      <c r="C21" s="336" t="s">
        <v>1547</v>
      </c>
    </row>
    <row r="22" ht="14.25" customHeight="1">
      <c r="A22" s="339" t="s">
        <v>2757</v>
      </c>
      <c r="C22" s="336" t="s">
        <v>2758</v>
      </c>
    </row>
    <row r="23" ht="14.25" customHeight="1">
      <c r="A23" s="339" t="s">
        <v>2759</v>
      </c>
      <c r="C23" s="336" t="s">
        <v>2754</v>
      </c>
    </row>
    <row r="24" ht="14.25" customHeight="1">
      <c r="A24" s="339" t="s">
        <v>2760</v>
      </c>
      <c r="C24" s="336" t="s">
        <v>2761</v>
      </c>
    </row>
    <row r="25" ht="14.25" customHeight="1">
      <c r="A25" s="339" t="s">
        <v>2762</v>
      </c>
      <c r="C25" s="336" t="s">
        <v>2727</v>
      </c>
    </row>
    <row r="26" ht="14.25" customHeight="1">
      <c r="A26" s="339" t="s">
        <v>2763</v>
      </c>
      <c r="C26" s="336" t="s">
        <v>1547</v>
      </c>
    </row>
    <row r="27" ht="14.25" customHeight="1">
      <c r="A27" s="339" t="s">
        <v>2764</v>
      </c>
      <c r="C27" s="336" t="s">
        <v>2765</v>
      </c>
    </row>
    <row r="28" ht="14.25" customHeight="1">
      <c r="A28" s="339" t="s">
        <v>2766</v>
      </c>
      <c r="C28" s="336" t="s">
        <v>2767</v>
      </c>
    </row>
    <row r="29" ht="14.25" customHeight="1">
      <c r="A29" s="339" t="s">
        <v>1547</v>
      </c>
      <c r="C29" s="336" t="s">
        <v>2727</v>
      </c>
    </row>
    <row r="30" ht="14.25" customHeight="1">
      <c r="A30" s="339" t="s">
        <v>2768</v>
      </c>
      <c r="C30" s="336" t="s">
        <v>1547</v>
      </c>
    </row>
    <row r="31" ht="14.25" customHeight="1">
      <c r="A31" s="339" t="s">
        <v>2769</v>
      </c>
      <c r="C31" s="336" t="s">
        <v>2770</v>
      </c>
    </row>
    <row r="32" ht="14.25" customHeight="1">
      <c r="A32" s="339" t="s">
        <v>2771</v>
      </c>
      <c r="C32" s="336" t="s">
        <v>2772</v>
      </c>
    </row>
    <row r="33" ht="14.25" customHeight="1">
      <c r="A33" s="339" t="s">
        <v>2773</v>
      </c>
      <c r="C33" s="336" t="s">
        <v>2774</v>
      </c>
    </row>
    <row r="34" ht="14.25" customHeight="1">
      <c r="A34" s="339" t="s">
        <v>2775</v>
      </c>
      <c r="C34" s="336" t="s">
        <v>2776</v>
      </c>
    </row>
    <row r="35" ht="14.25" customHeight="1">
      <c r="A35" s="339" t="s">
        <v>2777</v>
      </c>
      <c r="C35" s="336" t="s">
        <v>2778</v>
      </c>
    </row>
    <row r="36" ht="14.25" customHeight="1">
      <c r="A36" s="339" t="s">
        <v>2779</v>
      </c>
      <c r="C36" s="336" t="s">
        <v>1547</v>
      </c>
    </row>
    <row r="37" ht="14.25" customHeight="1">
      <c r="A37" s="339" t="s">
        <v>2780</v>
      </c>
      <c r="C37" s="336" t="s">
        <v>2781</v>
      </c>
    </row>
    <row r="38" ht="14.25" customHeight="1">
      <c r="A38" s="339" t="s">
        <v>2782</v>
      </c>
      <c r="C38" s="336" t="s">
        <v>2783</v>
      </c>
    </row>
    <row r="39" ht="14.25" customHeight="1">
      <c r="A39" s="339" t="s">
        <v>2784</v>
      </c>
      <c r="C39" s="336" t="s">
        <v>2785</v>
      </c>
    </row>
    <row r="40" ht="14.25" customHeight="1">
      <c r="A40" s="339" t="s">
        <v>2786</v>
      </c>
      <c r="C40" s="336" t="s">
        <v>2787</v>
      </c>
    </row>
    <row r="41" ht="14.25" customHeight="1">
      <c r="A41" s="339" t="s">
        <v>2788</v>
      </c>
      <c r="C41" s="336" t="s">
        <v>2789</v>
      </c>
    </row>
    <row r="42" ht="14.25" customHeight="1">
      <c r="A42" s="339" t="s">
        <v>2790</v>
      </c>
      <c r="C42" s="336" t="s">
        <v>2791</v>
      </c>
    </row>
    <row r="43" ht="14.25" customHeight="1">
      <c r="A43" s="339" t="s">
        <v>2792</v>
      </c>
      <c r="C43" s="336" t="s">
        <v>2793</v>
      </c>
    </row>
    <row r="44" ht="14.25" customHeight="1">
      <c r="A44" s="339" t="s">
        <v>2794</v>
      </c>
      <c r="C44" s="336" t="s">
        <v>2778</v>
      </c>
    </row>
    <row r="45" ht="14.25" customHeight="1">
      <c r="A45" s="339" t="s">
        <v>2795</v>
      </c>
      <c r="C45" s="336" t="s">
        <v>1547</v>
      </c>
    </row>
    <row r="46" ht="14.25" customHeight="1">
      <c r="A46" s="339" t="s">
        <v>2796</v>
      </c>
      <c r="C46" s="336" t="s">
        <v>2797</v>
      </c>
    </row>
    <row r="47" ht="14.25" customHeight="1">
      <c r="A47" s="339" t="s">
        <v>2798</v>
      </c>
      <c r="C47" s="336" t="s">
        <v>2799</v>
      </c>
    </row>
    <row r="48" ht="14.25" customHeight="1">
      <c r="A48" s="339" t="s">
        <v>2800</v>
      </c>
      <c r="C48" s="336" t="s">
        <v>2801</v>
      </c>
    </row>
    <row r="49" ht="14.25" customHeight="1">
      <c r="A49" s="339" t="s">
        <v>2802</v>
      </c>
      <c r="C49" s="336" t="s">
        <v>2803</v>
      </c>
    </row>
    <row r="50" ht="14.25" customHeight="1">
      <c r="A50" s="339" t="s">
        <v>2804</v>
      </c>
      <c r="C50" s="336" t="s">
        <v>2727</v>
      </c>
    </row>
    <row r="51" ht="14.25" customHeight="1">
      <c r="A51" s="339" t="s">
        <v>2778</v>
      </c>
      <c r="C51" s="336" t="s">
        <v>1547</v>
      </c>
    </row>
    <row r="52" ht="14.25" customHeight="1">
      <c r="A52" s="339" t="s">
        <v>1547</v>
      </c>
      <c r="C52" s="336" t="s">
        <v>2805</v>
      </c>
    </row>
    <row r="53" ht="14.25" customHeight="1">
      <c r="A53" s="339" t="s">
        <v>2806</v>
      </c>
      <c r="C53" s="336" t="s">
        <v>2799</v>
      </c>
    </row>
    <row r="54" ht="14.25" customHeight="1">
      <c r="A54" s="339" t="s">
        <v>2783</v>
      </c>
      <c r="C54" s="336" t="s">
        <v>2807</v>
      </c>
    </row>
    <row r="55" ht="14.25" customHeight="1">
      <c r="A55" s="339" t="s">
        <v>2785</v>
      </c>
      <c r="C55" s="336" t="s">
        <v>2808</v>
      </c>
    </row>
    <row r="56" ht="14.25" customHeight="1">
      <c r="A56" s="339" t="s">
        <v>2787</v>
      </c>
      <c r="C56" s="336" t="s">
        <v>2803</v>
      </c>
    </row>
    <row r="57" ht="14.25" customHeight="1">
      <c r="A57" s="339" t="s">
        <v>2812</v>
      </c>
      <c r="C57" s="336" t="s">
        <v>2727</v>
      </c>
    </row>
    <row r="58" ht="14.25" customHeight="1">
      <c r="A58" s="339" t="s">
        <v>2791</v>
      </c>
      <c r="C58" s="336" t="s">
        <v>2813</v>
      </c>
    </row>
    <row r="59" ht="14.25" customHeight="1">
      <c r="A59" s="339" t="s">
        <v>2793</v>
      </c>
      <c r="C59" s="336" t="s">
        <v>1547</v>
      </c>
    </row>
    <row r="60" ht="14.25" customHeight="1">
      <c r="A60" s="339" t="s">
        <v>2778</v>
      </c>
      <c r="C60" s="336" t="s">
        <v>2816</v>
      </c>
    </row>
    <row r="61" ht="14.25" customHeight="1">
      <c r="A61" s="339" t="s">
        <v>1547</v>
      </c>
      <c r="C61" s="336" t="s">
        <v>2749</v>
      </c>
    </row>
    <row r="62" ht="14.25" customHeight="1">
      <c r="A62" s="339" t="s">
        <v>2818</v>
      </c>
      <c r="C62" s="336" t="s">
        <v>2819</v>
      </c>
    </row>
    <row r="63" ht="14.25" customHeight="1">
      <c r="A63" s="339" t="s">
        <v>2820</v>
      </c>
      <c r="C63" s="336" t="s">
        <v>2821</v>
      </c>
    </row>
    <row r="64" ht="14.25" customHeight="1">
      <c r="A64" s="339" t="s">
        <v>2822</v>
      </c>
      <c r="C64" s="336" t="s">
        <v>2755</v>
      </c>
    </row>
    <row r="65" ht="14.25" customHeight="1">
      <c r="A65" s="339" t="s">
        <v>2823</v>
      </c>
      <c r="C65" s="336" t="s">
        <v>2824</v>
      </c>
    </row>
    <row r="66" ht="14.25" customHeight="1">
      <c r="A66" s="339" t="s">
        <v>2748</v>
      </c>
      <c r="C66" s="336" t="s">
        <v>2825</v>
      </c>
    </row>
    <row r="67" ht="14.25" customHeight="1">
      <c r="A67" s="339" t="s">
        <v>2778</v>
      </c>
      <c r="C67" s="336" t="s">
        <v>2757</v>
      </c>
    </row>
    <row r="68" ht="14.25" customHeight="1">
      <c r="A68" s="339" t="s">
        <v>1547</v>
      </c>
      <c r="C68" s="336" t="s">
        <v>2826</v>
      </c>
    </row>
    <row r="69" ht="14.25" customHeight="1">
      <c r="A69" s="339" t="s">
        <v>2827</v>
      </c>
      <c r="C69" s="336" t="s">
        <v>2828</v>
      </c>
    </row>
    <row r="70" ht="14.25" customHeight="1">
      <c r="A70" s="339" t="s">
        <v>2829</v>
      </c>
      <c r="C70" s="336" t="s">
        <v>2760</v>
      </c>
    </row>
    <row r="71" ht="14.25" customHeight="1">
      <c r="A71" s="339" t="s">
        <v>2830</v>
      </c>
      <c r="C71" s="336" t="s">
        <v>1547</v>
      </c>
    </row>
    <row r="72" ht="14.25" customHeight="1">
      <c r="A72" s="339" t="s">
        <v>2831</v>
      </c>
      <c r="C72" s="336" t="s">
        <v>2832</v>
      </c>
    </row>
    <row r="73" ht="14.25" customHeight="1">
      <c r="A73" s="339" t="s">
        <v>2833</v>
      </c>
      <c r="C73" s="336" t="s">
        <v>2834</v>
      </c>
    </row>
    <row r="74" ht="14.25" customHeight="1">
      <c r="A74" s="339" t="s">
        <v>2835</v>
      </c>
      <c r="C74" s="336" t="s">
        <v>2836</v>
      </c>
    </row>
    <row r="75" ht="14.25" customHeight="1">
      <c r="A75" s="339" t="s">
        <v>2837</v>
      </c>
      <c r="C75" s="336" t="s">
        <v>2838</v>
      </c>
    </row>
    <row r="76" ht="14.25" customHeight="1">
      <c r="A76" s="339" t="s">
        <v>2839</v>
      </c>
      <c r="C76" s="336" t="s">
        <v>2840</v>
      </c>
    </row>
    <row r="77" ht="14.25" customHeight="1">
      <c r="A77" s="339" t="s">
        <v>2841</v>
      </c>
      <c r="C77" s="336" t="s">
        <v>2842</v>
      </c>
    </row>
    <row r="78" ht="14.25" customHeight="1">
      <c r="A78" s="339" t="s">
        <v>2776</v>
      </c>
      <c r="C78" s="336" t="s">
        <v>2776</v>
      </c>
    </row>
    <row r="79" ht="14.25" customHeight="1">
      <c r="A79" s="339" t="s">
        <v>2843</v>
      </c>
      <c r="C79" s="336" t="s">
        <v>2727</v>
      </c>
    </row>
    <row r="80" ht="14.25" customHeight="1">
      <c r="A80" s="339" t="s">
        <v>2778</v>
      </c>
      <c r="C80" s="336" t="s">
        <v>1547</v>
      </c>
    </row>
    <row r="81" ht="14.25" customHeight="1">
      <c r="A81" s="339" t="s">
        <v>1547</v>
      </c>
      <c r="C81" s="336" t="s">
        <v>2844</v>
      </c>
    </row>
    <row r="82" ht="14.25" customHeight="1">
      <c r="A82" s="339" t="s">
        <v>2845</v>
      </c>
      <c r="C82" s="336" t="s">
        <v>2846</v>
      </c>
    </row>
    <row r="83" ht="14.25" customHeight="1">
      <c r="A83" s="339" t="s">
        <v>2847</v>
      </c>
      <c r="C83" s="336" t="s">
        <v>2848</v>
      </c>
    </row>
    <row r="84" ht="14.25" customHeight="1">
      <c r="A84" s="339" t="s">
        <v>2849</v>
      </c>
      <c r="C84" s="336" t="s">
        <v>2727</v>
      </c>
    </row>
    <row r="85" ht="14.25" customHeight="1">
      <c r="A85" s="339" t="s">
        <v>2850</v>
      </c>
      <c r="C85" s="336" t="s">
        <v>1547</v>
      </c>
    </row>
    <row r="86" ht="14.25" customHeight="1">
      <c r="A86" s="339" t="s">
        <v>2851</v>
      </c>
      <c r="C86" s="336" t="s">
        <v>2852</v>
      </c>
    </row>
    <row r="87" ht="14.25" customHeight="1">
      <c r="A87" s="339" t="s">
        <v>2778</v>
      </c>
      <c r="C87" s="336" t="s">
        <v>2853</v>
      </c>
    </row>
    <row r="88" ht="14.25" customHeight="1">
      <c r="A88" s="339" t="s">
        <v>1547</v>
      </c>
      <c r="C88" s="336" t="s">
        <v>2854</v>
      </c>
    </row>
    <row r="89" ht="14.25" customHeight="1">
      <c r="A89" s="339" t="s">
        <v>2855</v>
      </c>
      <c r="C89" s="336" t="s">
        <v>2856</v>
      </c>
    </row>
    <row r="90" ht="14.25" customHeight="1">
      <c r="A90" s="339" t="s">
        <v>2857</v>
      </c>
      <c r="C90" s="336" t="s">
        <v>2858</v>
      </c>
    </row>
    <row r="91" ht="14.25" customHeight="1">
      <c r="A91" s="339" t="s">
        <v>2859</v>
      </c>
      <c r="C91" s="336" t="s">
        <v>2860</v>
      </c>
    </row>
    <row r="92" ht="14.25" customHeight="1">
      <c r="A92" s="339" t="s">
        <v>2861</v>
      </c>
      <c r="C92" s="336" t="s">
        <v>2862</v>
      </c>
    </row>
    <row r="93" ht="14.25" customHeight="1">
      <c r="A93" s="339" t="s">
        <v>2863</v>
      </c>
      <c r="C93" s="336" t="s">
        <v>2776</v>
      </c>
    </row>
    <row r="94" ht="14.25" customHeight="1">
      <c r="A94" s="339" t="s">
        <v>2778</v>
      </c>
      <c r="C94" s="336" t="s">
        <v>2727</v>
      </c>
    </row>
    <row r="95" ht="14.25" customHeight="1">
      <c r="A95" s="339" t="s">
        <v>1547</v>
      </c>
      <c r="C95" s="336" t="s">
        <v>1547</v>
      </c>
    </row>
    <row r="96" ht="14.25" customHeight="1">
      <c r="A96" s="339" t="s">
        <v>2864</v>
      </c>
      <c r="C96" s="336" t="s">
        <v>2865</v>
      </c>
    </row>
    <row r="97" ht="14.25" customHeight="1">
      <c r="A97" s="339" t="s">
        <v>2866</v>
      </c>
      <c r="C97" s="336" t="s">
        <v>2754</v>
      </c>
    </row>
    <row r="98" ht="14.25" customHeight="1">
      <c r="A98" s="339" t="s">
        <v>2867</v>
      </c>
      <c r="C98" s="336" t="s">
        <v>2727</v>
      </c>
    </row>
    <row r="99" ht="14.25" customHeight="1">
      <c r="A99" s="339" t="s">
        <v>2840</v>
      </c>
      <c r="C99" s="336" t="s">
        <v>2868</v>
      </c>
    </row>
    <row r="100" ht="14.25" customHeight="1">
      <c r="A100" s="339" t="s">
        <v>2869</v>
      </c>
      <c r="C100" s="336" t="s">
        <v>1547</v>
      </c>
    </row>
    <row r="101" ht="14.25" customHeight="1">
      <c r="A101" s="339" t="s">
        <v>2776</v>
      </c>
      <c r="C101" s="336" t="s">
        <v>2870</v>
      </c>
    </row>
    <row r="102" ht="14.25" customHeight="1">
      <c r="A102" s="339" t="s">
        <v>2778</v>
      </c>
      <c r="C102" s="336" t="s">
        <v>2749</v>
      </c>
    </row>
    <row r="103" ht="14.25" customHeight="1">
      <c r="A103" s="339" t="s">
        <v>1547</v>
      </c>
      <c r="C103" s="336" t="s">
        <v>2871</v>
      </c>
    </row>
    <row r="104" ht="14.25" customHeight="1">
      <c r="A104" s="339" t="s">
        <v>2872</v>
      </c>
      <c r="C104" s="336" t="s">
        <v>1547</v>
      </c>
    </row>
    <row r="105" ht="14.25" customHeight="1">
      <c r="A105" s="339" t="s">
        <v>2873</v>
      </c>
      <c r="C105" s="336" t="s">
        <v>2874</v>
      </c>
    </row>
    <row r="106" ht="14.25" customHeight="1">
      <c r="A106" s="339" t="s">
        <v>2875</v>
      </c>
      <c r="C106" s="336" t="s">
        <v>2847</v>
      </c>
    </row>
    <row r="107" ht="14.25" customHeight="1">
      <c r="A107" s="339" t="s">
        <v>2876</v>
      </c>
      <c r="C107" s="336" t="s">
        <v>2877</v>
      </c>
    </row>
    <row r="108" ht="14.25" customHeight="1">
      <c r="A108" s="339" t="s">
        <v>2748</v>
      </c>
      <c r="C108" s="336" t="s">
        <v>2878</v>
      </c>
    </row>
    <row r="109" ht="14.25" customHeight="1">
      <c r="A109" s="339" t="s">
        <v>2879</v>
      </c>
      <c r="C109" s="336" t="s">
        <v>2778</v>
      </c>
    </row>
    <row r="110" ht="14.25" customHeight="1">
      <c r="A110" s="339" t="s">
        <v>2880</v>
      </c>
      <c r="C110" s="336" t="s">
        <v>1547</v>
      </c>
    </row>
    <row r="111" ht="14.25" customHeight="1">
      <c r="A111" s="339" t="s">
        <v>2840</v>
      </c>
      <c r="C111" s="336" t="s">
        <v>2881</v>
      </c>
    </row>
    <row r="112" ht="14.25" customHeight="1">
      <c r="A112" s="339" t="s">
        <v>2882</v>
      </c>
      <c r="C112" s="336" t="s">
        <v>2883</v>
      </c>
    </row>
    <row r="113" ht="14.25" customHeight="1">
      <c r="A113" s="339" t="s">
        <v>2776</v>
      </c>
      <c r="C113" s="336" t="s">
        <v>2884</v>
      </c>
    </row>
    <row r="114" ht="14.25" customHeight="1">
      <c r="A114" s="339" t="s">
        <v>2778</v>
      </c>
      <c r="C114" s="336" t="s">
        <v>2885</v>
      </c>
    </row>
    <row r="115" ht="14.25" customHeight="1">
      <c r="A115" s="339" t="s">
        <v>1547</v>
      </c>
      <c r="C115" s="336" t="s">
        <v>2886</v>
      </c>
    </row>
    <row r="116" ht="14.25" customHeight="1">
      <c r="A116" s="339" t="s">
        <v>2887</v>
      </c>
      <c r="C116" s="336" t="s">
        <v>2888</v>
      </c>
    </row>
    <row r="117" ht="14.25" customHeight="1">
      <c r="A117" s="339" t="s">
        <v>2889</v>
      </c>
      <c r="C117" s="336" t="s">
        <v>2890</v>
      </c>
    </row>
    <row r="118" ht="14.25" customHeight="1">
      <c r="A118" s="339" t="s">
        <v>2891</v>
      </c>
      <c r="C118" s="336" t="s">
        <v>2892</v>
      </c>
    </row>
    <row r="119" ht="14.25" customHeight="1">
      <c r="A119" s="339" t="s">
        <v>2893</v>
      </c>
      <c r="C119" s="336" t="s">
        <v>2894</v>
      </c>
    </row>
    <row r="120" ht="14.25" customHeight="1">
      <c r="A120" s="339" t="s">
        <v>2895</v>
      </c>
      <c r="C120" s="336" t="s">
        <v>2896</v>
      </c>
    </row>
    <row r="121" ht="14.25" customHeight="1">
      <c r="A121" s="339" t="s">
        <v>2897</v>
      </c>
      <c r="C121" s="336" t="s">
        <v>2748</v>
      </c>
    </row>
    <row r="122" ht="14.25" customHeight="1">
      <c r="A122" s="339" t="s">
        <v>2898</v>
      </c>
      <c r="C122" s="336" t="s">
        <v>2899</v>
      </c>
    </row>
    <row r="123" ht="14.25" customHeight="1">
      <c r="A123" s="339" t="s">
        <v>2901</v>
      </c>
      <c r="C123" s="336" t="s">
        <v>2903</v>
      </c>
    </row>
    <row r="124" ht="14.25" customHeight="1">
      <c r="A124" s="339" t="s">
        <v>2905</v>
      </c>
      <c r="C124" s="336" t="s">
        <v>2748</v>
      </c>
    </row>
    <row r="125" ht="14.25" customHeight="1">
      <c r="A125" s="339" t="s">
        <v>2906</v>
      </c>
      <c r="C125" s="336" t="s">
        <v>2907</v>
      </c>
    </row>
    <row r="126" ht="14.25" customHeight="1">
      <c r="A126" s="339" t="s">
        <v>2776</v>
      </c>
      <c r="C126" s="336" t="s">
        <v>2910</v>
      </c>
    </row>
    <row r="127" ht="14.25" customHeight="1">
      <c r="A127" s="339" t="s">
        <v>2911</v>
      </c>
      <c r="C127" s="336" t="s">
        <v>2912</v>
      </c>
    </row>
    <row r="128" ht="14.25" customHeight="1">
      <c r="A128" s="339" t="s">
        <v>2913</v>
      </c>
      <c r="C128" s="336" t="s">
        <v>2914</v>
      </c>
    </row>
    <row r="129" ht="14.25" customHeight="1">
      <c r="A129" s="339" t="s">
        <v>2915</v>
      </c>
      <c r="C129" s="336" t="s">
        <v>2727</v>
      </c>
    </row>
    <row r="130" ht="14.25" customHeight="1">
      <c r="A130" s="339" t="s">
        <v>2916</v>
      </c>
      <c r="C130" s="336" t="s">
        <v>1547</v>
      </c>
    </row>
    <row r="131" ht="14.25" customHeight="1">
      <c r="A131" s="339" t="s">
        <v>2917</v>
      </c>
      <c r="C131" s="336" t="s">
        <v>2918</v>
      </c>
    </row>
    <row r="132" ht="14.25" customHeight="1">
      <c r="A132" s="339" t="s">
        <v>2919</v>
      </c>
      <c r="C132" s="336" t="s">
        <v>2799</v>
      </c>
    </row>
    <row r="133" ht="14.25" customHeight="1">
      <c r="A133" s="339" t="s">
        <v>2746</v>
      </c>
      <c r="C133" s="336" t="s">
        <v>2920</v>
      </c>
    </row>
    <row r="134" ht="14.25" customHeight="1">
      <c r="A134" s="339" t="s">
        <v>2776</v>
      </c>
      <c r="C134" s="336" t="s">
        <v>2727</v>
      </c>
    </row>
    <row r="135" ht="14.25" customHeight="1">
      <c r="A135" s="339" t="s">
        <v>2921</v>
      </c>
      <c r="C135" s="336" t="s">
        <v>1547</v>
      </c>
    </row>
    <row r="136" ht="14.25" customHeight="1">
      <c r="A136" s="339" t="s">
        <v>2922</v>
      </c>
      <c r="C136" s="336" t="s">
        <v>2923</v>
      </c>
    </row>
    <row r="137" ht="14.25" customHeight="1">
      <c r="A137" s="339" t="s">
        <v>2924</v>
      </c>
      <c r="C137" s="336" t="s">
        <v>2925</v>
      </c>
    </row>
    <row r="138" ht="14.25" customHeight="1">
      <c r="A138" s="339" t="s">
        <v>2926</v>
      </c>
      <c r="C138" s="336" t="s">
        <v>2927</v>
      </c>
    </row>
    <row r="139" ht="14.25" customHeight="1">
      <c r="A139" s="339" t="s">
        <v>2928</v>
      </c>
      <c r="C139" s="336" t="s">
        <v>2929</v>
      </c>
    </row>
    <row r="140" ht="14.25" customHeight="1">
      <c r="A140" s="339" t="s">
        <v>2930</v>
      </c>
      <c r="C140" s="336" t="s">
        <v>2931</v>
      </c>
    </row>
    <row r="141" ht="14.25" customHeight="1">
      <c r="A141" s="339" t="s">
        <v>2932</v>
      </c>
      <c r="C141" s="336" t="s">
        <v>2933</v>
      </c>
    </row>
    <row r="142" ht="14.25" customHeight="1">
      <c r="A142" s="339" t="s">
        <v>2934</v>
      </c>
      <c r="C142" s="336" t="s">
        <v>2886</v>
      </c>
    </row>
    <row r="143" ht="14.25" customHeight="1">
      <c r="A143" s="339" t="s">
        <v>2839</v>
      </c>
      <c r="C143" s="336" t="s">
        <v>2935</v>
      </c>
    </row>
    <row r="144" ht="14.25" customHeight="1">
      <c r="A144" s="339" t="s">
        <v>2936</v>
      </c>
      <c r="C144" s="336" t="s">
        <v>2937</v>
      </c>
    </row>
    <row r="145" ht="14.25" customHeight="1">
      <c r="A145" s="339" t="s">
        <v>2776</v>
      </c>
      <c r="C145" s="336" t="s">
        <v>2938</v>
      </c>
    </row>
    <row r="146" ht="14.25" customHeight="1">
      <c r="A146" s="339" t="s">
        <v>2727</v>
      </c>
      <c r="C146" s="336" t="s">
        <v>2939</v>
      </c>
    </row>
    <row r="147" ht="14.25" customHeight="1">
      <c r="A147" s="339" t="s">
        <v>1547</v>
      </c>
      <c r="C147" s="336" t="s">
        <v>2940</v>
      </c>
    </row>
    <row r="148" ht="14.25" customHeight="1">
      <c r="A148" s="339" t="s">
        <v>2941</v>
      </c>
      <c r="C148" s="336" t="s">
        <v>2942</v>
      </c>
    </row>
    <row r="149" ht="14.25" customHeight="1">
      <c r="A149" s="339" t="s">
        <v>2943</v>
      </c>
      <c r="C149" s="336" t="s">
        <v>2944</v>
      </c>
    </row>
    <row r="150" ht="14.25" customHeight="1">
      <c r="A150" s="339" t="s">
        <v>2945</v>
      </c>
      <c r="C150" s="336" t="s">
        <v>2946</v>
      </c>
    </row>
    <row r="151" ht="14.25" customHeight="1">
      <c r="A151" s="339" t="s">
        <v>2947</v>
      </c>
      <c r="C151" s="336" t="s">
        <v>2892</v>
      </c>
    </row>
    <row r="152" ht="14.25" customHeight="1">
      <c r="A152" s="339" t="s">
        <v>2891</v>
      </c>
      <c r="C152" s="336" t="s">
        <v>2948</v>
      </c>
    </row>
    <row r="153" ht="14.25" customHeight="1">
      <c r="A153" s="339" t="s">
        <v>2949</v>
      </c>
      <c r="C153" s="336" t="s">
        <v>2950</v>
      </c>
    </row>
    <row r="154" ht="14.25" customHeight="1">
      <c r="A154" s="339" t="s">
        <v>2898</v>
      </c>
      <c r="C154" s="336" t="s">
        <v>2951</v>
      </c>
    </row>
    <row r="155" ht="14.25" customHeight="1">
      <c r="A155" s="339" t="s">
        <v>2952</v>
      </c>
      <c r="C155" s="336" t="s">
        <v>2840</v>
      </c>
    </row>
    <row r="156" ht="14.25" customHeight="1">
      <c r="A156" s="339" t="s">
        <v>2727</v>
      </c>
      <c r="C156" s="336" t="s">
        <v>2953</v>
      </c>
    </row>
    <row r="157" ht="14.25" customHeight="1">
      <c r="A157" s="339" t="s">
        <v>1547</v>
      </c>
      <c r="C157" s="336" t="s">
        <v>2776</v>
      </c>
    </row>
    <row r="158" ht="14.25" customHeight="1">
      <c r="A158" s="339" t="s">
        <v>2954</v>
      </c>
      <c r="C158" s="336" t="s">
        <v>2955</v>
      </c>
    </row>
    <row r="159" ht="14.25" customHeight="1">
      <c r="A159" s="339" t="s">
        <v>2956</v>
      </c>
      <c r="C159" s="336" t="s">
        <v>2914</v>
      </c>
    </row>
    <row r="160" ht="14.25" customHeight="1">
      <c r="A160" s="339" t="s">
        <v>2957</v>
      </c>
      <c r="C160" s="336" t="s">
        <v>2727</v>
      </c>
    </row>
    <row r="161" ht="14.25" customHeight="1">
      <c r="A161" s="339" t="s">
        <v>2958</v>
      </c>
      <c r="C161" s="336" t="s">
        <v>1547</v>
      </c>
    </row>
    <row r="162" ht="14.25" customHeight="1">
      <c r="A162" s="339" t="s">
        <v>2959</v>
      </c>
      <c r="C162" s="336" t="s">
        <v>2960</v>
      </c>
    </row>
    <row r="163" ht="14.25" customHeight="1">
      <c r="A163" s="339" t="s">
        <v>2961</v>
      </c>
      <c r="C163" s="336" t="s">
        <v>2962</v>
      </c>
    </row>
    <row r="164" ht="14.25" customHeight="1">
      <c r="A164" s="339" t="s">
        <v>2963</v>
      </c>
      <c r="C164" s="336" t="s">
        <v>2964</v>
      </c>
    </row>
    <row r="165" ht="14.25" customHeight="1">
      <c r="A165" s="339" t="s">
        <v>2965</v>
      </c>
      <c r="C165" s="336" t="s">
        <v>2966</v>
      </c>
    </row>
    <row r="166" ht="14.25" customHeight="1">
      <c r="A166" s="339" t="s">
        <v>2967</v>
      </c>
      <c r="C166" s="336" t="s">
        <v>2968</v>
      </c>
    </row>
    <row r="167" ht="14.25" customHeight="1">
      <c r="A167" s="339" t="s">
        <v>2969</v>
      </c>
      <c r="C167" s="336" t="s">
        <v>2970</v>
      </c>
    </row>
    <row r="168" ht="14.25" customHeight="1">
      <c r="A168" s="339" t="s">
        <v>2971</v>
      </c>
      <c r="C168" s="336" t="s">
        <v>2972</v>
      </c>
    </row>
    <row r="169" ht="14.25" customHeight="1">
      <c r="A169" s="339" t="s">
        <v>2776</v>
      </c>
      <c r="C169" s="336" t="s">
        <v>2973</v>
      </c>
    </row>
    <row r="170" ht="14.25" customHeight="1">
      <c r="A170" s="339" t="s">
        <v>2974</v>
      </c>
      <c r="C170" s="336" t="s">
        <v>2746</v>
      </c>
    </row>
    <row r="171" ht="14.25" customHeight="1">
      <c r="A171" s="339" t="s">
        <v>2975</v>
      </c>
      <c r="C171" s="336" t="s">
        <v>2776</v>
      </c>
    </row>
    <row r="172" ht="14.25" customHeight="1">
      <c r="A172" s="339" t="s">
        <v>2976</v>
      </c>
      <c r="C172" s="336" t="s">
        <v>2914</v>
      </c>
    </row>
    <row r="173" ht="14.25" customHeight="1">
      <c r="A173" s="339" t="s">
        <v>2977</v>
      </c>
      <c r="C173" s="336" t="s">
        <v>2727</v>
      </c>
    </row>
    <row r="174" ht="14.25" customHeight="1">
      <c r="A174" s="339" t="s">
        <v>2978</v>
      </c>
      <c r="C174" s="336" t="s">
        <v>1547</v>
      </c>
    </row>
    <row r="175" ht="14.25" customHeight="1">
      <c r="A175" s="339" t="s">
        <v>2979</v>
      </c>
      <c r="C175" s="336" t="s">
        <v>2980</v>
      </c>
    </row>
    <row r="176" ht="14.25" customHeight="1">
      <c r="A176" s="339" t="s">
        <v>2981</v>
      </c>
      <c r="C176" s="336" t="s">
        <v>2982</v>
      </c>
    </row>
    <row r="177" ht="14.25" customHeight="1">
      <c r="A177" s="339" t="s">
        <v>2983</v>
      </c>
      <c r="C177" s="336" t="s">
        <v>2727</v>
      </c>
    </row>
    <row r="178" ht="14.25" customHeight="1">
      <c r="A178" s="339" t="s">
        <v>2984</v>
      </c>
      <c r="C178" s="336" t="s">
        <v>1547</v>
      </c>
    </row>
    <row r="179" ht="14.25" customHeight="1">
      <c r="A179" s="339" t="s">
        <v>2985</v>
      </c>
      <c r="C179" s="336" t="s">
        <v>2986</v>
      </c>
    </row>
    <row r="180" ht="14.25" customHeight="1">
      <c r="A180" s="339" t="s">
        <v>2987</v>
      </c>
      <c r="C180" s="336" t="s">
        <v>2988</v>
      </c>
    </row>
    <row r="181" ht="14.25" customHeight="1">
      <c r="A181" s="339" t="s">
        <v>2727</v>
      </c>
      <c r="C181" s="336" t="s">
        <v>2727</v>
      </c>
    </row>
    <row r="182" ht="14.25" customHeight="1">
      <c r="A182" s="339" t="s">
        <v>1547</v>
      </c>
      <c r="C182" s="336" t="s">
        <v>1547</v>
      </c>
    </row>
    <row r="183" ht="14.25" customHeight="1">
      <c r="A183" s="339" t="s">
        <v>2989</v>
      </c>
      <c r="C183" s="336" t="s">
        <v>2990</v>
      </c>
    </row>
    <row r="184" ht="14.25" customHeight="1">
      <c r="A184" s="339" t="s">
        <v>2957</v>
      </c>
      <c r="C184" s="336" t="s">
        <v>2991</v>
      </c>
    </row>
    <row r="185" ht="14.25" customHeight="1">
      <c r="A185" s="339" t="s">
        <v>2992</v>
      </c>
      <c r="C185" s="336" t="s">
        <v>2727</v>
      </c>
    </row>
    <row r="186" ht="14.25" customHeight="1">
      <c r="A186" s="339" t="s">
        <v>2959</v>
      </c>
      <c r="C186" s="336" t="s">
        <v>1547</v>
      </c>
    </row>
    <row r="187" ht="14.25" customHeight="1">
      <c r="A187" s="339" t="s">
        <v>2993</v>
      </c>
      <c r="C187" s="336" t="s">
        <v>2994</v>
      </c>
    </row>
    <row r="188" ht="14.25" customHeight="1">
      <c r="A188" s="339" t="s">
        <v>2996</v>
      </c>
      <c r="C188" s="336" t="s">
        <v>2997</v>
      </c>
    </row>
    <row r="189" ht="14.25" customHeight="1">
      <c r="A189" s="339" t="s">
        <v>2965</v>
      </c>
      <c r="C189" s="336" t="s">
        <v>2727</v>
      </c>
    </row>
    <row r="190" ht="14.25" customHeight="1">
      <c r="A190" s="339" t="s">
        <v>2999</v>
      </c>
      <c r="C190" s="336" t="s">
        <v>1547</v>
      </c>
    </row>
    <row r="191" ht="14.25" customHeight="1">
      <c r="A191" s="339" t="s">
        <v>3000</v>
      </c>
      <c r="C191" s="336" t="s">
        <v>3002</v>
      </c>
    </row>
    <row r="192" ht="14.25" customHeight="1">
      <c r="A192" s="339" t="s">
        <v>3003</v>
      </c>
      <c r="C192" s="336" t="s">
        <v>3005</v>
      </c>
    </row>
    <row r="193" ht="14.25" customHeight="1">
      <c r="A193" s="339" t="s">
        <v>3007</v>
      </c>
      <c r="C193" s="336" t="s">
        <v>2727</v>
      </c>
    </row>
    <row r="194" ht="14.25" customHeight="1">
      <c r="A194" s="339" t="s">
        <v>3011</v>
      </c>
      <c r="C194" s="336" t="s">
        <v>1547</v>
      </c>
    </row>
    <row r="195" ht="14.25" customHeight="1">
      <c r="A195" s="339" t="s">
        <v>3015</v>
      </c>
      <c r="C195" s="336" t="s">
        <v>3016</v>
      </c>
    </row>
    <row r="196" ht="14.25" customHeight="1">
      <c r="A196" s="339" t="s">
        <v>3018</v>
      </c>
      <c r="C196" s="336" t="s">
        <v>2914</v>
      </c>
    </row>
    <row r="197" ht="14.25" customHeight="1">
      <c r="A197" s="339" t="s">
        <v>3020</v>
      </c>
      <c r="C197" s="336" t="s">
        <v>2727</v>
      </c>
    </row>
    <row r="198" ht="14.25" customHeight="1">
      <c r="A198" s="339" t="s">
        <v>2971</v>
      </c>
      <c r="C198" s="336" t="s">
        <v>1547</v>
      </c>
    </row>
    <row r="199" ht="14.25" customHeight="1">
      <c r="A199" s="339" t="s">
        <v>2776</v>
      </c>
      <c r="C199" s="336" t="s">
        <v>3022</v>
      </c>
    </row>
    <row r="200" ht="14.25" customHeight="1">
      <c r="A200" s="339" t="s">
        <v>2984</v>
      </c>
      <c r="C200" s="336" t="s">
        <v>2914</v>
      </c>
    </row>
    <row r="201" ht="14.25" customHeight="1">
      <c r="A201" s="339" t="s">
        <v>3023</v>
      </c>
      <c r="C201" s="336" t="s">
        <v>2727</v>
      </c>
    </row>
    <row r="202" ht="14.25" customHeight="1">
      <c r="A202" s="339" t="s">
        <v>2891</v>
      </c>
      <c r="C202" s="336" t="s">
        <v>1547</v>
      </c>
    </row>
    <row r="203" ht="14.25" customHeight="1">
      <c r="A203" s="339" t="s">
        <v>2893</v>
      </c>
      <c r="C203" s="336" t="s">
        <v>3024</v>
      </c>
    </row>
    <row r="204" ht="14.25" customHeight="1">
      <c r="A204" s="339" t="s">
        <v>3025</v>
      </c>
      <c r="C204" s="336" t="s">
        <v>2914</v>
      </c>
    </row>
    <row r="205" ht="14.25" customHeight="1">
      <c r="A205" s="339" t="s">
        <v>3026</v>
      </c>
      <c r="C205" s="336" t="s">
        <v>2727</v>
      </c>
    </row>
    <row r="206" ht="14.25" customHeight="1">
      <c r="A206" s="339" t="s">
        <v>3027</v>
      </c>
      <c r="C206" s="336" t="s">
        <v>1547</v>
      </c>
    </row>
    <row r="207" ht="14.25" customHeight="1">
      <c r="A207" s="339" t="s">
        <v>2898</v>
      </c>
      <c r="C207" s="336" t="s">
        <v>3028</v>
      </c>
    </row>
    <row r="208" ht="14.25" customHeight="1">
      <c r="A208" s="339" t="s">
        <v>3029</v>
      </c>
      <c r="C208" s="336" t="s">
        <v>2914</v>
      </c>
    </row>
    <row r="209" ht="14.25" customHeight="1">
      <c r="A209" s="339" t="s">
        <v>3032</v>
      </c>
      <c r="C209" s="336" t="s">
        <v>2727</v>
      </c>
    </row>
    <row r="210" ht="14.25" customHeight="1">
      <c r="A210" s="339" t="s">
        <v>3034</v>
      </c>
      <c r="C210" s="336" t="s">
        <v>1547</v>
      </c>
    </row>
    <row r="211" ht="14.25" customHeight="1">
      <c r="A211" s="339" t="s">
        <v>2840</v>
      </c>
      <c r="C211" s="336" t="s">
        <v>3037</v>
      </c>
    </row>
    <row r="212" ht="14.25" customHeight="1">
      <c r="A212" s="339" t="s">
        <v>3038</v>
      </c>
      <c r="C212" s="336" t="s">
        <v>2914</v>
      </c>
    </row>
    <row r="213" ht="14.25" customHeight="1">
      <c r="A213" s="339" t="s">
        <v>2776</v>
      </c>
      <c r="C213" s="336" t="s">
        <v>2727</v>
      </c>
    </row>
    <row r="214" ht="14.25" customHeight="1">
      <c r="A214" s="339" t="s">
        <v>2727</v>
      </c>
      <c r="C214" s="336" t="s">
        <v>1547</v>
      </c>
    </row>
    <row r="215" ht="14.25" customHeight="1">
      <c r="A215" s="339" t="s">
        <v>1547</v>
      </c>
      <c r="C215" s="336" t="s">
        <v>3039</v>
      </c>
    </row>
    <row r="216" ht="14.25" customHeight="1">
      <c r="A216" s="339" t="s">
        <v>3040</v>
      </c>
      <c r="C216" s="336" t="s">
        <v>2914</v>
      </c>
    </row>
    <row r="217" ht="14.25" customHeight="1">
      <c r="A217" s="339" t="s">
        <v>2956</v>
      </c>
      <c r="C217" s="336" t="s">
        <v>2727</v>
      </c>
    </row>
    <row r="218" ht="14.25" customHeight="1">
      <c r="A218" s="339" t="s">
        <v>2957</v>
      </c>
      <c r="C218" s="336" t="s">
        <v>1547</v>
      </c>
    </row>
    <row r="219" ht="14.25" customHeight="1">
      <c r="A219" s="339" t="s">
        <v>3041</v>
      </c>
      <c r="C219" s="336" t="s">
        <v>3042</v>
      </c>
    </row>
    <row r="220" ht="14.25" customHeight="1">
      <c r="A220" s="339" t="s">
        <v>2959</v>
      </c>
      <c r="C220" s="336" t="s">
        <v>3043</v>
      </c>
    </row>
    <row r="221" ht="14.25" customHeight="1">
      <c r="A221" s="339" t="s">
        <v>3044</v>
      </c>
      <c r="C221" s="336" t="s">
        <v>2914</v>
      </c>
    </row>
    <row r="222" ht="14.25" customHeight="1">
      <c r="A222" s="339" t="s">
        <v>3045</v>
      </c>
      <c r="C222" s="336" t="s">
        <v>2727</v>
      </c>
    </row>
    <row r="223" ht="14.25" customHeight="1">
      <c r="A223" s="339" t="s">
        <v>2965</v>
      </c>
      <c r="C223" s="336" t="s">
        <v>1547</v>
      </c>
    </row>
    <row r="224" ht="14.25" customHeight="1">
      <c r="A224" s="339" t="s">
        <v>3046</v>
      </c>
      <c r="C224" s="336" t="s">
        <v>3047</v>
      </c>
    </row>
    <row r="225" ht="14.25" customHeight="1">
      <c r="A225" s="339" t="s">
        <v>3048</v>
      </c>
      <c r="C225" s="336" t="s">
        <v>3049</v>
      </c>
    </row>
    <row r="226" ht="14.25" customHeight="1">
      <c r="A226" s="339" t="s">
        <v>3050</v>
      </c>
      <c r="C226" s="336" t="s">
        <v>2912</v>
      </c>
    </row>
    <row r="227" ht="14.25" customHeight="1">
      <c r="A227" s="339" t="s">
        <v>2971</v>
      </c>
      <c r="C227" s="336" t="s">
        <v>3051</v>
      </c>
    </row>
    <row r="228" ht="14.25" customHeight="1">
      <c r="A228" s="339" t="s">
        <v>2776</v>
      </c>
      <c r="C228" s="336" t="s">
        <v>3052</v>
      </c>
    </row>
    <row r="229" ht="14.25" customHeight="1">
      <c r="A229" s="339" t="s">
        <v>3011</v>
      </c>
      <c r="C229" s="336" t="s">
        <v>3053</v>
      </c>
    </row>
    <row r="230" ht="14.25" customHeight="1">
      <c r="A230" s="339" t="s">
        <v>3054</v>
      </c>
      <c r="C230" s="336" t="s">
        <v>3055</v>
      </c>
    </row>
    <row r="231" ht="14.25" customHeight="1">
      <c r="A231" s="339" t="s">
        <v>3018</v>
      </c>
      <c r="C231" s="336" t="s">
        <v>3056</v>
      </c>
    </row>
    <row r="232" ht="14.25" customHeight="1">
      <c r="A232" s="339" t="s">
        <v>3057</v>
      </c>
      <c r="C232" s="336" t="s">
        <v>3058</v>
      </c>
    </row>
    <row r="233" ht="14.25" customHeight="1">
      <c r="A233" s="339" t="s">
        <v>2971</v>
      </c>
      <c r="C233" s="336" t="s">
        <v>3059</v>
      </c>
    </row>
    <row r="234" ht="14.25" customHeight="1">
      <c r="A234" s="339" t="s">
        <v>2776</v>
      </c>
      <c r="C234" s="336" t="s">
        <v>3060</v>
      </c>
    </row>
    <row r="235" ht="14.25" customHeight="1">
      <c r="A235" s="339" t="s">
        <v>2974</v>
      </c>
      <c r="C235" s="336" t="s">
        <v>3059</v>
      </c>
    </row>
    <row r="236" ht="14.25" customHeight="1">
      <c r="A236" s="339" t="s">
        <v>3061</v>
      </c>
      <c r="C236" s="336" t="s">
        <v>3062</v>
      </c>
    </row>
    <row r="237" ht="14.25" customHeight="1">
      <c r="A237" s="339" t="s">
        <v>3063</v>
      </c>
      <c r="C237" s="336" t="s">
        <v>3064</v>
      </c>
    </row>
    <row r="238" ht="14.25" customHeight="1">
      <c r="A238" s="339" t="s">
        <v>3065</v>
      </c>
      <c r="C238" s="336" t="s">
        <v>3066</v>
      </c>
    </row>
    <row r="239" ht="14.25" customHeight="1">
      <c r="A239" s="339" t="s">
        <v>2727</v>
      </c>
      <c r="C239" s="336" t="s">
        <v>3067</v>
      </c>
    </row>
    <row r="240" ht="14.25" customHeight="1">
      <c r="A240" s="339" t="s">
        <v>1547</v>
      </c>
      <c r="C240" s="336" t="s">
        <v>3068</v>
      </c>
    </row>
    <row r="241" ht="14.25" customHeight="1">
      <c r="A241" s="339" t="s">
        <v>3069</v>
      </c>
      <c r="C241" s="336" t="s">
        <v>3070</v>
      </c>
    </row>
    <row r="242" ht="14.25" customHeight="1">
      <c r="A242" s="339" t="s">
        <v>2956</v>
      </c>
      <c r="C242" s="336" t="s">
        <v>3071</v>
      </c>
    </row>
    <row r="243" ht="14.25" customHeight="1">
      <c r="A243" s="339" t="s">
        <v>2957</v>
      </c>
      <c r="C243" s="336" t="s">
        <v>3072</v>
      </c>
    </row>
    <row r="244" ht="14.25" customHeight="1">
      <c r="A244" s="339" t="s">
        <v>3074</v>
      </c>
      <c r="C244" s="336" t="s">
        <v>2746</v>
      </c>
    </row>
    <row r="245" ht="14.25" customHeight="1">
      <c r="A245" s="339" t="s">
        <v>2959</v>
      </c>
      <c r="C245" s="336" t="s">
        <v>2892</v>
      </c>
    </row>
    <row r="246" ht="14.25" customHeight="1">
      <c r="A246" s="339" t="s">
        <v>3076</v>
      </c>
      <c r="C246" s="336" t="s">
        <v>3077</v>
      </c>
    </row>
    <row r="247" ht="14.25" customHeight="1">
      <c r="A247" s="339" t="s">
        <v>3078</v>
      </c>
      <c r="C247" s="336" t="s">
        <v>3079</v>
      </c>
    </row>
    <row r="248" ht="14.25" customHeight="1">
      <c r="A248" s="339" t="s">
        <v>2965</v>
      </c>
      <c r="C248" s="336" t="s">
        <v>2727</v>
      </c>
    </row>
    <row r="249" ht="14.25" customHeight="1">
      <c r="A249" s="339" t="s">
        <v>3046</v>
      </c>
      <c r="C249" s="336" t="s">
        <v>1547</v>
      </c>
    </row>
    <row r="250" ht="14.25" customHeight="1">
      <c r="A250" s="339" t="s">
        <v>3082</v>
      </c>
      <c r="C250" s="336" t="s">
        <v>3083</v>
      </c>
    </row>
    <row r="251" ht="14.25" customHeight="1">
      <c r="A251" s="339" t="s">
        <v>3003</v>
      </c>
      <c r="C251" s="336" t="s">
        <v>3084</v>
      </c>
    </row>
    <row r="252" ht="14.25" customHeight="1">
      <c r="A252" s="339" t="s">
        <v>3011</v>
      </c>
      <c r="C252" s="336" t="s">
        <v>2886</v>
      </c>
    </row>
    <row r="253" ht="14.25" customHeight="1">
      <c r="A253" s="339" t="s">
        <v>3015</v>
      </c>
      <c r="C253" s="336" t="s">
        <v>3085</v>
      </c>
    </row>
    <row r="254" ht="14.25" customHeight="1">
      <c r="A254" s="339" t="s">
        <v>3018</v>
      </c>
      <c r="C254" s="336" t="s">
        <v>3086</v>
      </c>
    </row>
    <row r="255" ht="14.25" customHeight="1">
      <c r="A255" s="339" t="s">
        <v>3057</v>
      </c>
      <c r="C255" s="336" t="s">
        <v>3087</v>
      </c>
    </row>
    <row r="256" ht="14.25" customHeight="1">
      <c r="A256" s="339" t="s">
        <v>2971</v>
      </c>
      <c r="C256" s="336" t="s">
        <v>3088</v>
      </c>
    </row>
    <row r="257" ht="14.25" customHeight="1">
      <c r="A257" s="339" t="s">
        <v>2776</v>
      </c>
      <c r="C257" s="336" t="s">
        <v>3089</v>
      </c>
    </row>
    <row r="258" ht="14.25" customHeight="1">
      <c r="A258" s="339" t="s">
        <v>3090</v>
      </c>
      <c r="C258" s="336" t="s">
        <v>3091</v>
      </c>
    </row>
    <row r="259" ht="14.25" customHeight="1">
      <c r="A259" s="339" t="s">
        <v>3092</v>
      </c>
      <c r="C259" s="336" t="s">
        <v>3093</v>
      </c>
    </row>
    <row r="260" ht="14.25" customHeight="1">
      <c r="A260" s="339" t="s">
        <v>3094</v>
      </c>
      <c r="C260" s="336" t="s">
        <v>3095</v>
      </c>
    </row>
    <row r="261" ht="14.25" customHeight="1">
      <c r="A261" s="339" t="s">
        <v>2791</v>
      </c>
      <c r="C261" s="336" t="s">
        <v>3096</v>
      </c>
    </row>
    <row r="262" ht="14.25" customHeight="1">
      <c r="A262" s="339" t="s">
        <v>3097</v>
      </c>
      <c r="C262" s="336" t="s">
        <v>3098</v>
      </c>
    </row>
    <row r="263" ht="14.25" customHeight="1">
      <c r="A263" s="339" t="s">
        <v>3099</v>
      </c>
      <c r="C263" s="336" t="s">
        <v>2839</v>
      </c>
    </row>
    <row r="264" ht="14.25" customHeight="1">
      <c r="A264" s="339" t="s">
        <v>3100</v>
      </c>
      <c r="C264" s="336" t="s">
        <v>3101</v>
      </c>
    </row>
    <row r="265" ht="14.25" customHeight="1">
      <c r="A265" s="339" t="s">
        <v>2746</v>
      </c>
      <c r="C265" s="336" t="s">
        <v>3102</v>
      </c>
    </row>
    <row r="266" ht="14.25" customHeight="1">
      <c r="A266" s="339" t="s">
        <v>2776</v>
      </c>
      <c r="C266" s="336" t="s">
        <v>3103</v>
      </c>
    </row>
    <row r="267" ht="14.25" customHeight="1">
      <c r="A267" s="339" t="s">
        <v>3104</v>
      </c>
      <c r="C267" s="336" t="s">
        <v>2917</v>
      </c>
    </row>
    <row r="268" ht="14.25" customHeight="1">
      <c r="A268" s="339" t="s">
        <v>3105</v>
      </c>
      <c r="C268" s="336" t="s">
        <v>3106</v>
      </c>
    </row>
    <row r="269" ht="14.25" customHeight="1">
      <c r="A269" s="339" t="s">
        <v>2984</v>
      </c>
      <c r="C269" s="336" t="s">
        <v>2746</v>
      </c>
    </row>
    <row r="270" ht="14.25" customHeight="1">
      <c r="A270" s="339" t="s">
        <v>3107</v>
      </c>
      <c r="C270" s="336" t="s">
        <v>2892</v>
      </c>
    </row>
    <row r="271" ht="14.25" customHeight="1">
      <c r="A271" s="339" t="s">
        <v>2727</v>
      </c>
      <c r="C271" s="336" t="s">
        <v>3108</v>
      </c>
    </row>
    <row r="272" ht="14.25" customHeight="1">
      <c r="A272" s="339" t="s">
        <v>1547</v>
      </c>
      <c r="C272" s="336" t="s">
        <v>3109</v>
      </c>
    </row>
    <row r="273" ht="14.25" customHeight="1">
      <c r="A273" s="339" t="s">
        <v>3110</v>
      </c>
      <c r="C273" s="336" t="s">
        <v>3111</v>
      </c>
    </row>
    <row r="274" ht="14.25" customHeight="1">
      <c r="A274" s="339" t="s">
        <v>2957</v>
      </c>
      <c r="C274" s="336" t="s">
        <v>3112</v>
      </c>
    </row>
    <row r="275" ht="14.25" customHeight="1">
      <c r="A275" s="339" t="s">
        <v>2959</v>
      </c>
      <c r="C275" s="336" t="s">
        <v>3113</v>
      </c>
    </row>
    <row r="276" ht="14.25" customHeight="1">
      <c r="A276" s="339" t="s">
        <v>3114</v>
      </c>
      <c r="C276" s="336" t="s">
        <v>3115</v>
      </c>
    </row>
    <row r="277" ht="14.25" customHeight="1">
      <c r="A277" s="339" t="s">
        <v>3116</v>
      </c>
      <c r="C277" s="336" t="s">
        <v>3117</v>
      </c>
    </row>
    <row r="278" ht="14.25" customHeight="1">
      <c r="A278" s="339" t="s">
        <v>3118</v>
      </c>
      <c r="C278" s="336" t="s">
        <v>3119</v>
      </c>
    </row>
    <row r="279" ht="14.25" customHeight="1">
      <c r="A279" s="339" t="s">
        <v>2727</v>
      </c>
      <c r="C279" s="336" t="s">
        <v>3120</v>
      </c>
    </row>
    <row r="280" ht="14.25" customHeight="1">
      <c r="A280" s="339" t="s">
        <v>1547</v>
      </c>
      <c r="C280" s="336" t="s">
        <v>3121</v>
      </c>
    </row>
    <row r="281" ht="14.25" customHeight="1">
      <c r="A281" s="339" t="s">
        <v>3122</v>
      </c>
      <c r="C281" s="336" t="s">
        <v>3123</v>
      </c>
    </row>
    <row r="282" ht="14.25" customHeight="1">
      <c r="A282" s="339" t="s">
        <v>3124</v>
      </c>
      <c r="C282" s="336" t="s">
        <v>3125</v>
      </c>
    </row>
    <row r="283" ht="14.25" customHeight="1">
      <c r="A283" s="339" t="s">
        <v>2959</v>
      </c>
      <c r="C283" s="336" t="s">
        <v>3126</v>
      </c>
    </row>
    <row r="284" ht="14.25" customHeight="1">
      <c r="A284" s="339" t="s">
        <v>2965</v>
      </c>
      <c r="C284" s="336" t="s">
        <v>3127</v>
      </c>
    </row>
    <row r="285" ht="14.25" customHeight="1">
      <c r="A285" s="339" t="s">
        <v>3011</v>
      </c>
      <c r="C285" s="336" t="s">
        <v>3128</v>
      </c>
    </row>
    <row r="286" ht="14.25" customHeight="1">
      <c r="A286" s="339" t="s">
        <v>3129</v>
      </c>
      <c r="C286" s="336" t="s">
        <v>2840</v>
      </c>
    </row>
    <row r="287" ht="14.25" customHeight="1">
      <c r="A287" s="339" t="s">
        <v>3130</v>
      </c>
      <c r="C287" s="336" t="s">
        <v>3131</v>
      </c>
    </row>
    <row r="288" ht="14.25" customHeight="1">
      <c r="A288" s="339" t="s">
        <v>2727</v>
      </c>
      <c r="C288" s="336" t="s">
        <v>3132</v>
      </c>
    </row>
    <row r="289" ht="14.25" customHeight="1">
      <c r="A289" s="339" t="s">
        <v>1547</v>
      </c>
      <c r="C289" s="336" t="s">
        <v>2776</v>
      </c>
    </row>
    <row r="290" ht="14.25" customHeight="1">
      <c r="A290" s="339" t="s">
        <v>3133</v>
      </c>
      <c r="C290" s="336" t="s">
        <v>3134</v>
      </c>
    </row>
    <row r="291" ht="14.25" customHeight="1">
      <c r="A291" s="339" t="s">
        <v>3135</v>
      </c>
      <c r="C291" s="336" t="s">
        <v>3136</v>
      </c>
    </row>
    <row r="292" ht="14.25" customHeight="1">
      <c r="A292" s="339" t="s">
        <v>2959</v>
      </c>
      <c r="C292" s="336" t="s">
        <v>2778</v>
      </c>
    </row>
    <row r="293" ht="14.25" customHeight="1">
      <c r="A293" s="339" t="s">
        <v>3046</v>
      </c>
      <c r="C293" s="336" t="s">
        <v>1547</v>
      </c>
    </row>
    <row r="294" ht="14.25" customHeight="1">
      <c r="A294" s="339" t="s">
        <v>3137</v>
      </c>
      <c r="C294" s="336" t="s">
        <v>3138</v>
      </c>
    </row>
    <row r="295" ht="14.25" customHeight="1">
      <c r="A295" s="339" t="s">
        <v>2779</v>
      </c>
      <c r="C295" s="336" t="s">
        <v>3139</v>
      </c>
    </row>
    <row r="296" ht="14.25" customHeight="1">
      <c r="A296" s="339" t="s">
        <v>3140</v>
      </c>
      <c r="C296" s="336" t="s">
        <v>3141</v>
      </c>
    </row>
    <row r="297" ht="14.25" customHeight="1">
      <c r="A297" s="339" t="s">
        <v>3142</v>
      </c>
      <c r="C297" s="336" t="s">
        <v>3143</v>
      </c>
    </row>
    <row r="298" ht="14.25" customHeight="1">
      <c r="A298" s="339" t="s">
        <v>3144</v>
      </c>
      <c r="C298" s="336" t="s">
        <v>3145</v>
      </c>
    </row>
    <row r="299" ht="14.25" customHeight="1">
      <c r="A299" s="339" t="s">
        <v>3146</v>
      </c>
      <c r="C299" s="336" t="s">
        <v>3147</v>
      </c>
    </row>
    <row r="300" ht="14.25" customHeight="1">
      <c r="A300" s="339" t="s">
        <v>3148</v>
      </c>
      <c r="C300" s="336" t="s">
        <v>3149</v>
      </c>
    </row>
    <row r="301" ht="14.25" customHeight="1">
      <c r="A301" s="339" t="s">
        <v>3150</v>
      </c>
      <c r="C301" s="336" t="s">
        <v>3151</v>
      </c>
    </row>
    <row r="302" ht="14.25" customHeight="1">
      <c r="A302" s="339" t="s">
        <v>3152</v>
      </c>
      <c r="C302" s="336" t="s">
        <v>3153</v>
      </c>
    </row>
    <row r="303" ht="14.25" customHeight="1">
      <c r="A303" s="339" t="s">
        <v>3154</v>
      </c>
      <c r="C303" s="336" t="s">
        <v>3155</v>
      </c>
    </row>
    <row r="304" ht="14.25" customHeight="1">
      <c r="A304" s="339" t="s">
        <v>3156</v>
      </c>
      <c r="C304" s="336" t="s">
        <v>3157</v>
      </c>
    </row>
    <row r="305" ht="14.25" customHeight="1">
      <c r="A305" s="339" t="s">
        <v>3095</v>
      </c>
      <c r="C305" s="336" t="s">
        <v>3158</v>
      </c>
    </row>
    <row r="306" ht="14.25" customHeight="1">
      <c r="A306" s="339" t="s">
        <v>3159</v>
      </c>
      <c r="C306" s="336" t="s">
        <v>3160</v>
      </c>
    </row>
    <row r="307" ht="14.25" customHeight="1">
      <c r="A307" s="339" t="s">
        <v>3161</v>
      </c>
      <c r="C307" s="336" t="s">
        <v>3162</v>
      </c>
    </row>
    <row r="308" ht="14.25" customHeight="1">
      <c r="A308" s="339" t="s">
        <v>2839</v>
      </c>
      <c r="C308" s="336" t="s">
        <v>3163</v>
      </c>
    </row>
    <row r="309" ht="14.25" customHeight="1">
      <c r="A309" s="339" t="s">
        <v>3164</v>
      </c>
      <c r="C309" s="336" t="s">
        <v>2886</v>
      </c>
    </row>
    <row r="310" ht="14.25" customHeight="1">
      <c r="A310" s="339" t="s">
        <v>2784</v>
      </c>
      <c r="C310" s="336" t="s">
        <v>3087</v>
      </c>
    </row>
    <row r="311" ht="14.25" customHeight="1">
      <c r="A311" s="339" t="s">
        <v>3165</v>
      </c>
      <c r="C311" s="336" t="s">
        <v>3166</v>
      </c>
    </row>
    <row r="312" ht="14.25" customHeight="1">
      <c r="A312" s="339" t="s">
        <v>3167</v>
      </c>
      <c r="C312" s="336" t="s">
        <v>3168</v>
      </c>
    </row>
    <row r="313" ht="14.25" customHeight="1">
      <c r="A313" s="339" t="s">
        <v>3169</v>
      </c>
      <c r="C313" s="336" t="s">
        <v>3170</v>
      </c>
    </row>
    <row r="314" ht="14.25" customHeight="1">
      <c r="A314" s="339" t="s">
        <v>3171</v>
      </c>
      <c r="C314" s="336" t="s">
        <v>3172</v>
      </c>
    </row>
    <row r="315" ht="14.25" customHeight="1">
      <c r="A315" s="339" t="s">
        <v>3174</v>
      </c>
      <c r="C315" s="336" t="s">
        <v>2746</v>
      </c>
    </row>
    <row r="316" ht="14.25" customHeight="1">
      <c r="A316" s="339" t="s">
        <v>3176</v>
      </c>
      <c r="C316" s="336" t="s">
        <v>2892</v>
      </c>
    </row>
    <row r="317" ht="14.25" customHeight="1">
      <c r="A317" s="339" t="s">
        <v>2839</v>
      </c>
      <c r="C317" s="336" t="s">
        <v>3177</v>
      </c>
    </row>
    <row r="318" ht="14.25" customHeight="1">
      <c r="A318" s="339" t="s">
        <v>2790</v>
      </c>
      <c r="C318" s="336" t="s">
        <v>3180</v>
      </c>
    </row>
    <row r="319" ht="14.25" customHeight="1">
      <c r="A319" s="339" t="s">
        <v>3181</v>
      </c>
      <c r="C319" s="336" t="s">
        <v>3182</v>
      </c>
    </row>
    <row r="320" ht="14.25" customHeight="1">
      <c r="A320" s="339" t="s">
        <v>3167</v>
      </c>
      <c r="C320" s="336" t="s">
        <v>3183</v>
      </c>
    </row>
    <row r="321" ht="14.25" customHeight="1">
      <c r="A321" s="339" t="s">
        <v>3184</v>
      </c>
      <c r="C321" s="336" t="s">
        <v>3185</v>
      </c>
    </row>
    <row r="322" ht="14.25" customHeight="1">
      <c r="A322" s="339" t="s">
        <v>3171</v>
      </c>
      <c r="C322" s="336" t="s">
        <v>3186</v>
      </c>
    </row>
    <row r="323" ht="14.25" customHeight="1">
      <c r="A323" s="339" t="s">
        <v>3174</v>
      </c>
      <c r="C323" s="336" t="s">
        <v>2727</v>
      </c>
    </row>
    <row r="324" ht="14.25" customHeight="1">
      <c r="A324" s="339" t="s">
        <v>2839</v>
      </c>
      <c r="C324" s="336" t="s">
        <v>1547</v>
      </c>
    </row>
    <row r="325" ht="14.25" customHeight="1">
      <c r="A325" s="339" t="s">
        <v>2800</v>
      </c>
      <c r="C325" s="336" t="s">
        <v>3187</v>
      </c>
    </row>
    <row r="326" ht="14.25" customHeight="1">
      <c r="A326" s="339" t="s">
        <v>3100</v>
      </c>
      <c r="C326" s="336" t="s">
        <v>3186</v>
      </c>
    </row>
    <row r="327" ht="14.25" customHeight="1">
      <c r="A327" s="339" t="s">
        <v>2804</v>
      </c>
      <c r="C327" s="336" t="s">
        <v>2727</v>
      </c>
    </row>
    <row r="328" ht="14.25" customHeight="1">
      <c r="A328" s="339" t="s">
        <v>3188</v>
      </c>
      <c r="C328" s="336" t="s">
        <v>3189</v>
      </c>
    </row>
    <row r="329" ht="14.25" customHeight="1">
      <c r="A329" s="339" t="s">
        <v>3190</v>
      </c>
      <c r="C329" s="336" t="s">
        <v>1547</v>
      </c>
    </row>
    <row r="330" ht="14.25" customHeight="1">
      <c r="A330" s="339" t="s">
        <v>3191</v>
      </c>
      <c r="C330" s="336" t="s">
        <v>3192</v>
      </c>
    </row>
    <row r="331" ht="14.25" customHeight="1">
      <c r="A331" s="339" t="s">
        <v>3193</v>
      </c>
      <c r="C331" s="336" t="s">
        <v>2749</v>
      </c>
    </row>
    <row r="332" ht="14.25" customHeight="1">
      <c r="A332" s="339" t="s">
        <v>3194</v>
      </c>
      <c r="C332" s="336" t="s">
        <v>3195</v>
      </c>
    </row>
    <row r="333" ht="14.25" customHeight="1">
      <c r="A333" s="339" t="s">
        <v>2746</v>
      </c>
      <c r="C333" s="336" t="s">
        <v>2871</v>
      </c>
    </row>
    <row r="334" ht="14.25" customHeight="1">
      <c r="A334" s="339" t="s">
        <v>3196</v>
      </c>
      <c r="C334" s="336" t="s">
        <v>1547</v>
      </c>
    </row>
    <row r="335" ht="14.25" customHeight="1">
      <c r="A335" s="339" t="s">
        <v>3197</v>
      </c>
      <c r="C335" s="336" t="s">
        <v>2881</v>
      </c>
    </row>
    <row r="336" ht="14.25" customHeight="1">
      <c r="A336" s="339" t="s">
        <v>3198</v>
      </c>
      <c r="C336" s="336" t="s">
        <v>3199</v>
      </c>
    </row>
    <row r="337" ht="14.25" customHeight="1">
      <c r="A337" s="339" t="s">
        <v>3200</v>
      </c>
      <c r="C337" s="336" t="s">
        <v>2884</v>
      </c>
    </row>
    <row r="338" ht="14.25" customHeight="1">
      <c r="A338" s="339" t="s">
        <v>2727</v>
      </c>
      <c r="C338" s="336" t="s">
        <v>3201</v>
      </c>
    </row>
    <row r="339" ht="14.25" customHeight="1">
      <c r="A339" s="339" t="s">
        <v>1547</v>
      </c>
      <c r="C339" s="336" t="s">
        <v>3203</v>
      </c>
    </row>
    <row r="340" ht="14.25" customHeight="1">
      <c r="A340" s="339" t="s">
        <v>3204</v>
      </c>
      <c r="C340" s="336" t="s">
        <v>3205</v>
      </c>
    </row>
    <row r="341" ht="14.25" customHeight="1">
      <c r="A341" s="339" t="s">
        <v>3206</v>
      </c>
      <c r="C341" s="336" t="s">
        <v>3207</v>
      </c>
    </row>
    <row r="342" ht="14.25" customHeight="1">
      <c r="A342" s="339" t="s">
        <v>3208</v>
      </c>
      <c r="C342" s="336" t="s">
        <v>2748</v>
      </c>
    </row>
    <row r="343" ht="14.25" customHeight="1">
      <c r="A343" s="339" t="s">
        <v>2727</v>
      </c>
      <c r="C343" s="336" t="s">
        <v>2907</v>
      </c>
    </row>
    <row r="344" ht="14.25" customHeight="1">
      <c r="A344" s="339" t="s">
        <v>1547</v>
      </c>
      <c r="C344" s="336" t="s">
        <v>3210</v>
      </c>
    </row>
    <row r="345" ht="14.25" customHeight="1">
      <c r="A345" s="339" t="s">
        <v>3212</v>
      </c>
      <c r="C345" s="336" t="s">
        <v>2914</v>
      </c>
    </row>
    <row r="346" ht="14.25" customHeight="1">
      <c r="A346" s="339" t="s">
        <v>3216</v>
      </c>
      <c r="C346" s="336" t="s">
        <v>2727</v>
      </c>
    </row>
    <row r="347" ht="14.25" customHeight="1">
      <c r="A347" s="339" t="s">
        <v>2799</v>
      </c>
      <c r="C347" s="336" t="s">
        <v>1547</v>
      </c>
    </row>
    <row r="348" ht="14.25" customHeight="1">
      <c r="A348" s="339" t="s">
        <v>3217</v>
      </c>
      <c r="C348" s="336" t="s">
        <v>2918</v>
      </c>
    </row>
    <row r="349" ht="14.25" customHeight="1">
      <c r="A349" s="339" t="s">
        <v>2803</v>
      </c>
      <c r="C349" s="336" t="s">
        <v>2799</v>
      </c>
    </row>
    <row r="350" ht="14.25" customHeight="1">
      <c r="A350" s="339" t="s">
        <v>3219</v>
      </c>
      <c r="C350" s="336" t="s">
        <v>3220</v>
      </c>
    </row>
    <row r="351" ht="14.25" customHeight="1">
      <c r="A351" s="339" t="s">
        <v>3222</v>
      </c>
      <c r="C351" s="336" t="s">
        <v>2727</v>
      </c>
    </row>
    <row r="352" ht="14.25" customHeight="1">
      <c r="A352" s="339" t="s">
        <v>2727</v>
      </c>
      <c r="C352" s="336" t="s">
        <v>1547</v>
      </c>
    </row>
    <row r="353" ht="14.25" customHeight="1">
      <c r="A353" s="339" t="s">
        <v>1547</v>
      </c>
      <c r="C353" s="336" t="s">
        <v>3226</v>
      </c>
    </row>
    <row r="354" ht="14.25" customHeight="1">
      <c r="A354" s="339" t="s">
        <v>3228</v>
      </c>
      <c r="C354" s="336" t="s">
        <v>3230</v>
      </c>
    </row>
    <row r="355" ht="14.25" customHeight="1">
      <c r="A355" s="339" t="s">
        <v>3232</v>
      </c>
      <c r="C355" s="336" t="s">
        <v>3234</v>
      </c>
    </row>
    <row r="356" ht="14.25" customHeight="1">
      <c r="A356" s="339" t="s">
        <v>3236</v>
      </c>
      <c r="C356" s="336" t="s">
        <v>3238</v>
      </c>
    </row>
    <row r="357" ht="14.25" customHeight="1">
      <c r="A357" s="339" t="s">
        <v>3240</v>
      </c>
      <c r="C357" s="336" t="s">
        <v>3067</v>
      </c>
    </row>
    <row r="358" ht="14.25" customHeight="1">
      <c r="A358" s="339" t="s">
        <v>3243</v>
      </c>
      <c r="C358" s="336" t="s">
        <v>3068</v>
      </c>
    </row>
    <row r="359" ht="14.25" customHeight="1">
      <c r="A359" s="339" t="s">
        <v>3246</v>
      </c>
      <c r="C359" s="336" t="s">
        <v>3248</v>
      </c>
    </row>
    <row r="360" ht="14.25" customHeight="1">
      <c r="A360" s="339" t="s">
        <v>3250</v>
      </c>
      <c r="C360" s="336" t="s">
        <v>3252</v>
      </c>
    </row>
    <row r="361" ht="14.25" customHeight="1">
      <c r="A361" s="339" t="s">
        <v>3254</v>
      </c>
      <c r="C361" s="336" t="s">
        <v>3256</v>
      </c>
    </row>
    <row r="362" ht="14.25" customHeight="1">
      <c r="A362" s="339" t="s">
        <v>3258</v>
      </c>
      <c r="C362" s="336" t="s">
        <v>3259</v>
      </c>
    </row>
    <row r="363" ht="14.25" customHeight="1">
      <c r="A363" s="339" t="s">
        <v>3261</v>
      </c>
      <c r="C363" s="336" t="s">
        <v>3263</v>
      </c>
    </row>
    <row r="364" ht="14.25" customHeight="1">
      <c r="A364" s="339" t="s">
        <v>3265</v>
      </c>
      <c r="C364" s="336" t="s">
        <v>2746</v>
      </c>
    </row>
    <row r="365" ht="14.25" customHeight="1">
      <c r="A365" s="339" t="s">
        <v>3267</v>
      </c>
      <c r="C365" s="336" t="s">
        <v>2892</v>
      </c>
    </row>
    <row r="366" ht="14.25" customHeight="1">
      <c r="A366" s="339" t="s">
        <v>3269</v>
      </c>
      <c r="C366" s="336" t="s">
        <v>3270</v>
      </c>
    </row>
    <row r="367" ht="14.25" customHeight="1">
      <c r="A367" s="339" t="s">
        <v>3271</v>
      </c>
      <c r="C367" s="336" t="s">
        <v>3273</v>
      </c>
    </row>
    <row r="368" ht="14.25" customHeight="1">
      <c r="A368" s="339" t="s">
        <v>3274</v>
      </c>
      <c r="C368" s="336" t="s">
        <v>3275</v>
      </c>
    </row>
    <row r="369" ht="14.25" customHeight="1">
      <c r="A369" s="339" t="s">
        <v>3277</v>
      </c>
      <c r="C369" s="336" t="s">
        <v>3279</v>
      </c>
    </row>
    <row r="370" ht="14.25" customHeight="1">
      <c r="A370" s="339" t="s">
        <v>3281</v>
      </c>
      <c r="C370" s="336" t="s">
        <v>3282</v>
      </c>
    </row>
    <row r="371" ht="14.25" customHeight="1">
      <c r="A371" s="339" t="s">
        <v>3284</v>
      </c>
      <c r="C371" s="336" t="s">
        <v>3286</v>
      </c>
    </row>
    <row r="372" ht="14.25" customHeight="1">
      <c r="A372" s="339" t="s">
        <v>3288</v>
      </c>
      <c r="C372" s="336" t="s">
        <v>3289</v>
      </c>
    </row>
    <row r="373" ht="14.25" customHeight="1">
      <c r="A373" s="339" t="s">
        <v>3291</v>
      </c>
      <c r="C373" s="336" t="s">
        <v>3292</v>
      </c>
    </row>
    <row r="374" ht="14.25" customHeight="1">
      <c r="A374" s="339" t="s">
        <v>3294</v>
      </c>
      <c r="C374" s="336" t="s">
        <v>3296</v>
      </c>
    </row>
    <row r="375" ht="14.25" customHeight="1">
      <c r="A375" s="339" t="s">
        <v>3298</v>
      </c>
      <c r="C375" s="336" t="s">
        <v>3300</v>
      </c>
    </row>
    <row r="376" ht="14.25" customHeight="1">
      <c r="A376" s="339" t="s">
        <v>3302</v>
      </c>
      <c r="C376" s="336" t="s">
        <v>2914</v>
      </c>
    </row>
    <row r="377" ht="14.25" customHeight="1">
      <c r="A377" s="339" t="s">
        <v>3305</v>
      </c>
      <c r="C377" s="336" t="s">
        <v>2727</v>
      </c>
    </row>
    <row r="378" ht="14.25" customHeight="1">
      <c r="A378" s="339" t="s">
        <v>3310</v>
      </c>
      <c r="C378" s="336" t="s">
        <v>1547</v>
      </c>
    </row>
    <row r="379" ht="14.25" customHeight="1">
      <c r="A379" s="339" t="s">
        <v>3312</v>
      </c>
      <c r="C379" s="336" t="s">
        <v>3315</v>
      </c>
    </row>
    <row r="380" ht="14.25" customHeight="1">
      <c r="A380" s="339" t="s">
        <v>3318</v>
      </c>
      <c r="C380" s="336" t="s">
        <v>3321</v>
      </c>
    </row>
    <row r="381" ht="14.25" customHeight="1">
      <c r="A381" s="339" t="s">
        <v>3323</v>
      </c>
      <c r="C381" s="336" t="s">
        <v>2727</v>
      </c>
    </row>
    <row r="382" ht="14.25" customHeight="1">
      <c r="A382" s="339" t="s">
        <v>3325</v>
      </c>
      <c r="C382" s="336" t="s">
        <v>1547</v>
      </c>
    </row>
    <row r="383" ht="14.25" customHeight="1">
      <c r="A383" s="339" t="s">
        <v>3327</v>
      </c>
      <c r="C383" s="336" t="s">
        <v>3328</v>
      </c>
    </row>
    <row r="384" ht="14.25" customHeight="1">
      <c r="A384" s="339" t="s">
        <v>3329</v>
      </c>
      <c r="C384" s="336" t="s">
        <v>2914</v>
      </c>
    </row>
    <row r="385" ht="14.25" customHeight="1">
      <c r="A385" s="339" t="s">
        <v>3331</v>
      </c>
      <c r="C385" s="336" t="s">
        <v>2727</v>
      </c>
    </row>
    <row r="386" ht="14.25" customHeight="1">
      <c r="A386" s="339" t="s">
        <v>3333</v>
      </c>
      <c r="C386" s="336" t="s">
        <v>1547</v>
      </c>
    </row>
    <row r="387" ht="14.25" customHeight="1">
      <c r="A387" s="339" t="s">
        <v>3329</v>
      </c>
      <c r="C387" s="336" t="s">
        <v>3039</v>
      </c>
    </row>
    <row r="388" ht="14.25" customHeight="1">
      <c r="A388" s="339" t="s">
        <v>3336</v>
      </c>
      <c r="C388" s="336" t="s">
        <v>2914</v>
      </c>
    </row>
    <row r="389" ht="14.25" customHeight="1">
      <c r="A389" s="339" t="s">
        <v>3339</v>
      </c>
      <c r="C389" s="336" t="s">
        <v>2727</v>
      </c>
    </row>
    <row r="390" ht="14.25" customHeight="1">
      <c r="A390" s="339" t="s">
        <v>3342</v>
      </c>
      <c r="C390" s="336" t="s">
        <v>1547</v>
      </c>
    </row>
    <row r="391" ht="14.25" customHeight="1">
      <c r="A391" s="339" t="s">
        <v>3345</v>
      </c>
      <c r="C391" s="336" t="s">
        <v>3347</v>
      </c>
    </row>
    <row r="392" ht="14.25" customHeight="1">
      <c r="A392" s="339" t="s">
        <v>3349</v>
      </c>
      <c r="C392" s="336" t="s">
        <v>2914</v>
      </c>
    </row>
    <row r="393" ht="14.25" customHeight="1">
      <c r="A393" s="339" t="s">
        <v>3351</v>
      </c>
      <c r="C393" s="336" t="s">
        <v>2727</v>
      </c>
    </row>
    <row r="394" ht="14.25" customHeight="1">
      <c r="A394" s="339" t="s">
        <v>3352</v>
      </c>
      <c r="C394" s="336" t="s">
        <v>1547</v>
      </c>
    </row>
    <row r="395" ht="14.25" customHeight="1">
      <c r="A395" s="339" t="s">
        <v>2746</v>
      </c>
      <c r="C395" s="336" t="s">
        <v>3355</v>
      </c>
    </row>
    <row r="396" ht="14.25" customHeight="1">
      <c r="A396" s="339" t="s">
        <v>3357</v>
      </c>
      <c r="C396" s="336" t="s">
        <v>3359</v>
      </c>
    </row>
    <row r="397" ht="14.25" customHeight="1">
      <c r="A397" s="339" t="s">
        <v>3361</v>
      </c>
      <c r="C397" s="336" t="s">
        <v>3362</v>
      </c>
    </row>
    <row r="398" ht="14.25" customHeight="1">
      <c r="A398" s="339" t="s">
        <v>3364</v>
      </c>
      <c r="C398" s="336" t="s">
        <v>3365</v>
      </c>
    </row>
    <row r="399" ht="14.25" customHeight="1">
      <c r="A399" s="339" t="s">
        <v>2727</v>
      </c>
      <c r="C399" s="336" t="s">
        <v>3367</v>
      </c>
    </row>
    <row r="400" ht="14.25" customHeight="1">
      <c r="A400" s="339" t="s">
        <v>1547</v>
      </c>
      <c r="C400" s="336" t="s">
        <v>3370</v>
      </c>
    </row>
    <row r="401" ht="14.25" customHeight="1">
      <c r="A401" s="339" t="s">
        <v>3371</v>
      </c>
      <c r="C401" s="336" t="s">
        <v>2778</v>
      </c>
    </row>
    <row r="402" ht="14.25" customHeight="1">
      <c r="A402" s="339" t="s">
        <v>3373</v>
      </c>
      <c r="C402" s="336" t="s">
        <v>1547</v>
      </c>
    </row>
    <row r="403" ht="14.25" customHeight="1">
      <c r="A403" s="339" t="s">
        <v>1547</v>
      </c>
      <c r="C403" s="336" t="s">
        <v>3083</v>
      </c>
    </row>
    <row r="404" ht="14.25" customHeight="1">
      <c r="A404" s="339" t="s">
        <v>3376</v>
      </c>
      <c r="C404" s="336" t="s">
        <v>3377</v>
      </c>
    </row>
    <row r="405" ht="14.25" customHeight="1">
      <c r="A405" s="339" t="s">
        <v>2799</v>
      </c>
      <c r="C405" s="336" t="s">
        <v>3380</v>
      </c>
    </row>
    <row r="406" ht="14.25" customHeight="1">
      <c r="A406" s="339" t="s">
        <v>3382</v>
      </c>
      <c r="C406" s="336" t="s">
        <v>3384</v>
      </c>
    </row>
    <row r="407" ht="14.25" customHeight="1">
      <c r="A407" s="339" t="s">
        <v>3386</v>
      </c>
      <c r="C407" s="336" t="s">
        <v>3388</v>
      </c>
    </row>
    <row r="408" ht="14.25" customHeight="1">
      <c r="A408" s="339" t="s">
        <v>2727</v>
      </c>
      <c r="C408" s="336" t="s">
        <v>3108</v>
      </c>
    </row>
    <row r="409" ht="14.25" customHeight="1">
      <c r="A409" s="339" t="s">
        <v>1547</v>
      </c>
      <c r="C409" s="336" t="s">
        <v>3109</v>
      </c>
    </row>
    <row r="410" ht="14.25" customHeight="1">
      <c r="A410" s="339" t="s">
        <v>3391</v>
      </c>
      <c r="C410" s="336" t="s">
        <v>3392</v>
      </c>
    </row>
    <row r="411" ht="14.25" customHeight="1">
      <c r="A411" s="339" t="s">
        <v>3394</v>
      </c>
      <c r="C411" s="336" t="s">
        <v>3396</v>
      </c>
    </row>
    <row r="412" ht="14.25" customHeight="1">
      <c r="A412" s="339" t="s">
        <v>2778</v>
      </c>
      <c r="C412" s="336" t="s">
        <v>3399</v>
      </c>
    </row>
    <row r="413" ht="14.25" customHeight="1">
      <c r="A413" s="339" t="s">
        <v>1547</v>
      </c>
      <c r="C413" s="336" t="s">
        <v>3402</v>
      </c>
    </row>
    <row r="414" ht="14.25" customHeight="1">
      <c r="A414" s="339" t="s">
        <v>3403</v>
      </c>
      <c r="C414" s="336" t="s">
        <v>3404</v>
      </c>
    </row>
    <row r="415" ht="14.25" customHeight="1">
      <c r="A415" s="339" t="s">
        <v>3406</v>
      </c>
      <c r="C415" s="336" t="s">
        <v>3408</v>
      </c>
    </row>
    <row r="416" ht="14.25" customHeight="1">
      <c r="A416" s="339" t="s">
        <v>2778</v>
      </c>
      <c r="C416" s="336" t="s">
        <v>3121</v>
      </c>
    </row>
    <row r="417" ht="14.25" customHeight="1">
      <c r="A417" s="339" t="s">
        <v>1547</v>
      </c>
      <c r="C417" s="336" t="s">
        <v>3413</v>
      </c>
    </row>
    <row r="418" ht="14.25" customHeight="1">
      <c r="A418" s="339" t="s">
        <v>3414</v>
      </c>
      <c r="C418" s="336" t="s">
        <v>2840</v>
      </c>
    </row>
    <row r="419" ht="14.25" customHeight="1">
      <c r="A419" s="339" t="s">
        <v>3416</v>
      </c>
      <c r="C419" s="336" t="s">
        <v>3132</v>
      </c>
    </row>
    <row r="420" ht="14.25" customHeight="1">
      <c r="A420" s="339" t="s">
        <v>3419</v>
      </c>
      <c r="C420" s="336" t="s">
        <v>3421</v>
      </c>
    </row>
    <row r="421" ht="14.25" customHeight="1">
      <c r="A421" s="339" t="s">
        <v>3423</v>
      </c>
      <c r="C421" s="336" t="s">
        <v>3425</v>
      </c>
    </row>
    <row r="422" ht="14.25" customHeight="1">
      <c r="A422" s="339" t="s">
        <v>3427</v>
      </c>
      <c r="C422" s="336" t="s">
        <v>3428</v>
      </c>
    </row>
    <row r="423" ht="14.25" customHeight="1">
      <c r="A423" s="339" t="s">
        <v>2952</v>
      </c>
      <c r="C423" s="336" t="s">
        <v>3431</v>
      </c>
    </row>
    <row r="424" ht="14.25" customHeight="1">
      <c r="A424" s="339" t="s">
        <v>2727</v>
      </c>
      <c r="C424" s="336" t="s">
        <v>2917</v>
      </c>
    </row>
    <row r="425" ht="14.25" customHeight="1">
      <c r="A425" s="339" t="s">
        <v>1547</v>
      </c>
      <c r="C425" s="336" t="s">
        <v>3435</v>
      </c>
    </row>
    <row r="426" ht="14.25" customHeight="1">
      <c r="A426" s="339" t="s">
        <v>3436</v>
      </c>
      <c r="C426" s="336" t="s">
        <v>2746</v>
      </c>
    </row>
    <row r="427" ht="14.25" customHeight="1">
      <c r="A427" s="339" t="s">
        <v>3440</v>
      </c>
      <c r="C427" s="336" t="s">
        <v>2776</v>
      </c>
    </row>
    <row r="428" ht="14.25" customHeight="1">
      <c r="A428" s="339" t="s">
        <v>3416</v>
      </c>
      <c r="C428" s="336" t="s">
        <v>3136</v>
      </c>
    </row>
    <row r="429" ht="14.25" customHeight="1">
      <c r="A429" s="339" t="s">
        <v>3443</v>
      </c>
      <c r="C429" s="336" t="s">
        <v>2778</v>
      </c>
    </row>
    <row r="430" ht="14.25" customHeight="1">
      <c r="A430" s="339" t="s">
        <v>3445</v>
      </c>
      <c r="C430" s="336" t="s">
        <v>1547</v>
      </c>
    </row>
    <row r="431" ht="14.25" customHeight="1">
      <c r="A431" s="339" t="s">
        <v>3449</v>
      </c>
      <c r="C431" s="336" t="s">
        <v>3138</v>
      </c>
    </row>
    <row r="432" ht="14.25" customHeight="1">
      <c r="A432" s="339" t="s">
        <v>3451</v>
      </c>
      <c r="C432" s="336" t="s">
        <v>3452</v>
      </c>
    </row>
    <row r="433" ht="14.25" customHeight="1">
      <c r="A433" s="339" t="s">
        <v>3183</v>
      </c>
      <c r="C433" s="336" t="s">
        <v>3141</v>
      </c>
    </row>
    <row r="434" ht="14.25" customHeight="1">
      <c r="A434" s="339" t="s">
        <v>2727</v>
      </c>
      <c r="C434" s="336" t="s">
        <v>3456</v>
      </c>
    </row>
    <row r="435" ht="14.25" customHeight="1">
      <c r="A435" s="339" t="s">
        <v>1547</v>
      </c>
      <c r="C435" s="336" t="s">
        <v>3459</v>
      </c>
    </row>
    <row r="436" ht="14.25" customHeight="1">
      <c r="A436" s="339" t="s">
        <v>3462</v>
      </c>
      <c r="C436" s="336" t="s">
        <v>2776</v>
      </c>
    </row>
    <row r="437" ht="14.25" customHeight="1">
      <c r="A437" s="339" t="s">
        <v>3464</v>
      </c>
      <c r="C437" s="336" t="s">
        <v>3466</v>
      </c>
    </row>
    <row r="438" ht="14.25" customHeight="1">
      <c r="A438" s="339" t="s">
        <v>2778</v>
      </c>
      <c r="C438" s="336" t="s">
        <v>3469</v>
      </c>
    </row>
    <row r="439" ht="14.25" customHeight="1">
      <c r="A439" s="339" t="s">
        <v>1547</v>
      </c>
      <c r="C439" s="336" t="s">
        <v>2776</v>
      </c>
    </row>
    <row r="440" ht="14.25" customHeight="1">
      <c r="A440" s="339" t="s">
        <v>3471</v>
      </c>
      <c r="C440" s="336" t="s">
        <v>3473</v>
      </c>
    </row>
    <row r="441" ht="14.25" customHeight="1">
      <c r="A441" s="339" t="s">
        <v>2873</v>
      </c>
      <c r="C441" s="336" t="s">
        <v>3145</v>
      </c>
    </row>
    <row r="442" ht="14.25" customHeight="1">
      <c r="A442" s="339" t="s">
        <v>3476</v>
      </c>
      <c r="C442" s="336" t="s">
        <v>3477</v>
      </c>
    </row>
    <row r="443" ht="14.25" customHeight="1">
      <c r="A443" s="339" t="s">
        <v>2876</v>
      </c>
      <c r="C443" s="336" t="s">
        <v>3478</v>
      </c>
    </row>
    <row r="444" ht="14.25" customHeight="1">
      <c r="A444" s="339" t="s">
        <v>2748</v>
      </c>
      <c r="C444" s="336" t="s">
        <v>3480</v>
      </c>
    </row>
    <row r="445" ht="14.25" customHeight="1">
      <c r="A445" s="339" t="s">
        <v>2879</v>
      </c>
      <c r="C445" s="336" t="s">
        <v>3483</v>
      </c>
    </row>
    <row r="446" ht="14.25" customHeight="1">
      <c r="A446" s="339" t="s">
        <v>3485</v>
      </c>
      <c r="C446" s="336" t="s">
        <v>3486</v>
      </c>
    </row>
    <row r="447" ht="14.25" customHeight="1">
      <c r="A447" s="339" t="s">
        <v>2840</v>
      </c>
      <c r="C447" s="336" t="s">
        <v>3489</v>
      </c>
    </row>
    <row r="448" ht="14.25" customHeight="1">
      <c r="A448" s="339" t="s">
        <v>3491</v>
      </c>
      <c r="C448" s="336" t="s">
        <v>3493</v>
      </c>
    </row>
    <row r="449" ht="14.25" customHeight="1">
      <c r="A449" s="339" t="s">
        <v>2776</v>
      </c>
      <c r="C449" s="336" t="s">
        <v>3495</v>
      </c>
    </row>
    <row r="450" ht="14.25" customHeight="1">
      <c r="A450" s="339" t="s">
        <v>2778</v>
      </c>
      <c r="C450" s="336" t="s">
        <v>3177</v>
      </c>
    </row>
    <row r="451" ht="14.25" customHeight="1">
      <c r="A451" s="339" t="s">
        <v>1547</v>
      </c>
      <c r="C451" s="336" t="s">
        <v>3180</v>
      </c>
    </row>
    <row r="452" ht="14.25" customHeight="1">
      <c r="A452" s="339" t="s">
        <v>3497</v>
      </c>
      <c r="C452" s="336" t="s">
        <v>3182</v>
      </c>
    </row>
    <row r="453" ht="14.25" customHeight="1">
      <c r="A453" s="339" t="s">
        <v>2956</v>
      </c>
      <c r="C453" s="336" t="s">
        <v>3183</v>
      </c>
    </row>
    <row r="454" ht="14.25" customHeight="1">
      <c r="A454" s="339" t="s">
        <v>3501</v>
      </c>
      <c r="C454" s="336" t="s">
        <v>3502</v>
      </c>
    </row>
    <row r="455" ht="14.25" customHeight="1">
      <c r="A455" s="339" t="s">
        <v>2959</v>
      </c>
      <c r="C455" s="336" t="s">
        <v>3186</v>
      </c>
    </row>
    <row r="456" ht="14.25" customHeight="1">
      <c r="A456" s="339" t="s">
        <v>3505</v>
      </c>
      <c r="C456" s="336" t="s">
        <v>2727</v>
      </c>
    </row>
    <row r="457" ht="14.25" customHeight="1">
      <c r="A457" s="339" t="s">
        <v>3507</v>
      </c>
      <c r="C457" s="336" t="s">
        <v>1547</v>
      </c>
    </row>
    <row r="458" ht="14.25" customHeight="1">
      <c r="A458" s="339" t="s">
        <v>2971</v>
      </c>
      <c r="C458" s="336" t="s">
        <v>3187</v>
      </c>
    </row>
    <row r="459" ht="14.25" customHeight="1">
      <c r="A459" s="339" t="s">
        <v>2776</v>
      </c>
      <c r="C459" s="336" t="s">
        <v>3186</v>
      </c>
    </row>
    <row r="460" ht="14.25" customHeight="1">
      <c r="A460" s="339" t="s">
        <v>3511</v>
      </c>
      <c r="C460" s="353" t="s">
        <v>2727</v>
      </c>
    </row>
    <row r="461" ht="14.25" customHeight="1">
      <c r="A461" s="339" t="s">
        <v>2974</v>
      </c>
      <c r="C461" s="353" t="s">
        <v>3518</v>
      </c>
    </row>
    <row r="462" ht="14.25" customHeight="1">
      <c r="A462" s="339" t="s">
        <v>3521</v>
      </c>
      <c r="C462" s="353" t="s">
        <v>1547</v>
      </c>
    </row>
    <row r="463" ht="14.25" customHeight="1">
      <c r="A463" s="339" t="s">
        <v>3523</v>
      </c>
      <c r="C463" s="353" t="s">
        <v>3524</v>
      </c>
    </row>
    <row r="464" ht="14.25" customHeight="1">
      <c r="A464" s="339" t="s">
        <v>3525</v>
      </c>
      <c r="C464" s="353" t="s">
        <v>2749</v>
      </c>
    </row>
    <row r="465" ht="14.25" customHeight="1">
      <c r="A465" s="339" t="s">
        <v>2978</v>
      </c>
      <c r="C465" s="353" t="s">
        <v>3526</v>
      </c>
    </row>
    <row r="466" ht="14.25" customHeight="1">
      <c r="A466" s="339" t="s">
        <v>3527</v>
      </c>
      <c r="C466" s="353" t="s">
        <v>2871</v>
      </c>
    </row>
    <row r="467" ht="14.25" customHeight="1">
      <c r="A467" s="339" t="s">
        <v>3443</v>
      </c>
      <c r="C467" s="353" t="s">
        <v>1547</v>
      </c>
    </row>
    <row r="468" ht="14.25" customHeight="1">
      <c r="A468" s="339" t="s">
        <v>3528</v>
      </c>
      <c r="C468" s="353" t="s">
        <v>2881</v>
      </c>
    </row>
    <row r="469" ht="14.25" customHeight="1">
      <c r="A469" s="339" t="s">
        <v>3529</v>
      </c>
      <c r="C469" s="353" t="s">
        <v>3199</v>
      </c>
    </row>
    <row r="470" ht="14.25" customHeight="1">
      <c r="A470" s="339" t="s">
        <v>3530</v>
      </c>
      <c r="C470" s="353" t="s">
        <v>2884</v>
      </c>
    </row>
    <row r="471" ht="14.25" customHeight="1">
      <c r="A471" s="339" t="s">
        <v>3531</v>
      </c>
      <c r="C471" s="353" t="s">
        <v>3532</v>
      </c>
    </row>
    <row r="472" ht="14.25" customHeight="1">
      <c r="A472" s="339" t="s">
        <v>3533</v>
      </c>
      <c r="C472" s="353" t="s">
        <v>3534</v>
      </c>
    </row>
    <row r="473" ht="14.25" customHeight="1">
      <c r="A473" s="339" t="s">
        <v>3535</v>
      </c>
      <c r="C473" s="353" t="s">
        <v>2748</v>
      </c>
    </row>
    <row r="474" ht="14.25" customHeight="1">
      <c r="A474" s="339" t="s">
        <v>3536</v>
      </c>
      <c r="C474" s="353" t="s">
        <v>3537</v>
      </c>
    </row>
    <row r="475" ht="14.25" customHeight="1">
      <c r="A475" s="339" t="s">
        <v>2746</v>
      </c>
      <c r="C475" s="353" t="s">
        <v>3538</v>
      </c>
    </row>
    <row r="476" ht="14.25" customHeight="1">
      <c r="A476" s="339" t="s">
        <v>3451</v>
      </c>
      <c r="C476" s="353" t="s">
        <v>2914</v>
      </c>
    </row>
    <row r="477" ht="14.25" customHeight="1">
      <c r="A477" s="339" t="s">
        <v>2985</v>
      </c>
      <c r="C477" s="353" t="s">
        <v>2727</v>
      </c>
    </row>
    <row r="478" ht="14.25" customHeight="1">
      <c r="A478" s="339" t="s">
        <v>3539</v>
      </c>
      <c r="C478" s="353" t="s">
        <v>1547</v>
      </c>
    </row>
    <row r="479" ht="14.25" customHeight="1">
      <c r="A479" s="339" t="s">
        <v>3540</v>
      </c>
      <c r="C479" s="353" t="s">
        <v>2918</v>
      </c>
    </row>
    <row r="480" ht="14.25" customHeight="1">
      <c r="A480" s="339" t="s">
        <v>2727</v>
      </c>
      <c r="C480" s="353" t="s">
        <v>2799</v>
      </c>
    </row>
    <row r="481" ht="14.25" customHeight="1">
      <c r="A481" s="339" t="s">
        <v>1547</v>
      </c>
      <c r="C481" s="353" t="s">
        <v>3541</v>
      </c>
    </row>
    <row r="482" ht="14.25" customHeight="1">
      <c r="A482" s="339" t="s">
        <v>3542</v>
      </c>
      <c r="C482" s="353" t="s">
        <v>2727</v>
      </c>
    </row>
    <row r="483" ht="14.25" customHeight="1">
      <c r="A483" s="339" t="s">
        <v>3543</v>
      </c>
      <c r="C483" s="353" t="s">
        <v>1547</v>
      </c>
    </row>
    <row r="484" ht="14.25" customHeight="1">
      <c r="A484" s="339" t="s">
        <v>3544</v>
      </c>
      <c r="C484" s="353" t="s">
        <v>3545</v>
      </c>
    </row>
    <row r="485" ht="14.25" customHeight="1">
      <c r="A485" s="339" t="s">
        <v>3068</v>
      </c>
      <c r="C485" s="353" t="s">
        <v>3546</v>
      </c>
    </row>
    <row r="486" ht="14.25" customHeight="1">
      <c r="A486" s="339" t="s">
        <v>3547</v>
      </c>
      <c r="C486" s="353" t="s">
        <v>2914</v>
      </c>
    </row>
    <row r="487" ht="14.25" customHeight="1">
      <c r="A487" s="339" t="s">
        <v>2892</v>
      </c>
      <c r="C487" s="353" t="s">
        <v>2727</v>
      </c>
    </row>
    <row r="488" ht="14.25" customHeight="1">
      <c r="A488" s="339" t="s">
        <v>3548</v>
      </c>
      <c r="C488" s="353" t="s">
        <v>1547</v>
      </c>
    </row>
    <row r="489" ht="14.25" customHeight="1">
      <c r="A489" s="339" t="s">
        <v>2778</v>
      </c>
      <c r="C489" s="353" t="s">
        <v>3549</v>
      </c>
    </row>
    <row r="490" ht="14.25" customHeight="1">
      <c r="A490" s="339" t="s">
        <v>1547</v>
      </c>
      <c r="C490" s="353" t="s">
        <v>3550</v>
      </c>
    </row>
    <row r="491" ht="14.25" customHeight="1">
      <c r="A491" s="339" t="s">
        <v>3551</v>
      </c>
      <c r="C491" s="353" t="s">
        <v>3552</v>
      </c>
    </row>
    <row r="492" ht="14.25" customHeight="1">
      <c r="A492" s="339" t="s">
        <v>3554</v>
      </c>
      <c r="C492" s="353" t="s">
        <v>3555</v>
      </c>
    </row>
    <row r="493" ht="14.25" customHeight="1">
      <c r="A493" s="339" t="s">
        <v>3556</v>
      </c>
      <c r="C493" s="353" t="s">
        <v>3557</v>
      </c>
    </row>
    <row r="494" ht="14.25" customHeight="1">
      <c r="A494" s="339" t="s">
        <v>2959</v>
      </c>
      <c r="C494" s="353" t="s">
        <v>3559</v>
      </c>
    </row>
    <row r="495" ht="14.25" customHeight="1">
      <c r="A495" s="339" t="s">
        <v>3561</v>
      </c>
      <c r="C495" s="353" t="s">
        <v>2971</v>
      </c>
    </row>
    <row r="496" ht="14.25" customHeight="1">
      <c r="A496" s="339" t="s">
        <v>3562</v>
      </c>
      <c r="C496" s="353" t="s">
        <v>2776</v>
      </c>
    </row>
    <row r="497" ht="14.25" customHeight="1">
      <c r="A497" s="339" t="s">
        <v>3563</v>
      </c>
      <c r="C497" s="353" t="s">
        <v>3564</v>
      </c>
    </row>
    <row r="498" ht="14.25" customHeight="1">
      <c r="A498" s="339" t="s">
        <v>3523</v>
      </c>
      <c r="C498" s="353" t="s">
        <v>3052</v>
      </c>
    </row>
    <row r="499" ht="14.25" customHeight="1">
      <c r="A499" s="339" t="s">
        <v>3565</v>
      </c>
      <c r="C499" s="353" t="s">
        <v>3068</v>
      </c>
    </row>
    <row r="500" ht="14.25" customHeight="1">
      <c r="A500" s="339" t="s">
        <v>3566</v>
      </c>
      <c r="C500" s="353" t="s">
        <v>3567</v>
      </c>
    </row>
    <row r="501" ht="14.25" customHeight="1">
      <c r="A501" s="339" t="s">
        <v>3568</v>
      </c>
      <c r="C501" s="353" t="s">
        <v>3569</v>
      </c>
    </row>
    <row r="502" ht="14.25" customHeight="1">
      <c r="A502" s="339" t="s">
        <v>3570</v>
      </c>
      <c r="C502" s="353" t="s">
        <v>3571</v>
      </c>
    </row>
    <row r="503" ht="14.25" customHeight="1">
      <c r="A503" s="339" t="s">
        <v>3572</v>
      </c>
      <c r="C503" s="353" t="s">
        <v>3573</v>
      </c>
    </row>
    <row r="504" ht="14.25" customHeight="1">
      <c r="A504" s="339" t="s">
        <v>3574</v>
      </c>
      <c r="C504" s="353" t="s">
        <v>3575</v>
      </c>
    </row>
    <row r="505" ht="14.25" customHeight="1">
      <c r="A505" s="339" t="s">
        <v>3576</v>
      </c>
      <c r="C505" s="353" t="s">
        <v>3577</v>
      </c>
    </row>
    <row r="506" ht="14.25" customHeight="1">
      <c r="A506" s="339" t="s">
        <v>2971</v>
      </c>
      <c r="C506" s="353" t="s">
        <v>3578</v>
      </c>
    </row>
    <row r="507" ht="14.25" customHeight="1">
      <c r="A507" s="339" t="s">
        <v>2776</v>
      </c>
      <c r="C507" s="353" t="s">
        <v>3579</v>
      </c>
    </row>
    <row r="508" ht="14.25" customHeight="1">
      <c r="A508" s="339" t="s">
        <v>3580</v>
      </c>
      <c r="C508" s="353" t="s">
        <v>3581</v>
      </c>
    </row>
    <row r="509" ht="14.25" customHeight="1">
      <c r="A509" s="339" t="s">
        <v>3582</v>
      </c>
      <c r="C509" s="353" t="s">
        <v>3583</v>
      </c>
    </row>
    <row r="510" ht="14.25" customHeight="1">
      <c r="A510" s="339" t="s">
        <v>3540</v>
      </c>
      <c r="C510" s="353" t="s">
        <v>3584</v>
      </c>
    </row>
    <row r="511" ht="14.25" customHeight="1">
      <c r="A511" s="339" t="s">
        <v>2978</v>
      </c>
      <c r="C511" s="353" t="s">
        <v>2839</v>
      </c>
    </row>
    <row r="512" ht="14.25" customHeight="1">
      <c r="A512" s="339" t="s">
        <v>3585</v>
      </c>
      <c r="C512" s="353" t="s">
        <v>3586</v>
      </c>
    </row>
    <row r="513" ht="14.25" customHeight="1">
      <c r="A513" s="339" t="s">
        <v>3527</v>
      </c>
      <c r="C513" s="353" t="s">
        <v>3587</v>
      </c>
    </row>
    <row r="514" ht="14.25" customHeight="1">
      <c r="A514" s="339" t="s">
        <v>3588</v>
      </c>
      <c r="C514" s="353" t="s">
        <v>3589</v>
      </c>
    </row>
    <row r="515" ht="14.25" customHeight="1">
      <c r="A515" s="339" t="s">
        <v>3590</v>
      </c>
      <c r="C515" s="353" t="s">
        <v>2839</v>
      </c>
    </row>
    <row r="516" ht="14.25" customHeight="1">
      <c r="A516" s="339" t="s">
        <v>3591</v>
      </c>
      <c r="C516" s="353" t="s">
        <v>2746</v>
      </c>
    </row>
    <row r="517" ht="14.25" customHeight="1">
      <c r="A517" s="339" t="s">
        <v>3592</v>
      </c>
      <c r="C517" s="353" t="s">
        <v>2892</v>
      </c>
    </row>
    <row r="518" ht="14.25" customHeight="1">
      <c r="A518" s="339" t="s">
        <v>3593</v>
      </c>
      <c r="C518" s="353" t="s">
        <v>3594</v>
      </c>
    </row>
    <row r="519" ht="14.25" customHeight="1">
      <c r="A519" s="339" t="s">
        <v>3595</v>
      </c>
      <c r="C519" s="353" t="s">
        <v>3596</v>
      </c>
    </row>
    <row r="520" ht="14.25" customHeight="1">
      <c r="A520" s="339" t="s">
        <v>3597</v>
      </c>
      <c r="C520" s="353" t="s">
        <v>3598</v>
      </c>
    </row>
    <row r="521" ht="14.25" customHeight="1">
      <c r="A521" s="339" t="s">
        <v>3599</v>
      </c>
      <c r="C521" s="353" t="s">
        <v>3600</v>
      </c>
    </row>
    <row r="522" ht="14.25" customHeight="1">
      <c r="A522" s="339" t="s">
        <v>3601</v>
      </c>
      <c r="C522" s="353" t="s">
        <v>3602</v>
      </c>
    </row>
    <row r="523" ht="14.25" customHeight="1">
      <c r="A523" s="339" t="s">
        <v>3603</v>
      </c>
      <c r="C523" s="353" t="s">
        <v>3604</v>
      </c>
    </row>
    <row r="524" ht="14.25" customHeight="1">
      <c r="A524" s="339" t="s">
        <v>3605</v>
      </c>
      <c r="C524" s="353" t="s">
        <v>3606</v>
      </c>
    </row>
    <row r="525" ht="14.25" customHeight="1">
      <c r="A525" s="339" t="s">
        <v>3607</v>
      </c>
      <c r="C525" s="353" t="s">
        <v>2840</v>
      </c>
    </row>
    <row r="526" ht="14.25" customHeight="1">
      <c r="A526" s="339" t="s">
        <v>3608</v>
      </c>
      <c r="C526" s="353" t="s">
        <v>3609</v>
      </c>
    </row>
    <row r="527" ht="14.25" customHeight="1">
      <c r="A527" s="339" t="s">
        <v>3610</v>
      </c>
      <c r="C527" s="353" t="s">
        <v>3611</v>
      </c>
    </row>
    <row r="528" ht="14.25" customHeight="1">
      <c r="A528" s="339" t="s">
        <v>3612</v>
      </c>
      <c r="C528" s="353" t="s">
        <v>2776</v>
      </c>
    </row>
    <row r="529" ht="14.25" customHeight="1">
      <c r="A529" s="339" t="s">
        <v>3613</v>
      </c>
      <c r="C529" s="353" t="s">
        <v>2727</v>
      </c>
    </row>
    <row r="530" ht="14.25" customHeight="1">
      <c r="A530" s="339" t="s">
        <v>3614</v>
      </c>
      <c r="C530" s="353" t="s">
        <v>1547</v>
      </c>
    </row>
    <row r="531" ht="14.25" customHeight="1">
      <c r="A531" s="339" t="s">
        <v>2841</v>
      </c>
      <c r="C531" s="353" t="s">
        <v>3083</v>
      </c>
    </row>
    <row r="532" ht="14.25" customHeight="1">
      <c r="A532" s="339" t="s">
        <v>3615</v>
      </c>
      <c r="C532" s="353" t="s">
        <v>3616</v>
      </c>
    </row>
    <row r="533" ht="14.25" customHeight="1">
      <c r="A533" s="339" t="s">
        <v>2892</v>
      </c>
      <c r="C533" s="353" t="s">
        <v>3617</v>
      </c>
    </row>
    <row r="534" ht="14.25" customHeight="1">
      <c r="A534" s="339" t="s">
        <v>2985</v>
      </c>
      <c r="C534" s="353" t="s">
        <v>3618</v>
      </c>
    </row>
    <row r="535" ht="14.25" customHeight="1">
      <c r="A535" s="339" t="s">
        <v>3619</v>
      </c>
      <c r="C535" s="353" t="s">
        <v>3620</v>
      </c>
    </row>
    <row r="536" ht="14.25" customHeight="1">
      <c r="A536" s="339" t="s">
        <v>3032</v>
      </c>
      <c r="C536" s="353" t="s">
        <v>3621</v>
      </c>
    </row>
    <row r="537" ht="14.25" customHeight="1">
      <c r="A537" s="339" t="s">
        <v>3622</v>
      </c>
      <c r="C537" s="353" t="s">
        <v>3602</v>
      </c>
    </row>
    <row r="538" ht="14.25" customHeight="1">
      <c r="A538" s="339" t="s">
        <v>2840</v>
      </c>
      <c r="C538" s="353" t="s">
        <v>3623</v>
      </c>
    </row>
    <row r="539" ht="14.25" customHeight="1">
      <c r="A539" s="339" t="s">
        <v>3624</v>
      </c>
      <c r="C539" s="353" t="s">
        <v>3132</v>
      </c>
    </row>
    <row r="540" ht="14.25" customHeight="1">
      <c r="A540" s="339" t="s">
        <v>2776</v>
      </c>
      <c r="C540" s="353" t="s">
        <v>2840</v>
      </c>
    </row>
    <row r="541" ht="14.25" customHeight="1">
      <c r="A541" s="339" t="s">
        <v>2727</v>
      </c>
      <c r="C541" s="353" t="s">
        <v>3625</v>
      </c>
    </row>
    <row r="542" ht="14.25" customHeight="1">
      <c r="A542" s="339" t="s">
        <v>1547</v>
      </c>
      <c r="C542" s="353" t="s">
        <v>3132</v>
      </c>
    </row>
    <row r="543" ht="14.25" customHeight="1">
      <c r="A543" s="339" t="s">
        <v>3626</v>
      </c>
      <c r="C543" s="353" t="s">
        <v>2776</v>
      </c>
    </row>
    <row r="544" ht="14.25" customHeight="1">
      <c r="A544" s="339" t="s">
        <v>2956</v>
      </c>
      <c r="C544" s="353" t="s">
        <v>3136</v>
      </c>
    </row>
    <row r="545" ht="14.25" customHeight="1">
      <c r="A545" s="339" t="s">
        <v>3627</v>
      </c>
      <c r="C545" s="353" t="s">
        <v>2778</v>
      </c>
    </row>
    <row r="546" ht="14.25" customHeight="1">
      <c r="A546" s="339" t="s">
        <v>3628</v>
      </c>
      <c r="C546" s="353" t="s">
        <v>1547</v>
      </c>
    </row>
    <row r="547" ht="14.25" customHeight="1">
      <c r="A547" s="339" t="s">
        <v>2959</v>
      </c>
      <c r="C547" s="353" t="s">
        <v>3138</v>
      </c>
    </row>
    <row r="548" ht="14.25" customHeight="1">
      <c r="A548" s="339" t="s">
        <v>3629</v>
      </c>
      <c r="C548" s="353" t="s">
        <v>3452</v>
      </c>
    </row>
    <row r="549" ht="14.25" customHeight="1">
      <c r="A549" s="339" t="s">
        <v>3630</v>
      </c>
      <c r="C549" s="353" t="s">
        <v>3141</v>
      </c>
    </row>
    <row r="550" ht="14.25" customHeight="1">
      <c r="A550" s="339" t="s">
        <v>2971</v>
      </c>
      <c r="C550" s="353" t="s">
        <v>3631</v>
      </c>
    </row>
    <row r="551" ht="14.25" customHeight="1">
      <c r="A551" s="339" t="s">
        <v>2776</v>
      </c>
      <c r="C551" s="353" t="s">
        <v>3632</v>
      </c>
    </row>
    <row r="552" ht="14.25" customHeight="1">
      <c r="A552" s="339" t="s">
        <v>3511</v>
      </c>
      <c r="C552" s="353" t="s">
        <v>2776</v>
      </c>
    </row>
    <row r="553" ht="14.25" customHeight="1">
      <c r="A553" s="339" t="s">
        <v>2974</v>
      </c>
      <c r="C553" s="353" t="s">
        <v>3633</v>
      </c>
    </row>
    <row r="554" ht="14.25" customHeight="1">
      <c r="A554" s="339" t="s">
        <v>3443</v>
      </c>
      <c r="C554" s="353" t="s">
        <v>3145</v>
      </c>
    </row>
    <row r="555" ht="14.25" customHeight="1">
      <c r="A555" s="339" t="s">
        <v>3634</v>
      </c>
      <c r="C555" s="353" t="s">
        <v>3635</v>
      </c>
    </row>
    <row r="556" ht="14.25" customHeight="1">
      <c r="A556" s="339" t="s">
        <v>3451</v>
      </c>
      <c r="C556" s="353" t="s">
        <v>3636</v>
      </c>
    </row>
    <row r="557" ht="14.25" customHeight="1">
      <c r="A557" s="339" t="s">
        <v>3637</v>
      </c>
      <c r="C557" s="353" t="s">
        <v>3639</v>
      </c>
    </row>
    <row r="558" ht="14.25" customHeight="1">
      <c r="A558" s="339" t="s">
        <v>3523</v>
      </c>
      <c r="C558" s="353" t="s">
        <v>3640</v>
      </c>
    </row>
    <row r="559" ht="14.25" customHeight="1">
      <c r="A559" s="339" t="s">
        <v>2978</v>
      </c>
      <c r="C559" s="353" t="s">
        <v>3642</v>
      </c>
    </row>
    <row r="560" ht="14.25" customHeight="1">
      <c r="A560" s="339" t="s">
        <v>3644</v>
      </c>
      <c r="C560" s="353" t="s">
        <v>3177</v>
      </c>
    </row>
    <row r="561" ht="14.25" customHeight="1">
      <c r="A561" s="339" t="s">
        <v>3443</v>
      </c>
      <c r="C561" s="353" t="s">
        <v>3180</v>
      </c>
    </row>
    <row r="562" ht="14.25" customHeight="1">
      <c r="A562" s="339" t="s">
        <v>3645</v>
      </c>
      <c r="C562" s="353" t="s">
        <v>3182</v>
      </c>
    </row>
    <row r="563" ht="14.25" customHeight="1">
      <c r="A563" s="339" t="s">
        <v>3528</v>
      </c>
      <c r="C563" s="353" t="s">
        <v>3183</v>
      </c>
    </row>
    <row r="564" ht="14.25" customHeight="1">
      <c r="A564" s="339" t="s">
        <v>3167</v>
      </c>
      <c r="C564" s="353" t="s">
        <v>3502</v>
      </c>
    </row>
    <row r="565" ht="14.25" customHeight="1">
      <c r="A565" s="339" t="s">
        <v>3646</v>
      </c>
      <c r="C565" s="353" t="s">
        <v>3186</v>
      </c>
    </row>
    <row r="566" ht="14.25" customHeight="1">
      <c r="A566" s="339" t="s">
        <v>3647</v>
      </c>
      <c r="C566" s="353" t="s">
        <v>2727</v>
      </c>
    </row>
    <row r="567" ht="14.25" customHeight="1">
      <c r="A567" s="339" t="s">
        <v>3095</v>
      </c>
      <c r="C567" s="353" t="s">
        <v>1547</v>
      </c>
    </row>
    <row r="568" ht="14.25" customHeight="1">
      <c r="A568" s="339" t="s">
        <v>3648</v>
      </c>
      <c r="C568" s="353" t="s">
        <v>3187</v>
      </c>
    </row>
    <row r="569" ht="14.25" customHeight="1">
      <c r="A569" s="339" t="s">
        <v>3649</v>
      </c>
      <c r="C569" s="353" t="s">
        <v>3186</v>
      </c>
    </row>
    <row r="570" ht="14.25" customHeight="1">
      <c r="A570" s="339" t="s">
        <v>3650</v>
      </c>
      <c r="C570" s="353" t="s">
        <v>2727</v>
      </c>
    </row>
    <row r="571" ht="14.25" customHeight="1">
      <c r="A571" s="339" t="s">
        <v>3651</v>
      </c>
      <c r="C571" s="353" t="s">
        <v>3652</v>
      </c>
    </row>
    <row r="572" ht="14.25" customHeight="1">
      <c r="A572" s="339" t="s">
        <v>3653</v>
      </c>
      <c r="C572" s="353" t="s">
        <v>1547</v>
      </c>
    </row>
    <row r="573" ht="14.25" customHeight="1">
      <c r="A573" s="339" t="s">
        <v>3654</v>
      </c>
      <c r="C573" s="353" t="s">
        <v>3655</v>
      </c>
    </row>
    <row r="574" ht="14.25" customHeight="1">
      <c r="A574" s="339" t="s">
        <v>2839</v>
      </c>
      <c r="C574" s="353" t="s">
        <v>2749</v>
      </c>
    </row>
    <row r="575" ht="14.25" customHeight="1">
      <c r="A575" s="339" t="s">
        <v>3656</v>
      </c>
      <c r="C575" s="353" t="s">
        <v>3657</v>
      </c>
    </row>
    <row r="576" ht="14.25" customHeight="1">
      <c r="A576" s="339" t="s">
        <v>3658</v>
      </c>
      <c r="C576" s="353" t="s">
        <v>2871</v>
      </c>
    </row>
    <row r="577" ht="14.25" customHeight="1">
      <c r="A577" s="339" t="s">
        <v>3659</v>
      </c>
      <c r="C577" s="353" t="s">
        <v>1547</v>
      </c>
    </row>
    <row r="578" ht="14.25" customHeight="1">
      <c r="A578" s="339" t="s">
        <v>3660</v>
      </c>
      <c r="C578" s="353" t="s">
        <v>3661</v>
      </c>
    </row>
    <row r="579" ht="14.25" customHeight="1">
      <c r="A579" s="339" t="s">
        <v>2746</v>
      </c>
      <c r="C579" s="353" t="s">
        <v>2799</v>
      </c>
    </row>
    <row r="580" ht="14.25" customHeight="1">
      <c r="A580" s="339" t="s">
        <v>3451</v>
      </c>
      <c r="C580" s="353" t="s">
        <v>3662</v>
      </c>
    </row>
    <row r="581" ht="14.25" customHeight="1">
      <c r="A581" s="339" t="s">
        <v>3663</v>
      </c>
      <c r="C581" s="353" t="s">
        <v>2778</v>
      </c>
    </row>
    <row r="582" ht="14.25" customHeight="1">
      <c r="A582" s="339" t="s">
        <v>3664</v>
      </c>
      <c r="C582" s="353" t="s">
        <v>1547</v>
      </c>
    </row>
    <row r="583" ht="14.25" customHeight="1">
      <c r="A583" s="339" t="s">
        <v>3665</v>
      </c>
      <c r="C583" s="353" t="s">
        <v>3666</v>
      </c>
    </row>
    <row r="584" ht="14.25" customHeight="1">
      <c r="A584" s="339" t="s">
        <v>3667</v>
      </c>
      <c r="C584" s="353" t="s">
        <v>3668</v>
      </c>
    </row>
    <row r="585" ht="14.25" customHeight="1">
      <c r="A585" s="339" t="s">
        <v>3669</v>
      </c>
      <c r="C585" s="353" t="s">
        <v>2799</v>
      </c>
    </row>
    <row r="586" ht="14.25" customHeight="1">
      <c r="A586" s="339" t="s">
        <v>2776</v>
      </c>
      <c r="C586" s="353" t="s">
        <v>3670</v>
      </c>
    </row>
    <row r="587" ht="14.25" customHeight="1">
      <c r="A587" s="339" t="s">
        <v>2985</v>
      </c>
      <c r="C587" s="353" t="s">
        <v>3671</v>
      </c>
    </row>
    <row r="588" ht="14.25" customHeight="1">
      <c r="A588" s="339" t="s">
        <v>3672</v>
      </c>
      <c r="C588" s="353" t="s">
        <v>2778</v>
      </c>
    </row>
    <row r="589" ht="14.25" customHeight="1">
      <c r="A589" s="339" t="s">
        <v>2727</v>
      </c>
      <c r="C589" s="353" t="s">
        <v>1547</v>
      </c>
    </row>
    <row r="590" ht="14.25" customHeight="1">
      <c r="A590" s="339" t="s">
        <v>1547</v>
      </c>
      <c r="C590" s="353" t="s">
        <v>3673</v>
      </c>
    </row>
    <row r="591" ht="14.25" customHeight="1">
      <c r="A591" s="339" t="s">
        <v>3674</v>
      </c>
      <c r="C591" s="353" t="s">
        <v>3675</v>
      </c>
    </row>
    <row r="592" ht="14.25" customHeight="1">
      <c r="A592" s="339" t="s">
        <v>2956</v>
      </c>
      <c r="C592" s="353" t="s">
        <v>2778</v>
      </c>
    </row>
    <row r="593" ht="14.25" customHeight="1">
      <c r="A593" s="339" t="s">
        <v>3676</v>
      </c>
      <c r="C593" s="353" t="s">
        <v>1547</v>
      </c>
    </row>
    <row r="594" ht="14.25" customHeight="1">
      <c r="A594" s="339" t="s">
        <v>2959</v>
      </c>
      <c r="C594" s="353" t="s">
        <v>3677</v>
      </c>
    </row>
    <row r="595" ht="14.25" customHeight="1">
      <c r="A595" s="339" t="s">
        <v>3678</v>
      </c>
      <c r="C595" s="353" t="s">
        <v>3679</v>
      </c>
    </row>
    <row r="596" ht="14.25" customHeight="1">
      <c r="A596" s="339" t="s">
        <v>3680</v>
      </c>
      <c r="C596" s="353" t="s">
        <v>3681</v>
      </c>
    </row>
    <row r="597" ht="14.25" customHeight="1">
      <c r="A597" s="339" t="s">
        <v>2971</v>
      </c>
      <c r="C597" s="353" t="s">
        <v>3682</v>
      </c>
    </row>
    <row r="598" ht="14.25" customHeight="1">
      <c r="A598" s="339" t="s">
        <v>2776</v>
      </c>
      <c r="C598" s="353" t="s">
        <v>3683</v>
      </c>
    </row>
    <row r="599" ht="14.25" customHeight="1">
      <c r="A599" s="339" t="s">
        <v>3684</v>
      </c>
      <c r="C599" s="353" t="s">
        <v>3685</v>
      </c>
    </row>
    <row r="600" ht="14.25" customHeight="1">
      <c r="A600" s="339" t="s">
        <v>3523</v>
      </c>
      <c r="C600" s="353" t="s">
        <v>3686</v>
      </c>
    </row>
    <row r="601" ht="14.25" customHeight="1">
      <c r="A601" s="339" t="s">
        <v>3443</v>
      </c>
      <c r="C601" s="353" t="s">
        <v>2727</v>
      </c>
    </row>
    <row r="602" ht="14.25" customHeight="1">
      <c r="A602" s="339" t="s">
        <v>3687</v>
      </c>
      <c r="C602" s="353" t="s">
        <v>1547</v>
      </c>
    </row>
    <row r="603" ht="14.25" customHeight="1">
      <c r="A603" s="339" t="s">
        <v>3688</v>
      </c>
      <c r="C603" s="353" t="s">
        <v>2881</v>
      </c>
    </row>
    <row r="604" ht="14.25" customHeight="1">
      <c r="A604" s="339" t="s">
        <v>3689</v>
      </c>
      <c r="C604" s="353" t="s">
        <v>2884</v>
      </c>
    </row>
    <row r="605" ht="14.25" customHeight="1">
      <c r="A605" s="339" t="s">
        <v>2746</v>
      </c>
      <c r="C605" s="353" t="s">
        <v>3690</v>
      </c>
    </row>
    <row r="606" ht="14.25" customHeight="1">
      <c r="A606" s="339" t="s">
        <v>3451</v>
      </c>
      <c r="C606" s="353" t="s">
        <v>3691</v>
      </c>
    </row>
    <row r="607" ht="14.25" customHeight="1">
      <c r="A607" s="339" t="s">
        <v>3540</v>
      </c>
      <c r="C607" s="353" t="s">
        <v>3692</v>
      </c>
    </row>
    <row r="608" ht="14.25" customHeight="1">
      <c r="A608" s="339" t="s">
        <v>3693</v>
      </c>
      <c r="C608" s="353" t="s">
        <v>3694</v>
      </c>
    </row>
    <row r="609" ht="14.25" customHeight="1">
      <c r="A609" s="339" t="s">
        <v>2727</v>
      </c>
      <c r="C609" s="353" t="s">
        <v>3695</v>
      </c>
    </row>
    <row r="610" ht="14.25" customHeight="1">
      <c r="A610" s="339" t="s">
        <v>1547</v>
      </c>
      <c r="C610" s="353" t="s">
        <v>2727</v>
      </c>
    </row>
    <row r="611" ht="14.25" customHeight="1">
      <c r="A611" s="339" t="s">
        <v>3696</v>
      </c>
      <c r="C611" s="353" t="s">
        <v>1547</v>
      </c>
    </row>
    <row r="612" ht="14.25" customHeight="1">
      <c r="A612" s="339" t="s">
        <v>3697</v>
      </c>
      <c r="C612" s="353" t="s">
        <v>2918</v>
      </c>
    </row>
    <row r="613" ht="14.25" customHeight="1">
      <c r="A613" s="339" t="s">
        <v>2727</v>
      </c>
      <c r="C613" s="353" t="s">
        <v>2799</v>
      </c>
    </row>
    <row r="614" ht="14.25" customHeight="1">
      <c r="A614" s="339" t="s">
        <v>3698</v>
      </c>
      <c r="C614" s="353" t="s">
        <v>3699</v>
      </c>
    </row>
    <row r="615" ht="14.25" customHeight="1">
      <c r="A615" s="339" t="s">
        <v>1547</v>
      </c>
      <c r="C615" s="353" t="s">
        <v>2727</v>
      </c>
    </row>
    <row r="616" ht="14.25" customHeight="1">
      <c r="A616" s="339" t="s">
        <v>3700</v>
      </c>
      <c r="C616" s="353" t="s">
        <v>1547</v>
      </c>
    </row>
    <row r="617" ht="14.25" customHeight="1">
      <c r="A617" s="339" t="s">
        <v>3701</v>
      </c>
      <c r="C617" s="353" t="s">
        <v>3702</v>
      </c>
    </row>
    <row r="618" ht="14.25" customHeight="1">
      <c r="A618" s="339" t="s">
        <v>3703</v>
      </c>
      <c r="C618" s="353" t="s">
        <v>3704</v>
      </c>
    </row>
    <row r="619" ht="14.25" customHeight="1">
      <c r="A619" s="339" t="s">
        <v>3705</v>
      </c>
      <c r="C619" s="353" t="s">
        <v>3706</v>
      </c>
    </row>
    <row r="620" ht="14.25" customHeight="1">
      <c r="A620" s="339" t="s">
        <v>3707</v>
      </c>
      <c r="C620" s="353" t="s">
        <v>3708</v>
      </c>
    </row>
    <row r="621" ht="14.25" customHeight="1">
      <c r="A621" s="339" t="s">
        <v>3709</v>
      </c>
      <c r="C621" s="353" t="s">
        <v>3710</v>
      </c>
    </row>
    <row r="622" ht="14.25" customHeight="1">
      <c r="A622" s="339" t="s">
        <v>2778</v>
      </c>
      <c r="C622" s="353" t="s">
        <v>3711</v>
      </c>
    </row>
    <row r="623" ht="14.25" customHeight="1">
      <c r="A623" s="339" t="s">
        <v>1547</v>
      </c>
      <c r="C623" s="353" t="s">
        <v>2892</v>
      </c>
    </row>
    <row r="624" ht="14.25" customHeight="1">
      <c r="A624" s="339" t="s">
        <v>3712</v>
      </c>
      <c r="C624" s="353" t="s">
        <v>3713</v>
      </c>
    </row>
    <row r="625" ht="14.25" customHeight="1">
      <c r="A625" s="339" t="s">
        <v>3714</v>
      </c>
      <c r="C625" s="353" t="s">
        <v>2799</v>
      </c>
    </row>
    <row r="626" ht="14.25" customHeight="1">
      <c r="A626" s="339" t="s">
        <v>3715</v>
      </c>
      <c r="C626" s="353" t="s">
        <v>3699</v>
      </c>
    </row>
    <row r="627" ht="14.25" customHeight="1">
      <c r="A627" s="339" t="s">
        <v>3716</v>
      </c>
      <c r="C627" s="353" t="s">
        <v>2727</v>
      </c>
    </row>
    <row r="628" ht="14.25" customHeight="1">
      <c r="A628" s="339" t="s">
        <v>3717</v>
      </c>
      <c r="C628" s="353" t="s">
        <v>1547</v>
      </c>
    </row>
    <row r="629" ht="14.25" customHeight="1">
      <c r="A629" s="339" t="s">
        <v>3718</v>
      </c>
      <c r="C629" s="353" t="s">
        <v>3719</v>
      </c>
    </row>
    <row r="630" ht="14.25" customHeight="1">
      <c r="A630" s="339" t="s">
        <v>3720</v>
      </c>
      <c r="C630" s="353" t="s">
        <v>3721</v>
      </c>
    </row>
    <row r="631" ht="14.25" customHeight="1">
      <c r="A631" s="339" t="s">
        <v>3722</v>
      </c>
      <c r="C631" s="353" t="s">
        <v>2727</v>
      </c>
    </row>
    <row r="632" ht="14.25" customHeight="1">
      <c r="A632" s="339" t="s">
        <v>3723</v>
      </c>
      <c r="C632" s="353" t="s">
        <v>1547</v>
      </c>
    </row>
    <row r="633" ht="14.25" customHeight="1">
      <c r="A633" s="339" t="s">
        <v>3724</v>
      </c>
      <c r="C633" s="353" t="s">
        <v>3725</v>
      </c>
    </row>
    <row r="634" ht="14.25" customHeight="1">
      <c r="A634" s="339" t="s">
        <v>2778</v>
      </c>
      <c r="C634" s="353" t="s">
        <v>3726</v>
      </c>
    </row>
    <row r="635" ht="14.25" customHeight="1">
      <c r="A635" s="339" t="s">
        <v>1547</v>
      </c>
      <c r="C635" s="353" t="s">
        <v>2727</v>
      </c>
    </row>
    <row r="636" ht="14.25" customHeight="1">
      <c r="A636" s="339" t="s">
        <v>3727</v>
      </c>
      <c r="C636" s="353" t="s">
        <v>1547</v>
      </c>
    </row>
    <row r="637" ht="14.25" customHeight="1">
      <c r="A637" s="339" t="s">
        <v>3728</v>
      </c>
      <c r="C637" s="353" t="s">
        <v>3729</v>
      </c>
    </row>
    <row r="638" ht="14.25" customHeight="1">
      <c r="A638" s="339" t="s">
        <v>3730</v>
      </c>
      <c r="C638" s="353" t="s">
        <v>3731</v>
      </c>
    </row>
    <row r="639" ht="14.25" customHeight="1">
      <c r="A639" s="339" t="s">
        <v>3732</v>
      </c>
      <c r="C639" s="353" t="s">
        <v>2727</v>
      </c>
    </row>
    <row r="640" ht="14.25" customHeight="1">
      <c r="A640" s="339" t="s">
        <v>3733</v>
      </c>
      <c r="C640" s="353" t="s">
        <v>1547</v>
      </c>
    </row>
    <row r="641" ht="14.25" customHeight="1">
      <c r="A641" s="339" t="s">
        <v>3734</v>
      </c>
      <c r="C641" s="353" t="s">
        <v>3735</v>
      </c>
    </row>
    <row r="642" ht="14.25" customHeight="1">
      <c r="A642" s="339" t="s">
        <v>3737</v>
      </c>
      <c r="C642" s="353" t="s">
        <v>3738</v>
      </c>
    </row>
    <row r="643" ht="14.25" customHeight="1">
      <c r="A643" s="339" t="s">
        <v>3739</v>
      </c>
      <c r="C643" s="353" t="s">
        <v>2727</v>
      </c>
    </row>
    <row r="644" ht="14.25" customHeight="1">
      <c r="A644" s="339" t="s">
        <v>3740</v>
      </c>
      <c r="C644" s="353" t="s">
        <v>1547</v>
      </c>
    </row>
    <row r="645" ht="14.25" customHeight="1">
      <c r="A645" s="339" t="s">
        <v>3741</v>
      </c>
      <c r="C645" s="353" t="s">
        <v>3742</v>
      </c>
    </row>
    <row r="646" ht="14.25" customHeight="1">
      <c r="A646" s="339" t="s">
        <v>2776</v>
      </c>
      <c r="C646" s="353" t="s">
        <v>3743</v>
      </c>
    </row>
    <row r="647" ht="14.25" customHeight="1">
      <c r="A647" s="339" t="s">
        <v>3744</v>
      </c>
      <c r="C647" s="353" t="s">
        <v>2727</v>
      </c>
    </row>
    <row r="648" ht="14.25" customHeight="1">
      <c r="A648" s="339" t="s">
        <v>2778</v>
      </c>
      <c r="C648" s="353" t="s">
        <v>1547</v>
      </c>
    </row>
    <row r="649" ht="14.25" customHeight="1">
      <c r="A649" s="339" t="s">
        <v>1547</v>
      </c>
      <c r="C649" s="353" t="s">
        <v>3746</v>
      </c>
    </row>
    <row r="650" ht="14.25" customHeight="1">
      <c r="A650" s="339" t="s">
        <v>3747</v>
      </c>
      <c r="C650" s="353" t="s">
        <v>3749</v>
      </c>
    </row>
    <row r="651" ht="14.25" customHeight="1">
      <c r="A651" s="339" t="s">
        <v>3137</v>
      </c>
      <c r="C651" s="353" t="s">
        <v>2727</v>
      </c>
    </row>
    <row r="652" ht="14.25" customHeight="1">
      <c r="A652" s="339" t="s">
        <v>3753</v>
      </c>
      <c r="C652" s="353" t="s">
        <v>1547</v>
      </c>
    </row>
    <row r="653" ht="14.25" customHeight="1">
      <c r="A653" s="339" t="s">
        <v>3754</v>
      </c>
      <c r="C653" s="353" t="s">
        <v>3755</v>
      </c>
    </row>
    <row r="654" ht="14.25" customHeight="1">
      <c r="A654" s="339" t="s">
        <v>3757</v>
      </c>
      <c r="C654" s="353" t="s">
        <v>3713</v>
      </c>
    </row>
    <row r="655" ht="14.25" customHeight="1">
      <c r="A655" s="339" t="s">
        <v>3758</v>
      </c>
      <c r="C655" s="353" t="s">
        <v>2727</v>
      </c>
    </row>
    <row r="656" ht="14.25" customHeight="1">
      <c r="A656" s="339" t="s">
        <v>3759</v>
      </c>
      <c r="C656" s="353" t="s">
        <v>1547</v>
      </c>
    </row>
    <row r="657" ht="14.25" customHeight="1">
      <c r="A657" s="339" t="s">
        <v>3760</v>
      </c>
      <c r="C657" s="353" t="s">
        <v>3761</v>
      </c>
    </row>
    <row r="658" ht="14.25" customHeight="1">
      <c r="A658" s="339" t="s">
        <v>2804</v>
      </c>
      <c r="C658" s="353" t="s">
        <v>3763</v>
      </c>
    </row>
    <row r="659" ht="14.25" customHeight="1">
      <c r="A659" s="339" t="s">
        <v>2778</v>
      </c>
      <c r="C659" s="353" t="s">
        <v>3764</v>
      </c>
    </row>
    <row r="660" ht="14.25" customHeight="1">
      <c r="A660" s="339" t="s">
        <v>1547</v>
      </c>
      <c r="C660" s="353" t="s">
        <v>3765</v>
      </c>
    </row>
    <row r="661" ht="14.25" customHeight="1">
      <c r="A661" s="339" t="s">
        <v>3766</v>
      </c>
      <c r="C661" s="353" t="s">
        <v>3767</v>
      </c>
    </row>
    <row r="662" ht="14.25" customHeight="1">
      <c r="A662" s="339" t="s">
        <v>3768</v>
      </c>
      <c r="C662" s="353" t="s">
        <v>3769</v>
      </c>
    </row>
    <row r="663" ht="14.25" customHeight="1">
      <c r="A663" s="339" t="s">
        <v>3770</v>
      </c>
      <c r="C663" s="353" t="s">
        <v>3764</v>
      </c>
    </row>
    <row r="664" ht="14.25" customHeight="1">
      <c r="A664" s="339" t="s">
        <v>2978</v>
      </c>
      <c r="C664" s="353" t="s">
        <v>3773</v>
      </c>
    </row>
    <row r="665" ht="14.25" customHeight="1">
      <c r="A665" s="339" t="s">
        <v>3774</v>
      </c>
      <c r="C665" s="353" t="s">
        <v>3775</v>
      </c>
    </row>
    <row r="666" ht="14.25" customHeight="1">
      <c r="A666" s="339" t="s">
        <v>3777</v>
      </c>
      <c r="C666" s="353" t="s">
        <v>2776</v>
      </c>
    </row>
    <row r="667" ht="14.25" customHeight="1">
      <c r="A667" s="339" t="s">
        <v>3778</v>
      </c>
      <c r="C667" s="353" t="s">
        <v>2727</v>
      </c>
    </row>
    <row r="668" ht="14.25" customHeight="1">
      <c r="A668" s="339" t="s">
        <v>3780</v>
      </c>
      <c r="C668" s="353" t="s">
        <v>1547</v>
      </c>
    </row>
    <row r="669" ht="14.25" customHeight="1">
      <c r="A669" s="339" t="s">
        <v>3095</v>
      </c>
      <c r="C669" s="353" t="s">
        <v>3781</v>
      </c>
    </row>
    <row r="670" ht="14.25" customHeight="1">
      <c r="A670" s="339" t="s">
        <v>3782</v>
      </c>
      <c r="C670" s="353" t="s">
        <v>3784</v>
      </c>
    </row>
    <row r="671" ht="14.25" customHeight="1">
      <c r="A671" s="339" t="s">
        <v>2839</v>
      </c>
      <c r="C671" s="353" t="s">
        <v>3764</v>
      </c>
    </row>
    <row r="672" ht="14.25" customHeight="1">
      <c r="A672" s="339" t="s">
        <v>3786</v>
      </c>
      <c r="C672" s="353" t="s">
        <v>3787</v>
      </c>
    </row>
    <row r="673" ht="14.25" customHeight="1">
      <c r="A673" s="339" t="s">
        <v>2917</v>
      </c>
      <c r="C673" s="353" t="s">
        <v>2776</v>
      </c>
    </row>
    <row r="674" ht="14.25" customHeight="1">
      <c r="A674" s="339" t="s">
        <v>3788</v>
      </c>
      <c r="C674" s="353" t="s">
        <v>2727</v>
      </c>
    </row>
    <row r="675" ht="14.25" customHeight="1">
      <c r="A675" s="339" t="s">
        <v>2746</v>
      </c>
      <c r="C675" s="353" t="s">
        <v>1547</v>
      </c>
    </row>
    <row r="676" ht="14.25" customHeight="1">
      <c r="A676" s="339" t="s">
        <v>3451</v>
      </c>
      <c r="C676" s="353" t="s">
        <v>3789</v>
      </c>
    </row>
    <row r="677" ht="14.25" customHeight="1">
      <c r="A677" s="339" t="s">
        <v>2985</v>
      </c>
      <c r="C677" s="353" t="s">
        <v>3790</v>
      </c>
    </row>
    <row r="678" ht="14.25" customHeight="1">
      <c r="A678" s="339" t="s">
        <v>2727</v>
      </c>
      <c r="C678" s="353" t="s">
        <v>3791</v>
      </c>
    </row>
    <row r="679" ht="14.25" customHeight="1">
      <c r="A679" s="339" t="s">
        <v>1547</v>
      </c>
      <c r="C679" s="353" t="s">
        <v>3792</v>
      </c>
    </row>
    <row r="680" ht="14.25" customHeight="1">
      <c r="A680" s="339" t="s">
        <v>3793</v>
      </c>
      <c r="C680" s="353" t="s">
        <v>3694</v>
      </c>
    </row>
    <row r="681" ht="14.25" customHeight="1">
      <c r="A681" s="339" t="s">
        <v>3794</v>
      </c>
      <c r="C681" s="353" t="s">
        <v>3795</v>
      </c>
    </row>
    <row r="682" ht="14.25" customHeight="1">
      <c r="A682" s="339" t="s">
        <v>3796</v>
      </c>
      <c r="C682" s="353" t="s">
        <v>3797</v>
      </c>
    </row>
    <row r="683" ht="14.25" customHeight="1">
      <c r="A683" s="339" t="s">
        <v>3798</v>
      </c>
      <c r="C683" s="353" t="s">
        <v>2971</v>
      </c>
    </row>
    <row r="684" ht="14.25" customHeight="1">
      <c r="A684" s="339" t="s">
        <v>3799</v>
      </c>
      <c r="C684" s="353" t="s">
        <v>2776</v>
      </c>
    </row>
    <row r="685" ht="14.25" customHeight="1">
      <c r="A685" s="339" t="s">
        <v>3800</v>
      </c>
      <c r="C685" s="353" t="s">
        <v>3801</v>
      </c>
    </row>
    <row r="686" ht="14.25" customHeight="1">
      <c r="A686" s="339" t="s">
        <v>3802</v>
      </c>
      <c r="C686" s="353" t="s">
        <v>3803</v>
      </c>
    </row>
    <row r="687" ht="14.25" customHeight="1">
      <c r="A687" s="339" t="s">
        <v>3329</v>
      </c>
      <c r="C687" s="353" t="s">
        <v>3805</v>
      </c>
    </row>
    <row r="688" ht="14.25" customHeight="1">
      <c r="A688" s="339" t="s">
        <v>2727</v>
      </c>
      <c r="C688" s="353" t="s">
        <v>3807</v>
      </c>
    </row>
    <row r="689" ht="14.25" customHeight="1">
      <c r="A689" s="339" t="s">
        <v>1547</v>
      </c>
      <c r="C689" s="353" t="s">
        <v>3808</v>
      </c>
    </row>
    <row r="690" ht="14.25" customHeight="1">
      <c r="A690" s="339" t="s">
        <v>3809</v>
      </c>
      <c r="C690" s="353" t="s">
        <v>3810</v>
      </c>
    </row>
    <row r="691" ht="14.25" customHeight="1">
      <c r="A691" s="339" t="s">
        <v>3812</v>
      </c>
      <c r="C691" s="353" t="s">
        <v>2776</v>
      </c>
    </row>
    <row r="692" ht="14.25" customHeight="1">
      <c r="A692" s="339" t="s">
        <v>3813</v>
      </c>
      <c r="C692" s="353" t="s">
        <v>3814</v>
      </c>
    </row>
    <row r="693" ht="14.25" customHeight="1">
      <c r="A693" s="339" t="s">
        <v>3815</v>
      </c>
      <c r="C693" s="353" t="s">
        <v>3816</v>
      </c>
    </row>
    <row r="694" ht="14.25" customHeight="1">
      <c r="A694" s="339" t="s">
        <v>3817</v>
      </c>
      <c r="C694" s="353" t="s">
        <v>3805</v>
      </c>
    </row>
    <row r="695" ht="14.25" customHeight="1">
      <c r="A695" s="339" t="s">
        <v>2727</v>
      </c>
      <c r="C695" s="353" t="s">
        <v>3819</v>
      </c>
    </row>
    <row r="696" ht="14.25" customHeight="1">
      <c r="A696" s="339" t="s">
        <v>1547</v>
      </c>
      <c r="C696" s="353" t="s">
        <v>3820</v>
      </c>
    </row>
    <row r="697" ht="14.25" customHeight="1">
      <c r="A697" s="339" t="s">
        <v>3821</v>
      </c>
      <c r="C697" s="353" t="s">
        <v>3810</v>
      </c>
    </row>
    <row r="698" ht="14.25" customHeight="1">
      <c r="A698" s="339" t="s">
        <v>3822</v>
      </c>
      <c r="C698" s="353" t="s">
        <v>2776</v>
      </c>
    </row>
    <row r="699" ht="14.25" customHeight="1">
      <c r="A699" s="339" t="s">
        <v>3823</v>
      </c>
      <c r="C699" s="353" t="s">
        <v>3824</v>
      </c>
    </row>
    <row r="700" ht="14.25" customHeight="1">
      <c r="A700" s="339" t="s">
        <v>3825</v>
      </c>
      <c r="C700" s="353" t="s">
        <v>3826</v>
      </c>
    </row>
    <row r="701" ht="14.25" customHeight="1">
      <c r="A701" s="339" t="s">
        <v>3828</v>
      </c>
      <c r="C701" s="353" t="s">
        <v>3829</v>
      </c>
    </row>
    <row r="702" ht="14.25" customHeight="1">
      <c r="A702" s="339" t="s">
        <v>3830</v>
      </c>
      <c r="C702" s="353" t="s">
        <v>3805</v>
      </c>
    </row>
    <row r="703" ht="14.25" customHeight="1">
      <c r="A703" s="339" t="s">
        <v>3831</v>
      </c>
      <c r="C703" s="353" t="s">
        <v>3832</v>
      </c>
    </row>
    <row r="704" ht="14.25" customHeight="1">
      <c r="A704" s="339" t="s">
        <v>2746</v>
      </c>
      <c r="C704" s="353" t="s">
        <v>3835</v>
      </c>
    </row>
    <row r="705" ht="14.25" customHeight="1">
      <c r="A705" s="339" t="s">
        <v>2748</v>
      </c>
      <c r="C705" s="353" t="s">
        <v>3836</v>
      </c>
    </row>
    <row r="706" ht="14.25" customHeight="1">
      <c r="A706" s="339" t="s">
        <v>2727</v>
      </c>
      <c r="C706" s="353" t="s">
        <v>3838</v>
      </c>
    </row>
    <row r="707" ht="14.25" customHeight="1">
      <c r="A707" s="339" t="s">
        <v>1547</v>
      </c>
      <c r="C707" s="353" t="s">
        <v>3840</v>
      </c>
    </row>
    <row r="708" ht="14.25" customHeight="1">
      <c r="A708" s="339" t="s">
        <v>3841</v>
      </c>
      <c r="C708" s="353" t="s">
        <v>3842</v>
      </c>
    </row>
    <row r="709" ht="14.25" customHeight="1">
      <c r="A709" s="339" t="s">
        <v>3843</v>
      </c>
      <c r="C709" s="353" t="s">
        <v>3584</v>
      </c>
    </row>
    <row r="710" ht="14.25" customHeight="1">
      <c r="A710" s="339" t="s">
        <v>3844</v>
      </c>
      <c r="C710" s="353" t="s">
        <v>2839</v>
      </c>
    </row>
    <row r="711" ht="14.25" customHeight="1">
      <c r="A711" s="339" t="s">
        <v>3846</v>
      </c>
      <c r="C711" s="353" t="s">
        <v>3810</v>
      </c>
    </row>
    <row r="712" ht="14.25" customHeight="1">
      <c r="A712" s="339" t="s">
        <v>3847</v>
      </c>
      <c r="C712" s="353" t="s">
        <v>2776</v>
      </c>
    </row>
    <row r="713" ht="14.25" customHeight="1">
      <c r="A713" s="339" t="s">
        <v>3137</v>
      </c>
      <c r="C713" s="353" t="s">
        <v>3848</v>
      </c>
    </row>
    <row r="714" ht="14.25" customHeight="1">
      <c r="A714" s="339" t="s">
        <v>3850</v>
      </c>
      <c r="C714" s="353" t="s">
        <v>3851</v>
      </c>
    </row>
    <row r="715" ht="14.25" customHeight="1">
      <c r="A715" s="339" t="s">
        <v>3853</v>
      </c>
      <c r="C715" s="353" t="s">
        <v>3829</v>
      </c>
    </row>
    <row r="716" ht="14.25" customHeight="1">
      <c r="A716" s="339" t="s">
        <v>3854</v>
      </c>
      <c r="C716" s="353" t="s">
        <v>3805</v>
      </c>
    </row>
    <row r="717" ht="14.25" customHeight="1">
      <c r="A717" s="339" t="s">
        <v>3855</v>
      </c>
      <c r="C717" s="353" t="s">
        <v>3856</v>
      </c>
    </row>
    <row r="718" ht="14.25" customHeight="1">
      <c r="A718" s="339" t="s">
        <v>3857</v>
      </c>
      <c r="C718" s="353" t="s">
        <v>3835</v>
      </c>
    </row>
    <row r="719" ht="14.25" customHeight="1">
      <c r="A719" s="339" t="s">
        <v>3859</v>
      </c>
      <c r="C719" s="353" t="s">
        <v>3861</v>
      </c>
    </row>
    <row r="720" ht="14.25" customHeight="1">
      <c r="A720" s="339" t="s">
        <v>3862</v>
      </c>
      <c r="C720" s="353" t="s">
        <v>3838</v>
      </c>
    </row>
    <row r="721" ht="14.25" customHeight="1">
      <c r="A721" s="339" t="s">
        <v>3863</v>
      </c>
      <c r="C721" s="353" t="s">
        <v>3840</v>
      </c>
    </row>
    <row r="722" ht="14.25" customHeight="1">
      <c r="A722" s="339" t="s">
        <v>3864</v>
      </c>
      <c r="C722" s="353" t="s">
        <v>3866</v>
      </c>
    </row>
    <row r="723" ht="14.25" customHeight="1">
      <c r="A723" s="339" t="s">
        <v>3868</v>
      </c>
      <c r="C723" s="353" t="s">
        <v>3584</v>
      </c>
    </row>
    <row r="724" ht="14.25" customHeight="1">
      <c r="A724" s="339" t="s">
        <v>3870</v>
      </c>
      <c r="C724" s="353" t="s">
        <v>2839</v>
      </c>
    </row>
    <row r="725" ht="14.25" customHeight="1">
      <c r="A725" s="339" t="s">
        <v>3871</v>
      </c>
      <c r="C725" s="353" t="s">
        <v>3810</v>
      </c>
    </row>
    <row r="726" ht="14.25" customHeight="1">
      <c r="A726" s="339" t="s">
        <v>3873</v>
      </c>
      <c r="C726" s="353" t="s">
        <v>2776</v>
      </c>
    </row>
    <row r="727" ht="14.25" customHeight="1">
      <c r="A727" s="339" t="s">
        <v>3874</v>
      </c>
      <c r="C727" s="353" t="s">
        <v>3875</v>
      </c>
    </row>
    <row r="728" ht="14.25" customHeight="1">
      <c r="A728" s="339" t="s">
        <v>3876</v>
      </c>
      <c r="C728" s="353" t="s">
        <v>3877</v>
      </c>
    </row>
    <row r="729" ht="14.25" customHeight="1">
      <c r="A729" s="339" t="s">
        <v>3879</v>
      </c>
      <c r="C729" s="353" t="s">
        <v>3805</v>
      </c>
    </row>
    <row r="730" ht="14.25" customHeight="1">
      <c r="A730" s="339" t="s">
        <v>3880</v>
      </c>
      <c r="C730" s="353" t="s">
        <v>3881</v>
      </c>
    </row>
    <row r="731" ht="14.25" customHeight="1">
      <c r="A731" s="339" t="s">
        <v>3882</v>
      </c>
      <c r="C731" s="353" t="s">
        <v>3883</v>
      </c>
    </row>
    <row r="732" ht="14.25" customHeight="1">
      <c r="A732" s="339" t="s">
        <v>3873</v>
      </c>
      <c r="C732" s="353" t="s">
        <v>3810</v>
      </c>
    </row>
    <row r="733" ht="14.25" customHeight="1">
      <c r="A733" s="339" t="s">
        <v>3885</v>
      </c>
      <c r="C733" s="353" t="s">
        <v>2776</v>
      </c>
    </row>
    <row r="734" ht="14.25" customHeight="1">
      <c r="A734" s="339" t="s">
        <v>2839</v>
      </c>
      <c r="C734" s="353" t="s">
        <v>3886</v>
      </c>
    </row>
    <row r="735" ht="14.25" customHeight="1">
      <c r="A735" s="339" t="s">
        <v>3887</v>
      </c>
      <c r="C735" s="353" t="s">
        <v>3888</v>
      </c>
    </row>
    <row r="736" ht="14.25" customHeight="1">
      <c r="A736" s="339" t="s">
        <v>3890</v>
      </c>
      <c r="C736" s="353" t="s">
        <v>3891</v>
      </c>
    </row>
    <row r="737" ht="14.25" customHeight="1">
      <c r="A737" s="339" t="s">
        <v>3864</v>
      </c>
      <c r="C737" s="353" t="s">
        <v>3892</v>
      </c>
    </row>
    <row r="738" ht="14.25" customHeight="1">
      <c r="A738" s="339" t="s">
        <v>3893</v>
      </c>
      <c r="C738" s="353" t="s">
        <v>3894</v>
      </c>
    </row>
    <row r="739" ht="14.25" customHeight="1">
      <c r="A739" s="339" t="s">
        <v>3870</v>
      </c>
      <c r="C739" s="353" t="s">
        <v>2840</v>
      </c>
    </row>
    <row r="740" ht="14.25" customHeight="1">
      <c r="A740" s="339" t="s">
        <v>3871</v>
      </c>
      <c r="C740" s="353" t="s">
        <v>3895</v>
      </c>
    </row>
    <row r="741" ht="14.25" customHeight="1">
      <c r="A741" s="339" t="s">
        <v>3873</v>
      </c>
      <c r="C741" s="353" t="s">
        <v>2776</v>
      </c>
    </row>
    <row r="742" ht="14.25" customHeight="1">
      <c r="A742" s="339" t="s">
        <v>3896</v>
      </c>
      <c r="C742" s="353" t="s">
        <v>2727</v>
      </c>
    </row>
    <row r="743" ht="14.25" customHeight="1">
      <c r="A743" s="339" t="s">
        <v>3897</v>
      </c>
      <c r="C743" s="353" t="s">
        <v>1547</v>
      </c>
    </row>
    <row r="744" ht="14.25" customHeight="1">
      <c r="A744" s="339" t="s">
        <v>3898</v>
      </c>
      <c r="C744" s="353" t="s">
        <v>3899</v>
      </c>
    </row>
    <row r="745" ht="14.25" customHeight="1">
      <c r="A745" s="339" t="s">
        <v>3900</v>
      </c>
      <c r="C745" s="353" t="s">
        <v>3901</v>
      </c>
    </row>
    <row r="746" ht="14.25" customHeight="1">
      <c r="A746" s="339" t="s">
        <v>3902</v>
      </c>
      <c r="C746" s="353" t="s">
        <v>3903</v>
      </c>
    </row>
    <row r="747" ht="14.25" customHeight="1">
      <c r="A747" s="339" t="s">
        <v>3904</v>
      </c>
      <c r="C747" s="353" t="s">
        <v>3906</v>
      </c>
    </row>
    <row r="748" ht="14.25" customHeight="1">
      <c r="A748" s="339" t="s">
        <v>3908</v>
      </c>
      <c r="C748" s="353" t="s">
        <v>3909</v>
      </c>
    </row>
    <row r="749" ht="14.25" customHeight="1">
      <c r="A749" s="339" t="s">
        <v>3873</v>
      </c>
      <c r="C749" s="353" t="s">
        <v>3910</v>
      </c>
    </row>
    <row r="750" ht="14.25" customHeight="1">
      <c r="A750" s="339" t="s">
        <v>3912</v>
      </c>
      <c r="C750" s="353" t="s">
        <v>3913</v>
      </c>
    </row>
    <row r="751" ht="14.25" customHeight="1">
      <c r="A751" s="339" t="s">
        <v>2839</v>
      </c>
      <c r="C751" s="353" t="s">
        <v>2839</v>
      </c>
    </row>
    <row r="752" ht="14.25" customHeight="1">
      <c r="A752" s="339" t="s">
        <v>2804</v>
      </c>
      <c r="C752" s="353" t="s">
        <v>3914</v>
      </c>
    </row>
    <row r="753" ht="14.25" customHeight="1">
      <c r="A753" s="339" t="s">
        <v>2727</v>
      </c>
      <c r="C753" s="353" t="s">
        <v>3915</v>
      </c>
    </row>
    <row r="754" ht="14.25" customHeight="1">
      <c r="A754" s="339" t="s">
        <v>1547</v>
      </c>
      <c r="C754" s="353" t="s">
        <v>2804</v>
      </c>
    </row>
    <row r="755" ht="14.25" customHeight="1">
      <c r="A755" s="339" t="s">
        <v>3916</v>
      </c>
      <c r="C755" s="353" t="s">
        <v>2778</v>
      </c>
    </row>
    <row r="756" ht="14.25" customHeight="1">
      <c r="A756" s="339" t="s">
        <v>3918</v>
      </c>
      <c r="C756" s="353" t="s">
        <v>1547</v>
      </c>
    </row>
    <row r="757" ht="14.25" customHeight="1">
      <c r="A757" s="339" t="s">
        <v>3919</v>
      </c>
      <c r="C757" s="353" t="s">
        <v>3920</v>
      </c>
    </row>
    <row r="758" ht="14.25" customHeight="1">
      <c r="A758" s="339" t="s">
        <v>3921</v>
      </c>
      <c r="C758" s="353" t="s">
        <v>3922</v>
      </c>
    </row>
    <row r="759" ht="14.25" customHeight="1">
      <c r="A759" s="339" t="s">
        <v>3923</v>
      </c>
      <c r="C759" s="353" t="s">
        <v>3924</v>
      </c>
    </row>
    <row r="760" ht="14.25" customHeight="1">
      <c r="A760" s="339" t="s">
        <v>3926</v>
      </c>
      <c r="C760" s="353" t="s">
        <v>3927</v>
      </c>
    </row>
    <row r="761" ht="14.25" customHeight="1">
      <c r="A761" s="339" t="s">
        <v>3928</v>
      </c>
      <c r="C761" s="353" t="s">
        <v>3929</v>
      </c>
    </row>
    <row r="762" ht="14.25" customHeight="1">
      <c r="A762" s="339" t="s">
        <v>3930</v>
      </c>
      <c r="C762" s="353" t="s">
        <v>3931</v>
      </c>
    </row>
    <row r="763" ht="14.25" customHeight="1">
      <c r="A763" s="339" t="s">
        <v>3932</v>
      </c>
      <c r="C763" s="353" t="s">
        <v>2840</v>
      </c>
    </row>
    <row r="764" ht="14.25" customHeight="1">
      <c r="A764" s="339" t="s">
        <v>3933</v>
      </c>
      <c r="C764" s="353" t="s">
        <v>3934</v>
      </c>
    </row>
    <row r="765" ht="14.25" customHeight="1">
      <c r="A765" s="339" t="s">
        <v>3935</v>
      </c>
      <c r="C765" s="353" t="s">
        <v>2776</v>
      </c>
    </row>
    <row r="766" ht="14.25" customHeight="1">
      <c r="A766" s="339" t="s">
        <v>3936</v>
      </c>
      <c r="C766" s="353" t="s">
        <v>2727</v>
      </c>
    </row>
    <row r="767" ht="14.25" customHeight="1">
      <c r="A767" s="339" t="s">
        <v>3451</v>
      </c>
      <c r="C767" s="353" t="s">
        <v>1547</v>
      </c>
    </row>
    <row r="768" ht="14.25" customHeight="1">
      <c r="A768" s="339" t="s">
        <v>2727</v>
      </c>
      <c r="C768" s="353" t="s">
        <v>3937</v>
      </c>
    </row>
    <row r="769" ht="14.25" customHeight="1">
      <c r="A769" s="339" t="s">
        <v>1547</v>
      </c>
      <c r="C769" s="353" t="s">
        <v>3694</v>
      </c>
    </row>
    <row r="770" ht="14.25" customHeight="1">
      <c r="A770" s="339" t="s">
        <v>3938</v>
      </c>
      <c r="C770" s="353" t="s">
        <v>3939</v>
      </c>
    </row>
    <row r="771" ht="14.25" customHeight="1">
      <c r="A771" s="339" t="s">
        <v>3940</v>
      </c>
      <c r="C771" s="353" t="s">
        <v>3941</v>
      </c>
    </row>
    <row r="772" ht="14.25" customHeight="1">
      <c r="A772" s="339" t="s">
        <v>3942</v>
      </c>
      <c r="C772" s="353" t="s">
        <v>3943</v>
      </c>
    </row>
    <row r="773" ht="14.25" customHeight="1">
      <c r="A773" s="339" t="s">
        <v>3944</v>
      </c>
      <c r="C773" s="353" t="s">
        <v>2917</v>
      </c>
    </row>
    <row r="774" ht="14.25" customHeight="1">
      <c r="A774" s="339" t="s">
        <v>3945</v>
      </c>
      <c r="C774" s="353" t="s">
        <v>3946</v>
      </c>
    </row>
    <row r="775" ht="14.25" customHeight="1">
      <c r="A775" s="339" t="s">
        <v>2840</v>
      </c>
      <c r="C775" s="353" t="s">
        <v>2746</v>
      </c>
    </row>
    <row r="776" ht="14.25" customHeight="1">
      <c r="A776" s="339" t="s">
        <v>3947</v>
      </c>
      <c r="C776" s="353" t="s">
        <v>2776</v>
      </c>
    </row>
    <row r="777" ht="14.25" customHeight="1">
      <c r="A777" s="339" t="s">
        <v>2776</v>
      </c>
      <c r="C777" s="353" t="s">
        <v>2727</v>
      </c>
    </row>
    <row r="778" ht="14.25" customHeight="1">
      <c r="A778" s="339" t="s">
        <v>2778</v>
      </c>
      <c r="C778" s="353" t="s">
        <v>1547</v>
      </c>
    </row>
    <row r="779" ht="14.25" customHeight="1">
      <c r="A779" s="339" t="s">
        <v>1547</v>
      </c>
      <c r="C779" s="353" t="s">
        <v>3948</v>
      </c>
    </row>
    <row r="780" ht="14.25" customHeight="1">
      <c r="A780" s="339" t="s">
        <v>3949</v>
      </c>
      <c r="C780" s="353" t="s">
        <v>3199</v>
      </c>
    </row>
    <row r="781" ht="14.25" customHeight="1">
      <c r="A781" s="339" t="s">
        <v>3950</v>
      </c>
      <c r="C781" s="353" t="s">
        <v>3951</v>
      </c>
    </row>
    <row r="782" ht="14.25" customHeight="1">
      <c r="A782" s="339" t="s">
        <v>2959</v>
      </c>
      <c r="C782" s="353" t="s">
        <v>3952</v>
      </c>
    </row>
    <row r="783" ht="14.25" customHeight="1">
      <c r="A783" s="339" t="s">
        <v>3953</v>
      </c>
      <c r="C783" s="353" t="s">
        <v>3954</v>
      </c>
    </row>
    <row r="784" ht="14.25" customHeight="1">
      <c r="A784" s="339" t="s">
        <v>3955</v>
      </c>
      <c r="C784" s="353" t="s">
        <v>2748</v>
      </c>
    </row>
    <row r="785" ht="14.25" customHeight="1">
      <c r="A785" s="339" t="s">
        <v>3956</v>
      </c>
      <c r="C785" s="353" t="s">
        <v>2778</v>
      </c>
    </row>
    <row r="786" ht="14.25" customHeight="1">
      <c r="A786" s="339" t="s">
        <v>3957</v>
      </c>
      <c r="C786" s="353" t="s">
        <v>1547</v>
      </c>
    </row>
    <row r="787" ht="14.25" customHeight="1">
      <c r="A787" s="339" t="s">
        <v>2727</v>
      </c>
      <c r="C787" s="353" t="s">
        <v>3958</v>
      </c>
    </row>
    <row r="788" ht="14.25" customHeight="1">
      <c r="A788" s="339" t="s">
        <v>1547</v>
      </c>
      <c r="C788" s="353" t="s">
        <v>3959</v>
      </c>
    </row>
    <row r="789" ht="14.25" customHeight="1">
      <c r="A789" s="339" t="s">
        <v>3960</v>
      </c>
      <c r="C789" s="353" t="s">
        <v>2727</v>
      </c>
    </row>
    <row r="790" ht="14.25" customHeight="1">
      <c r="A790" s="339" t="s">
        <v>3950</v>
      </c>
      <c r="C790" s="353" t="s">
        <v>1547</v>
      </c>
    </row>
    <row r="791" ht="14.25" customHeight="1">
      <c r="A791" s="339" t="s">
        <v>2959</v>
      </c>
      <c r="C791" s="353" t="s">
        <v>3961</v>
      </c>
    </row>
    <row r="792" ht="14.25" customHeight="1">
      <c r="A792" s="339" t="s">
        <v>3953</v>
      </c>
      <c r="C792" s="353" t="s">
        <v>3962</v>
      </c>
    </row>
    <row r="793" ht="14.25" customHeight="1">
      <c r="A793" s="339" t="s">
        <v>3963</v>
      </c>
      <c r="C793" s="353" t="s">
        <v>3964</v>
      </c>
    </row>
    <row r="794" ht="14.25" customHeight="1">
      <c r="A794" s="339" t="s">
        <v>3955</v>
      </c>
      <c r="C794" s="353" t="s">
        <v>3965</v>
      </c>
    </row>
    <row r="795" ht="14.25" customHeight="1">
      <c r="A795" s="339" t="s">
        <v>3966</v>
      </c>
      <c r="C795" s="353" t="s">
        <v>3967</v>
      </c>
    </row>
    <row r="796" ht="14.25" customHeight="1">
      <c r="A796" s="339" t="s">
        <v>3957</v>
      </c>
      <c r="C796" s="353" t="s">
        <v>3901</v>
      </c>
    </row>
    <row r="797" ht="14.25" customHeight="1">
      <c r="A797" s="339" t="s">
        <v>2727</v>
      </c>
      <c r="C797" s="353" t="s">
        <v>3969</v>
      </c>
    </row>
    <row r="798" ht="14.25" customHeight="1">
      <c r="A798" s="339" t="s">
        <v>1547</v>
      </c>
      <c r="C798" s="353" t="s">
        <v>3970</v>
      </c>
    </row>
    <row r="799" ht="14.25" customHeight="1">
      <c r="A799" s="339" t="s">
        <v>3971</v>
      </c>
      <c r="C799" s="353" t="s">
        <v>3973</v>
      </c>
    </row>
    <row r="800" ht="14.25" customHeight="1">
      <c r="A800" s="339" t="s">
        <v>3974</v>
      </c>
      <c r="C800" s="353" t="s">
        <v>3975</v>
      </c>
    </row>
    <row r="801" ht="14.25" customHeight="1">
      <c r="A801" s="339" t="s">
        <v>2959</v>
      </c>
      <c r="C801" s="353" t="s">
        <v>3976</v>
      </c>
    </row>
    <row r="802" ht="14.25" customHeight="1">
      <c r="A802" s="339" t="s">
        <v>3953</v>
      </c>
      <c r="C802" s="353" t="s">
        <v>2804</v>
      </c>
    </row>
    <row r="803" ht="14.25" customHeight="1">
      <c r="A803" s="339" t="s">
        <v>3977</v>
      </c>
      <c r="C803" s="353" t="s">
        <v>3180</v>
      </c>
    </row>
    <row r="804" ht="14.25" customHeight="1">
      <c r="A804" s="339" t="s">
        <v>3978</v>
      </c>
      <c r="C804" s="353" t="s">
        <v>3979</v>
      </c>
    </row>
    <row r="805" ht="14.25" customHeight="1">
      <c r="A805" s="339" t="s">
        <v>3980</v>
      </c>
      <c r="C805" s="353" t="s">
        <v>3982</v>
      </c>
    </row>
    <row r="806" ht="14.25" customHeight="1">
      <c r="A806" s="339" t="s">
        <v>3983</v>
      </c>
      <c r="C806" s="353" t="s">
        <v>3984</v>
      </c>
    </row>
    <row r="807" ht="14.25" customHeight="1">
      <c r="A807" s="339" t="s">
        <v>2840</v>
      </c>
      <c r="C807" s="353" t="s">
        <v>3186</v>
      </c>
    </row>
    <row r="808" ht="14.25" customHeight="1">
      <c r="A808" s="339" t="s">
        <v>3985</v>
      </c>
      <c r="C808" s="353" t="s">
        <v>2727</v>
      </c>
    </row>
    <row r="809" ht="14.25" customHeight="1">
      <c r="A809" s="339" t="s">
        <v>2776</v>
      </c>
      <c r="C809" s="353" t="s">
        <v>1547</v>
      </c>
    </row>
    <row r="810" ht="14.25" customHeight="1">
      <c r="A810" s="339" t="s">
        <v>3987</v>
      </c>
      <c r="C810" s="353" t="s">
        <v>3988</v>
      </c>
    </row>
    <row r="811" ht="14.25" customHeight="1">
      <c r="A811" s="339" t="s">
        <v>3989</v>
      </c>
      <c r="C811" s="353" t="s">
        <v>3990</v>
      </c>
    </row>
    <row r="812" ht="14.25" customHeight="1">
      <c r="A812" s="339" t="s">
        <v>3991</v>
      </c>
      <c r="C812" s="353" t="s">
        <v>3964</v>
      </c>
    </row>
    <row r="813" ht="14.25" customHeight="1">
      <c r="A813" s="339" t="s">
        <v>3992</v>
      </c>
      <c r="C813" s="353" t="s">
        <v>3965</v>
      </c>
    </row>
    <row r="814" ht="14.25" customHeight="1">
      <c r="A814" s="339" t="s">
        <v>3955</v>
      </c>
      <c r="C814" s="353" t="s">
        <v>3967</v>
      </c>
    </row>
    <row r="815" ht="14.25" customHeight="1">
      <c r="A815" s="339" t="s">
        <v>3995</v>
      </c>
      <c r="C815" s="353" t="s">
        <v>3996</v>
      </c>
    </row>
    <row r="816" ht="14.25" customHeight="1">
      <c r="A816" s="339" t="s">
        <v>3957</v>
      </c>
      <c r="C816" s="353" t="s">
        <v>3997</v>
      </c>
    </row>
    <row r="817" ht="14.25" customHeight="1">
      <c r="A817" s="339" t="s">
        <v>3998</v>
      </c>
      <c r="C817" s="353" t="s">
        <v>3901</v>
      </c>
    </row>
    <row r="818" ht="14.25" customHeight="1">
      <c r="A818" s="339" t="s">
        <v>2727</v>
      </c>
      <c r="C818" s="353" t="s">
        <v>3999</v>
      </c>
    </row>
    <row r="819" ht="14.25" customHeight="1">
      <c r="A819" s="339" t="s">
        <v>1547</v>
      </c>
      <c r="C819" s="353" t="s">
        <v>4000</v>
      </c>
    </row>
    <row r="820" ht="14.25" customHeight="1">
      <c r="A820" s="339" t="s">
        <v>4001</v>
      </c>
      <c r="C820" s="353" t="s">
        <v>4002</v>
      </c>
    </row>
    <row r="821" ht="14.25" customHeight="1">
      <c r="A821" s="339" t="s">
        <v>4003</v>
      </c>
      <c r="C821" s="353" t="s">
        <v>2804</v>
      </c>
    </row>
    <row r="822" ht="14.25" customHeight="1">
      <c r="A822" s="339" t="s">
        <v>4004</v>
      </c>
      <c r="C822" s="353" t="s">
        <v>3180</v>
      </c>
    </row>
    <row r="823" ht="14.25" customHeight="1">
      <c r="A823" s="339" t="s">
        <v>4005</v>
      </c>
      <c r="C823" s="353" t="s">
        <v>4006</v>
      </c>
    </row>
    <row r="824" ht="14.25" customHeight="1">
      <c r="A824" s="339" t="s">
        <v>3191</v>
      </c>
      <c r="C824" s="353" t="s">
        <v>3979</v>
      </c>
    </row>
    <row r="825" ht="14.25" customHeight="1">
      <c r="A825" s="339" t="s">
        <v>4007</v>
      </c>
      <c r="C825" s="353" t="s">
        <v>4008</v>
      </c>
    </row>
    <row r="826" ht="14.25" customHeight="1">
      <c r="A826" s="339" t="s">
        <v>3194</v>
      </c>
      <c r="C826" s="353" t="s">
        <v>3186</v>
      </c>
    </row>
    <row r="827" ht="14.25" customHeight="1">
      <c r="A827" s="339" t="s">
        <v>3250</v>
      </c>
      <c r="C827" s="353" t="s">
        <v>2727</v>
      </c>
    </row>
    <row r="828" ht="14.25" customHeight="1">
      <c r="A828" s="339" t="s">
        <v>4009</v>
      </c>
      <c r="C828" s="353" t="s">
        <v>1547</v>
      </c>
    </row>
    <row r="829" ht="14.25" customHeight="1">
      <c r="A829" s="339" t="s">
        <v>4010</v>
      </c>
      <c r="C829" s="353" t="s">
        <v>4011</v>
      </c>
    </row>
    <row r="830" ht="14.25" customHeight="1">
      <c r="A830" s="339" t="s">
        <v>4012</v>
      </c>
      <c r="C830" s="353" t="s">
        <v>3186</v>
      </c>
    </row>
    <row r="831" ht="14.25" customHeight="1">
      <c r="A831" s="339" t="s">
        <v>4013</v>
      </c>
      <c r="C831" s="353" t="s">
        <v>2727</v>
      </c>
    </row>
    <row r="832" ht="14.25" customHeight="1">
      <c r="A832" s="339" t="s">
        <v>3274</v>
      </c>
      <c r="C832" s="353" t="s">
        <v>4014</v>
      </c>
    </row>
    <row r="833" ht="14.25" customHeight="1">
      <c r="A833" s="339" t="s">
        <v>3277</v>
      </c>
      <c r="C833" s="353" t="s">
        <v>1547</v>
      </c>
    </row>
    <row r="834" ht="14.25" customHeight="1">
      <c r="A834" s="339" t="s">
        <v>3281</v>
      </c>
      <c r="C834" s="353" t="s">
        <v>4015</v>
      </c>
    </row>
    <row r="835" ht="14.25" customHeight="1">
      <c r="A835" s="339" t="s">
        <v>3284</v>
      </c>
      <c r="C835" s="353" t="s">
        <v>2749</v>
      </c>
    </row>
    <row r="836" ht="14.25" customHeight="1">
      <c r="A836" s="339" t="s">
        <v>3294</v>
      </c>
      <c r="C836" s="353" t="s">
        <v>4016</v>
      </c>
    </row>
    <row r="837" ht="14.25" customHeight="1">
      <c r="A837" s="339" t="s">
        <v>2727</v>
      </c>
      <c r="C837" s="353" t="s">
        <v>2871</v>
      </c>
    </row>
    <row r="838" ht="14.25" customHeight="1">
      <c r="A838" s="339" t="s">
        <v>1547</v>
      </c>
      <c r="C838" s="353" t="s">
        <v>1547</v>
      </c>
    </row>
    <row r="839" ht="14.25" customHeight="1">
      <c r="A839" s="339" t="s">
        <v>4017</v>
      </c>
      <c r="C839" s="353" t="s">
        <v>2881</v>
      </c>
    </row>
    <row r="840" ht="14.25" customHeight="1">
      <c r="A840" s="339" t="s">
        <v>4018</v>
      </c>
      <c r="C840" s="353" t="s">
        <v>2884</v>
      </c>
    </row>
    <row r="841" ht="14.25" customHeight="1">
      <c r="A841" s="339" t="s">
        <v>4019</v>
      </c>
      <c r="C841" s="353" t="s">
        <v>4020</v>
      </c>
    </row>
    <row r="842" ht="14.25" customHeight="1">
      <c r="A842" s="339" t="s">
        <v>2778</v>
      </c>
      <c r="C842" s="353" t="s">
        <v>4021</v>
      </c>
    </row>
    <row r="843" ht="14.25" customHeight="1">
      <c r="A843" s="339" t="s">
        <v>1547</v>
      </c>
      <c r="C843" s="353" t="s">
        <v>2727</v>
      </c>
    </row>
    <row r="844" ht="14.25" customHeight="1">
      <c r="A844" s="339" t="s">
        <v>4022</v>
      </c>
      <c r="C844" s="353" t="s">
        <v>1547</v>
      </c>
    </row>
    <row r="845" ht="14.25" customHeight="1">
      <c r="A845" s="339" t="s">
        <v>4023</v>
      </c>
      <c r="C845" s="353" t="s">
        <v>2918</v>
      </c>
    </row>
    <row r="846" ht="14.25" customHeight="1">
      <c r="A846" s="339" t="s">
        <v>2778</v>
      </c>
      <c r="C846" s="353" t="s">
        <v>2799</v>
      </c>
    </row>
    <row r="847" ht="14.25" customHeight="1">
      <c r="A847" s="339" t="s">
        <v>1547</v>
      </c>
      <c r="C847" s="353" t="s">
        <v>4024</v>
      </c>
    </row>
    <row r="848" ht="14.25" customHeight="1">
      <c r="A848" s="339" t="s">
        <v>4025</v>
      </c>
      <c r="C848" s="353" t="s">
        <v>4026</v>
      </c>
    </row>
    <row r="849" ht="14.25" customHeight="1">
      <c r="A849" s="339" t="s">
        <v>3416</v>
      </c>
      <c r="C849" s="353" t="s">
        <v>2727</v>
      </c>
    </row>
    <row r="850" ht="14.25" customHeight="1">
      <c r="A850" s="339" t="s">
        <v>4027</v>
      </c>
      <c r="C850" s="353" t="s">
        <v>1547</v>
      </c>
    </row>
    <row r="851" ht="14.25" customHeight="1">
      <c r="A851" s="339" t="s">
        <v>4028</v>
      </c>
      <c r="C851" s="353" t="s">
        <v>4029</v>
      </c>
    </row>
    <row r="852" ht="14.25" customHeight="1">
      <c r="A852" s="339" t="s">
        <v>4030</v>
      </c>
      <c r="C852" s="353" t="s">
        <v>4031</v>
      </c>
    </row>
    <row r="853" ht="14.25" customHeight="1">
      <c r="A853" s="339" t="s">
        <v>4032</v>
      </c>
      <c r="C853" s="353" t="s">
        <v>4033</v>
      </c>
    </row>
    <row r="854" ht="14.25" customHeight="1">
      <c r="A854" s="339" t="s">
        <v>2727</v>
      </c>
      <c r="C854" s="353" t="s">
        <v>4034</v>
      </c>
    </row>
    <row r="855" ht="14.25" customHeight="1">
      <c r="A855" s="339" t="s">
        <v>1547</v>
      </c>
      <c r="C855" s="353" t="s">
        <v>4035</v>
      </c>
    </row>
    <row r="856" ht="14.25" customHeight="1">
      <c r="A856" s="339" t="s">
        <v>4036</v>
      </c>
      <c r="C856" s="353" t="s">
        <v>4037</v>
      </c>
    </row>
    <row r="857" ht="14.25" customHeight="1">
      <c r="A857" s="339" t="s">
        <v>2873</v>
      </c>
      <c r="C857" s="353" t="s">
        <v>4038</v>
      </c>
    </row>
    <row r="858" ht="14.25" customHeight="1">
      <c r="A858" s="339" t="s">
        <v>4039</v>
      </c>
      <c r="C858" s="353" t="s">
        <v>4040</v>
      </c>
    </row>
    <row r="859" ht="14.25" customHeight="1">
      <c r="A859" s="339" t="s">
        <v>2876</v>
      </c>
      <c r="C859" s="353" t="s">
        <v>4041</v>
      </c>
    </row>
    <row r="860" ht="14.25" customHeight="1">
      <c r="A860" s="339" t="s">
        <v>2748</v>
      </c>
      <c r="C860" s="353" t="s">
        <v>4042</v>
      </c>
    </row>
    <row r="861" ht="14.25" customHeight="1">
      <c r="A861" s="339" t="s">
        <v>2879</v>
      </c>
      <c r="C861" s="353" t="s">
        <v>4043</v>
      </c>
    </row>
    <row r="862" ht="14.25" customHeight="1">
      <c r="A862" s="339" t="s">
        <v>4044</v>
      </c>
      <c r="C862" s="353" t="s">
        <v>4045</v>
      </c>
    </row>
    <row r="863" ht="14.25" customHeight="1">
      <c r="A863" s="339" t="s">
        <v>2840</v>
      </c>
      <c r="C863" s="353" t="s">
        <v>4046</v>
      </c>
    </row>
    <row r="864" ht="14.25" customHeight="1">
      <c r="A864" s="339" t="s">
        <v>4047</v>
      </c>
      <c r="C864" s="353" t="s">
        <v>4048</v>
      </c>
    </row>
    <row r="865" ht="14.25" customHeight="1">
      <c r="A865" s="339" t="s">
        <v>2776</v>
      </c>
      <c r="C865" s="353" t="s">
        <v>4049</v>
      </c>
    </row>
    <row r="866" ht="14.25" customHeight="1">
      <c r="A866" s="339" t="s">
        <v>2778</v>
      </c>
      <c r="C866" s="353" t="s">
        <v>4050</v>
      </c>
    </row>
    <row r="867" ht="14.25" customHeight="1">
      <c r="A867" s="339" t="s">
        <v>1547</v>
      </c>
      <c r="C867" s="353" t="s">
        <v>2776</v>
      </c>
    </row>
    <row r="868" ht="14.25" customHeight="1">
      <c r="A868" s="339" t="s">
        <v>4051</v>
      </c>
      <c r="C868" s="353" t="s">
        <v>2727</v>
      </c>
    </row>
    <row r="869" ht="14.25" customHeight="1">
      <c r="A869" s="339" t="s">
        <v>2857</v>
      </c>
      <c r="C869" s="353" t="s">
        <v>1547</v>
      </c>
    </row>
    <row r="870" ht="14.25" customHeight="1">
      <c r="A870" s="339" t="s">
        <v>3416</v>
      </c>
      <c r="C870" s="353" t="s">
        <v>4052</v>
      </c>
    </row>
    <row r="871" ht="14.25" customHeight="1">
      <c r="A871" s="339" t="s">
        <v>4053</v>
      </c>
      <c r="C871" s="353" t="s">
        <v>4054</v>
      </c>
    </row>
    <row r="872" ht="14.25" customHeight="1">
      <c r="A872" s="339" t="s">
        <v>4055</v>
      </c>
      <c r="C872" s="353" t="s">
        <v>2727</v>
      </c>
    </row>
    <row r="873" ht="14.25" customHeight="1">
      <c r="A873" s="339" t="s">
        <v>4056</v>
      </c>
      <c r="C873" s="353" t="s">
        <v>1547</v>
      </c>
    </row>
    <row r="874" ht="14.25" customHeight="1">
      <c r="A874" s="339" t="s">
        <v>4057</v>
      </c>
      <c r="C874" s="353" t="s">
        <v>4058</v>
      </c>
    </row>
    <row r="875" ht="14.25" customHeight="1">
      <c r="A875" s="339" t="s">
        <v>4059</v>
      </c>
      <c r="C875" s="353" t="s">
        <v>4024</v>
      </c>
    </row>
    <row r="876" ht="14.25" customHeight="1">
      <c r="A876" s="339" t="s">
        <v>2776</v>
      </c>
      <c r="C876" s="353" t="s">
        <v>2727</v>
      </c>
    </row>
    <row r="877" ht="14.25" customHeight="1">
      <c r="A877" s="339" t="s">
        <v>3183</v>
      </c>
      <c r="C877" s="353" t="s">
        <v>1547</v>
      </c>
    </row>
    <row r="878" ht="14.25" customHeight="1">
      <c r="A878" s="339" t="s">
        <v>2727</v>
      </c>
      <c r="C878" s="353" t="s">
        <v>4060</v>
      </c>
    </row>
    <row r="879" ht="14.25" customHeight="1">
      <c r="A879" s="339" t="s">
        <v>1547</v>
      </c>
      <c r="C879" s="353" t="s">
        <v>4024</v>
      </c>
    </row>
    <row r="880" ht="14.25" customHeight="1">
      <c r="A880" s="339" t="s">
        <v>4061</v>
      </c>
      <c r="C880" s="353" t="s">
        <v>2727</v>
      </c>
    </row>
    <row r="881" ht="14.25" customHeight="1">
      <c r="A881" s="339" t="s">
        <v>4062</v>
      </c>
      <c r="C881" s="353" t="s">
        <v>1547</v>
      </c>
    </row>
    <row r="882" ht="14.25" customHeight="1">
      <c r="A882" s="339" t="s">
        <v>4063</v>
      </c>
      <c r="C882" s="353" t="s">
        <v>4064</v>
      </c>
    </row>
    <row r="883" ht="14.25" customHeight="1">
      <c r="A883" s="339" t="s">
        <v>4065</v>
      </c>
      <c r="C883" s="353" t="s">
        <v>4066</v>
      </c>
    </row>
    <row r="884" ht="14.25" customHeight="1">
      <c r="A884" s="339" t="s">
        <v>4067</v>
      </c>
      <c r="C884" s="353" t="s">
        <v>2727</v>
      </c>
    </row>
    <row r="885" ht="14.25" customHeight="1">
      <c r="A885" s="339" t="s">
        <v>4068</v>
      </c>
      <c r="C885" s="353" t="s">
        <v>1547</v>
      </c>
    </row>
    <row r="886" ht="14.25" customHeight="1">
      <c r="A886" s="339" t="s">
        <v>4069</v>
      </c>
      <c r="C886" s="353" t="s">
        <v>4070</v>
      </c>
    </row>
    <row r="887" ht="14.25" customHeight="1">
      <c r="A887" s="339" t="s">
        <v>4071</v>
      </c>
      <c r="C887" s="353" t="s">
        <v>4072</v>
      </c>
    </row>
    <row r="888" ht="14.25" customHeight="1">
      <c r="A888" s="339" t="s">
        <v>4073</v>
      </c>
      <c r="C888" s="353" t="s">
        <v>4074</v>
      </c>
    </row>
    <row r="889" ht="14.25" customHeight="1">
      <c r="A889" s="339" t="s">
        <v>4075</v>
      </c>
      <c r="C889" s="353" t="s">
        <v>2727</v>
      </c>
    </row>
    <row r="890" ht="14.25" customHeight="1">
      <c r="A890" s="339" t="s">
        <v>4076</v>
      </c>
      <c r="C890" s="353" t="s">
        <v>1547</v>
      </c>
    </row>
    <row r="891" ht="14.25" customHeight="1">
      <c r="A891" s="339" t="s">
        <v>4077</v>
      </c>
      <c r="C891" s="353" t="s">
        <v>4078</v>
      </c>
    </row>
    <row r="892" ht="14.25" customHeight="1">
      <c r="A892" s="339" t="s">
        <v>2804</v>
      </c>
      <c r="C892" s="353" t="s">
        <v>4074</v>
      </c>
    </row>
    <row r="893" ht="14.25" customHeight="1">
      <c r="A893" s="339" t="s">
        <v>2778</v>
      </c>
      <c r="C893" s="353" t="s">
        <v>2727</v>
      </c>
    </row>
    <row r="894" ht="14.25" customHeight="1">
      <c r="A894" s="339" t="s">
        <v>1547</v>
      </c>
      <c r="C894" s="353" t="s">
        <v>1547</v>
      </c>
    </row>
    <row r="895" ht="14.25" customHeight="1">
      <c r="A895" s="339" t="s">
        <v>4079</v>
      </c>
      <c r="C895" s="353" t="s">
        <v>4080</v>
      </c>
    </row>
    <row r="896" ht="14.25" customHeight="1">
      <c r="A896" s="339" t="s">
        <v>4081</v>
      </c>
      <c r="C896" s="353" t="s">
        <v>4082</v>
      </c>
    </row>
    <row r="897" ht="14.25" customHeight="1">
      <c r="A897" s="339" t="s">
        <v>4083</v>
      </c>
      <c r="C897" s="353" t="s">
        <v>4084</v>
      </c>
    </row>
    <row r="898" ht="14.25" customHeight="1">
      <c r="A898" s="339" t="s">
        <v>4085</v>
      </c>
      <c r="C898" s="353" t="s">
        <v>4086</v>
      </c>
    </row>
    <row r="899" ht="14.25" customHeight="1">
      <c r="A899" s="339" t="s">
        <v>4087</v>
      </c>
      <c r="C899" s="353" t="s">
        <v>4088</v>
      </c>
    </row>
    <row r="900" ht="14.25" customHeight="1">
      <c r="A900" s="339" t="s">
        <v>2778</v>
      </c>
      <c r="C900" s="353" t="s">
        <v>4089</v>
      </c>
    </row>
    <row r="901" ht="14.25" customHeight="1">
      <c r="A901" s="339" t="s">
        <v>1547</v>
      </c>
      <c r="C901" s="353" t="s">
        <v>2840</v>
      </c>
    </row>
    <row r="902" ht="14.25" customHeight="1">
      <c r="A902" s="339" t="s">
        <v>4090</v>
      </c>
      <c r="C902" s="353" t="s">
        <v>4091</v>
      </c>
    </row>
    <row r="903" ht="14.25" customHeight="1">
      <c r="A903" s="339" t="s">
        <v>4092</v>
      </c>
      <c r="C903" s="353" t="s">
        <v>4093</v>
      </c>
    </row>
    <row r="904" ht="14.25" customHeight="1">
      <c r="A904" s="339" t="s">
        <v>2778</v>
      </c>
      <c r="C904" s="353" t="s">
        <v>2776</v>
      </c>
    </row>
    <row r="905" ht="14.25" customHeight="1">
      <c r="A905" s="339" t="s">
        <v>1547</v>
      </c>
      <c r="C905" s="353" t="s">
        <v>4094</v>
      </c>
    </row>
    <row r="906" ht="14.25" customHeight="1">
      <c r="A906" s="339" t="s">
        <v>4095</v>
      </c>
      <c r="C906" s="353" t="s">
        <v>2778</v>
      </c>
    </row>
    <row r="907" ht="14.25" customHeight="1">
      <c r="A907" s="339" t="s">
        <v>2956</v>
      </c>
      <c r="C907" s="353" t="s">
        <v>1547</v>
      </c>
    </row>
    <row r="908" ht="14.25" customHeight="1">
      <c r="A908" s="339" t="s">
        <v>4096</v>
      </c>
      <c r="C908" s="353" t="s">
        <v>4097</v>
      </c>
    </row>
    <row r="909" ht="14.25" customHeight="1">
      <c r="A909" s="339" t="s">
        <v>2959</v>
      </c>
      <c r="C909" s="353" t="s">
        <v>3359</v>
      </c>
    </row>
    <row r="910" ht="14.25" customHeight="1">
      <c r="A910" s="339" t="s">
        <v>4099</v>
      </c>
      <c r="C910" s="353" t="s">
        <v>4100</v>
      </c>
    </row>
    <row r="911" ht="14.25" customHeight="1">
      <c r="A911" s="339" t="s">
        <v>4101</v>
      </c>
      <c r="C911" s="353" t="s">
        <v>4102</v>
      </c>
    </row>
    <row r="912" ht="14.25" customHeight="1">
      <c r="A912" s="339" t="s">
        <v>2971</v>
      </c>
      <c r="C912" s="353" t="s">
        <v>4103</v>
      </c>
    </row>
    <row r="913" ht="14.25" customHeight="1">
      <c r="A913" s="339" t="s">
        <v>2776</v>
      </c>
      <c r="C913" s="353" t="s">
        <v>4104</v>
      </c>
    </row>
    <row r="914" ht="14.25" customHeight="1">
      <c r="A914" s="339" t="s">
        <v>2974</v>
      </c>
      <c r="C914" s="353" t="s">
        <v>4105</v>
      </c>
    </row>
    <row r="915" ht="14.25" customHeight="1">
      <c r="A915" s="339" t="s">
        <v>4106</v>
      </c>
      <c r="C915" s="353" t="s">
        <v>4107</v>
      </c>
    </row>
    <row r="916" ht="14.25" customHeight="1">
      <c r="A916" s="339" t="s">
        <v>4108</v>
      </c>
      <c r="C916" s="353" t="s">
        <v>2971</v>
      </c>
    </row>
    <row r="917" ht="14.25" customHeight="1">
      <c r="A917" s="339" t="s">
        <v>4109</v>
      </c>
      <c r="C917" s="353" t="s">
        <v>2776</v>
      </c>
    </row>
    <row r="918" ht="14.25" customHeight="1">
      <c r="A918" s="339" t="s">
        <v>3100</v>
      </c>
      <c r="C918" s="353" t="s">
        <v>4110</v>
      </c>
    </row>
    <row r="919" ht="14.25" customHeight="1">
      <c r="A919" s="339" t="s">
        <v>2746</v>
      </c>
      <c r="C919" s="353" t="s">
        <v>4111</v>
      </c>
    </row>
    <row r="920" ht="14.25" customHeight="1">
      <c r="A920" s="339" t="s">
        <v>2776</v>
      </c>
      <c r="C920" s="353" t="s">
        <v>4112</v>
      </c>
    </row>
    <row r="921" ht="14.25" customHeight="1">
      <c r="A921" s="339" t="s">
        <v>4113</v>
      </c>
      <c r="C921" s="353" t="s">
        <v>4114</v>
      </c>
    </row>
    <row r="922" ht="14.25" customHeight="1">
      <c r="A922" s="339" t="s">
        <v>4115</v>
      </c>
      <c r="C922" s="353" t="s">
        <v>4116</v>
      </c>
    </row>
    <row r="923" ht="14.25" customHeight="1">
      <c r="A923" s="339" t="s">
        <v>4117</v>
      </c>
      <c r="C923" s="353" t="s">
        <v>4107</v>
      </c>
    </row>
    <row r="924" ht="14.25" customHeight="1">
      <c r="A924" s="339" t="s">
        <v>4118</v>
      </c>
      <c r="C924" s="353" t="s">
        <v>4119</v>
      </c>
    </row>
    <row r="925" ht="14.25" customHeight="1">
      <c r="A925" s="339" t="s">
        <v>2978</v>
      </c>
      <c r="C925" s="353" t="s">
        <v>4120</v>
      </c>
    </row>
    <row r="926" ht="14.25" customHeight="1">
      <c r="A926" s="339" t="s">
        <v>4121</v>
      </c>
      <c r="C926" s="353" t="s">
        <v>4122</v>
      </c>
    </row>
    <row r="927" ht="14.25" customHeight="1">
      <c r="A927" s="339" t="s">
        <v>4123</v>
      </c>
      <c r="C927" s="353" t="s">
        <v>4124</v>
      </c>
    </row>
    <row r="928" ht="14.25" customHeight="1">
      <c r="A928" s="339" t="s">
        <v>4125</v>
      </c>
      <c r="C928" s="353" t="s">
        <v>4126</v>
      </c>
    </row>
    <row r="929" ht="14.25" customHeight="1">
      <c r="A929" s="339" t="s">
        <v>4127</v>
      </c>
      <c r="C929" s="353" t="s">
        <v>2840</v>
      </c>
    </row>
    <row r="930" ht="14.25" customHeight="1">
      <c r="A930" s="339" t="s">
        <v>3530</v>
      </c>
      <c r="C930" s="353" t="s">
        <v>4128</v>
      </c>
    </row>
    <row r="931" ht="14.25" customHeight="1">
      <c r="A931" s="339" t="s">
        <v>4129</v>
      </c>
      <c r="C931" s="353" t="s">
        <v>4130</v>
      </c>
    </row>
    <row r="932" ht="14.25" customHeight="1">
      <c r="A932" s="339" t="s">
        <v>4131</v>
      </c>
      <c r="C932" s="353" t="s">
        <v>4132</v>
      </c>
    </row>
    <row r="933" ht="14.25" customHeight="1">
      <c r="A933" s="339" t="s">
        <v>3536</v>
      </c>
      <c r="C933" s="353" t="s">
        <v>4133</v>
      </c>
    </row>
    <row r="934" ht="14.25" customHeight="1">
      <c r="A934" s="339" t="s">
        <v>2746</v>
      </c>
      <c r="C934" s="353" t="s">
        <v>4134</v>
      </c>
    </row>
    <row r="935" ht="14.25" customHeight="1">
      <c r="A935" s="339" t="s">
        <v>3451</v>
      </c>
      <c r="C935" s="353" t="s">
        <v>4135</v>
      </c>
    </row>
    <row r="936" ht="14.25" customHeight="1">
      <c r="A936" s="339" t="s">
        <v>2985</v>
      </c>
      <c r="C936" s="353" t="s">
        <v>4136</v>
      </c>
    </row>
    <row r="937" ht="14.25" customHeight="1">
      <c r="A937" s="339" t="s">
        <v>4137</v>
      </c>
      <c r="C937" s="353" t="s">
        <v>4138</v>
      </c>
    </row>
    <row r="938" ht="14.25" customHeight="1">
      <c r="A938" s="339" t="s">
        <v>4139</v>
      </c>
      <c r="C938" s="353" t="s">
        <v>4140</v>
      </c>
    </row>
    <row r="939" ht="14.25" customHeight="1">
      <c r="A939" s="339" t="s">
        <v>2776</v>
      </c>
      <c r="C939" s="353" t="s">
        <v>2917</v>
      </c>
    </row>
    <row r="940" ht="14.25" customHeight="1">
      <c r="A940" s="339" t="s">
        <v>4141</v>
      </c>
      <c r="C940" s="353" t="s">
        <v>4142</v>
      </c>
    </row>
    <row r="941" ht="14.25" customHeight="1">
      <c r="A941" s="339" t="s">
        <v>2727</v>
      </c>
      <c r="C941" s="353" t="s">
        <v>2746</v>
      </c>
    </row>
    <row r="942" ht="14.25" customHeight="1">
      <c r="A942" s="339" t="s">
        <v>1547</v>
      </c>
      <c r="C942" s="353" t="s">
        <v>2776</v>
      </c>
    </row>
    <row r="943" ht="14.25" customHeight="1">
      <c r="A943" s="339" t="s">
        <v>4143</v>
      </c>
      <c r="C943" s="353" t="s">
        <v>2727</v>
      </c>
    </row>
    <row r="944" ht="14.25" customHeight="1">
      <c r="A944" s="339" t="s">
        <v>3554</v>
      </c>
      <c r="C944" s="353" t="s">
        <v>1547</v>
      </c>
    </row>
    <row r="945" ht="14.25" customHeight="1">
      <c r="A945" s="339" t="s">
        <v>4144</v>
      </c>
      <c r="C945" s="353" t="s">
        <v>3187</v>
      </c>
    </row>
    <row r="946" ht="14.25" customHeight="1">
      <c r="A946" s="339" t="s">
        <v>2959</v>
      </c>
      <c r="C946" s="353" t="s">
        <v>3186</v>
      </c>
    </row>
    <row r="947" ht="14.25" customHeight="1">
      <c r="A947" s="339" t="s">
        <v>3561</v>
      </c>
      <c r="C947" s="353" t="s">
        <v>2727</v>
      </c>
    </row>
    <row r="948" ht="14.25" customHeight="1">
      <c r="A948" s="339" t="s">
        <v>4145</v>
      </c>
      <c r="C948" s="353" t="s">
        <v>4146</v>
      </c>
    </row>
    <row r="949" ht="14.25" customHeight="1">
      <c r="A949" s="339" t="s">
        <v>3563</v>
      </c>
      <c r="C949" s="353" t="s">
        <v>1547</v>
      </c>
    </row>
    <row r="950" ht="14.25" customHeight="1">
      <c r="A950" s="339" t="s">
        <v>4117</v>
      </c>
      <c r="C950" s="353" t="s">
        <v>4147</v>
      </c>
    </row>
    <row r="951" ht="14.25" customHeight="1">
      <c r="A951" s="339" t="s">
        <v>3565</v>
      </c>
      <c r="C951" s="353" t="s">
        <v>2749</v>
      </c>
    </row>
    <row r="952" ht="14.25" customHeight="1">
      <c r="A952" s="339" t="s">
        <v>3566</v>
      </c>
      <c r="C952" s="353" t="s">
        <v>2871</v>
      </c>
    </row>
    <row r="953" ht="14.25" customHeight="1">
      <c r="A953" s="339" t="s">
        <v>4148</v>
      </c>
      <c r="C953" s="353" t="s">
        <v>1547</v>
      </c>
    </row>
    <row r="954" ht="14.25" customHeight="1">
      <c r="A954" s="339" t="s">
        <v>4149</v>
      </c>
      <c r="C954" s="353" t="s">
        <v>2881</v>
      </c>
    </row>
    <row r="955" ht="14.25" customHeight="1">
      <c r="A955" s="339" t="s">
        <v>4150</v>
      </c>
      <c r="C955" s="353" t="s">
        <v>2884</v>
      </c>
    </row>
    <row r="956" ht="14.25" customHeight="1">
      <c r="A956" s="339" t="s">
        <v>3574</v>
      </c>
      <c r="C956" s="353" t="s">
        <v>4151</v>
      </c>
    </row>
    <row r="957" ht="14.25" customHeight="1">
      <c r="A957" s="339" t="s">
        <v>4152</v>
      </c>
      <c r="C957" s="353" t="s">
        <v>2914</v>
      </c>
    </row>
    <row r="958" ht="14.25" customHeight="1">
      <c r="A958" s="339" t="s">
        <v>2971</v>
      </c>
      <c r="C958" s="353" t="s">
        <v>2727</v>
      </c>
    </row>
    <row r="959" ht="14.25" customHeight="1">
      <c r="A959" s="339" t="s">
        <v>2776</v>
      </c>
      <c r="C959" s="353" t="s">
        <v>1547</v>
      </c>
    </row>
    <row r="960" ht="14.25" customHeight="1">
      <c r="A960" s="339" t="s">
        <v>4153</v>
      </c>
      <c r="C960" s="353" t="s">
        <v>2918</v>
      </c>
    </row>
    <row r="961" ht="14.25" customHeight="1">
      <c r="A961" s="339" t="s">
        <v>4154</v>
      </c>
      <c r="C961" s="353" t="s">
        <v>2799</v>
      </c>
    </row>
    <row r="962" ht="14.25" customHeight="1">
      <c r="A962" s="339" t="s">
        <v>4141</v>
      </c>
      <c r="C962" s="353" t="s">
        <v>4155</v>
      </c>
    </row>
    <row r="963" ht="14.25" customHeight="1">
      <c r="A963" s="339" t="s">
        <v>2978</v>
      </c>
      <c r="C963" s="353" t="s">
        <v>2727</v>
      </c>
    </row>
    <row r="964" ht="14.25" customHeight="1">
      <c r="A964" s="339" t="s">
        <v>3585</v>
      </c>
      <c r="C964" s="353" t="s">
        <v>1547</v>
      </c>
    </row>
    <row r="965" ht="14.25" customHeight="1">
      <c r="A965" s="339" t="s">
        <v>4121</v>
      </c>
      <c r="C965" s="353" t="s">
        <v>4156</v>
      </c>
    </row>
    <row r="966" ht="14.25" customHeight="1">
      <c r="A966" s="339" t="s">
        <v>3588</v>
      </c>
      <c r="C966" s="353" t="s">
        <v>4157</v>
      </c>
    </row>
    <row r="967" ht="14.25" customHeight="1">
      <c r="A967" s="339" t="s">
        <v>4158</v>
      </c>
      <c r="C967" s="353" t="s">
        <v>2914</v>
      </c>
    </row>
    <row r="968" ht="14.25" customHeight="1">
      <c r="A968" s="339" t="s">
        <v>4159</v>
      </c>
      <c r="C968" s="353" t="s">
        <v>2727</v>
      </c>
    </row>
    <row r="969" ht="14.25" customHeight="1">
      <c r="A969" s="339" t="s">
        <v>4160</v>
      </c>
      <c r="C969" s="353" t="s">
        <v>1547</v>
      </c>
    </row>
    <row r="970" ht="14.25" customHeight="1">
      <c r="A970" s="339" t="s">
        <v>4161</v>
      </c>
      <c r="C970" s="353" t="s">
        <v>4162</v>
      </c>
    </row>
    <row r="971" ht="14.25" customHeight="1">
      <c r="A971" s="339" t="s">
        <v>4163</v>
      </c>
      <c r="C971" s="353" t="s">
        <v>4164</v>
      </c>
    </row>
    <row r="972" ht="14.25" customHeight="1">
      <c r="A972" s="339" t="s">
        <v>4165</v>
      </c>
      <c r="C972" s="353" t="s">
        <v>2914</v>
      </c>
    </row>
    <row r="973" ht="14.25" customHeight="1">
      <c r="A973" s="339" t="s">
        <v>4166</v>
      </c>
      <c r="C973" s="353" t="s">
        <v>2727</v>
      </c>
    </row>
    <row r="974" ht="14.25" customHeight="1">
      <c r="A974" s="339" t="s">
        <v>4167</v>
      </c>
      <c r="C974" s="353" t="s">
        <v>1547</v>
      </c>
    </row>
    <row r="975" ht="14.25" customHeight="1">
      <c r="A975" s="339" t="s">
        <v>3597</v>
      </c>
      <c r="C975" s="353" t="s">
        <v>4078</v>
      </c>
    </row>
    <row r="976" ht="14.25" customHeight="1">
      <c r="A976" s="339" t="s">
        <v>4168</v>
      </c>
      <c r="C976" s="353" t="s">
        <v>2914</v>
      </c>
    </row>
    <row r="977" ht="14.25" customHeight="1">
      <c r="A977" s="339" t="s">
        <v>4169</v>
      </c>
      <c r="C977" s="353" t="s">
        <v>2727</v>
      </c>
    </row>
    <row r="978" ht="14.25" customHeight="1">
      <c r="A978" s="339" t="s">
        <v>4170</v>
      </c>
      <c r="C978" s="353" t="s">
        <v>1547</v>
      </c>
    </row>
    <row r="979" ht="14.25" customHeight="1">
      <c r="A979" s="339" t="s">
        <v>4171</v>
      </c>
      <c r="C979" s="353" t="s">
        <v>3083</v>
      </c>
    </row>
    <row r="980" ht="14.25" customHeight="1">
      <c r="A980" s="339" t="s">
        <v>4172</v>
      </c>
      <c r="C980" s="353" t="s">
        <v>4082</v>
      </c>
    </row>
    <row r="981" ht="14.25" customHeight="1">
      <c r="A981" s="339" t="s">
        <v>4173</v>
      </c>
      <c r="C981" s="353" t="s">
        <v>4084</v>
      </c>
    </row>
    <row r="982" ht="14.25" customHeight="1">
      <c r="A982" s="339" t="s">
        <v>3615</v>
      </c>
      <c r="C982" s="353" t="s">
        <v>4174</v>
      </c>
    </row>
    <row r="983" ht="14.25" customHeight="1">
      <c r="A983" s="339" t="s">
        <v>2892</v>
      </c>
      <c r="C983" s="353" t="s">
        <v>4175</v>
      </c>
    </row>
    <row r="984" ht="14.25" customHeight="1">
      <c r="A984" s="339" t="s">
        <v>2985</v>
      </c>
      <c r="C984" s="353" t="s">
        <v>4089</v>
      </c>
    </row>
    <row r="985" ht="14.25" customHeight="1">
      <c r="A985" s="339" t="s">
        <v>4176</v>
      </c>
      <c r="C985" s="353" t="s">
        <v>2840</v>
      </c>
    </row>
    <row r="986" ht="14.25" customHeight="1">
      <c r="A986" s="339" t="s">
        <v>4177</v>
      </c>
      <c r="C986" s="353" t="s">
        <v>4091</v>
      </c>
    </row>
    <row r="987" ht="14.25" customHeight="1">
      <c r="A987" s="339" t="s">
        <v>2727</v>
      </c>
      <c r="C987" s="353" t="s">
        <v>4093</v>
      </c>
    </row>
    <row r="988" ht="14.25" customHeight="1">
      <c r="A988" s="339" t="s">
        <v>1547</v>
      </c>
      <c r="C988" s="353" t="s">
        <v>2776</v>
      </c>
    </row>
    <row r="989" ht="14.25" customHeight="1">
      <c r="A989" s="339" t="s">
        <v>4178</v>
      </c>
      <c r="C989" s="353" t="s">
        <v>4179</v>
      </c>
    </row>
    <row r="990" ht="14.25" customHeight="1">
      <c r="A990" s="339" t="s">
        <v>2956</v>
      </c>
      <c r="C990" s="353" t="s">
        <v>4180</v>
      </c>
    </row>
    <row r="991" ht="14.25" customHeight="1">
      <c r="A991" s="339" t="s">
        <v>3627</v>
      </c>
      <c r="C991" s="353" t="s">
        <v>4181</v>
      </c>
    </row>
    <row r="992" ht="14.25" customHeight="1">
      <c r="A992" s="339" t="s">
        <v>3628</v>
      </c>
      <c r="C992" s="353" t="s">
        <v>4182</v>
      </c>
    </row>
    <row r="993" ht="14.25" customHeight="1">
      <c r="A993" s="339" t="s">
        <v>2959</v>
      </c>
      <c r="C993" s="353" t="s">
        <v>4174</v>
      </c>
    </row>
    <row r="994" ht="14.25" customHeight="1">
      <c r="A994" s="339" t="s">
        <v>4183</v>
      </c>
      <c r="C994" s="353" t="s">
        <v>4184</v>
      </c>
    </row>
    <row r="995" ht="14.25" customHeight="1">
      <c r="A995" s="339" t="s">
        <v>4185</v>
      </c>
      <c r="C995" s="353" t="s">
        <v>4186</v>
      </c>
    </row>
    <row r="996" ht="14.25" customHeight="1">
      <c r="A996" s="339" t="s">
        <v>2971</v>
      </c>
      <c r="C996" s="353" t="s">
        <v>4187</v>
      </c>
    </row>
    <row r="997" ht="14.25" customHeight="1">
      <c r="A997" s="339" t="s">
        <v>2776</v>
      </c>
      <c r="C997" s="353" t="s">
        <v>2840</v>
      </c>
    </row>
    <row r="998" ht="14.25" customHeight="1">
      <c r="A998" s="339" t="s">
        <v>2974</v>
      </c>
      <c r="C998" s="353" t="s">
        <v>3625</v>
      </c>
    </row>
    <row r="999" ht="14.25" customHeight="1">
      <c r="A999" s="339" t="s">
        <v>4123</v>
      </c>
      <c r="C999" s="353" t="s">
        <v>3132</v>
      </c>
    </row>
    <row r="1000" ht="14.25" customHeight="1">
      <c r="A1000" s="339" t="s">
        <v>4188</v>
      </c>
      <c r="C1000" s="353" t="s">
        <v>2776</v>
      </c>
    </row>
    <row r="1001" ht="14.25" customHeight="1">
      <c r="A1001" s="339" t="s">
        <v>3451</v>
      </c>
      <c r="C1001" s="353" t="s">
        <v>4189</v>
      </c>
    </row>
    <row r="1002" ht="14.25" customHeight="1">
      <c r="A1002" s="339" t="s">
        <v>4190</v>
      </c>
      <c r="C1002" s="353" t="s">
        <v>2778</v>
      </c>
    </row>
    <row r="1003" ht="14.25" customHeight="1">
      <c r="A1003" s="339" t="s">
        <v>4115</v>
      </c>
      <c r="C1003" s="353" t="s">
        <v>1547</v>
      </c>
    </row>
    <row r="1004" ht="14.25" customHeight="1">
      <c r="A1004" s="339" t="s">
        <v>4117</v>
      </c>
      <c r="C1004" s="353" t="s">
        <v>4097</v>
      </c>
    </row>
    <row r="1005" ht="14.25" customHeight="1">
      <c r="A1005" s="339" t="s">
        <v>2978</v>
      </c>
      <c r="C1005" s="353" t="s">
        <v>3141</v>
      </c>
    </row>
    <row r="1006" ht="14.25" customHeight="1">
      <c r="A1006" s="339" t="s">
        <v>3644</v>
      </c>
      <c r="C1006" s="353" t="s">
        <v>4191</v>
      </c>
    </row>
    <row r="1007" ht="14.25" customHeight="1">
      <c r="A1007" s="339" t="s">
        <v>4123</v>
      </c>
      <c r="C1007" s="353" t="s">
        <v>4192</v>
      </c>
    </row>
    <row r="1008" ht="14.25" customHeight="1">
      <c r="A1008" s="339" t="s">
        <v>4193</v>
      </c>
      <c r="C1008" s="353" t="s">
        <v>4194</v>
      </c>
    </row>
    <row r="1009" ht="14.25" customHeight="1">
      <c r="A1009" s="339" t="s">
        <v>4125</v>
      </c>
      <c r="C1009" s="353" t="s">
        <v>4195</v>
      </c>
    </row>
    <row r="1010" ht="14.25" customHeight="1">
      <c r="A1010" s="339" t="s">
        <v>3167</v>
      </c>
      <c r="C1010" s="353" t="s">
        <v>2971</v>
      </c>
    </row>
    <row r="1011" ht="14.25" customHeight="1">
      <c r="A1011" s="339" t="s">
        <v>4196</v>
      </c>
      <c r="C1011" s="353" t="s">
        <v>2776</v>
      </c>
    </row>
    <row r="1012" ht="14.25" customHeight="1">
      <c r="A1012" s="339" t="s">
        <v>4198</v>
      </c>
      <c r="C1012" s="353" t="s">
        <v>4199</v>
      </c>
    </row>
    <row r="1013" ht="14.25" customHeight="1">
      <c r="A1013" s="339" t="s">
        <v>3095</v>
      </c>
      <c r="C1013" s="353" t="s">
        <v>4200</v>
      </c>
    </row>
    <row r="1014" ht="14.25" customHeight="1">
      <c r="A1014" s="339" t="s">
        <v>4201</v>
      </c>
      <c r="C1014" s="353" t="s">
        <v>4202</v>
      </c>
    </row>
    <row r="1015" ht="14.25" customHeight="1">
      <c r="A1015" s="339" t="s">
        <v>3649</v>
      </c>
      <c r="C1015" s="353" t="s">
        <v>3186</v>
      </c>
    </row>
    <row r="1016" ht="14.25" customHeight="1">
      <c r="A1016" s="339" t="s">
        <v>4203</v>
      </c>
      <c r="C1016" s="353" t="s">
        <v>2727</v>
      </c>
    </row>
    <row r="1017" ht="14.25" customHeight="1">
      <c r="A1017" s="339" t="s">
        <v>4204</v>
      </c>
      <c r="C1017" s="353" t="s">
        <v>1547</v>
      </c>
    </row>
    <row r="1018" ht="14.25" customHeight="1">
      <c r="A1018" s="339" t="s">
        <v>4205</v>
      </c>
      <c r="C1018" s="353" t="s">
        <v>3187</v>
      </c>
    </row>
    <row r="1019" ht="14.25" customHeight="1">
      <c r="A1019" s="339" t="s">
        <v>3654</v>
      </c>
      <c r="C1019" s="353" t="s">
        <v>3186</v>
      </c>
    </row>
    <row r="1020" ht="14.25" customHeight="1">
      <c r="A1020" s="339" t="s">
        <v>2839</v>
      </c>
      <c r="C1020" s="353" t="s">
        <v>2727</v>
      </c>
    </row>
    <row r="1021" ht="14.25" customHeight="1">
      <c r="A1021" s="339" t="s">
        <v>3656</v>
      </c>
      <c r="C1021" s="353" t="s">
        <v>4206</v>
      </c>
    </row>
    <row r="1022" ht="14.25" customHeight="1">
      <c r="A1022" s="339" t="s">
        <v>3658</v>
      </c>
      <c r="C1022" s="353" t="s">
        <v>1547</v>
      </c>
    </row>
    <row r="1023" ht="14.25" customHeight="1">
      <c r="A1023" s="339" t="s">
        <v>4207</v>
      </c>
      <c r="C1023" s="353" t="s">
        <v>4208</v>
      </c>
    </row>
    <row r="1024" ht="14.25" customHeight="1">
      <c r="A1024" s="339" t="s">
        <v>4209</v>
      </c>
      <c r="C1024" s="353" t="s">
        <v>2749</v>
      </c>
    </row>
    <row r="1025" ht="14.25" customHeight="1">
      <c r="A1025" s="339" t="s">
        <v>2746</v>
      </c>
      <c r="C1025" s="353" t="s">
        <v>2871</v>
      </c>
    </row>
    <row r="1026" ht="14.25" customHeight="1">
      <c r="A1026" s="339" t="s">
        <v>3451</v>
      </c>
      <c r="C1026" s="353" t="s">
        <v>1547</v>
      </c>
    </row>
    <row r="1027" ht="14.25" customHeight="1">
      <c r="A1027" s="339" t="s">
        <v>3663</v>
      </c>
      <c r="C1027" s="353" t="s">
        <v>4210</v>
      </c>
    </row>
    <row r="1028" ht="14.25" customHeight="1">
      <c r="A1028" s="339" t="s">
        <v>3664</v>
      </c>
      <c r="C1028" s="353" t="s">
        <v>4211</v>
      </c>
    </row>
    <row r="1029" ht="14.25" customHeight="1">
      <c r="A1029" s="339" t="s">
        <v>4212</v>
      </c>
      <c r="C1029" s="353" t="s">
        <v>4213</v>
      </c>
    </row>
    <row r="1030" ht="14.25" customHeight="1">
      <c r="A1030" s="339" t="s">
        <v>3667</v>
      </c>
      <c r="C1030" s="353" t="s">
        <v>4214</v>
      </c>
    </row>
    <row r="1031" ht="14.25" customHeight="1">
      <c r="A1031" s="339" t="s">
        <v>3669</v>
      </c>
      <c r="C1031" s="353" t="s">
        <v>3068</v>
      </c>
    </row>
    <row r="1032" ht="14.25" customHeight="1">
      <c r="A1032" s="339" t="s">
        <v>2776</v>
      </c>
      <c r="C1032" s="353" t="s">
        <v>4215</v>
      </c>
    </row>
    <row r="1033" ht="14.25" customHeight="1">
      <c r="A1033" s="339" t="s">
        <v>2985</v>
      </c>
      <c r="C1033" s="353" t="s">
        <v>4216</v>
      </c>
    </row>
    <row r="1034" ht="14.25" customHeight="1">
      <c r="A1034" s="339" t="s">
        <v>4217</v>
      </c>
      <c r="C1034" s="353" t="s">
        <v>4218</v>
      </c>
    </row>
    <row r="1035" ht="14.25" customHeight="1">
      <c r="A1035" s="339" t="s">
        <v>2727</v>
      </c>
      <c r="C1035" s="353" t="s">
        <v>4219</v>
      </c>
    </row>
    <row r="1036" ht="14.25" customHeight="1">
      <c r="A1036" s="339" t="s">
        <v>1547</v>
      </c>
      <c r="C1036" s="353" t="s">
        <v>4220</v>
      </c>
    </row>
    <row r="1037" ht="14.25" customHeight="1">
      <c r="A1037" s="339" t="s">
        <v>4221</v>
      </c>
      <c r="C1037" s="353" t="s">
        <v>4222</v>
      </c>
    </row>
    <row r="1038" ht="14.25" customHeight="1">
      <c r="A1038" s="339" t="s">
        <v>2956</v>
      </c>
      <c r="C1038" s="353" t="s">
        <v>2892</v>
      </c>
    </row>
    <row r="1039" ht="14.25" customHeight="1">
      <c r="A1039" s="339" t="s">
        <v>4223</v>
      </c>
      <c r="C1039" s="353" t="s">
        <v>2727</v>
      </c>
    </row>
    <row r="1040" ht="14.25" customHeight="1">
      <c r="A1040" s="339" t="s">
        <v>2959</v>
      </c>
      <c r="C1040" s="353" t="s">
        <v>1547</v>
      </c>
    </row>
    <row r="1041" ht="14.25" customHeight="1">
      <c r="A1041" s="339" t="s">
        <v>4224</v>
      </c>
      <c r="C1041" s="353" t="s">
        <v>2881</v>
      </c>
    </row>
    <row r="1042" ht="14.25" customHeight="1">
      <c r="A1042" s="339" t="s">
        <v>4225</v>
      </c>
      <c r="C1042" s="353" t="s">
        <v>2884</v>
      </c>
    </row>
    <row r="1043" ht="14.25" customHeight="1">
      <c r="A1043" s="339" t="s">
        <v>2971</v>
      </c>
      <c r="C1043" s="353" t="s">
        <v>4226</v>
      </c>
    </row>
    <row r="1044" ht="14.25" customHeight="1">
      <c r="A1044" s="339" t="s">
        <v>2776</v>
      </c>
      <c r="C1044" s="353" t="s">
        <v>4227</v>
      </c>
    </row>
    <row r="1045" ht="14.25" customHeight="1">
      <c r="A1045" s="339" t="s">
        <v>4228</v>
      </c>
      <c r="C1045" s="353" t="s">
        <v>4229</v>
      </c>
    </row>
    <row r="1046" ht="14.25" customHeight="1">
      <c r="A1046" s="339" t="s">
        <v>4230</v>
      </c>
      <c r="C1046" s="353" t="s">
        <v>4231</v>
      </c>
    </row>
    <row r="1047" ht="14.25" customHeight="1">
      <c r="A1047" s="339" t="s">
        <v>4117</v>
      </c>
      <c r="C1047" s="353" t="s">
        <v>4232</v>
      </c>
    </row>
    <row r="1048" ht="14.25" customHeight="1">
      <c r="A1048" s="339" t="s">
        <v>4123</v>
      </c>
      <c r="C1048" s="353" t="s">
        <v>4233</v>
      </c>
    </row>
    <row r="1049" ht="14.25" customHeight="1">
      <c r="A1049" s="339" t="s">
        <v>4234</v>
      </c>
      <c r="C1049" s="353" t="s">
        <v>4235</v>
      </c>
    </row>
    <row r="1050" ht="14.25" customHeight="1">
      <c r="A1050" s="339" t="s">
        <v>4236</v>
      </c>
      <c r="C1050" s="353" t="s">
        <v>4237</v>
      </c>
    </row>
    <row r="1051" ht="14.25" customHeight="1">
      <c r="A1051" s="339" t="s">
        <v>3689</v>
      </c>
      <c r="C1051" s="353" t="s">
        <v>4238</v>
      </c>
    </row>
    <row r="1052" ht="14.25" customHeight="1">
      <c r="A1052" s="339" t="s">
        <v>2746</v>
      </c>
      <c r="C1052" s="353" t="s">
        <v>2727</v>
      </c>
    </row>
    <row r="1053" ht="14.25" customHeight="1">
      <c r="A1053" s="339" t="s">
        <v>3451</v>
      </c>
      <c r="C1053" s="353" t="s">
        <v>1547</v>
      </c>
    </row>
    <row r="1054" ht="14.25" customHeight="1">
      <c r="A1054" s="339" t="s">
        <v>4141</v>
      </c>
      <c r="C1054" s="353" t="s">
        <v>4239</v>
      </c>
    </row>
    <row r="1055" ht="14.25" customHeight="1">
      <c r="A1055" s="339" t="s">
        <v>3693</v>
      </c>
      <c r="C1055" s="353" t="s">
        <v>4240</v>
      </c>
    </row>
    <row r="1056" ht="14.25" customHeight="1">
      <c r="A1056" s="339" t="s">
        <v>2727</v>
      </c>
      <c r="C1056" s="353" t="s">
        <v>4241</v>
      </c>
    </row>
    <row r="1057" ht="14.25" customHeight="1">
      <c r="A1057" s="339" t="s">
        <v>1547</v>
      </c>
      <c r="C1057" s="353" t="s">
        <v>4242</v>
      </c>
    </row>
    <row r="1058" ht="14.25" customHeight="1">
      <c r="A1058" s="339" t="s">
        <v>4243</v>
      </c>
      <c r="C1058" s="353" t="s">
        <v>4244</v>
      </c>
    </row>
    <row r="1059" ht="14.25" customHeight="1">
      <c r="A1059" s="339" t="s">
        <v>4245</v>
      </c>
      <c r="C1059" s="353" t="s">
        <v>4246</v>
      </c>
    </row>
    <row r="1060" ht="14.25" customHeight="1">
      <c r="A1060" s="339" t="s">
        <v>2727</v>
      </c>
      <c r="C1060" s="353" t="s">
        <v>4247</v>
      </c>
    </row>
    <row r="1061" ht="14.25" customHeight="1">
      <c r="A1061" s="339" t="s">
        <v>4248</v>
      </c>
      <c r="C1061" s="353" t="s">
        <v>4249</v>
      </c>
    </row>
    <row r="1062" ht="14.25" customHeight="1">
      <c r="A1062" s="339" t="s">
        <v>4250</v>
      </c>
      <c r="C1062" s="353" t="s">
        <v>4251</v>
      </c>
    </row>
    <row r="1063" ht="14.25" customHeight="1">
      <c r="A1063" s="339" t="s">
        <v>4252</v>
      </c>
      <c r="C1063" s="353" t="s">
        <v>2727</v>
      </c>
    </row>
    <row r="1064" ht="14.25" customHeight="1">
      <c r="A1064" s="339" t="s">
        <v>4253</v>
      </c>
      <c r="C1064" s="353" t="s">
        <v>1547</v>
      </c>
    </row>
    <row r="1065" ht="14.25" customHeight="1">
      <c r="A1065" s="339" t="s">
        <v>4254</v>
      </c>
      <c r="C1065" s="353" t="s">
        <v>4255</v>
      </c>
    </row>
    <row r="1066" ht="14.25" customHeight="1">
      <c r="A1066" s="339" t="s">
        <v>4256</v>
      </c>
      <c r="C1066" s="353" t="s">
        <v>4257</v>
      </c>
    </row>
    <row r="1067" ht="14.25" customHeight="1">
      <c r="A1067" s="339" t="s">
        <v>4258</v>
      </c>
      <c r="C1067" s="353" t="s">
        <v>4259</v>
      </c>
    </row>
    <row r="1068" ht="14.25" customHeight="1">
      <c r="A1068" s="339" t="s">
        <v>4260</v>
      </c>
      <c r="C1068" s="353" t="s">
        <v>4261</v>
      </c>
    </row>
    <row r="1069" ht="14.25" customHeight="1">
      <c r="A1069" s="339" t="s">
        <v>4262</v>
      </c>
      <c r="C1069" s="353" t="s">
        <v>4263</v>
      </c>
    </row>
    <row r="1070" ht="14.25" customHeight="1">
      <c r="A1070" s="339" t="s">
        <v>4264</v>
      </c>
      <c r="C1070" s="353" t="s">
        <v>4265</v>
      </c>
    </row>
    <row r="1071" ht="14.25" customHeight="1">
      <c r="A1071" s="339" t="s">
        <v>4266</v>
      </c>
      <c r="C1071" s="353" t="s">
        <v>2804</v>
      </c>
    </row>
    <row r="1072" ht="14.25" customHeight="1">
      <c r="A1072" s="339" t="s">
        <v>4267</v>
      </c>
      <c r="C1072" s="353" t="s">
        <v>2727</v>
      </c>
    </row>
    <row r="1073" ht="14.25" customHeight="1">
      <c r="A1073" s="339" t="s">
        <v>4268</v>
      </c>
      <c r="C1073" s="353" t="s">
        <v>1547</v>
      </c>
    </row>
    <row r="1074" ht="14.25" customHeight="1">
      <c r="A1074" s="339" t="s">
        <v>4269</v>
      </c>
      <c r="C1074" s="353" t="s">
        <v>4270</v>
      </c>
    </row>
    <row r="1075" ht="14.25" customHeight="1">
      <c r="A1075" s="339" t="s">
        <v>4271</v>
      </c>
      <c r="C1075" s="353" t="s">
        <v>4251</v>
      </c>
    </row>
    <row r="1076" ht="14.25" customHeight="1">
      <c r="A1076" s="339" t="s">
        <v>2840</v>
      </c>
      <c r="C1076" s="353" t="s">
        <v>2727</v>
      </c>
    </row>
    <row r="1077" ht="14.25" customHeight="1">
      <c r="A1077" s="339" t="s">
        <v>4272</v>
      </c>
      <c r="C1077" s="353" t="s">
        <v>1547</v>
      </c>
    </row>
    <row r="1078" ht="14.25" customHeight="1">
      <c r="A1078" s="339" t="s">
        <v>2776</v>
      </c>
      <c r="C1078" s="353" t="s">
        <v>4064</v>
      </c>
    </row>
    <row r="1079" ht="14.25" customHeight="1">
      <c r="A1079" s="339" t="s">
        <v>2778</v>
      </c>
      <c r="C1079" s="353" t="s">
        <v>4066</v>
      </c>
    </row>
    <row r="1080" ht="14.25" customHeight="1">
      <c r="A1080" s="339" t="s">
        <v>1547</v>
      </c>
      <c r="C1080" s="353" t="s">
        <v>4273</v>
      </c>
    </row>
    <row r="1081" ht="14.25" customHeight="1">
      <c r="A1081" s="339" t="s">
        <v>4274</v>
      </c>
      <c r="C1081" s="353" t="s">
        <v>2727</v>
      </c>
    </row>
    <row r="1082" ht="14.25" customHeight="1">
      <c r="A1082" s="339" t="s">
        <v>4275</v>
      </c>
      <c r="C1082" s="353" t="s">
        <v>1547</v>
      </c>
    </row>
    <row r="1083" ht="14.25" customHeight="1">
      <c r="A1083" s="339" t="s">
        <v>4276</v>
      </c>
      <c r="C1083" s="353" t="s">
        <v>4277</v>
      </c>
    </row>
    <row r="1084" ht="14.25" customHeight="1">
      <c r="A1084" s="339" t="s">
        <v>4278</v>
      </c>
      <c r="C1084" s="353" t="s">
        <v>4111</v>
      </c>
    </row>
    <row r="1085" ht="14.25" customHeight="1">
      <c r="A1085" s="339" t="s">
        <v>4279</v>
      </c>
      <c r="C1085" s="353" t="s">
        <v>2727</v>
      </c>
    </row>
    <row r="1086" ht="14.25" customHeight="1">
      <c r="A1086" s="339" t="s">
        <v>4280</v>
      </c>
      <c r="C1086" s="353" t="s">
        <v>1547</v>
      </c>
    </row>
    <row r="1087" ht="14.25" customHeight="1">
      <c r="A1087" s="339" t="s">
        <v>4281</v>
      </c>
      <c r="C1087" s="353" t="s">
        <v>4282</v>
      </c>
    </row>
    <row r="1088" ht="14.25" customHeight="1">
      <c r="A1088" s="339" t="s">
        <v>2776</v>
      </c>
      <c r="C1088" s="353" t="s">
        <v>4283</v>
      </c>
    </row>
    <row r="1089" ht="14.25" customHeight="1">
      <c r="A1089" s="339" t="s">
        <v>2778</v>
      </c>
      <c r="C1089" s="353" t="s">
        <v>4284</v>
      </c>
    </row>
    <row r="1090" ht="14.25" customHeight="1">
      <c r="A1090" s="339" t="s">
        <v>1547</v>
      </c>
      <c r="C1090" s="353" t="s">
        <v>4285</v>
      </c>
    </row>
    <row r="1091" ht="14.25" customHeight="1">
      <c r="A1091" s="339" t="s">
        <v>4286</v>
      </c>
      <c r="C1091" s="353" t="s">
        <v>4287</v>
      </c>
    </row>
    <row r="1092" ht="14.25" customHeight="1">
      <c r="A1092" s="339" t="s">
        <v>2956</v>
      </c>
      <c r="C1092" s="353" t="s">
        <v>4288</v>
      </c>
    </row>
    <row r="1093" ht="14.25" customHeight="1">
      <c r="A1093" s="339" t="s">
        <v>4289</v>
      </c>
      <c r="C1093" s="353" t="s">
        <v>4290</v>
      </c>
    </row>
    <row r="1094" ht="14.25" customHeight="1">
      <c r="A1094" s="339" t="s">
        <v>2959</v>
      </c>
      <c r="C1094" s="353" t="s">
        <v>4291</v>
      </c>
    </row>
    <row r="1095" ht="14.25" customHeight="1">
      <c r="A1095" s="339" t="s">
        <v>3137</v>
      </c>
      <c r="C1095" s="353" t="s">
        <v>4292</v>
      </c>
    </row>
    <row r="1096" ht="14.25" customHeight="1">
      <c r="A1096" s="339" t="s">
        <v>4293</v>
      </c>
      <c r="C1096" s="353" t="s">
        <v>4294</v>
      </c>
    </row>
    <row r="1097" ht="14.25" customHeight="1">
      <c r="A1097" s="339" t="s">
        <v>4295</v>
      </c>
      <c r="C1097" s="353" t="s">
        <v>4296</v>
      </c>
    </row>
    <row r="1098" ht="14.25" customHeight="1">
      <c r="A1098" s="339" t="s">
        <v>4297</v>
      </c>
      <c r="C1098" s="353" t="s">
        <v>4298</v>
      </c>
    </row>
    <row r="1099" ht="14.25" customHeight="1">
      <c r="A1099" s="339" t="s">
        <v>4299</v>
      </c>
      <c r="C1099" s="353" t="s">
        <v>2727</v>
      </c>
    </row>
    <row r="1100" ht="14.25" customHeight="1">
      <c r="A1100" s="339" t="s">
        <v>2804</v>
      </c>
      <c r="C1100" s="353" t="s">
        <v>1547</v>
      </c>
    </row>
    <row r="1101" ht="14.25" customHeight="1">
      <c r="A1101" s="339" t="s">
        <v>3048</v>
      </c>
      <c r="C1101" s="353" t="s">
        <v>4301</v>
      </c>
    </row>
    <row r="1102" ht="14.25" customHeight="1">
      <c r="A1102" s="339" t="s">
        <v>4302</v>
      </c>
      <c r="C1102" s="353" t="s">
        <v>4303</v>
      </c>
    </row>
    <row r="1103" ht="14.25" customHeight="1">
      <c r="A1103" s="339" t="s">
        <v>2971</v>
      </c>
      <c r="C1103" s="353" t="s">
        <v>4237</v>
      </c>
    </row>
    <row r="1104" ht="14.25" customHeight="1">
      <c r="A1104" s="339" t="s">
        <v>2776</v>
      </c>
      <c r="C1104" s="353" t="s">
        <v>4304</v>
      </c>
    </row>
    <row r="1105" ht="14.25" customHeight="1">
      <c r="A1105" s="339" t="s">
        <v>4305</v>
      </c>
      <c r="C1105" s="353" t="s">
        <v>4026</v>
      </c>
    </row>
    <row r="1106" ht="14.25" customHeight="1">
      <c r="A1106" s="339" t="s">
        <v>2727</v>
      </c>
      <c r="C1106" s="353" t="s">
        <v>2727</v>
      </c>
    </row>
    <row r="1107" ht="14.25" customHeight="1">
      <c r="A1107" s="339" t="s">
        <v>1547</v>
      </c>
      <c r="C1107" s="353" t="s">
        <v>1547</v>
      </c>
    </row>
    <row r="1108" ht="14.25" customHeight="1">
      <c r="A1108" s="339" t="s">
        <v>4306</v>
      </c>
      <c r="C1108" s="353" t="s">
        <v>3138</v>
      </c>
    </row>
    <row r="1109" ht="14.25" customHeight="1">
      <c r="A1109" s="339" t="s">
        <v>4307</v>
      </c>
      <c r="C1109" s="353" t="s">
        <v>4308</v>
      </c>
    </row>
    <row r="1110" ht="14.25" customHeight="1">
      <c r="A1110" s="339" t="s">
        <v>4309</v>
      </c>
      <c r="C1110" s="353" t="s">
        <v>4213</v>
      </c>
    </row>
    <row r="1111" ht="14.25" customHeight="1">
      <c r="A1111" s="339" t="s">
        <v>4310</v>
      </c>
      <c r="C1111" s="353" t="s">
        <v>4311</v>
      </c>
    </row>
    <row r="1112" ht="14.25" customHeight="1">
      <c r="A1112" s="339" t="s">
        <v>4312</v>
      </c>
      <c r="C1112" s="353" t="s">
        <v>4313</v>
      </c>
    </row>
    <row r="1113" ht="14.25" customHeight="1">
      <c r="A1113" s="339" t="s">
        <v>4314</v>
      </c>
      <c r="C1113" s="353" t="s">
        <v>3068</v>
      </c>
    </row>
    <row r="1114" ht="14.25" customHeight="1">
      <c r="A1114" s="339" t="s">
        <v>4315</v>
      </c>
      <c r="C1114" s="353" t="s">
        <v>4316</v>
      </c>
    </row>
    <row r="1115" ht="14.25" customHeight="1">
      <c r="A1115" s="339" t="s">
        <v>4317</v>
      </c>
      <c r="C1115" s="353" t="s">
        <v>2892</v>
      </c>
    </row>
    <row r="1116" ht="14.25" customHeight="1">
      <c r="A1116" s="339" t="s">
        <v>4318</v>
      </c>
      <c r="C1116" s="353" t="s">
        <v>4319</v>
      </c>
    </row>
    <row r="1117" ht="14.25" customHeight="1">
      <c r="A1117" s="339" t="s">
        <v>4320</v>
      </c>
      <c r="C1117" s="353" t="s">
        <v>4321</v>
      </c>
    </row>
    <row r="1118" ht="14.25" customHeight="1">
      <c r="A1118" s="339" t="s">
        <v>4322</v>
      </c>
      <c r="C1118" s="353" t="s">
        <v>4323</v>
      </c>
    </row>
    <row r="1119" ht="14.25" customHeight="1">
      <c r="A1119" s="339" t="s">
        <v>4324</v>
      </c>
      <c r="C1119" s="353" t="s">
        <v>4325</v>
      </c>
    </row>
    <row r="1120" ht="14.25" customHeight="1">
      <c r="A1120" s="339" t="s">
        <v>4326</v>
      </c>
      <c r="C1120" s="353" t="s">
        <v>4327</v>
      </c>
    </row>
    <row r="1121" ht="14.25" customHeight="1">
      <c r="A1121" s="339" t="s">
        <v>4328</v>
      </c>
      <c r="C1121" s="353" t="s">
        <v>4329</v>
      </c>
    </row>
    <row r="1122" ht="14.25" customHeight="1">
      <c r="A1122" s="339" t="s">
        <v>4330</v>
      </c>
      <c r="C1122" s="353" t="s">
        <v>4331</v>
      </c>
    </row>
    <row r="1123" ht="14.25" customHeight="1">
      <c r="A1123" s="339" t="s">
        <v>4332</v>
      </c>
      <c r="C1123" s="353" t="s">
        <v>4333</v>
      </c>
    </row>
    <row r="1124" ht="14.25" customHeight="1">
      <c r="A1124" s="339" t="s">
        <v>3805</v>
      </c>
      <c r="C1124" s="353" t="s">
        <v>4334</v>
      </c>
    </row>
    <row r="1125" ht="14.25" customHeight="1">
      <c r="A1125" s="339" t="s">
        <v>4335</v>
      </c>
      <c r="C1125" s="353" t="s">
        <v>2776</v>
      </c>
    </row>
    <row r="1126" ht="14.25" customHeight="1">
      <c r="A1126" s="339" t="s">
        <v>3089</v>
      </c>
      <c r="C1126" s="353" t="s">
        <v>4336</v>
      </c>
    </row>
    <row r="1127" ht="14.25" customHeight="1">
      <c r="A1127" s="339" t="s">
        <v>4337</v>
      </c>
      <c r="C1127" s="353" t="s">
        <v>4338</v>
      </c>
    </row>
    <row r="1128" ht="14.25" customHeight="1">
      <c r="A1128" s="339" t="s">
        <v>4339</v>
      </c>
      <c r="C1128" s="353" t="s">
        <v>4340</v>
      </c>
    </row>
    <row r="1129" ht="14.25" customHeight="1">
      <c r="A1129" s="339" t="s">
        <v>4341</v>
      </c>
      <c r="C1129" s="353" t="s">
        <v>4342</v>
      </c>
    </row>
    <row r="1130" ht="14.25" customHeight="1">
      <c r="A1130" s="339" t="s">
        <v>2839</v>
      </c>
      <c r="C1130" s="353" t="s">
        <v>4200</v>
      </c>
    </row>
    <row r="1131" ht="14.25" customHeight="1">
      <c r="A1131" s="339" t="s">
        <v>3810</v>
      </c>
      <c r="C1131" s="353" t="s">
        <v>4235</v>
      </c>
    </row>
    <row r="1132" ht="14.25" customHeight="1">
      <c r="A1132" s="339" t="s">
        <v>4343</v>
      </c>
      <c r="C1132" s="353" t="s">
        <v>4237</v>
      </c>
    </row>
    <row r="1133" ht="14.25" customHeight="1">
      <c r="A1133" s="339" t="s">
        <v>4344</v>
      </c>
      <c r="C1133" s="353" t="s">
        <v>4345</v>
      </c>
    </row>
    <row r="1134" ht="14.25" customHeight="1">
      <c r="A1134" s="339" t="s">
        <v>4346</v>
      </c>
      <c r="C1134" s="353" t="s">
        <v>2727</v>
      </c>
    </row>
    <row r="1135" ht="14.25" customHeight="1">
      <c r="A1135" s="339" t="s">
        <v>4347</v>
      </c>
      <c r="C1135" s="353" t="s">
        <v>1547</v>
      </c>
    </row>
    <row r="1136" ht="14.25" customHeight="1">
      <c r="A1136" s="339" t="s">
        <v>4348</v>
      </c>
      <c r="C1136" s="353" t="s">
        <v>4349</v>
      </c>
    </row>
    <row r="1137" ht="14.25" customHeight="1">
      <c r="A1137" s="339" t="s">
        <v>4350</v>
      </c>
      <c r="C1137" s="353" t="s">
        <v>4351</v>
      </c>
    </row>
    <row r="1138" ht="14.25" customHeight="1">
      <c r="A1138" s="339" t="s">
        <v>2840</v>
      </c>
      <c r="C1138" s="353" t="s">
        <v>4352</v>
      </c>
    </row>
    <row r="1139" ht="14.25" customHeight="1">
      <c r="A1139" s="339" t="s">
        <v>4353</v>
      </c>
      <c r="C1139" s="353" t="s">
        <v>4354</v>
      </c>
    </row>
    <row r="1140" ht="14.25" customHeight="1">
      <c r="A1140" s="339" t="s">
        <v>2971</v>
      </c>
      <c r="C1140" s="353" t="s">
        <v>4355</v>
      </c>
    </row>
    <row r="1141" ht="14.25" customHeight="1">
      <c r="A1141" s="339" t="s">
        <v>2776</v>
      </c>
      <c r="C1141" s="353" t="s">
        <v>4356</v>
      </c>
    </row>
    <row r="1142" ht="14.25" customHeight="1">
      <c r="A1142" s="339" t="s">
        <v>4357</v>
      </c>
      <c r="C1142" s="353" t="s">
        <v>4213</v>
      </c>
    </row>
    <row r="1143" ht="14.25" customHeight="1">
      <c r="A1143" s="339" t="s">
        <v>4358</v>
      </c>
      <c r="C1143" s="353" t="s">
        <v>4359</v>
      </c>
    </row>
    <row r="1144" ht="14.25" customHeight="1">
      <c r="A1144" s="339" t="s">
        <v>4360</v>
      </c>
      <c r="C1144" s="353" t="s">
        <v>4361</v>
      </c>
    </row>
    <row r="1145" ht="14.25" customHeight="1">
      <c r="A1145" s="339" t="s">
        <v>4362</v>
      </c>
      <c r="C1145" s="353" t="s">
        <v>2892</v>
      </c>
    </row>
    <row r="1146" ht="14.25" customHeight="1">
      <c r="A1146" s="339" t="s">
        <v>2746</v>
      </c>
      <c r="C1146" s="353" t="s">
        <v>4200</v>
      </c>
    </row>
    <row r="1147" ht="14.25" customHeight="1">
      <c r="A1147" s="339" t="s">
        <v>2776</v>
      </c>
      <c r="C1147" s="353" t="s">
        <v>4235</v>
      </c>
    </row>
    <row r="1148" ht="14.25" customHeight="1">
      <c r="A1148" s="339" t="s">
        <v>4363</v>
      </c>
      <c r="C1148" s="353" t="s">
        <v>4237</v>
      </c>
    </row>
    <row r="1149" ht="14.25" customHeight="1">
      <c r="A1149" s="339" t="s">
        <v>4364</v>
      </c>
      <c r="C1149" s="353" t="s">
        <v>4365</v>
      </c>
    </row>
    <row r="1150" ht="14.25" customHeight="1">
      <c r="A1150" s="339" t="s">
        <v>4366</v>
      </c>
      <c r="C1150" s="353" t="s">
        <v>2727</v>
      </c>
    </row>
    <row r="1151" ht="14.25" customHeight="1">
      <c r="A1151" s="339" t="s">
        <v>4367</v>
      </c>
      <c r="C1151" s="353" t="s">
        <v>1547</v>
      </c>
    </row>
    <row r="1152" ht="14.25" customHeight="1">
      <c r="A1152" s="339" t="s">
        <v>2840</v>
      </c>
      <c r="C1152" s="353" t="s">
        <v>4011</v>
      </c>
    </row>
    <row r="1153" ht="14.25" customHeight="1">
      <c r="A1153" s="339" t="s">
        <v>4368</v>
      </c>
      <c r="C1153" s="353" t="s">
        <v>3186</v>
      </c>
    </row>
    <row r="1154" ht="14.25" customHeight="1">
      <c r="A1154" s="339" t="s">
        <v>2776</v>
      </c>
      <c r="C1154" s="353" t="s">
        <v>2727</v>
      </c>
    </row>
    <row r="1155" ht="14.25" customHeight="1">
      <c r="A1155" s="339" t="s">
        <v>4123</v>
      </c>
      <c r="C1155" s="353" t="s">
        <v>4369</v>
      </c>
    </row>
    <row r="1156" ht="14.25" customHeight="1">
      <c r="A1156" s="339" t="s">
        <v>4370</v>
      </c>
      <c r="C1156" s="353" t="s">
        <v>1547</v>
      </c>
    </row>
    <row r="1157" ht="14.25" customHeight="1">
      <c r="A1157" s="339" t="s">
        <v>3451</v>
      </c>
    </row>
    <row r="1158" ht="14.25" customHeight="1">
      <c r="A1158" s="339" t="s">
        <v>4371</v>
      </c>
    </row>
    <row r="1159" ht="14.25" customHeight="1">
      <c r="A1159" s="339" t="s">
        <v>4372</v>
      </c>
    </row>
    <row r="1160" ht="14.25" customHeight="1">
      <c r="A1160" s="339" t="s">
        <v>4373</v>
      </c>
    </row>
    <row r="1161" ht="14.25" customHeight="1">
      <c r="A1161" s="339" t="s">
        <v>4374</v>
      </c>
    </row>
    <row r="1162" ht="14.25" customHeight="1">
      <c r="A1162" s="339" t="s">
        <v>4375</v>
      </c>
    </row>
    <row r="1163" ht="14.25" customHeight="1">
      <c r="A1163" s="339" t="s">
        <v>2971</v>
      </c>
    </row>
    <row r="1164" ht="14.25" customHeight="1">
      <c r="A1164" s="339" t="s">
        <v>2776</v>
      </c>
    </row>
    <row r="1165" ht="14.25" customHeight="1">
      <c r="A1165" s="339" t="s">
        <v>4376</v>
      </c>
    </row>
    <row r="1166" ht="14.25" customHeight="1">
      <c r="A1166" s="339" t="s">
        <v>4377</v>
      </c>
    </row>
    <row r="1167" ht="14.25" customHeight="1">
      <c r="A1167" s="339" t="s">
        <v>4378</v>
      </c>
    </row>
    <row r="1168" ht="14.25" customHeight="1">
      <c r="A1168" s="339" t="s">
        <v>4379</v>
      </c>
    </row>
    <row r="1169" ht="14.25" customHeight="1">
      <c r="A1169" s="339" t="s">
        <v>4380</v>
      </c>
    </row>
    <row r="1170" ht="14.25" customHeight="1">
      <c r="A1170" s="339" t="s">
        <v>4381</v>
      </c>
    </row>
    <row r="1171" ht="14.25" customHeight="1">
      <c r="A1171" s="339" t="s">
        <v>4382</v>
      </c>
    </row>
    <row r="1172" ht="14.25" customHeight="1">
      <c r="A1172" s="339" t="s">
        <v>4383</v>
      </c>
    </row>
    <row r="1173" ht="14.25" customHeight="1">
      <c r="A1173" s="339" t="s">
        <v>4384</v>
      </c>
    </row>
    <row r="1174" ht="14.25" customHeight="1">
      <c r="A1174" s="339" t="s">
        <v>4385</v>
      </c>
    </row>
    <row r="1175" ht="14.25" customHeight="1">
      <c r="A1175" s="339" t="s">
        <v>2727</v>
      </c>
    </row>
    <row r="1176" ht="14.25" customHeight="1">
      <c r="A1176" s="339" t="s">
        <v>4386</v>
      </c>
    </row>
    <row r="1177" ht="14.25" customHeight="1">
      <c r="A1177" s="339" t="s">
        <v>4387</v>
      </c>
    </row>
    <row r="1178" ht="14.25" customHeight="1">
      <c r="A1178" s="339" t="s">
        <v>4388</v>
      </c>
    </row>
    <row r="1179" ht="14.25" customHeight="1">
      <c r="A1179" s="339" t="s">
        <v>2956</v>
      </c>
    </row>
    <row r="1180" ht="14.25" customHeight="1">
      <c r="A1180" s="339" t="s">
        <v>4389</v>
      </c>
    </row>
    <row r="1181" ht="14.25" customHeight="1">
      <c r="A1181" s="339" t="s">
        <v>4390</v>
      </c>
    </row>
    <row r="1182" ht="14.25" customHeight="1">
      <c r="A1182" s="339" t="s">
        <v>4391</v>
      </c>
    </row>
    <row r="1183" ht="14.25" customHeight="1">
      <c r="A1183" s="339" t="s">
        <v>4392</v>
      </c>
    </row>
    <row r="1184" ht="14.25" customHeight="1">
      <c r="A1184" s="339" t="s">
        <v>4393</v>
      </c>
    </row>
    <row r="1185" ht="14.25" customHeight="1">
      <c r="A1185" s="339" t="s">
        <v>4394</v>
      </c>
    </row>
    <row r="1186" ht="14.25" customHeight="1">
      <c r="A1186" s="339" t="s">
        <v>4395</v>
      </c>
    </row>
    <row r="1187" ht="14.25" customHeight="1">
      <c r="A1187" s="339" t="s">
        <v>4396</v>
      </c>
    </row>
    <row r="1188" ht="14.25" customHeight="1">
      <c r="A1188" s="339" t="s">
        <v>4397</v>
      </c>
    </row>
    <row r="1189" ht="14.25" customHeight="1">
      <c r="A1189" s="339" t="s">
        <v>4398</v>
      </c>
    </row>
    <row r="1190" ht="14.25" customHeight="1">
      <c r="A1190" s="339" t="s">
        <v>4399</v>
      </c>
    </row>
    <row r="1191" ht="14.25" customHeight="1">
      <c r="A1191" s="339" t="s">
        <v>4400</v>
      </c>
    </row>
    <row r="1192" ht="14.25" customHeight="1">
      <c r="A1192" s="339" t="s">
        <v>4401</v>
      </c>
    </row>
    <row r="1193" ht="14.25" customHeight="1">
      <c r="A1193" s="339" t="s">
        <v>4402</v>
      </c>
    </row>
    <row r="1194" ht="14.25" customHeight="1">
      <c r="A1194" s="339" t="s">
        <v>4403</v>
      </c>
    </row>
    <row r="1195" ht="14.25" customHeight="1">
      <c r="A1195" s="339" t="s">
        <v>4404</v>
      </c>
    </row>
    <row r="1196" ht="14.25" customHeight="1">
      <c r="A1196" s="339" t="s">
        <v>4405</v>
      </c>
    </row>
    <row r="1197" ht="14.25" customHeight="1">
      <c r="A1197" s="339" t="s">
        <v>3901</v>
      </c>
    </row>
    <row r="1198" ht="14.25" customHeight="1">
      <c r="A1198" s="339" t="s">
        <v>4406</v>
      </c>
    </row>
    <row r="1199" ht="14.25" customHeight="1">
      <c r="A1199" s="339" t="s">
        <v>4407</v>
      </c>
    </row>
    <row r="1200" ht="14.25" customHeight="1">
      <c r="A1200" s="339" t="s">
        <v>4408</v>
      </c>
    </row>
    <row r="1201" ht="14.25" customHeight="1">
      <c r="A1201" s="339" t="s">
        <v>4409</v>
      </c>
    </row>
    <row r="1202" ht="14.25" customHeight="1">
      <c r="A1202" s="339" t="s">
        <v>4410</v>
      </c>
    </row>
    <row r="1203" ht="14.25" customHeight="1">
      <c r="A1203" s="339" t="s">
        <v>4411</v>
      </c>
    </row>
    <row r="1204" ht="14.25" customHeight="1">
      <c r="A1204" s="339" t="s">
        <v>4412</v>
      </c>
    </row>
    <row r="1205" ht="14.25" customHeight="1">
      <c r="A1205" s="339" t="s">
        <v>4413</v>
      </c>
    </row>
    <row r="1206" ht="14.25" customHeight="1">
      <c r="A1206" s="339" t="s">
        <v>4414</v>
      </c>
    </row>
    <row r="1207" ht="14.25" customHeight="1">
      <c r="A1207" s="339" t="s">
        <v>4415</v>
      </c>
    </row>
    <row r="1208" ht="14.25" customHeight="1">
      <c r="A1208" s="339" t="s">
        <v>2804</v>
      </c>
    </row>
    <row r="1209" ht="14.25" customHeight="1">
      <c r="A1209" s="339" t="s">
        <v>4416</v>
      </c>
    </row>
    <row r="1210" ht="14.25" customHeight="1">
      <c r="A1210" s="339" t="s">
        <v>4417</v>
      </c>
    </row>
    <row r="1211" ht="14.25" customHeight="1">
      <c r="A1211" s="339" t="s">
        <v>4419</v>
      </c>
    </row>
    <row r="1212" ht="14.25" customHeight="1">
      <c r="A1212" s="339" t="s">
        <v>4420</v>
      </c>
    </row>
    <row r="1213" ht="14.25" customHeight="1">
      <c r="A1213" s="339" t="s">
        <v>2776</v>
      </c>
    </row>
    <row r="1214" ht="14.25" customHeight="1">
      <c r="A1214" s="339" t="s">
        <v>4421</v>
      </c>
    </row>
    <row r="1215" ht="14.25" customHeight="1">
      <c r="A1215" s="339" t="s">
        <v>4422</v>
      </c>
    </row>
    <row r="1216" ht="14.25" customHeight="1">
      <c r="A1216" s="339" t="s">
        <v>4423</v>
      </c>
    </row>
    <row r="1217" ht="14.25" customHeight="1">
      <c r="A1217" s="339" t="s">
        <v>2776</v>
      </c>
    </row>
    <row r="1218" ht="14.25" customHeight="1">
      <c r="A1218" s="339" t="s">
        <v>4424</v>
      </c>
    </row>
    <row r="1219" ht="14.25" customHeight="1">
      <c r="A1219" s="339" t="s">
        <v>4425</v>
      </c>
    </row>
    <row r="1220" ht="14.25" customHeight="1">
      <c r="A1220" s="339" t="s">
        <v>4426</v>
      </c>
    </row>
    <row r="1221" ht="14.25" customHeight="1">
      <c r="A1221" s="339" t="s">
        <v>4427</v>
      </c>
    </row>
    <row r="1222" ht="14.25" customHeight="1">
      <c r="A1222" s="339" t="s">
        <v>4428</v>
      </c>
    </row>
    <row r="1223" ht="14.25" customHeight="1">
      <c r="A1223" s="339" t="s">
        <v>4429</v>
      </c>
    </row>
    <row r="1224" ht="14.25" customHeight="1">
      <c r="A1224" s="339" t="s">
        <v>4430</v>
      </c>
    </row>
    <row r="1225" ht="14.25" customHeight="1">
      <c r="A1225" s="339" t="s">
        <v>3100</v>
      </c>
    </row>
    <row r="1226" ht="14.25" customHeight="1">
      <c r="A1226" s="339" t="s">
        <v>2917</v>
      </c>
    </row>
    <row r="1227" ht="14.25" customHeight="1">
      <c r="A1227" s="339" t="s">
        <v>4431</v>
      </c>
    </row>
    <row r="1228" ht="14.25" customHeight="1">
      <c r="A1228" s="339" t="s">
        <v>2746</v>
      </c>
    </row>
    <row r="1229" ht="14.25" customHeight="1">
      <c r="A1229" s="339" t="s">
        <v>2776</v>
      </c>
    </row>
    <row r="1230" ht="14.25" customHeight="1">
      <c r="A1230" s="339" t="s">
        <v>4363</v>
      </c>
    </row>
    <row r="1231" ht="14.25" customHeight="1">
      <c r="A1231" s="339" t="s">
        <v>4364</v>
      </c>
    </row>
    <row r="1232" ht="14.25" customHeight="1">
      <c r="A1232" s="339" t="s">
        <v>4432</v>
      </c>
    </row>
    <row r="1233" ht="14.25" customHeight="1">
      <c r="A1233" s="339" t="s">
        <v>4433</v>
      </c>
    </row>
    <row r="1234" ht="14.25" customHeight="1">
      <c r="A1234" s="339" t="s">
        <v>4434</v>
      </c>
    </row>
    <row r="1235" ht="14.25" customHeight="1">
      <c r="A1235" s="339" t="s">
        <v>3163</v>
      </c>
    </row>
    <row r="1236" ht="14.25" customHeight="1">
      <c r="A1236" s="339" t="s">
        <v>4435</v>
      </c>
    </row>
    <row r="1237" ht="14.25" customHeight="1">
      <c r="A1237" s="339" t="s">
        <v>4436</v>
      </c>
    </row>
    <row r="1238" ht="14.25" customHeight="1">
      <c r="A1238" s="339" t="s">
        <v>4437</v>
      </c>
    </row>
    <row r="1239" ht="14.25" customHeight="1">
      <c r="A1239" s="339" t="s">
        <v>4438</v>
      </c>
    </row>
    <row r="1240" ht="14.25" customHeight="1">
      <c r="A1240" s="339" t="s">
        <v>4439</v>
      </c>
    </row>
    <row r="1241" ht="14.25" customHeight="1">
      <c r="A1241" s="339" t="s">
        <v>3172</v>
      </c>
    </row>
    <row r="1242" ht="14.25" customHeight="1">
      <c r="A1242" s="339" t="s">
        <v>2746</v>
      </c>
    </row>
    <row r="1243" ht="14.25" customHeight="1">
      <c r="A1243" s="339" t="s">
        <v>2892</v>
      </c>
    </row>
    <row r="1244" ht="14.25" customHeight="1">
      <c r="A1244" s="339" t="s">
        <v>4440</v>
      </c>
    </row>
    <row r="1245" ht="14.25" customHeight="1">
      <c r="A1245" s="339" t="s">
        <v>4383</v>
      </c>
    </row>
    <row r="1246" ht="14.25" customHeight="1">
      <c r="A1246" s="339" t="s">
        <v>4441</v>
      </c>
    </row>
    <row r="1247" ht="14.25" customHeight="1">
      <c r="A1247" s="339" t="s">
        <v>4442</v>
      </c>
    </row>
    <row r="1248" ht="14.25" customHeight="1">
      <c r="A1248" s="339" t="s">
        <v>4443</v>
      </c>
    </row>
    <row r="1249" ht="14.25" customHeight="1">
      <c r="A1249" s="339" t="s">
        <v>4444</v>
      </c>
    </row>
    <row r="1250" ht="14.25" customHeight="1">
      <c r="A1250" s="339" t="s">
        <v>4445</v>
      </c>
    </row>
    <row r="1251" ht="14.25" customHeight="1">
      <c r="A1251" s="339" t="s">
        <v>4446</v>
      </c>
    </row>
    <row r="1252" ht="14.25" customHeight="1">
      <c r="A1252" s="339" t="s">
        <v>2727</v>
      </c>
    </row>
    <row r="1253" ht="14.25" customHeight="1">
      <c r="A1253" s="339" t="s">
        <v>4447</v>
      </c>
    </row>
    <row r="1254" ht="14.25" customHeight="1">
      <c r="A1254" s="339" t="s">
        <v>4448</v>
      </c>
    </row>
    <row r="1255" ht="14.25" customHeight="1">
      <c r="A1255" s="339" t="s">
        <v>4449</v>
      </c>
    </row>
    <row r="1256" ht="14.25" customHeight="1">
      <c r="A1256" s="339" t="s">
        <v>2956</v>
      </c>
    </row>
    <row r="1257" ht="14.25" customHeight="1">
      <c r="A1257" s="339" t="s">
        <v>4450</v>
      </c>
    </row>
    <row r="1258" ht="14.25" customHeight="1">
      <c r="A1258" s="339" t="s">
        <v>2727</v>
      </c>
    </row>
    <row r="1259" ht="14.25" customHeight="1">
      <c r="A1259" s="339" t="s">
        <v>1547</v>
      </c>
    </row>
    <row r="1260" ht="14.25" customHeight="1">
      <c r="A1260" s="339" t="s">
        <v>4451</v>
      </c>
    </row>
    <row r="1261" ht="14.25" customHeight="1">
      <c r="A1261" s="339" t="s">
        <v>2956</v>
      </c>
    </row>
    <row r="1262" ht="14.25" customHeight="1">
      <c r="A1262" s="339" t="s">
        <v>4452</v>
      </c>
    </row>
    <row r="1263" ht="14.25" customHeight="1">
      <c r="A1263" s="339" t="s">
        <v>2727</v>
      </c>
    </row>
    <row r="1264" ht="14.25" customHeight="1">
      <c r="A1264" s="339" t="s">
        <v>1547</v>
      </c>
    </row>
    <row r="1265" ht="14.25" customHeight="1">
      <c r="A1265" s="339" t="s">
        <v>4453</v>
      </c>
    </row>
    <row r="1266" ht="14.25" customHeight="1">
      <c r="A1266" s="339" t="s">
        <v>2956</v>
      </c>
    </row>
    <row r="1267" ht="14.25" customHeight="1">
      <c r="A1267" s="339" t="s">
        <v>4454</v>
      </c>
    </row>
    <row r="1268" ht="14.25" customHeight="1">
      <c r="A1268" s="339" t="s">
        <v>2727</v>
      </c>
    </row>
    <row r="1269" ht="14.25" customHeight="1">
      <c r="A1269" s="339" t="s">
        <v>1547</v>
      </c>
    </row>
    <row r="1270" ht="14.25" customHeight="1">
      <c r="A1270" s="339" t="s">
        <v>4455</v>
      </c>
    </row>
    <row r="1271" ht="14.25" customHeight="1">
      <c r="A1271" s="339" t="s">
        <v>4456</v>
      </c>
    </row>
    <row r="1272" ht="14.25" customHeight="1">
      <c r="A1272" s="339" t="s">
        <v>2727</v>
      </c>
    </row>
    <row r="1273" ht="14.25" customHeight="1">
      <c r="A1273" s="339" t="s">
        <v>1547</v>
      </c>
    </row>
    <row r="1274" ht="14.25" customHeight="1">
      <c r="A1274" s="339" t="s">
        <v>4457</v>
      </c>
    </row>
    <row r="1275" ht="14.25" customHeight="1">
      <c r="A1275" s="339" t="s">
        <v>4458</v>
      </c>
    </row>
    <row r="1276" ht="14.25" customHeight="1">
      <c r="A1276" s="339" t="s">
        <v>2799</v>
      </c>
    </row>
    <row r="1277" ht="14.25" customHeight="1">
      <c r="A1277" s="339" t="s">
        <v>4459</v>
      </c>
    </row>
    <row r="1278" ht="14.25" customHeight="1">
      <c r="A1278" s="339" t="s">
        <v>4460</v>
      </c>
    </row>
    <row r="1279" ht="14.25" customHeight="1">
      <c r="A1279" s="339" t="s">
        <v>4461</v>
      </c>
    </row>
    <row r="1280" ht="14.25" customHeight="1">
      <c r="A1280" s="339" t="s">
        <v>4462</v>
      </c>
    </row>
    <row r="1281" ht="14.25" customHeight="1">
      <c r="A1281" s="339" t="s">
        <v>4463</v>
      </c>
    </row>
    <row r="1282" ht="14.25" customHeight="1">
      <c r="A1282" s="339" t="s">
        <v>4464</v>
      </c>
    </row>
    <row r="1283" ht="14.25" customHeight="1">
      <c r="A1283" s="339" t="s">
        <v>4465</v>
      </c>
    </row>
    <row r="1284" ht="14.25" customHeight="1">
      <c r="A1284" s="339" t="s">
        <v>2971</v>
      </c>
    </row>
    <row r="1285" ht="14.25" customHeight="1">
      <c r="A1285" s="339" t="s">
        <v>2776</v>
      </c>
    </row>
    <row r="1286" ht="14.25" customHeight="1">
      <c r="A1286" s="339" t="s">
        <v>2803</v>
      </c>
    </row>
    <row r="1287" ht="14.25" customHeight="1">
      <c r="A1287" s="339" t="s">
        <v>4466</v>
      </c>
    </row>
    <row r="1288" ht="14.25" customHeight="1">
      <c r="A1288" s="339" t="s">
        <v>2727</v>
      </c>
    </row>
    <row r="1289" ht="14.25" customHeight="1">
      <c r="A1289" s="339" t="s">
        <v>1547</v>
      </c>
    </row>
    <row r="1290" ht="14.25" customHeight="1">
      <c r="A1290" s="339" t="s">
        <v>4467</v>
      </c>
    </row>
    <row r="1291" ht="14.25" customHeight="1">
      <c r="A1291" s="339" t="s">
        <v>4468</v>
      </c>
    </row>
    <row r="1292" ht="14.25" customHeight="1">
      <c r="A1292" s="339" t="s">
        <v>4469</v>
      </c>
    </row>
    <row r="1293" ht="14.25" customHeight="1">
      <c r="A1293" s="339" t="s">
        <v>4470</v>
      </c>
    </row>
    <row r="1294" ht="14.25" customHeight="1">
      <c r="A1294" s="339" t="s">
        <v>4471</v>
      </c>
    </row>
    <row r="1295" ht="14.25" customHeight="1">
      <c r="A1295" s="339" t="s">
        <v>4472</v>
      </c>
    </row>
    <row r="1296" ht="14.25" customHeight="1">
      <c r="A1296" s="339" t="s">
        <v>4473</v>
      </c>
    </row>
    <row r="1297" ht="14.25" customHeight="1">
      <c r="A1297" s="339" t="s">
        <v>4474</v>
      </c>
    </row>
    <row r="1298" ht="14.25" customHeight="1">
      <c r="A1298" s="339" t="s">
        <v>3575</v>
      </c>
    </row>
    <row r="1299" ht="14.25" customHeight="1">
      <c r="A1299" s="339" t="s">
        <v>4475</v>
      </c>
    </row>
    <row r="1300" ht="14.25" customHeight="1">
      <c r="A1300" s="339" t="s">
        <v>4476</v>
      </c>
    </row>
    <row r="1301" ht="14.25" customHeight="1">
      <c r="A1301" s="339" t="s">
        <v>2917</v>
      </c>
    </row>
    <row r="1302" ht="14.25" customHeight="1">
      <c r="A1302" s="339" t="s">
        <v>4477</v>
      </c>
    </row>
    <row r="1303" ht="14.25" customHeight="1">
      <c r="A1303" s="339" t="s">
        <v>2746</v>
      </c>
    </row>
    <row r="1304" ht="14.25" customHeight="1">
      <c r="A1304" s="339" t="s">
        <v>2892</v>
      </c>
    </row>
    <row r="1305" ht="14.25" customHeight="1">
      <c r="A1305" s="339" t="s">
        <v>4478</v>
      </c>
    </row>
    <row r="1306" ht="14.25" customHeight="1">
      <c r="A1306" s="339" t="s">
        <v>2778</v>
      </c>
    </row>
    <row r="1307" ht="14.25" customHeight="1">
      <c r="A1307" s="339" t="s">
        <v>1547</v>
      </c>
    </row>
    <row r="1308" ht="14.25" customHeight="1">
      <c r="A1308" s="339" t="s">
        <v>4479</v>
      </c>
    </row>
    <row r="1309" ht="14.25" customHeight="1">
      <c r="A1309" s="339" t="s">
        <v>4480</v>
      </c>
    </row>
    <row r="1310" ht="14.25" customHeight="1">
      <c r="A1310" s="339" t="s">
        <v>4481</v>
      </c>
    </row>
    <row r="1311" ht="14.25" customHeight="1">
      <c r="A1311" s="339" t="s">
        <v>4482</v>
      </c>
    </row>
    <row r="1312" ht="14.25" customHeight="1">
      <c r="A1312" s="339" t="s">
        <v>2840</v>
      </c>
    </row>
    <row r="1313" ht="14.25" customHeight="1">
      <c r="A1313" s="339" t="s">
        <v>4483</v>
      </c>
    </row>
    <row r="1314" ht="14.25" customHeight="1">
      <c r="A1314" s="339" t="s">
        <v>2776</v>
      </c>
    </row>
    <row r="1315" ht="14.25" customHeight="1">
      <c r="A1315" s="339" t="s">
        <v>4484</v>
      </c>
    </row>
    <row r="1316" ht="14.25" customHeight="1">
      <c r="A1316" s="339" t="s">
        <v>4485</v>
      </c>
    </row>
    <row r="1317" ht="14.25" customHeight="1">
      <c r="A1317" s="339" t="s">
        <v>4486</v>
      </c>
    </row>
    <row r="1318" ht="14.25" customHeight="1">
      <c r="A1318" s="339" t="s">
        <v>4487</v>
      </c>
    </row>
    <row r="1319" ht="14.25" customHeight="1">
      <c r="A1319" s="339" t="s">
        <v>4462</v>
      </c>
    </row>
    <row r="1320" ht="14.25" customHeight="1">
      <c r="A1320" s="339" t="s">
        <v>2776</v>
      </c>
    </row>
    <row r="1321" ht="14.25" customHeight="1">
      <c r="A1321" s="339" t="s">
        <v>4488</v>
      </c>
    </row>
    <row r="1322" ht="14.25" customHeight="1">
      <c r="A1322" s="339" t="s">
        <v>2778</v>
      </c>
    </row>
    <row r="1323" ht="14.25" customHeight="1">
      <c r="A1323" s="339" t="s">
        <v>1547</v>
      </c>
    </row>
    <row r="1324" ht="14.25" customHeight="1">
      <c r="A1324" s="339" t="s">
        <v>4489</v>
      </c>
    </row>
    <row r="1325" ht="14.25" customHeight="1">
      <c r="A1325" s="339" t="s">
        <v>4490</v>
      </c>
    </row>
    <row r="1326" ht="14.25" customHeight="1">
      <c r="A1326" s="339" t="s">
        <v>2799</v>
      </c>
    </row>
    <row r="1327" ht="14.25" customHeight="1">
      <c r="A1327" s="339" t="s">
        <v>4491</v>
      </c>
    </row>
    <row r="1328" ht="14.25" customHeight="1">
      <c r="A1328" s="339" t="s">
        <v>4492</v>
      </c>
    </row>
    <row r="1329" ht="14.25" customHeight="1">
      <c r="A1329" s="339" t="s">
        <v>4493</v>
      </c>
    </row>
    <row r="1330" ht="14.25" customHeight="1">
      <c r="A1330" s="339" t="s">
        <v>2803</v>
      </c>
    </row>
    <row r="1331" ht="14.25" customHeight="1">
      <c r="A1331" s="339" t="s">
        <v>4494</v>
      </c>
    </row>
    <row r="1332" ht="14.25" customHeight="1">
      <c r="A1332" s="339" t="s">
        <v>4495</v>
      </c>
    </row>
    <row r="1333" ht="14.25" customHeight="1">
      <c r="A1333" s="339" t="s">
        <v>4496</v>
      </c>
    </row>
    <row r="1334" ht="14.25" customHeight="1">
      <c r="A1334" s="339" t="s">
        <v>4497</v>
      </c>
    </row>
    <row r="1335" ht="14.25" customHeight="1">
      <c r="A1335" s="339" t="s">
        <v>4498</v>
      </c>
    </row>
    <row r="1336" ht="14.25" customHeight="1">
      <c r="A1336" s="339" t="s">
        <v>4499</v>
      </c>
    </row>
    <row r="1337" ht="14.25" customHeight="1">
      <c r="A1337" s="339" t="s">
        <v>2778</v>
      </c>
    </row>
    <row r="1338" ht="14.25" customHeight="1">
      <c r="A1338" s="339" t="s">
        <v>1547</v>
      </c>
    </row>
    <row r="1339" ht="14.25" customHeight="1">
      <c r="A1339" s="339" t="s">
        <v>4500</v>
      </c>
    </row>
    <row r="1340" ht="14.25" customHeight="1">
      <c r="A1340" s="339" t="s">
        <v>4501</v>
      </c>
    </row>
    <row r="1341" ht="14.25" customHeight="1">
      <c r="A1341" s="339" t="s">
        <v>4502</v>
      </c>
    </row>
    <row r="1342" ht="14.25" customHeight="1">
      <c r="A1342" s="339" t="s">
        <v>4503</v>
      </c>
    </row>
    <row r="1343" ht="14.25" customHeight="1">
      <c r="A1343" s="339" t="s">
        <v>3198</v>
      </c>
    </row>
    <row r="1344" ht="14.25" customHeight="1">
      <c r="A1344" s="339" t="s">
        <v>2727</v>
      </c>
    </row>
    <row r="1345" ht="14.25" customHeight="1">
      <c r="A1345" s="339" t="s">
        <v>1547</v>
      </c>
    </row>
    <row r="1346" ht="14.25" customHeight="1">
      <c r="A1346" s="339" t="s">
        <v>4504</v>
      </c>
    </row>
    <row r="1347" ht="14.25" customHeight="1">
      <c r="A1347" s="339" t="s">
        <v>4505</v>
      </c>
    </row>
    <row r="1348" ht="14.25" customHeight="1">
      <c r="A1348" s="339" t="s">
        <v>2799</v>
      </c>
    </row>
    <row r="1349" ht="14.25" customHeight="1">
      <c r="A1349" s="339" t="s">
        <v>4506</v>
      </c>
    </row>
    <row r="1350" ht="14.25" customHeight="1">
      <c r="A1350" s="339" t="s">
        <v>2778</v>
      </c>
    </row>
    <row r="1351" ht="14.25" customHeight="1">
      <c r="A1351" s="339" t="s">
        <v>1547</v>
      </c>
    </row>
    <row r="1352" ht="14.25" customHeight="1">
      <c r="A1352" s="339" t="s">
        <v>4507</v>
      </c>
    </row>
    <row r="1353" ht="14.25" customHeight="1">
      <c r="A1353" s="339" t="s">
        <v>2799</v>
      </c>
    </row>
    <row r="1354" ht="14.25" customHeight="1">
      <c r="A1354" s="339" t="s">
        <v>4508</v>
      </c>
    </row>
    <row r="1355" ht="14.25" customHeight="1">
      <c r="A1355" s="339" t="s">
        <v>4509</v>
      </c>
    </row>
    <row r="1356" ht="14.25" customHeight="1">
      <c r="A1356" s="339" t="s">
        <v>2727</v>
      </c>
    </row>
    <row r="1357" ht="14.25" customHeight="1">
      <c r="A1357" s="339" t="s">
        <v>1547</v>
      </c>
    </row>
    <row r="1358" ht="14.25" customHeight="1">
      <c r="A1358" s="339" t="s">
        <v>4510</v>
      </c>
    </row>
    <row r="1359" ht="14.25" customHeight="1">
      <c r="A1359" s="339" t="s">
        <v>2799</v>
      </c>
    </row>
    <row r="1360" ht="14.25" customHeight="1">
      <c r="A1360" s="339" t="s">
        <v>4511</v>
      </c>
    </row>
    <row r="1361" ht="14.25" customHeight="1">
      <c r="A1361" s="339" t="s">
        <v>4512</v>
      </c>
    </row>
    <row r="1362" ht="14.25" customHeight="1">
      <c r="A1362" s="339" t="s">
        <v>4513</v>
      </c>
    </row>
    <row r="1363" ht="14.25" customHeight="1">
      <c r="A1363" s="339" t="s">
        <v>2971</v>
      </c>
    </row>
    <row r="1364" ht="14.25" customHeight="1">
      <c r="A1364" s="339" t="s">
        <v>2776</v>
      </c>
    </row>
    <row r="1365" ht="14.25" customHeight="1">
      <c r="A1365" s="339" t="s">
        <v>4514</v>
      </c>
    </row>
    <row r="1366" ht="14.25" customHeight="1">
      <c r="A1366" s="339" t="s">
        <v>4515</v>
      </c>
    </row>
    <row r="1367" ht="14.25" customHeight="1">
      <c r="A1367" s="339" t="s">
        <v>4516</v>
      </c>
    </row>
    <row r="1368" ht="14.25" customHeight="1">
      <c r="A1368" s="339" t="s">
        <v>4517</v>
      </c>
    </row>
    <row r="1369" ht="14.25" customHeight="1">
      <c r="A1369" s="339" t="s">
        <v>4518</v>
      </c>
    </row>
    <row r="1370" ht="14.25" customHeight="1">
      <c r="A1370" s="339" t="s">
        <v>4519</v>
      </c>
    </row>
    <row r="1371" ht="14.25" customHeight="1">
      <c r="A1371" s="339" t="s">
        <v>4520</v>
      </c>
    </row>
    <row r="1372" ht="14.25" customHeight="1">
      <c r="A1372" s="339" t="s">
        <v>4521</v>
      </c>
    </row>
    <row r="1373" ht="14.25" customHeight="1">
      <c r="A1373" s="339" t="s">
        <v>4522</v>
      </c>
    </row>
    <row r="1374" ht="14.25" customHeight="1">
      <c r="A1374" s="339" t="s">
        <v>4523</v>
      </c>
    </row>
    <row r="1375" ht="14.25" customHeight="1">
      <c r="A1375" s="339" t="s">
        <v>2804</v>
      </c>
    </row>
    <row r="1376" ht="14.25" customHeight="1">
      <c r="A1376" s="339" t="s">
        <v>2727</v>
      </c>
    </row>
    <row r="1377" ht="14.25" customHeight="1">
      <c r="A1377" s="339" t="s">
        <v>1547</v>
      </c>
    </row>
    <row r="1378" ht="14.25" customHeight="1">
      <c r="A1378" s="339" t="s">
        <v>4524</v>
      </c>
    </row>
    <row r="1379" ht="14.25" customHeight="1">
      <c r="A1379" s="339" t="s">
        <v>2799</v>
      </c>
    </row>
    <row r="1380" ht="14.25" customHeight="1">
      <c r="A1380" s="339" t="s">
        <v>4525</v>
      </c>
    </row>
    <row r="1381" ht="14.25" customHeight="1">
      <c r="A1381" s="339" t="s">
        <v>4526</v>
      </c>
    </row>
    <row r="1382" ht="14.25" customHeight="1">
      <c r="A1382" s="339" t="s">
        <v>2727</v>
      </c>
    </row>
    <row r="1383" ht="14.25" customHeight="1">
      <c r="A1383" s="339" t="s">
        <v>1547</v>
      </c>
    </row>
    <row r="1384" ht="14.25" customHeight="1">
      <c r="A1384" s="339" t="s">
        <v>4527</v>
      </c>
    </row>
    <row r="1385" ht="14.25" customHeight="1">
      <c r="A1385" s="339" t="s">
        <v>4528</v>
      </c>
    </row>
    <row r="1386" ht="14.25" customHeight="1">
      <c r="A1386" s="339" t="s">
        <v>2799</v>
      </c>
    </row>
    <row r="1387" ht="14.25" customHeight="1">
      <c r="A1387" s="339" t="s">
        <v>4529</v>
      </c>
    </row>
    <row r="1388" ht="14.25" customHeight="1">
      <c r="A1388" s="339" t="s">
        <v>4530</v>
      </c>
    </row>
    <row r="1389" ht="14.25" customHeight="1">
      <c r="A1389" s="339" t="s">
        <v>4531</v>
      </c>
    </row>
    <row r="1390" ht="14.25" customHeight="1">
      <c r="A1390" s="339" t="s">
        <v>4532</v>
      </c>
    </row>
    <row r="1391" ht="14.25" customHeight="1">
      <c r="A1391" s="339" t="s">
        <v>4533</v>
      </c>
    </row>
    <row r="1392" ht="14.25" customHeight="1">
      <c r="A1392" s="339" t="s">
        <v>2804</v>
      </c>
    </row>
    <row r="1393" ht="14.25" customHeight="1">
      <c r="A1393" s="339" t="s">
        <v>4534</v>
      </c>
    </row>
    <row r="1394" ht="14.25" customHeight="1">
      <c r="A1394" s="339" t="s">
        <v>4535</v>
      </c>
    </row>
    <row r="1395" ht="14.25" customHeight="1">
      <c r="A1395" s="339" t="s">
        <v>4536</v>
      </c>
    </row>
    <row r="1396" ht="14.25" customHeight="1">
      <c r="A1396" s="339" t="s">
        <v>2727</v>
      </c>
    </row>
    <row r="1397" ht="14.25" customHeight="1">
      <c r="A1397" s="339" t="s">
        <v>1547</v>
      </c>
    </row>
    <row r="1398" ht="14.25" customHeight="1">
      <c r="A1398" s="339" t="s">
        <v>4537</v>
      </c>
    </row>
    <row r="1399" ht="14.25" customHeight="1">
      <c r="A1399" s="339" t="s">
        <v>2799</v>
      </c>
    </row>
    <row r="1400" ht="14.25" customHeight="1">
      <c r="A1400" s="339" t="s">
        <v>4538</v>
      </c>
    </row>
    <row r="1401" ht="14.25" customHeight="1">
      <c r="A1401" s="339" t="s">
        <v>4539</v>
      </c>
    </row>
    <row r="1402" ht="14.25" customHeight="1">
      <c r="A1402" s="339" t="s">
        <v>4540</v>
      </c>
    </row>
    <row r="1403" ht="14.25" customHeight="1">
      <c r="A1403" s="339" t="s">
        <v>2840</v>
      </c>
    </row>
    <row r="1404" ht="14.25" customHeight="1">
      <c r="A1404" s="339" t="s">
        <v>4541</v>
      </c>
    </row>
    <row r="1405" ht="14.25" customHeight="1">
      <c r="A1405" s="339" t="s">
        <v>4542</v>
      </c>
    </row>
    <row r="1406" ht="14.25" customHeight="1">
      <c r="A1406" s="339" t="s">
        <v>2776</v>
      </c>
    </row>
    <row r="1407" ht="14.25" customHeight="1">
      <c r="A1407" s="339" t="s">
        <v>2727</v>
      </c>
    </row>
    <row r="1408" ht="14.25" customHeight="1">
      <c r="A1408" s="339" t="s">
        <v>1547</v>
      </c>
    </row>
    <row r="1409" ht="14.25" customHeight="1">
      <c r="A1409" s="339" t="s">
        <v>4543</v>
      </c>
    </row>
    <row r="1410" ht="14.25" customHeight="1">
      <c r="A1410" s="339" t="s">
        <v>4544</v>
      </c>
    </row>
    <row r="1411" ht="14.25" customHeight="1">
      <c r="A1411" s="339" t="s">
        <v>4545</v>
      </c>
    </row>
    <row r="1412" ht="14.25" customHeight="1">
      <c r="A1412" s="339" t="s">
        <v>4546</v>
      </c>
    </row>
    <row r="1413" ht="14.25" customHeight="1">
      <c r="A1413" s="339" t="s">
        <v>4548</v>
      </c>
    </row>
    <row r="1414" ht="14.25" customHeight="1">
      <c r="A1414" s="339" t="s">
        <v>4549</v>
      </c>
    </row>
    <row r="1415" ht="14.25" customHeight="1">
      <c r="A1415" s="339" t="s">
        <v>4550</v>
      </c>
    </row>
    <row r="1416" ht="14.25" customHeight="1">
      <c r="A1416" s="339" t="s">
        <v>4551</v>
      </c>
    </row>
    <row r="1417" ht="14.25" customHeight="1">
      <c r="A1417" s="339" t="s">
        <v>4552</v>
      </c>
    </row>
    <row r="1418" ht="14.25" customHeight="1">
      <c r="A1418" s="339" t="s">
        <v>4553</v>
      </c>
    </row>
    <row r="1419" ht="14.25" customHeight="1">
      <c r="A1419" s="339" t="s">
        <v>2778</v>
      </c>
    </row>
    <row r="1420" ht="14.25" customHeight="1">
      <c r="A1420" s="339" t="s">
        <v>1547</v>
      </c>
    </row>
    <row r="1421" ht="14.25" customHeight="1">
      <c r="A1421" s="339" t="s">
        <v>4554</v>
      </c>
    </row>
    <row r="1422" ht="14.25" customHeight="1">
      <c r="A1422" s="339" t="s">
        <v>4555</v>
      </c>
    </row>
    <row r="1423" ht="14.25" customHeight="1">
      <c r="A1423" s="339" t="s">
        <v>2799</v>
      </c>
    </row>
    <row r="1424" ht="14.25" customHeight="1">
      <c r="A1424" s="339" t="s">
        <v>4556</v>
      </c>
    </row>
    <row r="1425" ht="14.25" customHeight="1">
      <c r="A1425" s="339" t="s">
        <v>4557</v>
      </c>
    </row>
    <row r="1426" ht="14.25" customHeight="1">
      <c r="A1426" s="339" t="s">
        <v>4558</v>
      </c>
    </row>
    <row r="1427" ht="14.25" customHeight="1">
      <c r="A1427" s="339" t="s">
        <v>2971</v>
      </c>
    </row>
    <row r="1428" ht="14.25" customHeight="1">
      <c r="A1428" s="339" t="s">
        <v>2776</v>
      </c>
    </row>
    <row r="1429" ht="14.25" customHeight="1">
      <c r="A1429" s="339" t="s">
        <v>4559</v>
      </c>
    </row>
    <row r="1430" ht="14.25" customHeight="1">
      <c r="A1430" s="339" t="s">
        <v>4560</v>
      </c>
    </row>
    <row r="1431" ht="14.25" customHeight="1">
      <c r="A1431" s="339" t="s">
        <v>4561</v>
      </c>
    </row>
    <row r="1432" ht="14.25" customHeight="1">
      <c r="A1432" s="339" t="s">
        <v>4562</v>
      </c>
    </row>
    <row r="1433" ht="14.25" customHeight="1">
      <c r="A1433" s="339" t="s">
        <v>4563</v>
      </c>
    </row>
    <row r="1434" ht="14.25" customHeight="1">
      <c r="A1434" s="339" t="s">
        <v>4564</v>
      </c>
    </row>
    <row r="1435" ht="14.25" customHeight="1">
      <c r="A1435" s="339" t="s">
        <v>2804</v>
      </c>
    </row>
    <row r="1436" ht="14.25" customHeight="1">
      <c r="A1436" s="339" t="s">
        <v>4565</v>
      </c>
    </row>
    <row r="1437" ht="14.25" customHeight="1">
      <c r="A1437" s="339" t="s">
        <v>4566</v>
      </c>
    </row>
    <row r="1438" ht="14.25" customHeight="1">
      <c r="A1438" s="339" t="s">
        <v>4567</v>
      </c>
    </row>
    <row r="1439" ht="14.25" customHeight="1">
      <c r="A1439" s="339" t="s">
        <v>4568</v>
      </c>
    </row>
    <row r="1440" ht="14.25" customHeight="1">
      <c r="A1440" s="339" t="s">
        <v>4569</v>
      </c>
    </row>
    <row r="1441" ht="14.25" customHeight="1">
      <c r="A1441" s="339" t="s">
        <v>2727</v>
      </c>
    </row>
    <row r="1442" ht="14.25" customHeight="1">
      <c r="A1442" s="339" t="s">
        <v>1547</v>
      </c>
    </row>
    <row r="1443" ht="14.25" customHeight="1">
      <c r="A1443" s="339" t="s">
        <v>4570</v>
      </c>
    </row>
    <row r="1444" ht="14.25" customHeight="1">
      <c r="A1444" s="339" t="s">
        <v>4571</v>
      </c>
    </row>
    <row r="1445" ht="14.25" customHeight="1">
      <c r="A1445" s="339" t="s">
        <v>4572</v>
      </c>
    </row>
    <row r="1446" ht="14.25" customHeight="1">
      <c r="A1446" s="339" t="s">
        <v>4573</v>
      </c>
    </row>
    <row r="1447" ht="14.25" customHeight="1">
      <c r="A1447" s="339" t="s">
        <v>4574</v>
      </c>
    </row>
    <row r="1448" ht="14.25" customHeight="1">
      <c r="A1448" s="339" t="s">
        <v>4575</v>
      </c>
    </row>
    <row r="1449" ht="14.25" customHeight="1">
      <c r="A1449" s="339" t="s">
        <v>2892</v>
      </c>
    </row>
    <row r="1450" ht="14.25" customHeight="1">
      <c r="A1450" s="339" t="s">
        <v>4576</v>
      </c>
    </row>
    <row r="1451" ht="14.25" customHeight="1">
      <c r="A1451" s="339" t="s">
        <v>4577</v>
      </c>
    </row>
    <row r="1452" ht="14.25" customHeight="1">
      <c r="A1452" s="339" t="s">
        <v>4578</v>
      </c>
    </row>
    <row r="1453" ht="14.25" customHeight="1">
      <c r="A1453" s="339" t="s">
        <v>4579</v>
      </c>
    </row>
    <row r="1454" ht="14.25" customHeight="1">
      <c r="A1454" s="339" t="s">
        <v>4580</v>
      </c>
    </row>
    <row r="1455" ht="14.25" customHeight="1">
      <c r="A1455" s="339" t="s">
        <v>3357</v>
      </c>
    </row>
    <row r="1456" ht="14.25" customHeight="1">
      <c r="A1456" s="339" t="s">
        <v>4581</v>
      </c>
    </row>
    <row r="1457" ht="14.25" customHeight="1">
      <c r="A1457" s="339" t="s">
        <v>2778</v>
      </c>
    </row>
    <row r="1458" ht="14.25" customHeight="1">
      <c r="A1458" s="339" t="s">
        <v>1547</v>
      </c>
    </row>
    <row r="1459" ht="14.25" customHeight="1">
      <c r="A1459" s="339" t="s">
        <v>4582</v>
      </c>
    </row>
    <row r="1460" ht="14.25" customHeight="1">
      <c r="A1460" s="339" t="s">
        <v>4583</v>
      </c>
    </row>
    <row r="1461" ht="14.25" customHeight="1">
      <c r="A1461" s="339" t="s">
        <v>2799</v>
      </c>
    </row>
    <row r="1462" ht="14.25" customHeight="1">
      <c r="A1462" s="339" t="s">
        <v>4584</v>
      </c>
    </row>
    <row r="1463" ht="14.25" customHeight="1">
      <c r="A1463" s="339" t="s">
        <v>4585</v>
      </c>
    </row>
    <row r="1464" ht="14.25" customHeight="1">
      <c r="A1464" s="339" t="s">
        <v>4586</v>
      </c>
    </row>
    <row r="1465" ht="14.25" customHeight="1">
      <c r="A1465" s="339" t="s">
        <v>4587</v>
      </c>
    </row>
    <row r="1466" ht="14.25" customHeight="1">
      <c r="A1466" s="339" t="s">
        <v>2727</v>
      </c>
    </row>
    <row r="1467" ht="14.25" customHeight="1">
      <c r="A1467" s="339" t="s">
        <v>1547</v>
      </c>
    </row>
    <row r="1468" ht="14.25" customHeight="1">
      <c r="A1468" s="339" t="s">
        <v>4588</v>
      </c>
    </row>
    <row r="1469" ht="14.25" customHeight="1">
      <c r="A1469" s="339" t="s">
        <v>4589</v>
      </c>
    </row>
    <row r="1470" ht="14.25" customHeight="1">
      <c r="A1470" s="339" t="s">
        <v>2799</v>
      </c>
    </row>
    <row r="1471" ht="14.25" customHeight="1">
      <c r="A1471" s="339" t="s">
        <v>4590</v>
      </c>
    </row>
    <row r="1472" ht="14.25" customHeight="1">
      <c r="A1472" s="339" t="s">
        <v>2778</v>
      </c>
    </row>
    <row r="1473" ht="14.25" customHeight="1">
      <c r="A1473" s="339" t="s">
        <v>1547</v>
      </c>
    </row>
    <row r="1474" ht="14.25" customHeight="1">
      <c r="A1474" s="339" t="s">
        <v>4591</v>
      </c>
    </row>
    <row r="1475" ht="14.25" customHeight="1">
      <c r="A1475" s="339" t="s">
        <v>4592</v>
      </c>
    </row>
    <row r="1476" ht="14.25" customHeight="1">
      <c r="A1476" s="339" t="s">
        <v>2799</v>
      </c>
    </row>
    <row r="1477" ht="14.25" customHeight="1">
      <c r="A1477" s="339" t="s">
        <v>4593</v>
      </c>
    </row>
    <row r="1478" ht="14.25" customHeight="1">
      <c r="A1478" s="339" t="s">
        <v>2778</v>
      </c>
    </row>
    <row r="1479" ht="14.25" customHeight="1">
      <c r="A1479" s="339" t="s">
        <v>1547</v>
      </c>
    </row>
    <row r="1480" ht="14.25" customHeight="1">
      <c r="A1480" s="339" t="s">
        <v>4594</v>
      </c>
    </row>
    <row r="1481" ht="14.25" customHeight="1">
      <c r="A1481" s="339" t="s">
        <v>4480</v>
      </c>
    </row>
    <row r="1482" ht="14.25" customHeight="1">
      <c r="A1482" s="339" t="s">
        <v>4595</v>
      </c>
    </row>
    <row r="1483" ht="14.25" customHeight="1">
      <c r="A1483" s="339" t="s">
        <v>4596</v>
      </c>
    </row>
    <row r="1484" ht="14.25" customHeight="1">
      <c r="A1484" s="339" t="s">
        <v>4597</v>
      </c>
    </row>
    <row r="1485" ht="14.25" customHeight="1">
      <c r="A1485" s="339" t="s">
        <v>4598</v>
      </c>
    </row>
    <row r="1486" ht="14.25" customHeight="1">
      <c r="A1486" s="339" t="s">
        <v>4599</v>
      </c>
    </row>
    <row r="1487" ht="14.25" customHeight="1">
      <c r="A1487" s="339" t="s">
        <v>4600</v>
      </c>
    </row>
    <row r="1488" ht="14.25" customHeight="1">
      <c r="A1488" s="339" t="s">
        <v>4601</v>
      </c>
    </row>
    <row r="1489" ht="14.25" customHeight="1">
      <c r="A1489" s="339" t="s">
        <v>2776</v>
      </c>
    </row>
    <row r="1490" ht="14.25" customHeight="1">
      <c r="A1490" s="339" t="s">
        <v>4602</v>
      </c>
    </row>
    <row r="1491" ht="14.25" customHeight="1">
      <c r="A1491" s="339" t="s">
        <v>2778</v>
      </c>
    </row>
    <row r="1492" ht="14.25" customHeight="1">
      <c r="A1492" s="339" t="s">
        <v>1547</v>
      </c>
    </row>
    <row r="1493" ht="14.25" customHeight="1">
      <c r="A1493" s="339" t="s">
        <v>4603</v>
      </c>
    </row>
    <row r="1494" ht="14.25" customHeight="1">
      <c r="A1494" s="339" t="s">
        <v>4480</v>
      </c>
    </row>
    <row r="1495" ht="14.25" customHeight="1">
      <c r="A1495" s="339" t="s">
        <v>4604</v>
      </c>
    </row>
    <row r="1496" ht="14.25" customHeight="1">
      <c r="A1496" s="339" t="s">
        <v>4605</v>
      </c>
    </row>
    <row r="1497" ht="14.25" customHeight="1">
      <c r="A1497" s="339" t="s">
        <v>4606</v>
      </c>
    </row>
    <row r="1498" ht="14.25" customHeight="1">
      <c r="A1498" s="339" t="s">
        <v>4607</v>
      </c>
    </row>
    <row r="1499" ht="14.25" customHeight="1">
      <c r="A1499" s="339" t="s">
        <v>4608</v>
      </c>
    </row>
    <row r="1500" ht="14.25" customHeight="1">
      <c r="A1500" s="339" t="s">
        <v>2778</v>
      </c>
    </row>
    <row r="1501" ht="14.25" customHeight="1">
      <c r="A1501" s="339" t="s">
        <v>1547</v>
      </c>
    </row>
    <row r="1502" ht="14.25" customHeight="1">
      <c r="A1502" s="339" t="s">
        <v>4609</v>
      </c>
    </row>
    <row r="1503" ht="14.25" customHeight="1">
      <c r="A1503" s="339" t="s">
        <v>4610</v>
      </c>
    </row>
    <row r="1504" ht="14.25" customHeight="1">
      <c r="A1504" s="339" t="s">
        <v>4611</v>
      </c>
    </row>
    <row r="1505" ht="14.25" customHeight="1">
      <c r="A1505" s="339" t="s">
        <v>2799</v>
      </c>
    </row>
    <row r="1506" ht="14.25" customHeight="1">
      <c r="A1506" s="339" t="s">
        <v>4612</v>
      </c>
    </row>
    <row r="1507" ht="14.25" customHeight="1">
      <c r="A1507" s="339" t="s">
        <v>4613</v>
      </c>
    </row>
    <row r="1508" ht="14.25" customHeight="1">
      <c r="A1508" s="339" t="s">
        <v>2803</v>
      </c>
    </row>
    <row r="1509" ht="14.25" customHeight="1">
      <c r="A1509" s="339" t="s">
        <v>4614</v>
      </c>
    </row>
    <row r="1510" ht="14.25" customHeight="1">
      <c r="A1510" s="339" t="s">
        <v>4615</v>
      </c>
    </row>
    <row r="1511" ht="14.25" customHeight="1">
      <c r="A1511" s="339" t="s">
        <v>4616</v>
      </c>
    </row>
    <row r="1512" ht="14.25" customHeight="1">
      <c r="A1512" s="339" t="s">
        <v>4617</v>
      </c>
    </row>
    <row r="1513" ht="14.25" customHeight="1">
      <c r="A1513" s="339" t="s">
        <v>2776</v>
      </c>
    </row>
    <row r="1514" ht="14.25" customHeight="1">
      <c r="A1514" s="339" t="s">
        <v>4618</v>
      </c>
    </row>
    <row r="1515" ht="14.25" customHeight="1">
      <c r="A1515" s="339" t="s">
        <v>2778</v>
      </c>
    </row>
    <row r="1516" ht="14.25" customHeight="1">
      <c r="A1516" s="339" t="s">
        <v>1547</v>
      </c>
    </row>
    <row r="1517" ht="14.25" customHeight="1">
      <c r="A1517" s="339" t="s">
        <v>4619</v>
      </c>
    </row>
    <row r="1518" ht="14.25" customHeight="1">
      <c r="A1518" s="339" t="s">
        <v>4480</v>
      </c>
    </row>
    <row r="1519" ht="14.25" customHeight="1">
      <c r="A1519" s="339" t="s">
        <v>4620</v>
      </c>
    </row>
    <row r="1520" ht="14.25" customHeight="1">
      <c r="A1520" s="339" t="s">
        <v>4621</v>
      </c>
    </row>
    <row r="1521" ht="14.25" customHeight="1">
      <c r="A1521" s="339" t="s">
        <v>2799</v>
      </c>
    </row>
    <row r="1522" ht="14.25" customHeight="1">
      <c r="A1522" s="339" t="s">
        <v>4622</v>
      </c>
    </row>
    <row r="1523" ht="14.25" customHeight="1">
      <c r="A1523" s="339" t="s">
        <v>4623</v>
      </c>
    </row>
    <row r="1524" ht="14.25" customHeight="1">
      <c r="A1524" s="339" t="s">
        <v>4624</v>
      </c>
    </row>
    <row r="1525" ht="14.25" customHeight="1">
      <c r="A1525" s="339" t="s">
        <v>4625</v>
      </c>
    </row>
    <row r="1526" ht="14.25" customHeight="1">
      <c r="A1526" s="339" t="s">
        <v>2803</v>
      </c>
    </row>
    <row r="1527" ht="14.25" customHeight="1">
      <c r="A1527" s="339" t="s">
        <v>4626</v>
      </c>
    </row>
    <row r="1528" ht="14.25" customHeight="1">
      <c r="A1528" s="339" t="s">
        <v>2778</v>
      </c>
    </row>
    <row r="1529" ht="14.25" customHeight="1">
      <c r="A1529" s="339" t="s">
        <v>1547</v>
      </c>
    </row>
    <row r="1530" ht="14.25" customHeight="1">
      <c r="A1530" s="339" t="s">
        <v>4627</v>
      </c>
    </row>
    <row r="1531" ht="14.25" customHeight="1">
      <c r="A1531" s="339" t="s">
        <v>4480</v>
      </c>
    </row>
    <row r="1532" ht="14.25" customHeight="1">
      <c r="A1532" s="339" t="s">
        <v>4628</v>
      </c>
    </row>
    <row r="1533" ht="14.25" customHeight="1">
      <c r="A1533" s="339" t="s">
        <v>4629</v>
      </c>
    </row>
    <row r="1534" ht="14.25" customHeight="1">
      <c r="A1534" s="339" t="s">
        <v>4630</v>
      </c>
    </row>
    <row r="1535" ht="14.25" customHeight="1">
      <c r="A1535" s="339" t="s">
        <v>2799</v>
      </c>
    </row>
    <row r="1536" ht="14.25" customHeight="1">
      <c r="A1536" s="339" t="s">
        <v>4631</v>
      </c>
    </row>
    <row r="1537" ht="14.25" customHeight="1">
      <c r="A1537" s="339" t="s">
        <v>2803</v>
      </c>
    </row>
    <row r="1538" ht="14.25" customHeight="1">
      <c r="A1538" s="339" t="s">
        <v>4632</v>
      </c>
    </row>
    <row r="1539" ht="14.25" customHeight="1">
      <c r="A1539" s="339" t="s">
        <v>4633</v>
      </c>
    </row>
    <row r="1540" ht="14.25" customHeight="1">
      <c r="A1540" s="339" t="s">
        <v>2778</v>
      </c>
    </row>
    <row r="1541" ht="14.25" customHeight="1">
      <c r="A1541" s="339" t="s">
        <v>1547</v>
      </c>
    </row>
    <row r="1542" ht="14.25" customHeight="1">
      <c r="A1542" s="339" t="s">
        <v>4634</v>
      </c>
    </row>
    <row r="1543" ht="14.25" customHeight="1">
      <c r="A1543" s="339" t="s">
        <v>4635</v>
      </c>
    </row>
    <row r="1544" ht="14.25" customHeight="1">
      <c r="A1544" s="339" t="s">
        <v>4636</v>
      </c>
    </row>
    <row r="1545" ht="14.25" customHeight="1">
      <c r="A1545" s="339" t="s">
        <v>2799</v>
      </c>
    </row>
    <row r="1546" ht="14.25" customHeight="1">
      <c r="A1546" s="339" t="s">
        <v>4637</v>
      </c>
    </row>
    <row r="1547" ht="14.25" customHeight="1">
      <c r="A1547" s="339" t="s">
        <v>4638</v>
      </c>
    </row>
    <row r="1548" ht="14.25" customHeight="1">
      <c r="A1548" s="339" t="s">
        <v>2803</v>
      </c>
    </row>
    <row r="1549" ht="14.25" customHeight="1">
      <c r="A1549" s="339" t="s">
        <v>4639</v>
      </c>
    </row>
    <row r="1550" ht="14.25" customHeight="1">
      <c r="A1550" s="339" t="s">
        <v>4640</v>
      </c>
    </row>
    <row r="1551" ht="14.25" customHeight="1">
      <c r="A1551" s="339" t="s">
        <v>4641</v>
      </c>
    </row>
    <row r="1552" ht="14.25" customHeight="1">
      <c r="A1552" s="339" t="s">
        <v>4642</v>
      </c>
    </row>
    <row r="1553" ht="14.25" customHeight="1">
      <c r="A1553" s="339" t="s">
        <v>4643</v>
      </c>
    </row>
    <row r="1554" ht="14.25" customHeight="1">
      <c r="A1554" s="339" t="s">
        <v>4644</v>
      </c>
    </row>
    <row r="1555" ht="14.25" customHeight="1">
      <c r="A1555" s="339" t="s">
        <v>4645</v>
      </c>
    </row>
    <row r="1556" ht="14.25" customHeight="1">
      <c r="A1556" s="339" t="s">
        <v>4646</v>
      </c>
    </row>
    <row r="1557" ht="14.25" customHeight="1">
      <c r="A1557" s="339" t="s">
        <v>4647</v>
      </c>
    </row>
    <row r="1558" ht="14.25" customHeight="1">
      <c r="A1558" s="339" t="s">
        <v>4648</v>
      </c>
    </row>
    <row r="1559" ht="14.25" customHeight="1">
      <c r="A1559" s="339" t="s">
        <v>2778</v>
      </c>
    </row>
    <row r="1560" ht="14.25" customHeight="1">
      <c r="A1560" s="339" t="s">
        <v>1547</v>
      </c>
    </row>
    <row r="1561" ht="14.25" customHeight="1">
      <c r="A1561" s="339" t="s">
        <v>4649</v>
      </c>
    </row>
    <row r="1562" ht="14.25" customHeight="1">
      <c r="A1562" s="339" t="s">
        <v>4650</v>
      </c>
    </row>
    <row r="1563" ht="14.25" customHeight="1">
      <c r="A1563" s="339" t="s">
        <v>4639</v>
      </c>
    </row>
    <row r="1564" ht="14.25" customHeight="1">
      <c r="A1564" s="339" t="s">
        <v>4651</v>
      </c>
    </row>
    <row r="1565" ht="14.25" customHeight="1">
      <c r="A1565" s="339" t="s">
        <v>4652</v>
      </c>
    </row>
    <row r="1566" ht="14.25" customHeight="1">
      <c r="A1566" s="339" t="s">
        <v>4653</v>
      </c>
    </row>
    <row r="1567" ht="14.25" customHeight="1">
      <c r="A1567" s="339" t="s">
        <v>4654</v>
      </c>
    </row>
    <row r="1568" ht="14.25" customHeight="1">
      <c r="A1568" s="339" t="s">
        <v>4655</v>
      </c>
    </row>
    <row r="1569" ht="14.25" customHeight="1">
      <c r="A1569" s="339" t="s">
        <v>2776</v>
      </c>
    </row>
    <row r="1570" ht="14.25" customHeight="1">
      <c r="A1570" s="339" t="s">
        <v>2727</v>
      </c>
    </row>
    <row r="1571" ht="14.25" customHeight="1">
      <c r="A1571" s="339" t="s">
        <v>1547</v>
      </c>
    </row>
    <row r="1572" ht="14.25" customHeight="1">
      <c r="A1572" s="339" t="s">
        <v>4656</v>
      </c>
    </row>
    <row r="1573" ht="14.25" customHeight="1">
      <c r="A1573" s="339" t="s">
        <v>4490</v>
      </c>
    </row>
    <row r="1574" ht="14.25" customHeight="1">
      <c r="A1574" s="339" t="s">
        <v>2799</v>
      </c>
    </row>
    <row r="1575" ht="14.25" customHeight="1">
      <c r="A1575" s="339" t="s">
        <v>4657</v>
      </c>
    </row>
    <row r="1576" ht="14.25" customHeight="1">
      <c r="A1576" s="339" t="s">
        <v>2803</v>
      </c>
    </row>
    <row r="1577" ht="14.25" customHeight="1">
      <c r="A1577" s="339" t="s">
        <v>4658</v>
      </c>
    </row>
    <row r="1578" ht="14.25" customHeight="1">
      <c r="A1578" s="339" t="s">
        <v>4659</v>
      </c>
    </row>
    <row r="1579" ht="14.25" customHeight="1">
      <c r="A1579" s="339" t="s">
        <v>4660</v>
      </c>
    </row>
    <row r="1580" ht="14.25" customHeight="1">
      <c r="A1580" s="339" t="s">
        <v>2776</v>
      </c>
    </row>
    <row r="1581" ht="14.25" customHeight="1">
      <c r="A1581" s="339" t="s">
        <v>4661</v>
      </c>
    </row>
    <row r="1582" ht="14.25" customHeight="1">
      <c r="A1582" s="339" t="s">
        <v>2727</v>
      </c>
    </row>
    <row r="1583" ht="14.25" customHeight="1">
      <c r="A1583" s="339" t="s">
        <v>1547</v>
      </c>
    </row>
    <row r="1584" ht="14.25" customHeight="1">
      <c r="A1584" s="339" t="s">
        <v>4662</v>
      </c>
    </row>
    <row r="1585" ht="14.25" customHeight="1">
      <c r="A1585" s="339" t="s">
        <v>4663</v>
      </c>
    </row>
    <row r="1586" ht="14.25" customHeight="1">
      <c r="A1586" s="339" t="s">
        <v>2799</v>
      </c>
    </row>
    <row r="1587" ht="14.25" customHeight="1">
      <c r="A1587" s="339" t="s">
        <v>4664</v>
      </c>
    </row>
    <row r="1588" ht="14.25" customHeight="1">
      <c r="A1588" s="339" t="s">
        <v>4665</v>
      </c>
    </row>
    <row r="1589" ht="14.25" customHeight="1">
      <c r="A1589" s="339" t="s">
        <v>4666</v>
      </c>
    </row>
    <row r="1590" ht="14.25" customHeight="1">
      <c r="A1590" s="339" t="s">
        <v>4462</v>
      </c>
    </row>
    <row r="1591" ht="14.25" customHeight="1">
      <c r="A1591" s="339" t="s">
        <v>4667</v>
      </c>
    </row>
    <row r="1592" ht="14.25" customHeight="1">
      <c r="A1592" s="339" t="s">
        <v>4668</v>
      </c>
    </row>
    <row r="1593" ht="14.25" customHeight="1">
      <c r="A1593" s="339" t="s">
        <v>2776</v>
      </c>
    </row>
    <row r="1594" ht="14.25" customHeight="1">
      <c r="A1594" s="339" t="s">
        <v>4669</v>
      </c>
    </row>
    <row r="1595" ht="14.25" customHeight="1">
      <c r="A1595" s="339" t="s">
        <v>2778</v>
      </c>
    </row>
    <row r="1596" ht="14.25" customHeight="1">
      <c r="A1596" s="339" t="s">
        <v>1547</v>
      </c>
    </row>
    <row r="1597" ht="14.25" customHeight="1">
      <c r="A1597" s="339" t="s">
        <v>4670</v>
      </c>
    </row>
    <row r="1598" ht="14.25" customHeight="1">
      <c r="A1598" s="339" t="s">
        <v>4671</v>
      </c>
    </row>
    <row r="1599" ht="14.25" customHeight="1">
      <c r="A1599" s="339" t="s">
        <v>4672</v>
      </c>
    </row>
    <row r="1600" ht="14.25" customHeight="1">
      <c r="A1600" s="339" t="s">
        <v>4673</v>
      </c>
    </row>
    <row r="1601" ht="14.25" customHeight="1">
      <c r="A1601" s="339" t="s">
        <v>4674</v>
      </c>
    </row>
    <row r="1602" ht="14.25" customHeight="1">
      <c r="A1602" s="339" t="s">
        <v>2978</v>
      </c>
    </row>
    <row r="1603" ht="14.25" customHeight="1">
      <c r="A1603" s="339" t="s">
        <v>4675</v>
      </c>
    </row>
    <row r="1604" ht="14.25" customHeight="1">
      <c r="A1604" s="339" t="s">
        <v>1547</v>
      </c>
    </row>
    <row r="1605" ht="14.25" customHeight="1">
      <c r="A1605" s="339" t="s">
        <v>4676</v>
      </c>
    </row>
    <row r="1606" ht="14.25" customHeight="1">
      <c r="A1606" s="339" t="s">
        <v>4677</v>
      </c>
    </row>
    <row r="1607" ht="14.25" customHeight="1">
      <c r="A1607" s="339" t="s">
        <v>4678</v>
      </c>
    </row>
    <row r="1608" ht="14.25" customHeight="1">
      <c r="A1608" s="339" t="s">
        <v>4679</v>
      </c>
    </row>
    <row r="1609" ht="14.25" customHeight="1">
      <c r="A1609" s="339" t="s">
        <v>4680</v>
      </c>
    </row>
    <row r="1610" ht="14.25" customHeight="1">
      <c r="A1610" s="339" t="s">
        <v>4681</v>
      </c>
    </row>
    <row r="1611" ht="14.25" customHeight="1">
      <c r="A1611" s="339" t="s">
        <v>4682</v>
      </c>
    </row>
    <row r="1612" ht="14.25" customHeight="1">
      <c r="A1612" s="339" t="s">
        <v>4683</v>
      </c>
    </row>
    <row r="1613" ht="14.25" customHeight="1">
      <c r="A1613" s="339" t="s">
        <v>4684</v>
      </c>
    </row>
    <row r="1614" ht="14.25" customHeight="1">
      <c r="A1614" s="339" t="s">
        <v>4685</v>
      </c>
    </row>
    <row r="1615" ht="14.25" customHeight="1">
      <c r="A1615" s="339" t="s">
        <v>4687</v>
      </c>
    </row>
    <row r="1616" ht="14.25" customHeight="1">
      <c r="A1616" s="339" t="s">
        <v>4688</v>
      </c>
    </row>
    <row r="1617" ht="14.25" customHeight="1">
      <c r="A1617" s="339" t="s">
        <v>4689</v>
      </c>
    </row>
    <row r="1618" ht="14.25" customHeight="1">
      <c r="A1618" s="339" t="s">
        <v>4690</v>
      </c>
    </row>
    <row r="1619" ht="14.25" customHeight="1">
      <c r="A1619" s="339" t="s">
        <v>4691</v>
      </c>
    </row>
    <row r="1620" ht="14.25" customHeight="1">
      <c r="A1620" s="339" t="s">
        <v>4692</v>
      </c>
    </row>
    <row r="1621" ht="14.25" customHeight="1">
      <c r="A1621" s="339" t="s">
        <v>4693</v>
      </c>
    </row>
    <row r="1622" ht="14.25" customHeight="1">
      <c r="A1622" s="339" t="s">
        <v>4694</v>
      </c>
    </row>
    <row r="1623" ht="14.25" customHeight="1">
      <c r="A1623" s="339" t="s">
        <v>4695</v>
      </c>
    </row>
    <row r="1624" ht="14.25" customHeight="1">
      <c r="A1624" s="339" t="s">
        <v>4696</v>
      </c>
    </row>
    <row r="1625" ht="14.25" customHeight="1">
      <c r="A1625" s="339" t="s">
        <v>4697</v>
      </c>
    </row>
    <row r="1626" ht="14.25" customHeight="1">
      <c r="A1626" s="339" t="s">
        <v>4698</v>
      </c>
    </row>
    <row r="1627" ht="14.25" customHeight="1">
      <c r="A1627" s="339" t="s">
        <v>4699</v>
      </c>
    </row>
    <row r="1628" ht="14.25" customHeight="1">
      <c r="A1628" s="339" t="s">
        <v>4700</v>
      </c>
    </row>
    <row r="1629" ht="14.25" customHeight="1">
      <c r="A1629" s="339" t="s">
        <v>4701</v>
      </c>
    </row>
    <row r="1630" ht="14.25" customHeight="1">
      <c r="A1630" s="339" t="s">
        <v>4702</v>
      </c>
    </row>
    <row r="1631" ht="14.25" customHeight="1">
      <c r="A1631" s="339" t="s">
        <v>4703</v>
      </c>
    </row>
    <row r="1632" ht="14.25" customHeight="1">
      <c r="A1632" s="339" t="s">
        <v>2886</v>
      </c>
    </row>
    <row r="1633" ht="14.25" customHeight="1">
      <c r="A1633" s="339" t="s">
        <v>4704</v>
      </c>
    </row>
    <row r="1634" ht="14.25" customHeight="1">
      <c r="A1634" s="339" t="s">
        <v>4705</v>
      </c>
    </row>
    <row r="1635" ht="14.25" customHeight="1">
      <c r="A1635" s="339" t="s">
        <v>4706</v>
      </c>
    </row>
    <row r="1636" ht="14.25" customHeight="1">
      <c r="A1636" s="339" t="s">
        <v>4707</v>
      </c>
    </row>
    <row r="1637" ht="14.25" customHeight="1">
      <c r="A1637" s="339" t="s">
        <v>4708</v>
      </c>
    </row>
    <row r="1638" ht="14.25" customHeight="1">
      <c r="A1638" s="339" t="s">
        <v>2892</v>
      </c>
    </row>
    <row r="1639" ht="14.25" customHeight="1">
      <c r="A1639" s="339" t="s">
        <v>4709</v>
      </c>
    </row>
    <row r="1640" ht="14.25" customHeight="1">
      <c r="A1640" s="339" t="s">
        <v>4710</v>
      </c>
    </row>
    <row r="1641" ht="14.25" customHeight="1">
      <c r="A1641" s="339" t="s">
        <v>4711</v>
      </c>
    </row>
    <row r="1642" ht="14.25" customHeight="1">
      <c r="A1642" s="339" t="s">
        <v>4712</v>
      </c>
    </row>
    <row r="1643" ht="14.25" customHeight="1">
      <c r="A1643" s="339" t="s">
        <v>4713</v>
      </c>
    </row>
    <row r="1644" ht="14.25" customHeight="1">
      <c r="A1644" s="339" t="s">
        <v>4714</v>
      </c>
    </row>
    <row r="1645" ht="14.25" customHeight="1">
      <c r="A1645" s="339" t="s">
        <v>1547</v>
      </c>
    </row>
    <row r="1646" ht="14.25" customHeight="1">
      <c r="A1646" s="339" t="s">
        <v>4715</v>
      </c>
    </row>
    <row r="1647" ht="14.25" customHeight="1">
      <c r="A1647" s="339" t="s">
        <v>4716</v>
      </c>
    </row>
    <row r="1648" ht="14.25" customHeight="1">
      <c r="A1648" s="339" t="s">
        <v>4717</v>
      </c>
    </row>
    <row r="1649" ht="14.25" customHeight="1">
      <c r="A1649" s="339" t="s">
        <v>4718</v>
      </c>
    </row>
    <row r="1650" ht="14.25" customHeight="1">
      <c r="A1650" s="339" t="s">
        <v>4719</v>
      </c>
    </row>
    <row r="1651" ht="14.25" customHeight="1">
      <c r="A1651" s="339" t="s">
        <v>4720</v>
      </c>
    </row>
    <row r="1652" ht="14.25" customHeight="1">
      <c r="A1652" s="339" t="s">
        <v>4721</v>
      </c>
    </row>
    <row r="1653" ht="14.25" customHeight="1">
      <c r="A1653" s="339" t="s">
        <v>4722</v>
      </c>
    </row>
    <row r="1654" ht="14.25" customHeight="1">
      <c r="A1654" s="339" t="s">
        <v>4723</v>
      </c>
    </row>
    <row r="1655" ht="14.25" customHeight="1">
      <c r="A1655" s="339" t="s">
        <v>4724</v>
      </c>
    </row>
    <row r="1656" ht="14.25" customHeight="1">
      <c r="A1656" s="339" t="s">
        <v>4725</v>
      </c>
    </row>
    <row r="1657" ht="14.25" customHeight="1">
      <c r="A1657" s="339" t="s">
        <v>2892</v>
      </c>
    </row>
    <row r="1658" ht="14.25" customHeight="1">
      <c r="A1658" s="339" t="s">
        <v>4726</v>
      </c>
    </row>
    <row r="1659" ht="14.25" customHeight="1">
      <c r="A1659" s="339" t="s">
        <v>4727</v>
      </c>
    </row>
    <row r="1660" ht="14.25" customHeight="1">
      <c r="A1660" s="339" t="s">
        <v>4728</v>
      </c>
    </row>
    <row r="1661" ht="14.25" customHeight="1">
      <c r="A1661" s="339" t="s">
        <v>4729</v>
      </c>
    </row>
    <row r="1662" ht="14.25" customHeight="1">
      <c r="A1662" s="339" t="s">
        <v>4730</v>
      </c>
    </row>
    <row r="1663" ht="14.25" customHeight="1">
      <c r="A1663" s="339" t="s">
        <v>4731</v>
      </c>
    </row>
    <row r="1664" ht="14.25" customHeight="1">
      <c r="A1664" s="339" t="s">
        <v>4732</v>
      </c>
    </row>
    <row r="1665" ht="14.25" customHeight="1">
      <c r="A1665" s="339" t="s">
        <v>4733</v>
      </c>
    </row>
    <row r="1666" ht="14.25" customHeight="1">
      <c r="A1666" s="339" t="s">
        <v>4734</v>
      </c>
    </row>
    <row r="1667" ht="14.25" customHeight="1">
      <c r="A1667" s="339" t="s">
        <v>4735</v>
      </c>
    </row>
    <row r="1668" ht="14.25" customHeight="1">
      <c r="A1668" s="339" t="s">
        <v>4736</v>
      </c>
    </row>
    <row r="1669" ht="14.25" customHeight="1">
      <c r="A1669" s="339" t="s">
        <v>4737</v>
      </c>
    </row>
    <row r="1670" ht="14.25" customHeight="1">
      <c r="A1670" s="339" t="s">
        <v>1547</v>
      </c>
    </row>
    <row r="1671" ht="14.25" customHeight="1">
      <c r="A1671" s="339" t="s">
        <v>4738</v>
      </c>
    </row>
    <row r="1672" ht="14.25" customHeight="1">
      <c r="A1672" s="339" t="s">
        <v>4739</v>
      </c>
    </row>
    <row r="1673" ht="14.25" customHeight="1">
      <c r="A1673" s="339" t="s">
        <v>4740</v>
      </c>
    </row>
    <row r="1674" ht="14.25" customHeight="1">
      <c r="A1674" s="339" t="s">
        <v>4741</v>
      </c>
    </row>
    <row r="1675" ht="14.25" customHeight="1">
      <c r="A1675" s="339" t="s">
        <v>4742</v>
      </c>
    </row>
    <row r="1676" ht="14.25" customHeight="1">
      <c r="A1676" s="339" t="s">
        <v>4743</v>
      </c>
    </row>
    <row r="1677" ht="14.25" customHeight="1">
      <c r="A1677" s="339" t="s">
        <v>4744</v>
      </c>
    </row>
    <row r="1678" ht="14.25" customHeight="1">
      <c r="A1678" s="339" t="s">
        <v>4745</v>
      </c>
    </row>
    <row r="1679" ht="14.25" customHeight="1">
      <c r="A1679" s="339" t="s">
        <v>4746</v>
      </c>
    </row>
    <row r="1680" ht="14.25" customHeight="1">
      <c r="A1680" s="339" t="s">
        <v>4747</v>
      </c>
    </row>
    <row r="1681" ht="14.25" customHeight="1">
      <c r="A1681" s="339" t="s">
        <v>4748</v>
      </c>
    </row>
    <row r="1682" ht="14.25" customHeight="1">
      <c r="A1682" s="339" t="s">
        <v>4749</v>
      </c>
    </row>
    <row r="1683" ht="14.25" customHeight="1">
      <c r="A1683" s="339" t="s">
        <v>4750</v>
      </c>
    </row>
    <row r="1684" ht="14.25" customHeight="1">
      <c r="A1684" s="339" t="s">
        <v>4751</v>
      </c>
    </row>
    <row r="1685" ht="14.25" customHeight="1">
      <c r="A1685" s="339" t="s">
        <v>4752</v>
      </c>
    </row>
    <row r="1686" ht="14.25" customHeight="1">
      <c r="A1686" s="339" t="s">
        <v>1547</v>
      </c>
    </row>
    <row r="1687" ht="14.25" customHeight="1">
      <c r="A1687" s="339" t="s">
        <v>4753</v>
      </c>
    </row>
    <row r="1688" ht="14.25" customHeight="1">
      <c r="A1688" s="374" t="s">
        <v>4754</v>
      </c>
    </row>
    <row r="1689" ht="14.25" customHeight="1">
      <c r="A1689" s="374" t="s">
        <v>4717</v>
      </c>
    </row>
    <row r="1690" ht="14.25" customHeight="1">
      <c r="A1690" s="374" t="s">
        <v>4755</v>
      </c>
    </row>
    <row r="1691" ht="14.25" customHeight="1">
      <c r="A1691" s="374" t="s">
        <v>4756</v>
      </c>
    </row>
    <row r="1692" ht="14.25" customHeight="1">
      <c r="A1692" s="374" t="s">
        <v>4757</v>
      </c>
    </row>
    <row r="1693" ht="14.25" customHeight="1">
      <c r="A1693" s="374" t="s">
        <v>4758</v>
      </c>
    </row>
    <row r="1694" ht="14.25" customHeight="1">
      <c r="A1694" s="374" t="s">
        <v>3708</v>
      </c>
    </row>
    <row r="1695" ht="14.25" customHeight="1">
      <c r="A1695" s="374" t="s">
        <v>4759</v>
      </c>
    </row>
    <row r="1696" ht="14.25" customHeight="1">
      <c r="A1696" s="374" t="s">
        <v>4760</v>
      </c>
    </row>
    <row r="1697" ht="14.25" customHeight="1">
      <c r="A1697" s="374" t="s">
        <v>4761</v>
      </c>
    </row>
    <row r="1698" ht="14.25" customHeight="1">
      <c r="A1698" s="374" t="s">
        <v>4762</v>
      </c>
    </row>
    <row r="1699" ht="14.25" customHeight="1">
      <c r="A1699" s="374" t="s">
        <v>2892</v>
      </c>
    </row>
    <row r="1700" ht="14.25" customHeight="1">
      <c r="A1700" s="374" t="s">
        <v>4763</v>
      </c>
    </row>
    <row r="1701" ht="14.25" customHeight="1">
      <c r="A1701" s="374" t="s">
        <v>4764</v>
      </c>
    </row>
    <row r="1702" ht="14.25" customHeight="1">
      <c r="A1702" s="374" t="s">
        <v>4765</v>
      </c>
    </row>
    <row r="1703" ht="14.25" customHeight="1">
      <c r="A1703" s="374" t="s">
        <v>4766</v>
      </c>
    </row>
    <row r="1704" ht="14.25" customHeight="1">
      <c r="A1704" s="374" t="s">
        <v>4767</v>
      </c>
    </row>
    <row r="1705" ht="14.25" customHeight="1">
      <c r="A1705" s="374" t="s">
        <v>4768</v>
      </c>
    </row>
    <row r="1706" ht="14.25" customHeight="1">
      <c r="A1706" s="374" t="s">
        <v>2892</v>
      </c>
    </row>
    <row r="1707" ht="14.25" customHeight="1">
      <c r="A1707" s="374" t="s">
        <v>4769</v>
      </c>
    </row>
    <row r="1708" ht="14.25" customHeight="1">
      <c r="A1708" s="374" t="s">
        <v>4770</v>
      </c>
    </row>
    <row r="1709" ht="14.25" customHeight="1">
      <c r="A1709" s="374" t="s">
        <v>4771</v>
      </c>
    </row>
    <row r="1710" ht="14.25" customHeight="1">
      <c r="A1710" s="374" t="s">
        <v>4772</v>
      </c>
    </row>
    <row r="1711" ht="14.25" customHeight="1">
      <c r="A1711" s="374" t="s">
        <v>4652</v>
      </c>
    </row>
    <row r="1712" ht="14.25" customHeight="1">
      <c r="A1712" s="374" t="s">
        <v>4773</v>
      </c>
    </row>
    <row r="1713" ht="14.25" customHeight="1">
      <c r="A1713" s="374" t="s">
        <v>4774</v>
      </c>
    </row>
    <row r="1714" ht="14.25" customHeight="1">
      <c r="A1714" s="374" t="s">
        <v>4775</v>
      </c>
    </row>
    <row r="1715" ht="14.25" customHeight="1">
      <c r="A1715" s="374" t="s">
        <v>1547</v>
      </c>
    </row>
    <row r="1716" ht="14.25" customHeight="1">
      <c r="A1716" s="374" t="s">
        <v>2985</v>
      </c>
    </row>
    <row r="1717" ht="14.25" customHeight="1">
      <c r="A1717" s="374" t="s">
        <v>4776</v>
      </c>
    </row>
    <row r="1718" ht="14.25" customHeight="1">
      <c r="A1718" s="374" t="s">
        <v>2727</v>
      </c>
    </row>
    <row r="1719" ht="14.25" customHeight="1">
      <c r="A1719" s="374" t="s">
        <v>4777</v>
      </c>
    </row>
    <row r="1720" ht="14.25" customHeight="1">
      <c r="A1720" s="374" t="s">
        <v>4778</v>
      </c>
    </row>
    <row r="1721" ht="14.25" customHeight="1">
      <c r="A1721" s="374" t="s">
        <v>4779</v>
      </c>
    </row>
    <row r="1722" ht="14.25" customHeight="1">
      <c r="A1722" s="374" t="s">
        <v>4780</v>
      </c>
    </row>
    <row r="1723" ht="14.25" customHeight="1">
      <c r="A1723" s="374" t="s">
        <v>3977</v>
      </c>
    </row>
    <row r="1724" ht="14.25" customHeight="1">
      <c r="A1724" s="374" t="s">
        <v>3978</v>
      </c>
    </row>
    <row r="1725" ht="14.25" customHeight="1">
      <c r="A1725" s="374" t="s">
        <v>3980</v>
      </c>
    </row>
    <row r="1726" ht="14.25" customHeight="1">
      <c r="A1726" s="374" t="s">
        <v>3983</v>
      </c>
    </row>
    <row r="1727" ht="14.25" customHeight="1">
      <c r="A1727" s="374" t="s">
        <v>2840</v>
      </c>
    </row>
    <row r="1728" ht="14.25" customHeight="1">
      <c r="A1728" s="374" t="s">
        <v>3985</v>
      </c>
    </row>
    <row r="1729" ht="14.25" customHeight="1">
      <c r="A1729" s="374" t="s">
        <v>2776</v>
      </c>
    </row>
    <row r="1730" ht="14.25" customHeight="1">
      <c r="A1730" s="374" t="s">
        <v>3987</v>
      </c>
    </row>
    <row r="1731" ht="14.25" customHeight="1">
      <c r="A1731" s="374" t="s">
        <v>3989</v>
      </c>
    </row>
    <row r="1732" ht="14.25" customHeight="1">
      <c r="A1732" s="374" t="s">
        <v>3991</v>
      </c>
    </row>
    <row r="1733" ht="14.25" customHeight="1">
      <c r="A1733" s="374" t="s">
        <v>4781</v>
      </c>
    </row>
    <row r="1734" ht="14.25" customHeight="1">
      <c r="A1734" s="374" t="s">
        <v>2778</v>
      </c>
    </row>
    <row r="1735" ht="14.25" customHeight="1">
      <c r="A1735" s="374" t="s">
        <v>1547</v>
      </c>
    </row>
    <row r="1736" ht="14.25" customHeight="1">
      <c r="A1736" s="374" t="s">
        <v>4782</v>
      </c>
    </row>
    <row r="1737" ht="14.25" customHeight="1">
      <c r="A1737" s="374" t="s">
        <v>4783</v>
      </c>
    </row>
    <row r="1738" ht="14.25" customHeight="1">
      <c r="A1738" s="374" t="s">
        <v>4784</v>
      </c>
    </row>
    <row r="1739" ht="14.25" customHeight="1">
      <c r="A1739" s="374" t="s">
        <v>2959</v>
      </c>
    </row>
    <row r="1740" ht="14.25" customHeight="1">
      <c r="A1740" s="374" t="s">
        <v>3953</v>
      </c>
    </row>
    <row r="1741" ht="14.25" customHeight="1">
      <c r="A1741" s="374" t="s">
        <v>4785</v>
      </c>
    </row>
    <row r="1742" ht="14.25" customHeight="1">
      <c r="A1742" s="374" t="s">
        <v>4786</v>
      </c>
    </row>
    <row r="1743" ht="14.25" customHeight="1">
      <c r="A1743" s="374" t="s">
        <v>2978</v>
      </c>
    </row>
    <row r="1744" ht="14.25" customHeight="1">
      <c r="A1744" s="374" t="s">
        <v>3955</v>
      </c>
    </row>
    <row r="1745" ht="14.25" customHeight="1">
      <c r="A1745" s="374" t="s">
        <v>4787</v>
      </c>
    </row>
    <row r="1746" ht="14.25" customHeight="1">
      <c r="A1746" s="374" t="s">
        <v>3957</v>
      </c>
    </row>
    <row r="1747" ht="14.25" customHeight="1">
      <c r="A1747" s="374" t="s">
        <v>2985</v>
      </c>
    </row>
    <row r="1748" ht="14.25" customHeight="1">
      <c r="A1748" s="374" t="s">
        <v>2799</v>
      </c>
    </row>
    <row r="1749" ht="14.25" customHeight="1">
      <c r="A1749" s="374" t="s">
        <v>4788</v>
      </c>
    </row>
    <row r="1750" ht="14.25" customHeight="1">
      <c r="A1750" s="374" t="s">
        <v>4789</v>
      </c>
    </row>
    <row r="1751" ht="14.25" customHeight="1">
      <c r="A1751" s="374" t="s">
        <v>2803</v>
      </c>
    </row>
    <row r="1752" ht="14.25" customHeight="1">
      <c r="A1752" s="374" t="s">
        <v>4790</v>
      </c>
    </row>
    <row r="1753" ht="14.25" customHeight="1">
      <c r="A1753" s="374" t="s">
        <v>4791</v>
      </c>
    </row>
    <row r="1754" ht="14.25" customHeight="1">
      <c r="A1754" s="374" t="s">
        <v>2799</v>
      </c>
    </row>
    <row r="1755" ht="14.25" customHeight="1">
      <c r="A1755" s="374" t="s">
        <v>4792</v>
      </c>
    </row>
    <row r="1756" ht="14.25" customHeight="1">
      <c r="A1756" s="374" t="s">
        <v>4793</v>
      </c>
    </row>
    <row r="1757" ht="14.25" customHeight="1">
      <c r="A1757" s="374" t="s">
        <v>4462</v>
      </c>
    </row>
    <row r="1758" ht="14.25" customHeight="1">
      <c r="A1758" s="374" t="s">
        <v>4794</v>
      </c>
    </row>
    <row r="1759" ht="14.25" customHeight="1">
      <c r="A1759" s="374" t="s">
        <v>2971</v>
      </c>
    </row>
    <row r="1760" ht="14.25" customHeight="1">
      <c r="A1760" s="374" t="s">
        <v>2776</v>
      </c>
    </row>
    <row r="1761" ht="14.25" customHeight="1">
      <c r="A1761" s="374" t="s">
        <v>4795</v>
      </c>
    </row>
    <row r="1762" ht="14.25" customHeight="1">
      <c r="A1762" s="374" t="s">
        <v>4796</v>
      </c>
    </row>
    <row r="1763" ht="14.25" customHeight="1">
      <c r="A1763" s="353" t="s">
        <v>4797</v>
      </c>
    </row>
    <row r="1764" ht="14.25" customHeight="1">
      <c r="A1764" s="353" t="s">
        <v>4461</v>
      </c>
    </row>
    <row r="1765" ht="14.25" customHeight="1">
      <c r="A1765" s="353" t="s">
        <v>4798</v>
      </c>
    </row>
    <row r="1766" ht="14.25" customHeight="1">
      <c r="A1766" s="353" t="s">
        <v>2840</v>
      </c>
    </row>
    <row r="1767" ht="14.25" customHeight="1">
      <c r="A1767" s="353" t="s">
        <v>4799</v>
      </c>
    </row>
    <row r="1768" ht="14.25" customHeight="1">
      <c r="A1768" s="353" t="s">
        <v>2776</v>
      </c>
    </row>
    <row r="1769" ht="14.25" customHeight="1">
      <c r="A1769" s="353" t="s">
        <v>4800</v>
      </c>
    </row>
    <row r="1770" ht="14.25" customHeight="1">
      <c r="A1770" s="353" t="s">
        <v>2803</v>
      </c>
    </row>
    <row r="1771" ht="14.25" customHeight="1">
      <c r="A1771" s="353" t="s">
        <v>4801</v>
      </c>
    </row>
    <row r="1772" ht="14.25" customHeight="1">
      <c r="A1772" s="353" t="s">
        <v>4803</v>
      </c>
    </row>
    <row r="1773" ht="14.25" customHeight="1">
      <c r="A1773" s="353" t="s">
        <v>4804</v>
      </c>
    </row>
    <row r="1774" ht="14.25" customHeight="1">
      <c r="A1774" s="353" t="s">
        <v>2727</v>
      </c>
    </row>
    <row r="1775" ht="14.25" customHeight="1">
      <c r="A1775" s="353" t="s">
        <v>4805</v>
      </c>
    </row>
    <row r="1776" ht="14.25" customHeight="1">
      <c r="A1776" s="353" t="s">
        <v>4806</v>
      </c>
    </row>
    <row r="1777" ht="14.25" customHeight="1">
      <c r="A1777" s="353" t="s">
        <v>1547</v>
      </c>
    </row>
    <row r="1778" ht="14.25" customHeight="1">
      <c r="A1778" s="353" t="s">
        <v>4807</v>
      </c>
    </row>
    <row r="1779" ht="14.25" customHeight="1">
      <c r="A1779" s="353" t="s">
        <v>4808</v>
      </c>
    </row>
    <row r="1780" ht="14.25" customHeight="1">
      <c r="A1780" s="353" t="s">
        <v>4809</v>
      </c>
    </row>
    <row r="1781" ht="14.25" customHeight="1">
      <c r="A1781" s="353" t="s">
        <v>4810</v>
      </c>
    </row>
    <row r="1782" ht="14.25" customHeight="1">
      <c r="A1782" s="353" t="s">
        <v>4811</v>
      </c>
    </row>
    <row r="1783" ht="14.25" customHeight="1">
      <c r="A1783" s="353" t="s">
        <v>4812</v>
      </c>
    </row>
    <row r="1784" ht="14.25" customHeight="1">
      <c r="A1784" s="353" t="s">
        <v>4813</v>
      </c>
    </row>
    <row r="1785" ht="14.25" customHeight="1">
      <c r="A1785" s="353" t="s">
        <v>4814</v>
      </c>
    </row>
    <row r="1786" ht="14.25" customHeight="1">
      <c r="A1786" s="353" t="s">
        <v>4815</v>
      </c>
    </row>
    <row r="1787" ht="14.25" customHeight="1">
      <c r="A1787" s="353" t="s">
        <v>3810</v>
      </c>
    </row>
    <row r="1788" ht="14.25" customHeight="1">
      <c r="A1788" s="353" t="s">
        <v>4816</v>
      </c>
    </row>
    <row r="1789" ht="14.25" customHeight="1">
      <c r="A1789" s="353" t="s">
        <v>4817</v>
      </c>
    </row>
    <row r="1790" ht="14.25" customHeight="1">
      <c r="A1790" s="353" t="s">
        <v>4818</v>
      </c>
    </row>
    <row r="1791" ht="14.25" customHeight="1">
      <c r="A1791" s="353" t="s">
        <v>2778</v>
      </c>
    </row>
    <row r="1792" ht="14.25" customHeight="1">
      <c r="A1792" s="353" t="s">
        <v>1547</v>
      </c>
    </row>
    <row r="1793" ht="14.25" customHeight="1">
      <c r="A1793" s="353" t="s">
        <v>4819</v>
      </c>
    </row>
    <row r="1794" ht="14.25" customHeight="1">
      <c r="A1794" s="353" t="s">
        <v>4820</v>
      </c>
    </row>
    <row r="1795" ht="14.25" customHeight="1">
      <c r="A1795" s="353" t="s">
        <v>4821</v>
      </c>
    </row>
    <row r="1796" ht="14.25" customHeight="1">
      <c r="A1796" s="353" t="s">
        <v>3068</v>
      </c>
    </row>
    <row r="1797" ht="14.25" customHeight="1">
      <c r="A1797" s="353" t="s">
        <v>4822</v>
      </c>
    </row>
    <row r="1798" ht="14.25" customHeight="1">
      <c r="A1798" s="353" t="s">
        <v>2892</v>
      </c>
    </row>
    <row r="1799" ht="14.25" customHeight="1">
      <c r="A1799" s="353" t="s">
        <v>2778</v>
      </c>
    </row>
    <row r="1800" ht="14.25" customHeight="1">
      <c r="A1800" s="353" t="s">
        <v>1547</v>
      </c>
    </row>
    <row r="1801" ht="14.25" customHeight="1">
      <c r="A1801" s="353" t="s">
        <v>4823</v>
      </c>
    </row>
    <row r="1802" ht="14.25" customHeight="1">
      <c r="A1802" s="353" t="s">
        <v>4824</v>
      </c>
    </row>
    <row r="1803" ht="14.25" customHeight="1">
      <c r="A1803" s="353" t="s">
        <v>4821</v>
      </c>
    </row>
    <row r="1804" ht="14.25" customHeight="1">
      <c r="A1804" s="353" t="s">
        <v>4825</v>
      </c>
    </row>
    <row r="1805" ht="14.25" customHeight="1">
      <c r="A1805" s="353" t="s">
        <v>4826</v>
      </c>
    </row>
    <row r="1806" ht="14.25" customHeight="1">
      <c r="A1806" s="353" t="s">
        <v>4827</v>
      </c>
    </row>
    <row r="1807" ht="14.25" customHeight="1">
      <c r="A1807" s="353" t="s">
        <v>4828</v>
      </c>
    </row>
    <row r="1808" ht="14.25" customHeight="1">
      <c r="A1808" s="353" t="s">
        <v>4829</v>
      </c>
    </row>
    <row r="1809" ht="14.25" customHeight="1">
      <c r="A1809" s="353" t="s">
        <v>4830</v>
      </c>
    </row>
    <row r="1810" ht="14.25" customHeight="1">
      <c r="A1810" s="353" t="s">
        <v>2917</v>
      </c>
    </row>
    <row r="1811" ht="14.25" customHeight="1">
      <c r="A1811" s="353" t="s">
        <v>4831</v>
      </c>
    </row>
    <row r="1812" ht="14.25" customHeight="1">
      <c r="A1812" s="353" t="s">
        <v>2746</v>
      </c>
    </row>
    <row r="1813" ht="14.25" customHeight="1">
      <c r="A1813" s="353" t="s">
        <v>4832</v>
      </c>
    </row>
    <row r="1814" ht="14.25" customHeight="1">
      <c r="A1814" s="353" t="s">
        <v>4833</v>
      </c>
    </row>
    <row r="1815" ht="14.25" customHeight="1">
      <c r="A1815" s="353" t="s">
        <v>2840</v>
      </c>
    </row>
    <row r="1816" ht="14.25" customHeight="1">
      <c r="A1816" s="353" t="s">
        <v>4834</v>
      </c>
    </row>
    <row r="1817" ht="14.25" customHeight="1">
      <c r="A1817" s="353" t="s">
        <v>2776</v>
      </c>
    </row>
    <row r="1818" ht="14.25" customHeight="1">
      <c r="A1818" s="353" t="s">
        <v>2778</v>
      </c>
    </row>
    <row r="1819" ht="14.25" customHeight="1">
      <c r="A1819" s="353" t="s">
        <v>1547</v>
      </c>
    </row>
    <row r="1820" ht="14.25" customHeight="1">
      <c r="A1820" s="353" t="s">
        <v>4835</v>
      </c>
    </row>
    <row r="1821" ht="14.25" customHeight="1">
      <c r="A1821" s="353" t="s">
        <v>4836</v>
      </c>
    </row>
    <row r="1822" ht="14.25" customHeight="1">
      <c r="A1822" s="353" t="s">
        <v>4821</v>
      </c>
    </row>
    <row r="1823" ht="14.25" customHeight="1">
      <c r="A1823" s="353" t="s">
        <v>4825</v>
      </c>
    </row>
    <row r="1824" ht="14.25" customHeight="1">
      <c r="A1824" s="353" t="s">
        <v>4837</v>
      </c>
    </row>
    <row r="1825" ht="14.25" customHeight="1">
      <c r="A1825" s="353" t="s">
        <v>4838</v>
      </c>
    </row>
    <row r="1826" ht="14.25" customHeight="1">
      <c r="A1826" s="353" t="s">
        <v>4839</v>
      </c>
    </row>
    <row r="1827" ht="14.25" customHeight="1">
      <c r="A1827" s="353" t="s">
        <v>4840</v>
      </c>
    </row>
    <row r="1828" ht="14.25" customHeight="1">
      <c r="A1828" s="353" t="s">
        <v>4841</v>
      </c>
    </row>
    <row r="1829" ht="14.25" customHeight="1">
      <c r="A1829" s="353" t="s">
        <v>2727</v>
      </c>
    </row>
    <row r="1830" ht="14.25" customHeight="1">
      <c r="A1830" s="353" t="s">
        <v>1547</v>
      </c>
    </row>
    <row r="1831" ht="14.25" customHeight="1">
      <c r="A1831" s="353" t="s">
        <v>4842</v>
      </c>
    </row>
    <row r="1832" ht="14.25" customHeight="1">
      <c r="A1832" s="353" t="s">
        <v>4843</v>
      </c>
    </row>
    <row r="1833" ht="14.25" customHeight="1">
      <c r="A1833" s="353" t="s">
        <v>4821</v>
      </c>
    </row>
    <row r="1834" ht="14.25" customHeight="1">
      <c r="A1834" s="353" t="s">
        <v>4825</v>
      </c>
    </row>
    <row r="1835" ht="14.25" customHeight="1">
      <c r="A1835" s="353" t="s">
        <v>4844</v>
      </c>
    </row>
    <row r="1836" ht="14.25" customHeight="1">
      <c r="A1836" s="353" t="s">
        <v>4845</v>
      </c>
    </row>
    <row r="1837" ht="14.25" customHeight="1">
      <c r="A1837" s="353" t="s">
        <v>4846</v>
      </c>
    </row>
    <row r="1838" ht="14.25" customHeight="1">
      <c r="A1838" s="353" t="s">
        <v>2978</v>
      </c>
    </row>
    <row r="1839" ht="14.25" customHeight="1">
      <c r="A1839" s="353" t="s">
        <v>2799</v>
      </c>
    </row>
    <row r="1840" ht="14.25" customHeight="1">
      <c r="A1840" s="353" t="s">
        <v>4847</v>
      </c>
    </row>
    <row r="1841" ht="14.25" customHeight="1">
      <c r="A1841" s="353" t="s">
        <v>2803</v>
      </c>
    </row>
    <row r="1842" ht="14.25" customHeight="1">
      <c r="A1842" s="353" t="s">
        <v>4848</v>
      </c>
    </row>
    <row r="1843" ht="14.25" customHeight="1">
      <c r="A1843" s="353" t="s">
        <v>2785</v>
      </c>
    </row>
    <row r="1844" ht="14.25" customHeight="1">
      <c r="A1844" s="353" t="s">
        <v>4849</v>
      </c>
    </row>
    <row r="1845" ht="14.25" customHeight="1">
      <c r="A1845" s="353" t="s">
        <v>2793</v>
      </c>
    </row>
    <row r="1846" ht="14.25" customHeight="1">
      <c r="A1846" s="353" t="s">
        <v>4850</v>
      </c>
    </row>
    <row r="1847" ht="14.25" customHeight="1">
      <c r="A1847" s="353" t="s">
        <v>4851</v>
      </c>
    </row>
    <row r="1848" ht="14.25" customHeight="1">
      <c r="A1848" s="353" t="s">
        <v>4852</v>
      </c>
    </row>
    <row r="1849" ht="14.25" customHeight="1">
      <c r="A1849" s="353" t="s">
        <v>4853</v>
      </c>
    </row>
    <row r="1850" ht="14.25" customHeight="1">
      <c r="A1850" s="353" t="s">
        <v>2776</v>
      </c>
    </row>
    <row r="1851" ht="14.25" customHeight="1">
      <c r="A1851" s="353" t="s">
        <v>4854</v>
      </c>
    </row>
    <row r="1852" ht="14.25" customHeight="1">
      <c r="A1852" s="353" t="s">
        <v>3206</v>
      </c>
    </row>
    <row r="1853" ht="14.25" customHeight="1">
      <c r="A1853" s="353" t="s">
        <v>4855</v>
      </c>
    </row>
    <row r="1854" ht="14.25" customHeight="1">
      <c r="A1854" s="353" t="s">
        <v>2985</v>
      </c>
    </row>
    <row r="1855" ht="14.25" customHeight="1">
      <c r="A1855" s="353" t="s">
        <v>4856</v>
      </c>
    </row>
    <row r="1856" ht="14.25" customHeight="1">
      <c r="A1856" s="353" t="s">
        <v>2727</v>
      </c>
    </row>
    <row r="1857" ht="14.25" customHeight="1">
      <c r="A1857" s="353" t="s">
        <v>1547</v>
      </c>
    </row>
    <row r="1858" ht="14.25" customHeight="1">
      <c r="A1858" s="353" t="s">
        <v>4857</v>
      </c>
    </row>
    <row r="1859" ht="14.25" customHeight="1">
      <c r="A1859" s="353" t="s">
        <v>3452</v>
      </c>
    </row>
    <row r="1860" ht="14.25" customHeight="1">
      <c r="A1860" s="353" t="s">
        <v>2978</v>
      </c>
    </row>
    <row r="1861" ht="14.25" customHeight="1">
      <c r="A1861" s="353" t="s">
        <v>2799</v>
      </c>
    </row>
    <row r="1862" ht="14.25" customHeight="1">
      <c r="A1862" s="353" t="s">
        <v>4847</v>
      </c>
    </row>
    <row r="1863" ht="14.25" customHeight="1">
      <c r="A1863" s="353" t="s">
        <v>4858</v>
      </c>
    </row>
    <row r="1864" ht="14.25" customHeight="1">
      <c r="A1864" s="353" t="s">
        <v>2803</v>
      </c>
    </row>
    <row r="1865" ht="14.25" customHeight="1">
      <c r="A1865" s="353" t="s">
        <v>4859</v>
      </c>
    </row>
    <row r="1866" ht="14.25" customHeight="1">
      <c r="A1866" s="353" t="s">
        <v>4860</v>
      </c>
    </row>
    <row r="1867" ht="14.25" customHeight="1">
      <c r="A1867" s="353" t="s">
        <v>3196</v>
      </c>
    </row>
    <row r="1868" ht="14.25" customHeight="1">
      <c r="A1868" s="353" t="s">
        <v>3198</v>
      </c>
    </row>
    <row r="1869" ht="14.25" customHeight="1">
      <c r="A1869" s="353" t="s">
        <v>2785</v>
      </c>
    </row>
    <row r="1870" ht="14.25" customHeight="1">
      <c r="A1870" s="353" t="s">
        <v>4861</v>
      </c>
    </row>
    <row r="1871" ht="14.25" customHeight="1">
      <c r="A1871" s="353" t="s">
        <v>4862</v>
      </c>
    </row>
    <row r="1872" ht="14.25" customHeight="1">
      <c r="A1872" s="353" t="s">
        <v>2746</v>
      </c>
    </row>
    <row r="1873" ht="14.25" customHeight="1">
      <c r="A1873" s="353" t="s">
        <v>2793</v>
      </c>
    </row>
    <row r="1874" ht="14.25" customHeight="1">
      <c r="A1874" s="353" t="s">
        <v>4863</v>
      </c>
    </row>
    <row r="1875" ht="14.25" customHeight="1">
      <c r="A1875" s="353" t="s">
        <v>2799</v>
      </c>
    </row>
    <row r="1876" ht="14.25" customHeight="1">
      <c r="A1876" s="353" t="s">
        <v>4864</v>
      </c>
    </row>
    <row r="1877" ht="14.25" customHeight="1">
      <c r="A1877" s="353" t="s">
        <v>2803</v>
      </c>
    </row>
    <row r="1878" ht="14.25" customHeight="1">
      <c r="A1878" s="353" t="s">
        <v>2985</v>
      </c>
    </row>
    <row r="1879" ht="14.25" customHeight="1">
      <c r="A1879" s="353" t="s">
        <v>2727</v>
      </c>
    </row>
    <row r="1880" ht="14.25" customHeight="1">
      <c r="A1880" s="353" t="s">
        <v>1547</v>
      </c>
    </row>
    <row r="1881" ht="14.25" customHeight="1">
      <c r="A1881" s="353" t="s">
        <v>4865</v>
      </c>
    </row>
    <row r="1882" ht="14.25" customHeight="1">
      <c r="A1882" s="353" t="s">
        <v>4866</v>
      </c>
    </row>
    <row r="1883" ht="14.25" customHeight="1">
      <c r="A1883" s="353" t="s">
        <v>2725</v>
      </c>
    </row>
    <row r="1884" ht="14.25" customHeight="1">
      <c r="A1884" s="353" t="s">
        <v>4200</v>
      </c>
    </row>
    <row r="1885" ht="14.25" customHeight="1">
      <c r="A1885" s="353" t="s">
        <v>2727</v>
      </c>
    </row>
    <row r="1886" ht="14.25" customHeight="1">
      <c r="A1886" s="353" t="s">
        <v>1547</v>
      </c>
    </row>
    <row r="1887" ht="14.25" customHeight="1">
      <c r="A1887" s="353" t="s">
        <v>4867</v>
      </c>
    </row>
    <row r="1888" ht="14.25" customHeight="1">
      <c r="A1888" s="353" t="s">
        <v>4868</v>
      </c>
    </row>
    <row r="1889" ht="14.25" customHeight="1">
      <c r="A1889" s="353" t="s">
        <v>2727</v>
      </c>
    </row>
    <row r="1890" ht="14.25" customHeight="1">
      <c r="A1890" s="353" t="s">
        <v>1547</v>
      </c>
    </row>
    <row r="1891" ht="14.25" customHeight="1">
      <c r="A1891" s="353" t="s">
        <v>4869</v>
      </c>
    </row>
    <row r="1892" ht="14.25" customHeight="1">
      <c r="A1892" s="353" t="s">
        <v>4870</v>
      </c>
    </row>
    <row r="1893" ht="14.25" customHeight="1">
      <c r="A1893" s="353" t="s">
        <v>4871</v>
      </c>
    </row>
    <row r="1894" ht="14.25" customHeight="1">
      <c r="A1894" s="353" t="s">
        <v>2727</v>
      </c>
    </row>
    <row r="1895" ht="14.25" customHeight="1">
      <c r="A1895" s="353" t="s">
        <v>1547</v>
      </c>
    </row>
    <row r="1896" ht="14.25" customHeight="1">
      <c r="A1896" s="353" t="s">
        <v>4872</v>
      </c>
    </row>
    <row r="1897" ht="14.25" customHeight="1">
      <c r="A1897" s="353" t="s">
        <v>4873</v>
      </c>
    </row>
    <row r="1898" ht="14.25" customHeight="1">
      <c r="A1898" s="353" t="s">
        <v>4874</v>
      </c>
    </row>
    <row r="1899" ht="14.25" customHeight="1">
      <c r="A1899" s="353" t="s">
        <v>2727</v>
      </c>
    </row>
    <row r="1900" ht="14.25" customHeight="1">
      <c r="A1900" s="353" t="s">
        <v>1547</v>
      </c>
    </row>
    <row r="1901" ht="14.25" customHeight="1">
      <c r="A1901" s="353" t="s">
        <v>4875</v>
      </c>
    </row>
    <row r="1902" ht="14.25" customHeight="1">
      <c r="A1902" s="353" t="s">
        <v>4671</v>
      </c>
    </row>
    <row r="1903" ht="14.25" customHeight="1">
      <c r="A1903" s="353" t="s">
        <v>4876</v>
      </c>
    </row>
    <row r="1904" ht="14.25" customHeight="1">
      <c r="A1904" s="353" t="s">
        <v>4673</v>
      </c>
    </row>
    <row r="1905" ht="14.25" customHeight="1">
      <c r="A1905" s="353" t="s">
        <v>4674</v>
      </c>
    </row>
    <row r="1906" ht="14.25" customHeight="1">
      <c r="A1906" s="353" t="s">
        <v>2978</v>
      </c>
    </row>
    <row r="1907" ht="14.25" customHeight="1">
      <c r="A1907" s="353" t="s">
        <v>4675</v>
      </c>
    </row>
    <row r="1908" ht="14.25" customHeight="1">
      <c r="A1908" s="353" t="s">
        <v>1547</v>
      </c>
    </row>
    <row r="1909" ht="14.25" customHeight="1">
      <c r="A1909" s="353" t="s">
        <v>4877</v>
      </c>
    </row>
    <row r="1910" ht="14.25" customHeight="1">
      <c r="A1910" s="353" t="s">
        <v>4878</v>
      </c>
    </row>
    <row r="1911" ht="14.25" customHeight="1">
      <c r="A1911" s="353" t="s">
        <v>4879</v>
      </c>
    </row>
    <row r="1912" ht="14.25" customHeight="1">
      <c r="A1912" s="353" t="s">
        <v>4880</v>
      </c>
    </row>
    <row r="1913" ht="14.25" customHeight="1">
      <c r="A1913" s="353" t="s">
        <v>4881</v>
      </c>
    </row>
    <row r="1914" ht="14.25" customHeight="1">
      <c r="A1914" s="353" t="s">
        <v>4882</v>
      </c>
    </row>
    <row r="1915" ht="14.25" customHeight="1">
      <c r="A1915" s="353" t="s">
        <v>4883</v>
      </c>
    </row>
    <row r="1916" ht="14.25" customHeight="1">
      <c r="A1916" s="353" t="s">
        <v>4884</v>
      </c>
    </row>
    <row r="1917" ht="14.25" customHeight="1">
      <c r="A1917" s="353" t="s">
        <v>4885</v>
      </c>
    </row>
    <row r="1918" ht="14.25" customHeight="1">
      <c r="A1918" s="353" t="s">
        <v>4886</v>
      </c>
    </row>
    <row r="1919" ht="14.25" customHeight="1">
      <c r="A1919" s="353" t="s">
        <v>4887</v>
      </c>
    </row>
    <row r="1920" ht="14.25" customHeight="1">
      <c r="A1920" s="353" t="s">
        <v>4888</v>
      </c>
    </row>
    <row r="1921" ht="14.25" customHeight="1">
      <c r="A1921" s="353" t="s">
        <v>4885</v>
      </c>
    </row>
    <row r="1922" ht="14.25" customHeight="1">
      <c r="A1922" s="353" t="s">
        <v>4889</v>
      </c>
    </row>
    <row r="1923" ht="14.25" customHeight="1">
      <c r="A1923" s="353" t="s">
        <v>4890</v>
      </c>
    </row>
    <row r="1924" ht="14.25" customHeight="1">
      <c r="A1924" s="353" t="s">
        <v>4891</v>
      </c>
    </row>
    <row r="1925" ht="14.25" customHeight="1">
      <c r="A1925" s="353" t="s">
        <v>4892</v>
      </c>
    </row>
    <row r="1926" ht="14.25" customHeight="1">
      <c r="A1926" s="353" t="s">
        <v>4893</v>
      </c>
    </row>
    <row r="1927" ht="14.25" customHeight="1">
      <c r="A1927" s="353" t="s">
        <v>4885</v>
      </c>
    </row>
    <row r="1928" ht="14.25" customHeight="1">
      <c r="A1928" s="353" t="s">
        <v>4894</v>
      </c>
    </row>
    <row r="1929" ht="14.25" customHeight="1">
      <c r="A1929" s="353" t="s">
        <v>4895</v>
      </c>
    </row>
    <row r="1930" ht="14.25" customHeight="1">
      <c r="A1930" s="353" t="s">
        <v>4896</v>
      </c>
    </row>
    <row r="1931" ht="14.25" customHeight="1">
      <c r="A1931" s="353" t="s">
        <v>1547</v>
      </c>
    </row>
    <row r="1932" ht="14.25" customHeight="1">
      <c r="A1932" s="353" t="s">
        <v>4897</v>
      </c>
    </row>
    <row r="1933" ht="14.25" customHeight="1">
      <c r="A1933" s="353" t="s">
        <v>4898</v>
      </c>
    </row>
    <row r="1934" ht="14.25" customHeight="1">
      <c r="A1934" s="353" t="s">
        <v>4879</v>
      </c>
    </row>
    <row r="1935" ht="14.25" customHeight="1">
      <c r="A1935" s="353" t="s">
        <v>4899</v>
      </c>
    </row>
    <row r="1936" ht="14.25" customHeight="1">
      <c r="A1936" s="353" t="s">
        <v>4900</v>
      </c>
    </row>
    <row r="1937" ht="14.25" customHeight="1">
      <c r="A1937" s="353" t="s">
        <v>4901</v>
      </c>
    </row>
    <row r="1938" ht="14.25" customHeight="1">
      <c r="A1938" s="353" t="s">
        <v>4885</v>
      </c>
    </row>
    <row r="1939" ht="14.25" customHeight="1">
      <c r="A1939" s="353" t="s">
        <v>4902</v>
      </c>
    </row>
    <row r="1940" ht="14.25" customHeight="1">
      <c r="A1940" s="353" t="s">
        <v>4903</v>
      </c>
    </row>
    <row r="1941" ht="14.25" customHeight="1">
      <c r="A1941" s="353" t="s">
        <v>4885</v>
      </c>
    </row>
    <row r="1942" ht="14.25" customHeight="1">
      <c r="A1942" s="353" t="s">
        <v>4904</v>
      </c>
    </row>
    <row r="1943" ht="14.25" customHeight="1">
      <c r="A1943" s="353" t="s">
        <v>4905</v>
      </c>
    </row>
    <row r="1944" ht="14.25" customHeight="1">
      <c r="A1944" s="353" t="s">
        <v>4906</v>
      </c>
    </row>
    <row r="1945" ht="14.25" customHeight="1">
      <c r="A1945" s="353" t="s">
        <v>4907</v>
      </c>
    </row>
    <row r="1946" ht="14.25" customHeight="1">
      <c r="A1946" s="353" t="s">
        <v>4908</v>
      </c>
    </row>
    <row r="1947" ht="14.25" customHeight="1">
      <c r="A1947" s="353" t="s">
        <v>4909</v>
      </c>
    </row>
    <row r="1948" ht="14.25" customHeight="1">
      <c r="A1948" s="353" t="s">
        <v>4885</v>
      </c>
    </row>
    <row r="1949" ht="14.25" customHeight="1">
      <c r="A1949" s="353" t="s">
        <v>4911</v>
      </c>
    </row>
    <row r="1950" ht="14.25" customHeight="1">
      <c r="A1950" s="353" t="s">
        <v>4912</v>
      </c>
    </row>
    <row r="1951" ht="14.25" customHeight="1">
      <c r="A1951" s="353" t="s">
        <v>4913</v>
      </c>
    </row>
    <row r="1952" ht="14.25" customHeight="1">
      <c r="A1952" s="353" t="s">
        <v>1547</v>
      </c>
    </row>
    <row r="1953" ht="14.25" customHeight="1">
      <c r="A1953" s="353" t="s">
        <v>4914</v>
      </c>
    </row>
    <row r="1954" ht="14.25" customHeight="1">
      <c r="A1954" s="353" t="s">
        <v>4915</v>
      </c>
    </row>
    <row r="1955" ht="14.25" customHeight="1">
      <c r="A1955" s="353" t="s">
        <v>4717</v>
      </c>
    </row>
    <row r="1956" ht="14.25" customHeight="1">
      <c r="A1956" s="353" t="s">
        <v>4916</v>
      </c>
    </row>
    <row r="1957" ht="14.25" customHeight="1">
      <c r="A1957" s="353" t="s">
        <v>4917</v>
      </c>
    </row>
    <row r="1958" ht="14.25" customHeight="1">
      <c r="A1958" s="353" t="s">
        <v>4764</v>
      </c>
    </row>
    <row r="1959" ht="14.25" customHeight="1">
      <c r="A1959" s="353" t="s">
        <v>4765</v>
      </c>
    </row>
    <row r="1960" ht="14.25" customHeight="1">
      <c r="A1960" s="353" t="s">
        <v>4918</v>
      </c>
    </row>
    <row r="1961" ht="14.25" customHeight="1">
      <c r="A1961" s="353" t="s">
        <v>4919</v>
      </c>
    </row>
    <row r="1962" ht="14.25" customHeight="1">
      <c r="A1962" s="353" t="s">
        <v>4768</v>
      </c>
    </row>
    <row r="1963" ht="14.25" customHeight="1">
      <c r="A1963" s="353" t="s">
        <v>2892</v>
      </c>
    </row>
    <row r="1964" ht="14.25" customHeight="1">
      <c r="A1964" s="353" t="s">
        <v>4920</v>
      </c>
    </row>
    <row r="1965" ht="14.25" customHeight="1">
      <c r="A1965" s="353" t="s">
        <v>4770</v>
      </c>
    </row>
    <row r="1966" ht="14.25" customHeight="1">
      <c r="A1966" s="353" t="s">
        <v>4921</v>
      </c>
    </row>
    <row r="1967" ht="14.25" customHeight="1">
      <c r="A1967" s="353" t="s">
        <v>4922</v>
      </c>
    </row>
    <row r="1968" ht="14.25" customHeight="1">
      <c r="A1968" s="353" t="s">
        <v>4923</v>
      </c>
    </row>
    <row r="1969" ht="14.25" customHeight="1">
      <c r="A1969" s="353" t="s">
        <v>4924</v>
      </c>
    </row>
    <row r="1970" ht="14.25" customHeight="1">
      <c r="A1970" s="353" t="s">
        <v>4925</v>
      </c>
    </row>
    <row r="1971" ht="14.25" customHeight="1">
      <c r="A1971" s="353" t="s">
        <v>4926</v>
      </c>
    </row>
    <row r="1972" ht="14.25" customHeight="1">
      <c r="A1972" s="353" t="s">
        <v>4927</v>
      </c>
    </row>
    <row r="1973" ht="14.25" customHeight="1">
      <c r="A1973" s="353" t="s">
        <v>4928</v>
      </c>
    </row>
    <row r="1974" ht="14.25" customHeight="1">
      <c r="A1974" s="353" t="s">
        <v>4929</v>
      </c>
    </row>
    <row r="1975" ht="14.25" customHeight="1">
      <c r="A1975" s="353" t="s">
        <v>4930</v>
      </c>
    </row>
    <row r="1976" ht="14.25" customHeight="1">
      <c r="A1976" s="353" t="s">
        <v>4931</v>
      </c>
    </row>
    <row r="1977" ht="14.25" customHeight="1">
      <c r="A1977" s="353" t="s">
        <v>4932</v>
      </c>
    </row>
    <row r="1978" ht="14.25" customHeight="1">
      <c r="A1978" s="353" t="s">
        <v>4933</v>
      </c>
    </row>
    <row r="1979" ht="14.25" customHeight="1">
      <c r="A1979" s="353" t="s">
        <v>4885</v>
      </c>
    </row>
    <row r="1980" ht="14.25" customHeight="1">
      <c r="A1980" s="353" t="s">
        <v>4934</v>
      </c>
    </row>
    <row r="1981" ht="14.25" customHeight="1">
      <c r="A1981" s="353" t="s">
        <v>4935</v>
      </c>
    </row>
    <row r="1982" ht="14.25" customHeight="1">
      <c r="A1982" s="353" t="s">
        <v>4906</v>
      </c>
    </row>
    <row r="1983" ht="14.25" customHeight="1">
      <c r="A1983" s="353" t="s">
        <v>4936</v>
      </c>
    </row>
    <row r="1984" ht="14.25" customHeight="1">
      <c r="A1984" s="353" t="s">
        <v>4937</v>
      </c>
    </row>
    <row r="1985" ht="14.25" customHeight="1">
      <c r="A1985" s="353" t="s">
        <v>4938</v>
      </c>
    </row>
    <row r="1986" ht="14.25" customHeight="1">
      <c r="A1986" s="353" t="s">
        <v>4939</v>
      </c>
    </row>
    <row r="1987" ht="14.25" customHeight="1">
      <c r="A1987" s="353" t="s">
        <v>4940</v>
      </c>
    </row>
    <row r="1988" ht="14.25" customHeight="1">
      <c r="A1988" s="353" t="s">
        <v>4941</v>
      </c>
    </row>
    <row r="1989" ht="14.25" customHeight="1">
      <c r="A1989" s="353" t="s">
        <v>4772</v>
      </c>
    </row>
    <row r="1990" ht="14.25" customHeight="1">
      <c r="A1990" s="353" t="s">
        <v>4652</v>
      </c>
    </row>
    <row r="1991" ht="14.25" customHeight="1">
      <c r="A1991" s="353" t="s">
        <v>4942</v>
      </c>
    </row>
    <row r="1992" ht="14.25" customHeight="1">
      <c r="A1992" s="353" t="s">
        <v>1547</v>
      </c>
    </row>
    <row r="1993" ht="14.25" customHeight="1">
      <c r="A1993" s="353" t="s">
        <v>2985</v>
      </c>
    </row>
    <row r="1994" ht="14.25" customHeight="1">
      <c r="A1994" s="353" t="s">
        <v>4943</v>
      </c>
    </row>
    <row r="1995" ht="14.25" customHeight="1">
      <c r="A1995" s="353" t="s">
        <v>2727</v>
      </c>
    </row>
    <row r="1996" ht="14.25" customHeight="1">
      <c r="A1996" s="353" t="s">
        <v>4944</v>
      </c>
    </row>
    <row r="1997" ht="14.25" customHeight="1">
      <c r="A1997" s="353" t="s">
        <v>4945</v>
      </c>
    </row>
    <row r="1998" ht="14.25" customHeight="1">
      <c r="A1998" s="353" t="s">
        <v>4946</v>
      </c>
    </row>
    <row r="1999" ht="14.25" customHeight="1">
      <c r="A1999" s="353" t="s">
        <v>2799</v>
      </c>
    </row>
    <row r="2000" ht="14.25" customHeight="1">
      <c r="A2000" s="353" t="s">
        <v>4947</v>
      </c>
    </row>
    <row r="2001" ht="14.25" customHeight="1">
      <c r="A2001" s="353" t="s">
        <v>4948</v>
      </c>
    </row>
    <row r="2002" ht="14.25" customHeight="1">
      <c r="A2002" s="353" t="s">
        <v>2778</v>
      </c>
    </row>
    <row r="2003" ht="14.25" customHeight="1">
      <c r="A2003" s="353" t="s">
        <v>1547</v>
      </c>
    </row>
    <row r="2004" ht="14.25" customHeight="1">
      <c r="A2004" s="353" t="s">
        <v>4949</v>
      </c>
    </row>
    <row r="2005" ht="14.25" customHeight="1">
      <c r="A2005" s="353" t="s">
        <v>3359</v>
      </c>
    </row>
    <row r="2006" ht="14.25" customHeight="1">
      <c r="A2006" s="353" t="s">
        <v>4950</v>
      </c>
    </row>
    <row r="2007" ht="14.25" customHeight="1">
      <c r="A2007" s="353" t="s">
        <v>4951</v>
      </c>
    </row>
    <row r="2008" ht="14.25" customHeight="1">
      <c r="A2008" s="353" t="s">
        <v>4952</v>
      </c>
    </row>
    <row r="2009" ht="14.25" customHeight="1">
      <c r="A2009" s="353" t="s">
        <v>4953</v>
      </c>
    </row>
    <row r="2010" ht="14.25" customHeight="1">
      <c r="A2010" s="353" t="s">
        <v>4954</v>
      </c>
    </row>
    <row r="2011" ht="14.25" customHeight="1">
      <c r="A2011" s="353" t="s">
        <v>4955</v>
      </c>
    </row>
    <row r="2012" ht="14.25" customHeight="1">
      <c r="A2012" s="353" t="s">
        <v>4953</v>
      </c>
    </row>
    <row r="2013" ht="14.25" customHeight="1">
      <c r="A2013" s="353" t="s">
        <v>2840</v>
      </c>
    </row>
    <row r="2014" ht="14.25" customHeight="1">
      <c r="A2014" s="353" t="s">
        <v>4956</v>
      </c>
    </row>
    <row r="2015" ht="14.25" customHeight="1">
      <c r="A2015" s="353" t="s">
        <v>2776</v>
      </c>
    </row>
    <row r="2016" ht="14.25" customHeight="1">
      <c r="A2016" s="353" t="s">
        <v>2778</v>
      </c>
    </row>
    <row r="2017" ht="14.25" customHeight="1">
      <c r="A2017" s="353" t="s">
        <v>1547</v>
      </c>
    </row>
    <row r="2018" ht="14.25" customHeight="1">
      <c r="A2018" s="353" t="s">
        <v>4957</v>
      </c>
    </row>
    <row r="2019" ht="14.25" customHeight="1">
      <c r="A2019" s="353" t="s">
        <v>4958</v>
      </c>
    </row>
    <row r="2020" ht="14.25" customHeight="1">
      <c r="A2020" s="353" t="s">
        <v>4959</v>
      </c>
    </row>
    <row r="2021" ht="14.25" customHeight="1">
      <c r="A2021" s="353" t="s">
        <v>2785</v>
      </c>
    </row>
    <row r="2022" ht="14.25" customHeight="1">
      <c r="A2022" s="353" t="s">
        <v>4486</v>
      </c>
    </row>
    <row r="2023" ht="14.25" customHeight="1">
      <c r="A2023" s="353" t="s">
        <v>4960</v>
      </c>
    </row>
    <row r="2024" ht="14.25" customHeight="1">
      <c r="A2024" s="353" t="s">
        <v>4961</v>
      </c>
    </row>
    <row r="2025" ht="14.25" customHeight="1">
      <c r="A2025" s="353" t="s">
        <v>4462</v>
      </c>
    </row>
    <row r="2026" ht="14.25" customHeight="1">
      <c r="A2026" s="353" t="s">
        <v>2793</v>
      </c>
    </row>
    <row r="2027" ht="14.25" customHeight="1">
      <c r="A2027" s="353" t="s">
        <v>4962</v>
      </c>
    </row>
    <row r="2028" ht="14.25" customHeight="1">
      <c r="A2028" s="353" t="s">
        <v>4851</v>
      </c>
    </row>
    <row r="2029" ht="14.25" customHeight="1">
      <c r="A2029" s="353" t="s">
        <v>4963</v>
      </c>
    </row>
    <row r="2030" ht="14.25" customHeight="1">
      <c r="A2030" s="353" t="s">
        <v>4964</v>
      </c>
    </row>
    <row r="2031" ht="14.25" customHeight="1">
      <c r="A2031" s="353" t="s">
        <v>4965</v>
      </c>
    </row>
    <row r="2032" ht="14.25" customHeight="1">
      <c r="A2032" s="353" t="s">
        <v>4966</v>
      </c>
    </row>
    <row r="2033" ht="14.25" customHeight="1">
      <c r="A2033" s="353" t="s">
        <v>4967</v>
      </c>
    </row>
    <row r="2034" ht="14.25" customHeight="1">
      <c r="A2034" s="353" t="s">
        <v>4968</v>
      </c>
    </row>
    <row r="2035" ht="14.25" customHeight="1">
      <c r="A2035" s="353" t="s">
        <v>3584</v>
      </c>
    </row>
    <row r="2036" ht="14.25" customHeight="1">
      <c r="A2036" s="353" t="s">
        <v>2839</v>
      </c>
    </row>
    <row r="2037" ht="14.25" customHeight="1">
      <c r="A2037" s="353" t="s">
        <v>4853</v>
      </c>
    </row>
    <row r="2038" ht="14.25" customHeight="1">
      <c r="A2038" s="353" t="s">
        <v>4969</v>
      </c>
    </row>
    <row r="2039" ht="14.25" customHeight="1">
      <c r="A2039" s="353" t="s">
        <v>2840</v>
      </c>
    </row>
    <row r="2040" ht="14.25" customHeight="1">
      <c r="A2040" s="353" t="s">
        <v>4970</v>
      </c>
    </row>
    <row r="2041" ht="14.25" customHeight="1">
      <c r="A2041" s="353" t="s">
        <v>4971</v>
      </c>
    </row>
    <row r="2042" ht="14.25" customHeight="1">
      <c r="A2042" s="353" t="s">
        <v>4972</v>
      </c>
    </row>
    <row r="2043" ht="14.25" customHeight="1">
      <c r="A2043" s="353" t="s">
        <v>4973</v>
      </c>
    </row>
    <row r="2044" ht="14.25" customHeight="1">
      <c r="A2044" s="353" t="s">
        <v>4974</v>
      </c>
    </row>
    <row r="2045" ht="14.25" customHeight="1">
      <c r="A2045" s="353" t="s">
        <v>2776</v>
      </c>
    </row>
    <row r="2046" ht="14.25" customHeight="1">
      <c r="A2046" s="353" t="s">
        <v>2727</v>
      </c>
    </row>
    <row r="2047" ht="14.25" customHeight="1">
      <c r="A2047" s="353" t="s">
        <v>4975</v>
      </c>
    </row>
    <row r="2048" ht="14.25" customHeight="1">
      <c r="A2048" s="353" t="s">
        <v>1547</v>
      </c>
    </row>
    <row r="2049" ht="14.25" customHeight="1">
      <c r="A2049" s="353" t="s">
        <v>4976</v>
      </c>
    </row>
    <row r="2050" ht="14.25" customHeight="1">
      <c r="A2050" s="353" t="s">
        <v>4977</v>
      </c>
    </row>
    <row r="2051" ht="14.25" customHeight="1">
      <c r="A2051" s="353" t="s">
        <v>4978</v>
      </c>
    </row>
    <row r="2052" ht="14.25" customHeight="1">
      <c r="A2052" s="353" t="s">
        <v>2778</v>
      </c>
    </row>
    <row r="2053" ht="14.25" customHeight="1">
      <c r="A2053" s="353" t="s">
        <v>1547</v>
      </c>
    </row>
    <row r="2054" ht="14.25" customHeight="1">
      <c r="A2054" s="353" t="s">
        <v>4979</v>
      </c>
    </row>
    <row r="2055" ht="14.25" customHeight="1">
      <c r="A2055" s="353" t="s">
        <v>4980</v>
      </c>
    </row>
    <row r="2056" ht="14.25" customHeight="1">
      <c r="A2056" s="353" t="s">
        <v>2727</v>
      </c>
    </row>
    <row r="2057" ht="14.25" customHeight="1">
      <c r="A2057" s="353" t="s">
        <v>1547</v>
      </c>
    </row>
    <row r="2058" ht="14.25" customHeight="1">
      <c r="A2058" s="353" t="s">
        <v>4981</v>
      </c>
    </row>
    <row r="2059" ht="14.25" customHeight="1">
      <c r="A2059" s="353" t="s">
        <v>4820</v>
      </c>
    </row>
    <row r="2060" ht="14.25" customHeight="1">
      <c r="A2060" s="353" t="s">
        <v>4982</v>
      </c>
    </row>
    <row r="2061" ht="14.25" customHeight="1">
      <c r="A2061" s="353" t="s">
        <v>3068</v>
      </c>
    </row>
    <row r="2062" ht="14.25" customHeight="1">
      <c r="A2062" s="353" t="s">
        <v>4983</v>
      </c>
    </row>
    <row r="2063" ht="14.25" customHeight="1">
      <c r="A2063" s="353" t="s">
        <v>2892</v>
      </c>
    </row>
    <row r="2064" ht="14.25" customHeight="1">
      <c r="A2064" s="353" t="s">
        <v>2778</v>
      </c>
    </row>
    <row r="2065" ht="14.25" customHeight="1">
      <c r="A2065" s="353" t="s">
        <v>1547</v>
      </c>
    </row>
    <row r="2066" ht="14.25" customHeight="1">
      <c r="A2066" s="353" t="s">
        <v>4984</v>
      </c>
    </row>
    <row r="2067" ht="14.25" customHeight="1">
      <c r="A2067" s="353" t="s">
        <v>4985</v>
      </c>
    </row>
    <row r="2068" ht="14.25" customHeight="1">
      <c r="A2068" s="353" t="s">
        <v>4986</v>
      </c>
    </row>
    <row r="2069" ht="14.25" customHeight="1">
      <c r="A2069" s="353" t="s">
        <v>4987</v>
      </c>
    </row>
    <row r="2070" ht="14.25" customHeight="1">
      <c r="A2070" s="353" t="s">
        <v>4988</v>
      </c>
    </row>
    <row r="2071" ht="14.25" customHeight="1">
      <c r="A2071" s="353" t="s">
        <v>4989</v>
      </c>
    </row>
    <row r="2072" ht="14.25" customHeight="1">
      <c r="A2072" s="353" t="s">
        <v>4990</v>
      </c>
    </row>
    <row r="2073" ht="14.25" customHeight="1">
      <c r="A2073" s="353" t="s">
        <v>2917</v>
      </c>
    </row>
    <row r="2074" ht="14.25" customHeight="1">
      <c r="A2074" s="353" t="s">
        <v>3536</v>
      </c>
    </row>
    <row r="2075" ht="14.25" customHeight="1">
      <c r="A2075" s="353" t="s">
        <v>2746</v>
      </c>
    </row>
    <row r="2076" ht="14.25" customHeight="1">
      <c r="A2076" s="353" t="s">
        <v>3451</v>
      </c>
    </row>
    <row r="2077" ht="14.25" customHeight="1">
      <c r="A2077" s="353" t="s">
        <v>4991</v>
      </c>
    </row>
    <row r="2078" ht="14.25" customHeight="1">
      <c r="A2078" s="353" t="s">
        <v>4992</v>
      </c>
    </row>
    <row r="2079" ht="14.25" customHeight="1">
      <c r="A2079" s="353" t="s">
        <v>4993</v>
      </c>
    </row>
    <row r="2080" ht="14.25" customHeight="1">
      <c r="A2080" s="353" t="s">
        <v>4668</v>
      </c>
    </row>
    <row r="2081" ht="14.25" customHeight="1">
      <c r="A2081" s="353" t="s">
        <v>2776</v>
      </c>
    </row>
    <row r="2082" ht="14.25" customHeight="1">
      <c r="A2082" s="353" t="s">
        <v>4994</v>
      </c>
    </row>
    <row r="2083" ht="14.25" customHeight="1">
      <c r="A2083" s="353" t="s">
        <v>4995</v>
      </c>
    </row>
    <row r="2084" ht="14.25" customHeight="1">
      <c r="A2084" s="353" t="s">
        <v>4996</v>
      </c>
    </row>
    <row r="2085" ht="14.25" customHeight="1">
      <c r="A2085" s="353" t="s">
        <v>4997</v>
      </c>
    </row>
    <row r="2086" ht="14.25" customHeight="1">
      <c r="A2086" s="353" t="s">
        <v>2776</v>
      </c>
    </row>
    <row r="2087" ht="14.25" customHeight="1">
      <c r="A2087" s="353" t="s">
        <v>2778</v>
      </c>
    </row>
    <row r="2088" ht="14.25" customHeight="1">
      <c r="A2088" s="353" t="s">
        <v>1547</v>
      </c>
    </row>
    <row r="2089" ht="14.25" customHeight="1">
      <c r="A2089" s="353" t="s">
        <v>4998</v>
      </c>
    </row>
    <row r="2090" ht="14.25" customHeight="1">
      <c r="A2090" s="353" t="s">
        <v>4999</v>
      </c>
    </row>
    <row r="2091" ht="14.25" customHeight="1">
      <c r="A2091" s="353" t="s">
        <v>4982</v>
      </c>
    </row>
    <row r="2092" ht="14.25" customHeight="1">
      <c r="A2092" s="353" t="s">
        <v>4359</v>
      </c>
    </row>
    <row r="2093" ht="14.25" customHeight="1">
      <c r="A2093" s="353" t="s">
        <v>5000</v>
      </c>
    </row>
    <row r="2094" ht="14.25" customHeight="1">
      <c r="A2094" s="353" t="s">
        <v>5001</v>
      </c>
    </row>
    <row r="2095" ht="14.25" customHeight="1">
      <c r="A2095" s="353" t="s">
        <v>5002</v>
      </c>
    </row>
    <row r="2096" ht="14.25" customHeight="1">
      <c r="A2096" s="353" t="s">
        <v>5003</v>
      </c>
    </row>
    <row r="2097" ht="14.25" customHeight="1">
      <c r="A2097" s="353" t="s">
        <v>5004</v>
      </c>
    </row>
    <row r="2098" ht="14.25" customHeight="1">
      <c r="A2098" s="353" t="s">
        <v>3174</v>
      </c>
    </row>
    <row r="2099" ht="14.25" customHeight="1">
      <c r="A2099" s="353" t="s">
        <v>3095</v>
      </c>
    </row>
    <row r="2100" ht="14.25" customHeight="1">
      <c r="A2100" s="353" t="s">
        <v>5005</v>
      </c>
    </row>
    <row r="2101" ht="14.25" customHeight="1">
      <c r="A2101" s="353" t="s">
        <v>2839</v>
      </c>
    </row>
    <row r="2102" ht="14.25" customHeight="1">
      <c r="A2102" s="353" t="s">
        <v>2746</v>
      </c>
    </row>
    <row r="2103" ht="14.25" customHeight="1">
      <c r="A2103" s="353" t="s">
        <v>2892</v>
      </c>
    </row>
    <row r="2104" ht="14.25" customHeight="1">
      <c r="A2104" s="353" t="s">
        <v>2727</v>
      </c>
    </row>
    <row r="2105" ht="14.25" customHeight="1">
      <c r="A2105" s="353" t="s">
        <v>1547</v>
      </c>
    </row>
    <row r="2106" ht="14.25" customHeight="1">
      <c r="A2106" s="353" t="s">
        <v>5006</v>
      </c>
    </row>
    <row r="2107" ht="14.25" customHeight="1">
      <c r="A2107" s="353" t="s">
        <v>5008</v>
      </c>
    </row>
    <row r="2108" ht="14.25" customHeight="1">
      <c r="A2108" s="353" t="s">
        <v>5009</v>
      </c>
    </row>
    <row r="2109" ht="14.25" customHeight="1">
      <c r="A2109" s="353" t="s">
        <v>5010</v>
      </c>
    </row>
    <row r="2110" ht="14.25" customHeight="1">
      <c r="A2110" s="353" t="s">
        <v>5011</v>
      </c>
    </row>
    <row r="2111" ht="14.25" customHeight="1">
      <c r="A2111" s="353" t="s">
        <v>5012</v>
      </c>
    </row>
    <row r="2112" ht="14.25" customHeight="1">
      <c r="A2112" s="353" t="s">
        <v>5013</v>
      </c>
    </row>
    <row r="2113" ht="14.25" customHeight="1">
      <c r="A2113" s="353" t="s">
        <v>2971</v>
      </c>
    </row>
    <row r="2114" ht="14.25" customHeight="1">
      <c r="A2114" s="353" t="s">
        <v>2776</v>
      </c>
    </row>
    <row r="2115" ht="14.25" customHeight="1">
      <c r="A2115" s="353" t="s">
        <v>5014</v>
      </c>
    </row>
    <row r="2116" ht="14.25" customHeight="1">
      <c r="A2116" s="353" t="s">
        <v>5015</v>
      </c>
    </row>
    <row r="2117" ht="14.25" customHeight="1">
      <c r="A2117" s="353" t="s">
        <v>5016</v>
      </c>
    </row>
    <row r="2118" ht="14.25" customHeight="1">
      <c r="A2118" s="353" t="s">
        <v>4982</v>
      </c>
    </row>
    <row r="2119" ht="14.25" customHeight="1">
      <c r="A2119" s="353" t="s">
        <v>5017</v>
      </c>
    </row>
    <row r="2120" ht="14.25" customHeight="1">
      <c r="A2120" s="353" t="s">
        <v>4988</v>
      </c>
    </row>
    <row r="2121" ht="14.25" customHeight="1">
      <c r="A2121" s="353" t="s">
        <v>5018</v>
      </c>
    </row>
    <row r="2122" ht="14.25" customHeight="1">
      <c r="A2122" s="353" t="s">
        <v>5019</v>
      </c>
    </row>
    <row r="2123" ht="14.25" customHeight="1">
      <c r="A2123" s="353" t="s">
        <v>5001</v>
      </c>
    </row>
    <row r="2124" ht="14.25" customHeight="1">
      <c r="A2124" s="353" t="s">
        <v>5020</v>
      </c>
    </row>
    <row r="2125" ht="14.25" customHeight="1">
      <c r="A2125" s="353" t="s">
        <v>2839</v>
      </c>
    </row>
    <row r="2126" ht="14.25" customHeight="1">
      <c r="A2126" s="353" t="s">
        <v>5021</v>
      </c>
    </row>
    <row r="2127" ht="14.25" customHeight="1">
      <c r="A2127" s="353" t="s">
        <v>5022</v>
      </c>
    </row>
    <row r="2128" ht="14.25" customHeight="1">
      <c r="A2128" s="353" t="s">
        <v>5023</v>
      </c>
    </row>
    <row r="2129" ht="14.25" customHeight="1">
      <c r="A2129" s="353" t="s">
        <v>5024</v>
      </c>
    </row>
    <row r="2130" ht="14.25" customHeight="1">
      <c r="A2130" s="353" t="s">
        <v>5025</v>
      </c>
    </row>
    <row r="2131" ht="14.25" customHeight="1">
      <c r="A2131" s="353" t="s">
        <v>5026</v>
      </c>
    </row>
    <row r="2132" ht="14.25" customHeight="1">
      <c r="A2132" s="353" t="s">
        <v>5027</v>
      </c>
    </row>
    <row r="2133" ht="14.25" customHeight="1">
      <c r="A2133" s="353" t="s">
        <v>4967</v>
      </c>
    </row>
    <row r="2134" ht="14.25" customHeight="1">
      <c r="A2134" s="353" t="s">
        <v>5028</v>
      </c>
    </row>
    <row r="2135" ht="14.25" customHeight="1">
      <c r="A2135" s="353" t="s">
        <v>3584</v>
      </c>
    </row>
    <row r="2136" ht="14.25" customHeight="1">
      <c r="A2136" s="353" t="s">
        <v>5029</v>
      </c>
    </row>
    <row r="2137" ht="14.25" customHeight="1">
      <c r="A2137" s="353" t="s">
        <v>2746</v>
      </c>
    </row>
    <row r="2138" ht="14.25" customHeight="1">
      <c r="A2138" s="353" t="s">
        <v>3451</v>
      </c>
    </row>
    <row r="2139" ht="14.25" customHeight="1">
      <c r="A2139" s="353" t="s">
        <v>2727</v>
      </c>
    </row>
    <row r="2140" ht="14.25" customHeight="1">
      <c r="A2140" s="353" t="s">
        <v>1547</v>
      </c>
    </row>
    <row r="2141" ht="14.25" customHeight="1">
      <c r="A2141" s="353" t="s">
        <v>5030</v>
      </c>
    </row>
    <row r="2142" ht="14.25" customHeight="1">
      <c r="A2142" s="353" t="s">
        <v>5031</v>
      </c>
    </row>
    <row r="2143" ht="14.25" customHeight="1">
      <c r="A2143" s="353" t="s">
        <v>5032</v>
      </c>
    </row>
    <row r="2144" ht="14.25" customHeight="1">
      <c r="A2144" s="353" t="s">
        <v>5033</v>
      </c>
    </row>
    <row r="2145" ht="14.25" customHeight="1">
      <c r="A2145" s="353" t="s">
        <v>5016</v>
      </c>
    </row>
    <row r="2146" ht="14.25" customHeight="1">
      <c r="A2146" s="353" t="s">
        <v>4982</v>
      </c>
    </row>
    <row r="2147" ht="14.25" customHeight="1">
      <c r="A2147" s="353" t="s">
        <v>5034</v>
      </c>
    </row>
    <row r="2148" ht="14.25" customHeight="1">
      <c r="A2148" s="353" t="s">
        <v>3068</v>
      </c>
    </row>
    <row r="2149" ht="14.25" customHeight="1">
      <c r="A2149" s="353" t="s">
        <v>5000</v>
      </c>
    </row>
    <row r="2150" ht="14.25" customHeight="1">
      <c r="A2150" s="353" t="s">
        <v>5035</v>
      </c>
    </row>
    <row r="2151" ht="14.25" customHeight="1">
      <c r="A2151" s="353" t="s">
        <v>5036</v>
      </c>
    </row>
    <row r="2152" ht="14.25" customHeight="1">
      <c r="A2152" s="353" t="s">
        <v>3095</v>
      </c>
    </row>
    <row r="2153" ht="14.25" customHeight="1">
      <c r="A2153" s="353" t="s">
        <v>5037</v>
      </c>
    </row>
    <row r="2154" ht="14.25" customHeight="1">
      <c r="A2154" s="353" t="s">
        <v>5038</v>
      </c>
    </row>
    <row r="2155" ht="14.25" customHeight="1">
      <c r="A2155" s="353" t="s">
        <v>5039</v>
      </c>
    </row>
    <row r="2156" ht="14.25" customHeight="1">
      <c r="A2156" s="353" t="s">
        <v>5040</v>
      </c>
    </row>
    <row r="2157" ht="14.25" customHeight="1">
      <c r="A2157" s="353" t="s">
        <v>2839</v>
      </c>
    </row>
    <row r="2158" ht="14.25" customHeight="1">
      <c r="A2158" s="353" t="s">
        <v>2746</v>
      </c>
    </row>
    <row r="2159" ht="14.25" customHeight="1">
      <c r="A2159" s="353" t="s">
        <v>2892</v>
      </c>
    </row>
    <row r="2160" ht="14.25" customHeight="1">
      <c r="A2160" s="353" t="s">
        <v>5041</v>
      </c>
    </row>
    <row r="2161" ht="14.25" customHeight="1">
      <c r="A2161" s="353" t="s">
        <v>2727</v>
      </c>
    </row>
    <row r="2162" ht="14.25" customHeight="1">
      <c r="A2162" s="353" t="s">
        <v>5042</v>
      </c>
    </row>
    <row r="2163" ht="14.25" customHeight="1">
      <c r="A2163" s="353" t="s">
        <v>1547</v>
      </c>
    </row>
    <row r="2164" ht="14.25" customHeight="1">
      <c r="A2164" s="353" t="s">
        <v>5043</v>
      </c>
    </row>
    <row r="2165" ht="14.25" customHeight="1">
      <c r="A2165" s="353" t="s">
        <v>5044</v>
      </c>
    </row>
    <row r="2166" ht="14.25" customHeight="1">
      <c r="A2166" s="353" t="s">
        <v>5045</v>
      </c>
    </row>
    <row r="2167" ht="14.25" customHeight="1">
      <c r="A2167" s="353" t="s">
        <v>5009</v>
      </c>
    </row>
    <row r="2168" ht="14.25" customHeight="1">
      <c r="A2168" s="353" t="s">
        <v>5046</v>
      </c>
    </row>
    <row r="2169" ht="14.25" customHeight="1">
      <c r="A2169" s="353" t="s">
        <v>5047</v>
      </c>
    </row>
    <row r="2170" ht="14.25" customHeight="1">
      <c r="A2170" s="353" t="s">
        <v>5048</v>
      </c>
    </row>
    <row r="2171" ht="14.25" customHeight="1">
      <c r="A2171" s="353" t="s">
        <v>5049</v>
      </c>
    </row>
    <row r="2172" ht="14.25" customHeight="1">
      <c r="A2172" s="353" t="s">
        <v>2727</v>
      </c>
    </row>
    <row r="2173" ht="14.25" customHeight="1">
      <c r="A2173" s="353" t="s">
        <v>1547</v>
      </c>
    </row>
    <row r="2174" ht="14.25" customHeight="1">
      <c r="A2174" s="353" t="s">
        <v>5050</v>
      </c>
    </row>
    <row r="2175" ht="14.25" customHeight="1">
      <c r="A2175" s="353" t="s">
        <v>5051</v>
      </c>
    </row>
    <row r="2176" ht="14.25" customHeight="1">
      <c r="A2176" s="353" t="s">
        <v>5052</v>
      </c>
    </row>
    <row r="2177" ht="14.25" customHeight="1">
      <c r="A2177" s="353" t="s">
        <v>4987</v>
      </c>
    </row>
    <row r="2178" ht="14.25" customHeight="1">
      <c r="A2178" s="353" t="s">
        <v>5053</v>
      </c>
    </row>
    <row r="2179" ht="14.25" customHeight="1">
      <c r="A2179" s="353" t="s">
        <v>5054</v>
      </c>
    </row>
    <row r="2180" ht="14.25" customHeight="1">
      <c r="A2180" s="353" t="s">
        <v>3451</v>
      </c>
    </row>
    <row r="2181" ht="14.25" customHeight="1">
      <c r="A2181" s="353" t="s">
        <v>4991</v>
      </c>
    </row>
    <row r="2182" ht="14.25" customHeight="1">
      <c r="A2182" s="353" t="s">
        <v>5055</v>
      </c>
    </row>
    <row r="2183" ht="14.25" customHeight="1">
      <c r="A2183" s="353" t="s">
        <v>5056</v>
      </c>
    </row>
    <row r="2184" ht="14.25" customHeight="1">
      <c r="A2184" s="353" t="s">
        <v>2776</v>
      </c>
    </row>
    <row r="2185" ht="14.25" customHeight="1">
      <c r="A2185" s="353" t="s">
        <v>5057</v>
      </c>
    </row>
    <row r="2186" ht="14.25" customHeight="1">
      <c r="A2186" s="353" t="s">
        <v>5058</v>
      </c>
    </row>
    <row r="2187" ht="14.25" customHeight="1">
      <c r="A2187" s="353" t="s">
        <v>3451</v>
      </c>
    </row>
    <row r="2188" ht="14.25" customHeight="1">
      <c r="A2188" s="353" t="s">
        <v>4991</v>
      </c>
    </row>
    <row r="2189" ht="14.25" customHeight="1">
      <c r="A2189" s="353" t="s">
        <v>5059</v>
      </c>
    </row>
    <row r="2190" ht="14.25" customHeight="1">
      <c r="A2190" s="353" t="s">
        <v>5060</v>
      </c>
    </row>
    <row r="2191" ht="14.25" customHeight="1">
      <c r="A2191" s="353" t="s">
        <v>2776</v>
      </c>
    </row>
    <row r="2192" ht="14.25" customHeight="1">
      <c r="A2192" s="353" t="s">
        <v>2778</v>
      </c>
    </row>
    <row r="2193" ht="14.25" customHeight="1">
      <c r="A2193" s="353" t="s">
        <v>1547</v>
      </c>
    </row>
    <row r="2194" ht="14.25" customHeight="1">
      <c r="A2194" s="353" t="s">
        <v>5061</v>
      </c>
    </row>
    <row r="2195" ht="14.25" customHeight="1">
      <c r="A2195" s="353" t="s">
        <v>4999</v>
      </c>
    </row>
    <row r="2196" ht="14.25" customHeight="1">
      <c r="A2196" s="353" t="s">
        <v>5062</v>
      </c>
    </row>
    <row r="2197" ht="14.25" customHeight="1">
      <c r="A2197" s="353" t="s">
        <v>5011</v>
      </c>
    </row>
    <row r="2198" ht="14.25" customHeight="1">
      <c r="A2198" s="353" t="s">
        <v>4359</v>
      </c>
    </row>
    <row r="2199" ht="14.25" customHeight="1">
      <c r="A2199" s="353" t="s">
        <v>5063</v>
      </c>
    </row>
    <row r="2200" ht="14.25" customHeight="1">
      <c r="A2200" s="353" t="s">
        <v>5001</v>
      </c>
    </row>
    <row r="2201" ht="14.25" customHeight="1">
      <c r="A2201" s="353" t="s">
        <v>5002</v>
      </c>
    </row>
    <row r="2202" ht="14.25" customHeight="1">
      <c r="A2202" s="353" t="s">
        <v>5064</v>
      </c>
    </row>
    <row r="2203" ht="14.25" customHeight="1">
      <c r="A2203" s="353" t="s">
        <v>5004</v>
      </c>
    </row>
    <row r="2204" ht="14.25" customHeight="1">
      <c r="A2204" s="353" t="s">
        <v>3174</v>
      </c>
    </row>
    <row r="2205" ht="14.25" customHeight="1">
      <c r="A2205" s="353" t="s">
        <v>3095</v>
      </c>
    </row>
    <row r="2206" ht="14.25" customHeight="1">
      <c r="A2206" s="353" t="s">
        <v>5005</v>
      </c>
    </row>
    <row r="2207" ht="14.25" customHeight="1">
      <c r="A2207" s="353" t="s">
        <v>2839</v>
      </c>
    </row>
    <row r="2208" ht="14.25" customHeight="1">
      <c r="A2208" s="353" t="s">
        <v>2746</v>
      </c>
    </row>
    <row r="2209" ht="14.25" customHeight="1">
      <c r="A2209" s="353" t="s">
        <v>2892</v>
      </c>
    </row>
    <row r="2210" ht="14.25" customHeight="1">
      <c r="A2210" s="353" t="s">
        <v>2727</v>
      </c>
    </row>
    <row r="2211" ht="14.25" customHeight="1">
      <c r="A2211" s="353" t="s">
        <v>1547</v>
      </c>
    </row>
    <row r="2212" ht="14.25" customHeight="1">
      <c r="A2212" s="353" t="s">
        <v>5065</v>
      </c>
    </row>
    <row r="2213" ht="14.25" customHeight="1">
      <c r="A2213" s="353" t="s">
        <v>5066</v>
      </c>
    </row>
    <row r="2214" ht="14.25" customHeight="1">
      <c r="A2214" s="353" t="s">
        <v>5014</v>
      </c>
    </row>
    <row r="2215" ht="14.25" customHeight="1">
      <c r="A2215" s="353" t="s">
        <v>5015</v>
      </c>
    </row>
    <row r="2216" ht="14.25" customHeight="1">
      <c r="A2216" s="353" t="s">
        <v>5067</v>
      </c>
    </row>
    <row r="2217" ht="14.25" customHeight="1">
      <c r="A2217" s="353" t="s">
        <v>5068</v>
      </c>
    </row>
    <row r="2218" ht="14.25" customHeight="1">
      <c r="A2218" s="353" t="s">
        <v>5069</v>
      </c>
    </row>
    <row r="2219" ht="14.25" customHeight="1">
      <c r="A2219" s="353" t="s">
        <v>2776</v>
      </c>
    </row>
    <row r="2220" ht="14.25" customHeight="1">
      <c r="A2220" s="353" t="s">
        <v>5070</v>
      </c>
    </row>
    <row r="2221" ht="14.25" customHeight="1">
      <c r="A2221" s="353" t="s">
        <v>5071</v>
      </c>
    </row>
    <row r="2222" ht="14.25" customHeight="1">
      <c r="A2222" s="353" t="s">
        <v>5072</v>
      </c>
    </row>
    <row r="2223" ht="14.25" customHeight="1">
      <c r="A2223" s="353" t="s">
        <v>5073</v>
      </c>
    </row>
    <row r="2224" ht="14.25" customHeight="1">
      <c r="A2224" s="353" t="s">
        <v>5074</v>
      </c>
    </row>
    <row r="2225" ht="14.25" customHeight="1">
      <c r="A2225" s="353" t="s">
        <v>5075</v>
      </c>
    </row>
    <row r="2226" ht="14.25" customHeight="1">
      <c r="A2226" s="353" t="s">
        <v>5076</v>
      </c>
    </row>
    <row r="2227" ht="14.25" customHeight="1">
      <c r="A2227" s="353" t="s">
        <v>5077</v>
      </c>
    </row>
    <row r="2228" ht="14.25" customHeight="1">
      <c r="A2228" s="353" t="s">
        <v>5078</v>
      </c>
    </row>
    <row r="2229" ht="14.25" customHeight="1">
      <c r="A2229" s="353" t="s">
        <v>5079</v>
      </c>
    </row>
    <row r="2230" ht="14.25" customHeight="1">
      <c r="A2230" s="353" t="s">
        <v>5080</v>
      </c>
    </row>
    <row r="2231" ht="14.25" customHeight="1">
      <c r="A2231" s="353" t="s">
        <v>3095</v>
      </c>
    </row>
    <row r="2232" ht="14.25" customHeight="1">
      <c r="A2232" s="353" t="s">
        <v>5081</v>
      </c>
    </row>
    <row r="2233" ht="14.25" customHeight="1">
      <c r="A2233" s="353" t="s">
        <v>2839</v>
      </c>
    </row>
    <row r="2234" ht="14.25" customHeight="1">
      <c r="A2234" s="353" t="s">
        <v>5082</v>
      </c>
    </row>
    <row r="2235" ht="14.25" customHeight="1">
      <c r="A2235" s="353" t="s">
        <v>5083</v>
      </c>
    </row>
    <row r="2236" ht="14.25" customHeight="1">
      <c r="A2236" s="353" t="s">
        <v>5084</v>
      </c>
    </row>
    <row r="2237" ht="14.25" customHeight="1">
      <c r="A2237" s="353" t="s">
        <v>2727</v>
      </c>
    </row>
    <row r="2238" ht="14.25" customHeight="1">
      <c r="A2238" s="353" t="s">
        <v>1547</v>
      </c>
    </row>
    <row r="2239" ht="14.25" customHeight="1">
      <c r="A2239" s="353" t="s">
        <v>5085</v>
      </c>
    </row>
    <row r="2240" ht="14.25" customHeight="1">
      <c r="A2240" s="353" t="s">
        <v>5086</v>
      </c>
    </row>
    <row r="2241" ht="14.25" customHeight="1">
      <c r="A2241" s="353" t="s">
        <v>5009</v>
      </c>
    </row>
    <row r="2242" ht="14.25" customHeight="1">
      <c r="A2242" s="353" t="s">
        <v>5011</v>
      </c>
    </row>
    <row r="2243" ht="14.25" customHeight="1">
      <c r="A2243" s="353" t="s">
        <v>5087</v>
      </c>
    </row>
    <row r="2244" ht="14.25" customHeight="1">
      <c r="A2244" s="353" t="s">
        <v>5062</v>
      </c>
    </row>
    <row r="2245" ht="14.25" customHeight="1">
      <c r="A2245" s="353" t="s">
        <v>5088</v>
      </c>
    </row>
    <row r="2246" ht="14.25" customHeight="1">
      <c r="A2246" s="353" t="s">
        <v>5089</v>
      </c>
    </row>
    <row r="2247" ht="14.25" customHeight="1">
      <c r="A2247" s="353" t="s">
        <v>5090</v>
      </c>
    </row>
    <row r="2248" ht="14.25" customHeight="1">
      <c r="A2248" s="353" t="s">
        <v>3451</v>
      </c>
    </row>
    <row r="2249" ht="14.25" customHeight="1">
      <c r="A2249" s="353" t="s">
        <v>5091</v>
      </c>
    </row>
    <row r="2250" ht="14.25" customHeight="1">
      <c r="A2250" s="353" t="s">
        <v>5053</v>
      </c>
    </row>
    <row r="2251" ht="14.25" customHeight="1">
      <c r="A2251" s="353" t="s">
        <v>5018</v>
      </c>
    </row>
    <row r="2252" ht="14.25" customHeight="1">
      <c r="A2252" s="353" t="s">
        <v>3536</v>
      </c>
    </row>
    <row r="2253" ht="14.25" customHeight="1">
      <c r="A2253" s="353" t="s">
        <v>5092</v>
      </c>
    </row>
    <row r="2254" ht="14.25" customHeight="1">
      <c r="A2254" s="353" t="s">
        <v>2746</v>
      </c>
    </row>
    <row r="2255" ht="14.25" customHeight="1">
      <c r="A2255" s="353" t="s">
        <v>3451</v>
      </c>
    </row>
    <row r="2256" ht="14.25" customHeight="1">
      <c r="A2256" s="353" t="s">
        <v>5091</v>
      </c>
    </row>
    <row r="2257" ht="14.25" customHeight="1">
      <c r="A2257" s="353" t="s">
        <v>5093</v>
      </c>
    </row>
    <row r="2258" ht="14.25" customHeight="1">
      <c r="A2258" s="353" t="s">
        <v>5094</v>
      </c>
    </row>
    <row r="2259" ht="14.25" customHeight="1">
      <c r="A2259" s="353" t="s">
        <v>3536</v>
      </c>
    </row>
    <row r="2260" ht="14.25" customHeight="1">
      <c r="A2260" s="353" t="s">
        <v>5095</v>
      </c>
    </row>
    <row r="2261" ht="14.25" customHeight="1">
      <c r="A2261" s="353" t="s">
        <v>2746</v>
      </c>
    </row>
    <row r="2262" ht="14.25" customHeight="1">
      <c r="A2262" s="353" t="s">
        <v>3451</v>
      </c>
    </row>
    <row r="2263" ht="14.25" customHeight="1">
      <c r="A2263" s="353" t="s">
        <v>5091</v>
      </c>
    </row>
    <row r="2264" ht="14.25" customHeight="1">
      <c r="A2264" s="353" t="s">
        <v>5057</v>
      </c>
    </row>
    <row r="2265" ht="14.25" customHeight="1">
      <c r="A2265" s="353" t="s">
        <v>5018</v>
      </c>
    </row>
    <row r="2266" ht="14.25" customHeight="1">
      <c r="A2266" s="353" t="s">
        <v>3536</v>
      </c>
    </row>
    <row r="2267" ht="14.25" customHeight="1">
      <c r="A2267" s="353" t="s">
        <v>5096</v>
      </c>
    </row>
    <row r="2268" ht="14.25" customHeight="1">
      <c r="A2268" s="353" t="s">
        <v>2746</v>
      </c>
    </row>
    <row r="2269" ht="14.25" customHeight="1">
      <c r="A2269" s="353" t="s">
        <v>3451</v>
      </c>
    </row>
    <row r="2270" ht="14.25" customHeight="1">
      <c r="A2270" s="353" t="s">
        <v>2727</v>
      </c>
    </row>
    <row r="2271" ht="14.25" customHeight="1">
      <c r="A2271" s="353" t="s">
        <v>1547</v>
      </c>
    </row>
    <row r="2272" ht="14.25" customHeight="1">
      <c r="A2272" s="353" t="s">
        <v>5097</v>
      </c>
    </row>
    <row r="2273" ht="14.25" customHeight="1">
      <c r="A2273" s="353" t="s">
        <v>5098</v>
      </c>
    </row>
    <row r="2274" ht="14.25" customHeight="1">
      <c r="A2274" s="353" t="s">
        <v>5009</v>
      </c>
    </row>
    <row r="2275" ht="14.25" customHeight="1">
      <c r="A2275" s="353" t="s">
        <v>5099</v>
      </c>
    </row>
    <row r="2276" ht="14.25" customHeight="1">
      <c r="A2276" s="353" t="s">
        <v>5011</v>
      </c>
    </row>
    <row r="2277" ht="14.25" customHeight="1">
      <c r="A2277" s="353" t="s">
        <v>5062</v>
      </c>
    </row>
    <row r="2278" ht="14.25" customHeight="1">
      <c r="A2278" s="353" t="s">
        <v>3068</v>
      </c>
    </row>
    <row r="2279" ht="14.25" customHeight="1">
      <c r="A2279" s="353" t="s">
        <v>5063</v>
      </c>
    </row>
    <row r="2280" ht="14.25" customHeight="1">
      <c r="A2280" s="353" t="s">
        <v>5100</v>
      </c>
    </row>
    <row r="2281" ht="14.25" customHeight="1">
      <c r="A2281" s="353" t="s">
        <v>5101</v>
      </c>
    </row>
    <row r="2282" ht="14.25" customHeight="1">
      <c r="A2282" s="353" t="s">
        <v>5102</v>
      </c>
    </row>
    <row r="2283" ht="14.25" customHeight="1">
      <c r="A2283" s="353" t="s">
        <v>5103</v>
      </c>
    </row>
    <row r="2284" ht="14.25" customHeight="1">
      <c r="A2284" s="353" t="s">
        <v>5104</v>
      </c>
    </row>
    <row r="2285" ht="14.25" customHeight="1">
      <c r="A2285" s="353" t="s">
        <v>5105</v>
      </c>
    </row>
    <row r="2286" ht="14.25" customHeight="1">
      <c r="A2286" s="353" t="s">
        <v>5106</v>
      </c>
    </row>
    <row r="2287" ht="14.25" customHeight="1">
      <c r="A2287" s="353" t="s">
        <v>5107</v>
      </c>
    </row>
    <row r="2288" ht="14.25" customHeight="1">
      <c r="A2288" s="353" t="s">
        <v>5108</v>
      </c>
    </row>
    <row r="2289" ht="14.25" customHeight="1">
      <c r="A2289" s="353" t="s">
        <v>5109</v>
      </c>
    </row>
    <row r="2290" ht="14.25" customHeight="1">
      <c r="A2290" s="353" t="s">
        <v>5110</v>
      </c>
    </row>
    <row r="2291" ht="14.25" customHeight="1">
      <c r="A2291" s="353" t="s">
        <v>5111</v>
      </c>
    </row>
    <row r="2292" ht="14.25" customHeight="1">
      <c r="A2292" s="353" t="s">
        <v>5106</v>
      </c>
    </row>
    <row r="2293" ht="14.25" customHeight="1">
      <c r="A2293" s="353" t="s">
        <v>5113</v>
      </c>
    </row>
    <row r="2294" ht="14.25" customHeight="1">
      <c r="A2294" s="353" t="s">
        <v>5108</v>
      </c>
    </row>
    <row r="2295" ht="14.25" customHeight="1">
      <c r="A2295" s="353" t="s">
        <v>5109</v>
      </c>
    </row>
    <row r="2296" ht="14.25" customHeight="1">
      <c r="A2296" s="353" t="s">
        <v>5110</v>
      </c>
    </row>
    <row r="2297" ht="14.25" customHeight="1">
      <c r="A2297" s="353" t="s">
        <v>5114</v>
      </c>
    </row>
    <row r="2298" ht="14.25" customHeight="1">
      <c r="A2298" s="353" t="s">
        <v>5115</v>
      </c>
    </row>
    <row r="2299" ht="14.25" customHeight="1">
      <c r="A2299" s="353" t="s">
        <v>5116</v>
      </c>
    </row>
    <row r="2300" ht="14.25" customHeight="1">
      <c r="A2300" s="353" t="s">
        <v>5108</v>
      </c>
    </row>
    <row r="2301" ht="14.25" customHeight="1">
      <c r="A2301" s="353" t="s">
        <v>5109</v>
      </c>
    </row>
    <row r="2302" ht="14.25" customHeight="1">
      <c r="A2302" s="353" t="s">
        <v>5110</v>
      </c>
    </row>
    <row r="2303" ht="14.25" customHeight="1">
      <c r="A2303" s="353" t="s">
        <v>3281</v>
      </c>
    </row>
    <row r="2304" ht="14.25" customHeight="1">
      <c r="A2304" s="353" t="s">
        <v>2746</v>
      </c>
    </row>
    <row r="2305" ht="14.25" customHeight="1">
      <c r="A2305" s="353" t="s">
        <v>2892</v>
      </c>
    </row>
    <row r="2306" ht="14.25" customHeight="1">
      <c r="A2306" s="353" t="s">
        <v>5117</v>
      </c>
    </row>
    <row r="2307" ht="14.25" customHeight="1">
      <c r="A2307" s="353" t="s">
        <v>2727</v>
      </c>
    </row>
    <row r="2308" ht="14.25" customHeight="1">
      <c r="A2308" s="353" t="s">
        <v>5118</v>
      </c>
    </row>
  </sheetData>
  <printOptions horizontalCentered="1"/>
  <pageMargins bottom="0.5555555555555556" footer="0.0" header="0.0" left="0.5" right="0.5" top="0.5555555555555556"/>
  <pageSetup fitToHeight="0" paperSize="9" orientation="portrait"/>
  <headerFooter>
    <oddFooter>&amp;LERRS – CMU Database 2026 | &amp;A&amp;CPage &amp;P of &amp;RPrinted &amp;D</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309"/>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4" width="22.29"/>
    <col customWidth="1" min="5" max="6" width="31.43"/>
    <col customWidth="1" min="7" max="8" width="22.29"/>
    <col customWidth="1" min="9" max="26" width="8.71"/>
  </cols>
  <sheetData>
    <row r="1" ht="14.25" customHeight="1">
      <c r="A1" s="58" t="s">
        <v>2995</v>
      </c>
      <c r="J1" s="24" t="s">
        <v>2998</v>
      </c>
    </row>
    <row r="2" ht="14.25" customHeight="1"/>
    <row r="3" ht="14.25" customHeight="1">
      <c r="A3" s="325" t="s">
        <v>3001</v>
      </c>
      <c r="B3" s="325" t="s">
        <v>3004</v>
      </c>
      <c r="C3" s="325" t="s">
        <v>3006</v>
      </c>
      <c r="D3" s="325" t="s">
        <v>179</v>
      </c>
      <c r="E3" s="325" t="s">
        <v>3009</v>
      </c>
      <c r="F3" s="325" t="s">
        <v>3013</v>
      </c>
      <c r="G3" s="325" t="s">
        <v>3014</v>
      </c>
      <c r="H3" s="325" t="s">
        <v>3017</v>
      </c>
    </row>
    <row r="4" ht="14.25" customHeight="1">
      <c r="A4" s="312"/>
      <c r="B4" s="312"/>
      <c r="C4" s="312"/>
      <c r="D4" s="312"/>
      <c r="E4" s="340"/>
      <c r="F4" s="340"/>
      <c r="G4" s="341"/>
      <c r="H4" s="342"/>
    </row>
    <row r="5" ht="14.25" customHeight="1">
      <c r="A5" s="311" t="s">
        <v>3030</v>
      </c>
      <c r="B5" s="311" t="s">
        <v>3031</v>
      </c>
      <c r="C5" s="311" t="s">
        <v>3033</v>
      </c>
      <c r="D5" s="311" t="s">
        <v>543</v>
      </c>
      <c r="E5" s="314" t="s">
        <v>3035</v>
      </c>
      <c r="F5" s="314" t="s">
        <v>3036</v>
      </c>
      <c r="G5" s="343">
        <v>46292.0</v>
      </c>
      <c r="H5" s="342">
        <v>46292.406461990744</v>
      </c>
    </row>
    <row r="6" ht="14.25" customHeight="1">
      <c r="G6" s="344"/>
      <c r="H6" s="344"/>
    </row>
    <row r="7" ht="14.25" customHeight="1">
      <c r="G7" s="344"/>
      <c r="H7" s="344"/>
    </row>
    <row r="8" ht="14.25" customHeight="1">
      <c r="G8" s="344"/>
      <c r="H8" s="344"/>
    </row>
    <row r="9" ht="14.25" customHeight="1">
      <c r="G9" s="344"/>
      <c r="H9" s="344"/>
    </row>
    <row r="10" ht="14.25" customHeight="1">
      <c r="G10" s="344"/>
      <c r="H10" s="344"/>
    </row>
    <row r="11" ht="14.25" customHeight="1">
      <c r="G11" s="344"/>
      <c r="H11" s="344"/>
    </row>
    <row r="12" ht="14.25" customHeight="1">
      <c r="G12" s="344"/>
      <c r="H12" s="344"/>
    </row>
    <row r="13" ht="14.25" customHeight="1">
      <c r="G13" s="344"/>
      <c r="H13" s="344"/>
    </row>
    <row r="14" ht="14.25" customHeight="1">
      <c r="G14" s="344"/>
      <c r="H14" s="344"/>
    </row>
    <row r="15" ht="14.25" customHeight="1">
      <c r="G15" s="344"/>
      <c r="H15" s="344"/>
    </row>
    <row r="16" ht="14.25" customHeight="1">
      <c r="G16" s="344"/>
      <c r="H16" s="344"/>
    </row>
    <row r="17" ht="14.25" customHeight="1">
      <c r="G17" s="344"/>
      <c r="H17" s="344"/>
    </row>
    <row r="18" ht="14.25" customHeight="1">
      <c r="G18" s="344"/>
      <c r="H18" s="344"/>
    </row>
    <row r="19" ht="14.25" customHeight="1">
      <c r="G19" s="344"/>
      <c r="H19" s="344"/>
    </row>
    <row r="20" ht="14.25" customHeight="1">
      <c r="G20" s="344"/>
      <c r="H20" s="344"/>
    </row>
    <row r="21" ht="14.25" customHeight="1">
      <c r="G21" s="344"/>
      <c r="H21" s="344"/>
    </row>
    <row r="22" ht="14.25" customHeight="1">
      <c r="G22" s="344"/>
      <c r="H22" s="344"/>
    </row>
    <row r="23" ht="14.25" customHeight="1">
      <c r="G23" s="344"/>
      <c r="H23" s="344"/>
    </row>
    <row r="24" ht="14.25" customHeight="1">
      <c r="G24" s="344"/>
      <c r="H24" s="344"/>
    </row>
    <row r="25" ht="14.25" customHeight="1">
      <c r="G25" s="344"/>
      <c r="H25" s="344"/>
    </row>
    <row r="26" ht="14.25" customHeight="1">
      <c r="G26" s="344"/>
      <c r="H26" s="344"/>
    </row>
    <row r="27" ht="14.25" customHeight="1">
      <c r="G27" s="344"/>
      <c r="H27" s="344"/>
    </row>
    <row r="28" ht="14.25" customHeight="1">
      <c r="G28" s="344"/>
      <c r="H28" s="344"/>
    </row>
    <row r="29" ht="14.25" customHeight="1">
      <c r="G29" s="344"/>
      <c r="H29" s="344"/>
    </row>
    <row r="30" ht="14.25" customHeight="1">
      <c r="G30" s="344"/>
      <c r="H30" s="344"/>
    </row>
    <row r="31" ht="14.25" customHeight="1">
      <c r="G31" s="344"/>
      <c r="H31" s="344"/>
    </row>
    <row r="32" ht="14.25" customHeight="1">
      <c r="G32" s="344"/>
      <c r="H32" s="344"/>
    </row>
    <row r="33" ht="14.25" customHeight="1">
      <c r="G33" s="344"/>
      <c r="H33" s="344"/>
    </row>
    <row r="34" ht="14.25" customHeight="1">
      <c r="G34" s="344"/>
      <c r="H34" s="344"/>
    </row>
    <row r="35" ht="14.25" customHeight="1">
      <c r="G35" s="344"/>
      <c r="H35" s="344"/>
    </row>
    <row r="36" ht="14.25" customHeight="1">
      <c r="G36" s="344"/>
      <c r="H36" s="344"/>
    </row>
    <row r="37" ht="14.25" customHeight="1">
      <c r="G37" s="344"/>
      <c r="H37" s="344"/>
    </row>
    <row r="38" ht="14.25" customHeight="1">
      <c r="G38" s="344"/>
      <c r="H38" s="344"/>
    </row>
    <row r="39" ht="14.25" customHeight="1">
      <c r="G39" s="344"/>
      <c r="H39" s="344"/>
    </row>
    <row r="40" ht="14.25" customHeight="1">
      <c r="G40" s="344"/>
      <c r="H40" s="344"/>
    </row>
    <row r="41" ht="14.25" customHeight="1">
      <c r="G41" s="344"/>
      <c r="H41" s="344"/>
    </row>
    <row r="42" ht="14.25" customHeight="1">
      <c r="G42" s="344"/>
      <c r="H42" s="344"/>
    </row>
    <row r="43" ht="14.25" customHeight="1">
      <c r="G43" s="344"/>
      <c r="H43" s="344"/>
    </row>
    <row r="44" ht="14.25" customHeight="1">
      <c r="G44" s="344"/>
      <c r="H44" s="344"/>
    </row>
    <row r="45" ht="14.25" customHeight="1">
      <c r="G45" s="344"/>
      <c r="H45" s="344"/>
    </row>
    <row r="46" ht="14.25" customHeight="1">
      <c r="G46" s="344"/>
      <c r="H46" s="344"/>
    </row>
    <row r="47" ht="14.25" customHeight="1">
      <c r="G47" s="344"/>
      <c r="H47" s="344"/>
    </row>
    <row r="48" ht="14.25" customHeight="1">
      <c r="G48" s="344"/>
      <c r="H48" s="344"/>
    </row>
    <row r="49" ht="14.25" customHeight="1">
      <c r="G49" s="344"/>
      <c r="H49" s="344"/>
    </row>
    <row r="50" ht="14.25" customHeight="1">
      <c r="G50" s="344"/>
      <c r="H50" s="344"/>
    </row>
    <row r="51" ht="14.25" customHeight="1">
      <c r="G51" s="344"/>
      <c r="H51" s="344"/>
    </row>
    <row r="52" ht="14.25" customHeight="1">
      <c r="G52" s="344"/>
      <c r="H52" s="344"/>
    </row>
    <row r="53" ht="14.25" customHeight="1">
      <c r="G53" s="344"/>
      <c r="H53" s="344"/>
    </row>
    <row r="54" ht="14.25" customHeight="1">
      <c r="G54" s="344"/>
      <c r="H54" s="344"/>
    </row>
    <row r="55" ht="14.25" customHeight="1">
      <c r="G55" s="344"/>
      <c r="H55" s="344"/>
    </row>
    <row r="56" ht="14.25" customHeight="1">
      <c r="G56" s="344"/>
      <c r="H56" s="344"/>
    </row>
    <row r="57" ht="14.25" customHeight="1">
      <c r="G57" s="344"/>
      <c r="H57" s="344"/>
    </row>
    <row r="58" ht="14.25" customHeight="1">
      <c r="G58" s="344"/>
      <c r="H58" s="344"/>
    </row>
    <row r="59" ht="14.25" customHeight="1">
      <c r="G59" s="344"/>
      <c r="H59" s="344"/>
    </row>
    <row r="60" ht="14.25" customHeight="1">
      <c r="G60" s="344"/>
      <c r="H60" s="344"/>
    </row>
    <row r="61" ht="14.25" customHeight="1">
      <c r="G61" s="344"/>
      <c r="H61" s="344"/>
    </row>
    <row r="62" ht="14.25" customHeight="1">
      <c r="G62" s="344"/>
      <c r="H62" s="344"/>
    </row>
    <row r="63" ht="14.25" customHeight="1">
      <c r="G63" s="344"/>
      <c r="H63" s="344"/>
    </row>
    <row r="64" ht="14.25" customHeight="1">
      <c r="G64" s="344"/>
      <c r="H64" s="344"/>
    </row>
    <row r="65" ht="14.25" customHeight="1">
      <c r="G65" s="344"/>
      <c r="H65" s="344"/>
    </row>
    <row r="66" ht="14.25" customHeight="1">
      <c r="G66" s="344"/>
      <c r="H66" s="344"/>
    </row>
    <row r="67" ht="14.25" customHeight="1">
      <c r="G67" s="344"/>
      <c r="H67" s="344"/>
    </row>
    <row r="68" ht="14.25" customHeight="1">
      <c r="G68" s="344"/>
      <c r="H68" s="344"/>
    </row>
    <row r="69" ht="14.25" customHeight="1">
      <c r="G69" s="344"/>
      <c r="H69" s="344"/>
    </row>
    <row r="70" ht="14.25" customHeight="1">
      <c r="G70" s="344"/>
      <c r="H70" s="344"/>
    </row>
    <row r="71" ht="14.25" customHeight="1">
      <c r="G71" s="344"/>
      <c r="H71" s="344"/>
    </row>
    <row r="72" ht="14.25" customHeight="1">
      <c r="G72" s="344"/>
      <c r="H72" s="344"/>
    </row>
    <row r="73" ht="14.25" customHeight="1">
      <c r="G73" s="344"/>
      <c r="H73" s="344"/>
    </row>
    <row r="74" ht="14.25" customHeight="1">
      <c r="G74" s="344"/>
      <c r="H74" s="344"/>
    </row>
    <row r="75" ht="14.25" customHeight="1">
      <c r="G75" s="344"/>
      <c r="H75" s="344"/>
    </row>
    <row r="76" ht="14.25" customHeight="1">
      <c r="G76" s="344"/>
      <c r="H76" s="344"/>
    </row>
    <row r="77" ht="14.25" customHeight="1">
      <c r="G77" s="344"/>
      <c r="H77" s="344"/>
    </row>
    <row r="78" ht="14.25" customHeight="1">
      <c r="G78" s="344"/>
      <c r="H78" s="344"/>
    </row>
    <row r="79" ht="14.25" customHeight="1">
      <c r="G79" s="344"/>
      <c r="H79" s="344"/>
    </row>
    <row r="80" ht="14.25" customHeight="1">
      <c r="G80" s="344"/>
      <c r="H80" s="344"/>
    </row>
    <row r="81" ht="14.25" customHeight="1">
      <c r="G81" s="344"/>
      <c r="H81" s="344"/>
    </row>
    <row r="82" ht="14.25" customHeight="1">
      <c r="G82" s="344"/>
      <c r="H82" s="344"/>
    </row>
    <row r="83" ht="14.25" customHeight="1">
      <c r="G83" s="344"/>
      <c r="H83" s="344"/>
    </row>
    <row r="84" ht="14.25" customHeight="1">
      <c r="G84" s="344"/>
      <c r="H84" s="344"/>
    </row>
    <row r="85" ht="14.25" customHeight="1">
      <c r="G85" s="344"/>
      <c r="H85" s="344"/>
    </row>
    <row r="86" ht="14.25" customHeight="1">
      <c r="G86" s="344"/>
      <c r="H86" s="344"/>
    </row>
    <row r="87" ht="14.25" customHeight="1">
      <c r="G87" s="344"/>
      <c r="H87" s="344"/>
    </row>
    <row r="88" ht="14.25" customHeight="1">
      <c r="G88" s="344"/>
      <c r="H88" s="344"/>
    </row>
    <row r="89" ht="14.25" customHeight="1">
      <c r="G89" s="344"/>
      <c r="H89" s="344"/>
    </row>
    <row r="90" ht="14.25" customHeight="1">
      <c r="G90" s="344"/>
      <c r="H90" s="344"/>
    </row>
    <row r="91" ht="14.25" customHeight="1">
      <c r="G91" s="344"/>
      <c r="H91" s="344"/>
    </row>
    <row r="92" ht="14.25" customHeight="1">
      <c r="G92" s="344"/>
      <c r="H92" s="344"/>
    </row>
    <row r="93" ht="14.25" customHeight="1">
      <c r="G93" s="344"/>
      <c r="H93" s="344"/>
    </row>
    <row r="94" ht="14.25" customHeight="1">
      <c r="G94" s="344"/>
      <c r="H94" s="344"/>
    </row>
    <row r="95" ht="14.25" customHeight="1">
      <c r="G95" s="344"/>
      <c r="H95" s="344"/>
    </row>
    <row r="96" ht="14.25" customHeight="1">
      <c r="G96" s="344"/>
      <c r="H96" s="344"/>
    </row>
    <row r="97" ht="14.25" customHeight="1">
      <c r="G97" s="344"/>
      <c r="H97" s="344"/>
    </row>
    <row r="98" ht="14.25" customHeight="1">
      <c r="G98" s="344"/>
      <c r="H98" s="344"/>
    </row>
    <row r="99" ht="14.25" customHeight="1">
      <c r="G99" s="344"/>
      <c r="H99" s="344"/>
    </row>
    <row r="100" ht="14.25" customHeight="1">
      <c r="G100" s="344"/>
      <c r="H100" s="344"/>
    </row>
    <row r="101" ht="14.25" customHeight="1">
      <c r="G101" s="344"/>
      <c r="H101" s="344"/>
    </row>
    <row r="102" ht="14.25" customHeight="1">
      <c r="G102" s="344"/>
      <c r="H102" s="344"/>
    </row>
    <row r="103" ht="14.25" customHeight="1">
      <c r="G103" s="344"/>
      <c r="H103" s="344"/>
    </row>
    <row r="104" ht="14.25" customHeight="1">
      <c r="G104" s="344"/>
      <c r="H104" s="344"/>
    </row>
    <row r="105" ht="14.25" customHeight="1">
      <c r="G105" s="344"/>
      <c r="H105" s="344"/>
    </row>
    <row r="106" ht="14.25" customHeight="1">
      <c r="G106" s="344"/>
      <c r="H106" s="344"/>
    </row>
    <row r="107" ht="14.25" customHeight="1">
      <c r="G107" s="344"/>
      <c r="H107" s="344"/>
    </row>
    <row r="108" ht="14.25" customHeight="1">
      <c r="G108" s="344"/>
      <c r="H108" s="344"/>
    </row>
    <row r="109" ht="14.25" customHeight="1">
      <c r="G109" s="344"/>
      <c r="H109" s="344"/>
    </row>
    <row r="110" ht="14.25" customHeight="1">
      <c r="G110" s="344"/>
      <c r="H110" s="344"/>
    </row>
    <row r="111" ht="14.25" customHeight="1">
      <c r="G111" s="344"/>
      <c r="H111" s="344"/>
    </row>
    <row r="112" ht="14.25" customHeight="1">
      <c r="G112" s="344"/>
      <c r="H112" s="344"/>
    </row>
    <row r="113" ht="14.25" customHeight="1">
      <c r="G113" s="344"/>
      <c r="H113" s="344"/>
    </row>
    <row r="114" ht="14.25" customHeight="1">
      <c r="G114" s="344"/>
      <c r="H114" s="344"/>
    </row>
    <row r="115" ht="14.25" customHeight="1">
      <c r="G115" s="344"/>
      <c r="H115" s="344"/>
    </row>
    <row r="116" ht="14.25" customHeight="1">
      <c r="G116" s="344"/>
      <c r="H116" s="344"/>
    </row>
    <row r="117" ht="14.25" customHeight="1">
      <c r="G117" s="344"/>
      <c r="H117" s="344"/>
    </row>
    <row r="118" ht="14.25" customHeight="1">
      <c r="G118" s="344"/>
      <c r="H118" s="344"/>
    </row>
    <row r="119" ht="14.25" customHeight="1">
      <c r="G119" s="344"/>
      <c r="H119" s="344"/>
    </row>
    <row r="120" ht="14.25" customHeight="1">
      <c r="G120" s="344"/>
      <c r="H120" s="344"/>
    </row>
    <row r="121" ht="14.25" customHeight="1">
      <c r="G121" s="344"/>
      <c r="H121" s="344"/>
    </row>
    <row r="122" ht="14.25" customHeight="1">
      <c r="G122" s="344"/>
      <c r="H122" s="344"/>
    </row>
    <row r="123" ht="14.25" customHeight="1">
      <c r="G123" s="344"/>
      <c r="H123" s="344"/>
    </row>
    <row r="124" ht="14.25" customHeight="1">
      <c r="G124" s="344"/>
      <c r="H124" s="344"/>
    </row>
    <row r="125" ht="14.25" customHeight="1">
      <c r="G125" s="344"/>
      <c r="H125" s="344"/>
    </row>
    <row r="126" ht="14.25" customHeight="1">
      <c r="G126" s="344"/>
      <c r="H126" s="344"/>
    </row>
    <row r="127" ht="14.25" customHeight="1">
      <c r="G127" s="344"/>
      <c r="H127" s="344"/>
    </row>
    <row r="128" ht="14.25" customHeight="1">
      <c r="G128" s="344"/>
      <c r="H128" s="344"/>
    </row>
    <row r="129" ht="14.25" customHeight="1">
      <c r="G129" s="344"/>
      <c r="H129" s="344"/>
    </row>
    <row r="130" ht="14.25" customHeight="1">
      <c r="G130" s="344"/>
      <c r="H130" s="344"/>
    </row>
    <row r="131" ht="14.25" customHeight="1">
      <c r="G131" s="344"/>
      <c r="H131" s="344"/>
    </row>
    <row r="132" ht="14.25" customHeight="1">
      <c r="G132" s="344"/>
      <c r="H132" s="344"/>
    </row>
    <row r="133" ht="14.25" customHeight="1">
      <c r="G133" s="344"/>
      <c r="H133" s="344"/>
    </row>
    <row r="134" ht="14.25" customHeight="1">
      <c r="G134" s="344"/>
      <c r="H134" s="344"/>
    </row>
    <row r="135" ht="14.25" customHeight="1">
      <c r="G135" s="344"/>
      <c r="H135" s="344"/>
    </row>
    <row r="136" ht="14.25" customHeight="1">
      <c r="G136" s="344"/>
      <c r="H136" s="344"/>
    </row>
    <row r="137" ht="14.25" customHeight="1">
      <c r="G137" s="344"/>
      <c r="H137" s="344"/>
    </row>
    <row r="138" ht="14.25" customHeight="1">
      <c r="G138" s="344"/>
      <c r="H138" s="344"/>
    </row>
    <row r="139" ht="14.25" customHeight="1">
      <c r="G139" s="344"/>
      <c r="H139" s="344"/>
    </row>
    <row r="140" ht="14.25" customHeight="1">
      <c r="G140" s="344"/>
      <c r="H140" s="344"/>
    </row>
    <row r="141" ht="14.25" customHeight="1">
      <c r="G141" s="344"/>
      <c r="H141" s="344"/>
    </row>
    <row r="142" ht="14.25" customHeight="1">
      <c r="G142" s="344"/>
      <c r="H142" s="344"/>
    </row>
    <row r="143" ht="14.25" customHeight="1">
      <c r="G143" s="344"/>
      <c r="H143" s="344"/>
    </row>
    <row r="144" ht="14.25" customHeight="1">
      <c r="G144" s="344"/>
      <c r="H144" s="344"/>
    </row>
    <row r="145" ht="14.25" customHeight="1">
      <c r="G145" s="344"/>
      <c r="H145" s="344"/>
    </row>
    <row r="146" ht="14.25" customHeight="1">
      <c r="G146" s="344"/>
      <c r="H146" s="344"/>
    </row>
    <row r="147" ht="14.25" customHeight="1">
      <c r="G147" s="344"/>
      <c r="H147" s="344"/>
    </row>
    <row r="148" ht="14.25" customHeight="1">
      <c r="G148" s="344"/>
      <c r="H148" s="344"/>
    </row>
    <row r="149" ht="14.25" customHeight="1">
      <c r="G149" s="344"/>
      <c r="H149" s="344"/>
    </row>
    <row r="150" ht="14.25" customHeight="1">
      <c r="G150" s="344"/>
      <c r="H150" s="344"/>
    </row>
    <row r="151" ht="14.25" customHeight="1">
      <c r="G151" s="344"/>
      <c r="H151" s="344"/>
    </row>
    <row r="152" ht="14.25" customHeight="1">
      <c r="G152" s="344"/>
      <c r="H152" s="344"/>
    </row>
    <row r="153" ht="14.25" customHeight="1">
      <c r="G153" s="344"/>
      <c r="H153" s="344"/>
    </row>
    <row r="154" ht="14.25" customHeight="1">
      <c r="G154" s="344"/>
      <c r="H154" s="344"/>
    </row>
    <row r="155" ht="14.25" customHeight="1">
      <c r="G155" s="344"/>
      <c r="H155" s="344"/>
    </row>
    <row r="156" ht="14.25" customHeight="1">
      <c r="G156" s="344"/>
      <c r="H156" s="344"/>
    </row>
    <row r="157" ht="14.25" customHeight="1">
      <c r="G157" s="344"/>
      <c r="H157" s="344"/>
    </row>
    <row r="158" ht="14.25" customHeight="1">
      <c r="G158" s="344"/>
      <c r="H158" s="344"/>
    </row>
    <row r="159" ht="14.25" customHeight="1">
      <c r="G159" s="344"/>
      <c r="H159" s="344"/>
    </row>
    <row r="160" ht="14.25" customHeight="1">
      <c r="G160" s="344"/>
      <c r="H160" s="344"/>
    </row>
    <row r="161" ht="14.25" customHeight="1">
      <c r="G161" s="344"/>
      <c r="H161" s="344"/>
    </row>
    <row r="162" ht="14.25" customHeight="1">
      <c r="G162" s="344"/>
      <c r="H162" s="344"/>
    </row>
    <row r="163" ht="14.25" customHeight="1">
      <c r="G163" s="344"/>
      <c r="H163" s="344"/>
    </row>
    <row r="164" ht="14.25" customHeight="1">
      <c r="G164" s="344"/>
      <c r="H164" s="344"/>
    </row>
    <row r="165" ht="14.25" customHeight="1">
      <c r="G165" s="344"/>
      <c r="H165" s="344"/>
    </row>
    <row r="166" ht="14.25" customHeight="1">
      <c r="G166" s="344"/>
      <c r="H166" s="344"/>
    </row>
    <row r="167" ht="14.25" customHeight="1">
      <c r="G167" s="344"/>
      <c r="H167" s="344"/>
    </row>
    <row r="168" ht="14.25" customHeight="1">
      <c r="G168" s="344"/>
      <c r="H168" s="344"/>
    </row>
    <row r="169" ht="14.25" customHeight="1">
      <c r="G169" s="344"/>
      <c r="H169" s="344"/>
    </row>
    <row r="170" ht="14.25" customHeight="1">
      <c r="G170" s="344"/>
      <c r="H170" s="344"/>
    </row>
    <row r="171" ht="14.25" customHeight="1">
      <c r="G171" s="344"/>
      <c r="H171" s="344"/>
    </row>
    <row r="172" ht="14.25" customHeight="1">
      <c r="G172" s="344"/>
      <c r="H172" s="344"/>
    </row>
    <row r="173" ht="14.25" customHeight="1">
      <c r="G173" s="344"/>
      <c r="H173" s="344"/>
    </row>
    <row r="174" ht="14.25" customHeight="1">
      <c r="G174" s="344"/>
      <c r="H174" s="344"/>
    </row>
    <row r="175" ht="14.25" customHeight="1">
      <c r="G175" s="344"/>
      <c r="H175" s="344"/>
    </row>
    <row r="176" ht="14.25" customHeight="1">
      <c r="G176" s="344"/>
      <c r="H176" s="344"/>
    </row>
    <row r="177" ht="14.25" customHeight="1">
      <c r="G177" s="344"/>
      <c r="H177" s="344"/>
    </row>
    <row r="178" ht="14.25" customHeight="1">
      <c r="G178" s="344"/>
      <c r="H178" s="344"/>
    </row>
    <row r="179" ht="14.25" customHeight="1">
      <c r="G179" s="344"/>
      <c r="H179" s="344"/>
    </row>
    <row r="180" ht="14.25" customHeight="1">
      <c r="G180" s="344"/>
      <c r="H180" s="344"/>
    </row>
    <row r="181" ht="14.25" customHeight="1">
      <c r="G181" s="344"/>
      <c r="H181" s="344"/>
    </row>
    <row r="182" ht="14.25" customHeight="1">
      <c r="G182" s="344"/>
      <c r="H182" s="344"/>
    </row>
    <row r="183" ht="14.25" customHeight="1">
      <c r="G183" s="344"/>
      <c r="H183" s="344"/>
    </row>
    <row r="184" ht="14.25" customHeight="1">
      <c r="G184" s="344"/>
      <c r="H184" s="344"/>
    </row>
    <row r="185" ht="14.25" customHeight="1">
      <c r="G185" s="344"/>
      <c r="H185" s="344"/>
    </row>
    <row r="186" ht="14.25" customHeight="1">
      <c r="G186" s="344"/>
      <c r="H186" s="344"/>
    </row>
    <row r="187" ht="14.25" customHeight="1">
      <c r="G187" s="344"/>
      <c r="H187" s="344"/>
    </row>
    <row r="188" ht="14.25" customHeight="1">
      <c r="G188" s="344"/>
      <c r="H188" s="344"/>
    </row>
    <row r="189" ht="14.25" customHeight="1">
      <c r="G189" s="344"/>
      <c r="H189" s="344"/>
    </row>
    <row r="190" ht="14.25" customHeight="1">
      <c r="G190" s="344"/>
      <c r="H190" s="344"/>
    </row>
    <row r="191" ht="14.25" customHeight="1">
      <c r="G191" s="344"/>
      <c r="H191" s="344"/>
    </row>
    <row r="192" ht="14.25" customHeight="1">
      <c r="G192" s="344"/>
      <c r="H192" s="344"/>
    </row>
    <row r="193" ht="14.25" customHeight="1">
      <c r="G193" s="344"/>
      <c r="H193" s="344"/>
    </row>
    <row r="194" ht="14.25" customHeight="1">
      <c r="G194" s="344"/>
      <c r="H194" s="344"/>
    </row>
    <row r="195" ht="14.25" customHeight="1">
      <c r="G195" s="344"/>
      <c r="H195" s="344"/>
    </row>
    <row r="196" ht="14.25" customHeight="1">
      <c r="G196" s="344"/>
      <c r="H196" s="344"/>
    </row>
    <row r="197" ht="14.25" customHeight="1">
      <c r="G197" s="344"/>
      <c r="H197" s="344"/>
    </row>
    <row r="198" ht="14.25" customHeight="1">
      <c r="G198" s="344"/>
      <c r="H198" s="344"/>
    </row>
    <row r="199" ht="14.25" customHeight="1">
      <c r="G199" s="344"/>
      <c r="H199" s="344"/>
    </row>
    <row r="200" ht="14.25" customHeight="1">
      <c r="G200" s="344"/>
      <c r="H200" s="344"/>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pageSetUpPr fitToPage="1"/>
  </sheetPr>
  <sheetViews>
    <sheetView showGridLines="0" workbookViewId="0"/>
  </sheetViews>
  <sheetFormatPr customHeight="1" defaultColWidth="14.43" defaultRowHeight="15.0"/>
  <cols>
    <col customWidth="1" min="1" max="1" width="36.43"/>
    <col customWidth="1" min="2" max="2" width="13.86"/>
    <col customWidth="1" min="3" max="3" width="16.57"/>
    <col customWidth="1" min="4" max="4" width="29.71"/>
    <col customWidth="1" min="5" max="26" width="8.71"/>
  </cols>
  <sheetData>
    <row r="1" ht="14.25" customHeight="1">
      <c r="A1" s="345" t="s">
        <v>3202</v>
      </c>
    </row>
    <row r="2" ht="14.25" customHeight="1"/>
    <row r="3" ht="14.25" customHeight="1">
      <c r="A3" s="24" t="s">
        <v>3209</v>
      </c>
      <c r="B3" s="24" t="s">
        <v>3211</v>
      </c>
      <c r="C3" s="24" t="s">
        <v>3213</v>
      </c>
      <c r="D3" s="24" t="s">
        <v>3214</v>
      </c>
    </row>
    <row r="4" ht="14.25" customHeight="1">
      <c r="A4" s="24" t="s">
        <v>3215</v>
      </c>
      <c r="B4" s="346">
        <v>160000.0</v>
      </c>
      <c r="C4" s="347">
        <v>46042.0</v>
      </c>
      <c r="D4" s="24" t="s">
        <v>3218</v>
      </c>
    </row>
    <row r="5" ht="14.25" customHeight="1">
      <c r="A5" s="24" t="s">
        <v>568</v>
      </c>
      <c r="B5" s="346">
        <v>16020.0</v>
      </c>
      <c r="C5" s="347">
        <v>46049.0</v>
      </c>
      <c r="D5" s="24" t="s">
        <v>3221</v>
      </c>
    </row>
    <row r="6" ht="14.25" customHeight="1">
      <c r="A6" s="24" t="s">
        <v>3223</v>
      </c>
      <c r="B6" s="346">
        <v>1846.0</v>
      </c>
      <c r="C6" s="347">
        <v>46049.0</v>
      </c>
      <c r="D6" s="24" t="s">
        <v>3224</v>
      </c>
    </row>
    <row r="7" ht="14.25" customHeight="1">
      <c r="A7" s="24" t="s">
        <v>3223</v>
      </c>
      <c r="B7" s="346">
        <v>7714.0</v>
      </c>
      <c r="C7" s="347">
        <v>46049.0</v>
      </c>
      <c r="D7" s="24" t="s">
        <v>3225</v>
      </c>
    </row>
    <row r="8" ht="14.25" customHeight="1">
      <c r="A8" s="24" t="s">
        <v>3227</v>
      </c>
      <c r="B8" s="346">
        <v>860000.0</v>
      </c>
      <c r="C8" s="347">
        <v>46059.0</v>
      </c>
      <c r="D8" s="24" t="s">
        <v>3229</v>
      </c>
    </row>
    <row r="9" ht="14.25" customHeight="1">
      <c r="A9" s="24" t="s">
        <v>3231</v>
      </c>
      <c r="B9" s="346">
        <v>100170.0</v>
      </c>
      <c r="C9" s="24" t="s">
        <v>3233</v>
      </c>
      <c r="D9" s="24" t="s">
        <v>3235</v>
      </c>
    </row>
    <row r="10" ht="14.25" customHeight="1">
      <c r="A10" s="24" t="s">
        <v>564</v>
      </c>
      <c r="B10" s="346">
        <v>9500.0</v>
      </c>
      <c r="C10" s="24" t="s">
        <v>3233</v>
      </c>
      <c r="D10" s="24" t="s">
        <v>3237</v>
      </c>
    </row>
    <row r="11" ht="14.25" customHeight="1">
      <c r="A11" s="24" t="s">
        <v>3239</v>
      </c>
      <c r="B11" s="346">
        <v>27126.0</v>
      </c>
      <c r="C11" s="24" t="s">
        <v>3241</v>
      </c>
      <c r="D11" s="24" t="s">
        <v>3242</v>
      </c>
    </row>
    <row r="12" ht="14.25" customHeight="1">
      <c r="A12" s="24" t="s">
        <v>3244</v>
      </c>
      <c r="B12" s="346">
        <v>45000.0</v>
      </c>
      <c r="C12" s="347">
        <v>46065.0</v>
      </c>
      <c r="D12" s="24" t="s">
        <v>3245</v>
      </c>
    </row>
    <row r="13" ht="14.25" customHeight="1">
      <c r="A13" s="24" t="s">
        <v>3247</v>
      </c>
      <c r="B13" s="346">
        <v>13275.0</v>
      </c>
      <c r="C13" s="347">
        <v>46069.0</v>
      </c>
      <c r="D13" s="24" t="s">
        <v>3249</v>
      </c>
    </row>
    <row r="14" ht="14.25" customHeight="1">
      <c r="A14" s="24" t="s">
        <v>3251</v>
      </c>
      <c r="B14" s="24">
        <v>318.0</v>
      </c>
      <c r="C14" s="347">
        <v>46069.0</v>
      </c>
      <c r="D14" s="24" t="s">
        <v>3253</v>
      </c>
    </row>
    <row r="15" ht="14.25" customHeight="1">
      <c r="A15" s="24" t="s">
        <v>3255</v>
      </c>
      <c r="B15" s="346">
        <v>38420.0</v>
      </c>
      <c r="C15" s="347">
        <v>46069.0</v>
      </c>
      <c r="D15" s="24" t="s">
        <v>3257</v>
      </c>
    </row>
    <row r="16" ht="14.25" customHeight="1">
      <c r="A16" s="24" t="s">
        <v>564</v>
      </c>
      <c r="B16" s="24">
        <v>27.0</v>
      </c>
      <c r="C16" s="347">
        <v>46069.0</v>
      </c>
      <c r="D16" s="24" t="s">
        <v>3260</v>
      </c>
    </row>
    <row r="17" ht="14.25" customHeight="1">
      <c r="A17" s="24" t="s">
        <v>3262</v>
      </c>
      <c r="B17" s="24">
        <v>8.0</v>
      </c>
      <c r="C17" s="347">
        <v>46069.0</v>
      </c>
      <c r="D17" s="24" t="s">
        <v>3264</v>
      </c>
    </row>
    <row r="18" ht="14.25" customHeight="1">
      <c r="A18" s="24" t="s">
        <v>3262</v>
      </c>
      <c r="B18" s="24">
        <v>8.0</v>
      </c>
      <c r="C18" s="347">
        <v>46069.0</v>
      </c>
      <c r="D18" s="24" t="s">
        <v>3266</v>
      </c>
    </row>
    <row r="19" ht="14.25" customHeight="1">
      <c r="A19" s="24" t="s">
        <v>3262</v>
      </c>
      <c r="B19" s="24">
        <v>8.0</v>
      </c>
      <c r="C19" s="347">
        <v>46069.0</v>
      </c>
      <c r="D19" s="24" t="s">
        <v>3268</v>
      </c>
    </row>
    <row r="20" ht="14.25" customHeight="1">
      <c r="A20" s="24" t="s">
        <v>587</v>
      </c>
      <c r="B20" s="348">
        <v>4119.0</v>
      </c>
      <c r="C20" s="347">
        <v>46069.0</v>
      </c>
      <c r="D20" s="24" t="s">
        <v>3272</v>
      </c>
    </row>
    <row r="21" ht="14.25" customHeight="1">
      <c r="A21" s="348" t="s">
        <v>596</v>
      </c>
      <c r="B21" s="348">
        <v>550.0</v>
      </c>
      <c r="C21" s="347">
        <v>46069.0</v>
      </c>
      <c r="D21" s="24" t="s">
        <v>3276</v>
      </c>
    </row>
    <row r="22" ht="14.25" customHeight="1">
      <c r="A22" s="24" t="s">
        <v>3278</v>
      </c>
      <c r="B22" s="346">
        <v>100180.0</v>
      </c>
      <c r="C22" s="347">
        <v>46069.0</v>
      </c>
      <c r="D22" s="24" t="s">
        <v>3280</v>
      </c>
    </row>
    <row r="23" ht="14.25" customHeight="1">
      <c r="A23" s="24" t="s">
        <v>3262</v>
      </c>
      <c r="B23" s="24">
        <v>440.0</v>
      </c>
      <c r="C23" s="347">
        <v>46076.0</v>
      </c>
      <c r="D23" s="24" t="s">
        <v>3283</v>
      </c>
    </row>
    <row r="24" ht="14.25" customHeight="1">
      <c r="A24" s="24" t="s">
        <v>3285</v>
      </c>
      <c r="B24" s="346">
        <v>124210.0</v>
      </c>
      <c r="C24" s="347">
        <v>46076.0</v>
      </c>
      <c r="D24" s="24" t="s">
        <v>3287</v>
      </c>
    </row>
    <row r="25" ht="14.25" customHeight="1">
      <c r="A25" s="24" t="s">
        <v>583</v>
      </c>
      <c r="B25" s="346">
        <v>10400.0</v>
      </c>
      <c r="C25" s="347">
        <v>46076.0</v>
      </c>
      <c r="D25" s="24" t="s">
        <v>3290</v>
      </c>
    </row>
    <row r="26" ht="14.25" customHeight="1">
      <c r="A26" s="24" t="s">
        <v>552</v>
      </c>
      <c r="B26" s="346">
        <v>23000.0</v>
      </c>
      <c r="C26" s="347">
        <v>46076.0</v>
      </c>
      <c r="D26" s="24" t="s">
        <v>3293</v>
      </c>
    </row>
    <row r="27" ht="14.25" customHeight="1">
      <c r="A27" s="24" t="s">
        <v>3295</v>
      </c>
      <c r="B27" s="24">
        <v>2.599007504E9</v>
      </c>
      <c r="C27" s="347">
        <v>46076.0</v>
      </c>
      <c r="D27" s="24" t="s">
        <v>3297</v>
      </c>
    </row>
    <row r="28" ht="14.25" customHeight="1">
      <c r="A28" s="24" t="s">
        <v>3299</v>
      </c>
      <c r="B28" s="346">
        <v>156600.0</v>
      </c>
      <c r="C28" s="347">
        <v>46087.0</v>
      </c>
      <c r="D28" s="24" t="s">
        <v>3301</v>
      </c>
    </row>
    <row r="29" ht="14.25" customHeight="1">
      <c r="A29" s="24" t="s">
        <v>3303</v>
      </c>
      <c r="B29" s="346">
        <v>627830.0</v>
      </c>
      <c r="C29" s="347">
        <v>46090.0</v>
      </c>
      <c r="D29" s="24" t="s">
        <v>3304</v>
      </c>
    </row>
    <row r="30" ht="14.25" customHeight="1">
      <c r="A30" s="24" t="s">
        <v>3303</v>
      </c>
      <c r="B30" s="346">
        <v>627830.0</v>
      </c>
      <c r="C30" s="347">
        <v>46090.0</v>
      </c>
      <c r="D30" s="24" t="s">
        <v>3307</v>
      </c>
    </row>
    <row r="31" ht="14.25" customHeight="1">
      <c r="A31" s="24" t="s">
        <v>3309</v>
      </c>
      <c r="B31" s="346">
        <v>122390.0</v>
      </c>
      <c r="C31" s="347">
        <v>46094.0</v>
      </c>
      <c r="D31" s="24" t="s">
        <v>3311</v>
      </c>
    </row>
    <row r="32" ht="14.25" customHeight="1">
      <c r="A32" s="24" t="s">
        <v>3313</v>
      </c>
      <c r="B32" s="346">
        <v>2360.0</v>
      </c>
      <c r="C32" s="347">
        <v>46094.0</v>
      </c>
      <c r="D32" s="24" t="s">
        <v>3316</v>
      </c>
    </row>
    <row r="33" ht="14.25" customHeight="1">
      <c r="A33" s="24" t="s">
        <v>3319</v>
      </c>
      <c r="B33" s="346">
        <v>57280.0</v>
      </c>
      <c r="C33" s="347">
        <v>46094.0</v>
      </c>
      <c r="D33" s="24" t="s">
        <v>3322</v>
      </c>
    </row>
    <row r="34" ht="14.25" customHeight="1">
      <c r="A34" s="24" t="s">
        <v>3319</v>
      </c>
      <c r="B34" s="346">
        <v>19100.0</v>
      </c>
      <c r="C34" s="347">
        <v>46094.0</v>
      </c>
      <c r="D34" s="24" t="s">
        <v>3324</v>
      </c>
    </row>
    <row r="35" ht="14.25" customHeight="1">
      <c r="A35" s="24" t="s">
        <v>3244</v>
      </c>
      <c r="B35" s="346">
        <v>90000.0</v>
      </c>
      <c r="C35" s="347">
        <v>46094.0</v>
      </c>
      <c r="D35" s="24" t="s">
        <v>3326</v>
      </c>
    </row>
    <row r="36" ht="14.25" customHeight="1">
      <c r="A36" s="24" t="s">
        <v>564</v>
      </c>
      <c r="B36" s="346">
        <v>25100.0</v>
      </c>
      <c r="C36" s="349">
        <v>46094.0</v>
      </c>
      <c r="D36" s="24" t="s">
        <v>3330</v>
      </c>
    </row>
    <row r="37" ht="14.25" customHeight="1">
      <c r="A37" s="24" t="s">
        <v>3285</v>
      </c>
      <c r="B37" s="346">
        <v>250910.0</v>
      </c>
      <c r="C37" s="347">
        <v>46094.0</v>
      </c>
      <c r="D37" s="24" t="s">
        <v>3332</v>
      </c>
    </row>
    <row r="38" ht="14.25" customHeight="1">
      <c r="A38" s="24" t="s">
        <v>563</v>
      </c>
      <c r="B38" s="346">
        <v>24000.0</v>
      </c>
      <c r="C38" s="347">
        <v>46094.0</v>
      </c>
      <c r="D38" s="24" t="s">
        <v>3334</v>
      </c>
    </row>
    <row r="39" ht="14.25" customHeight="1">
      <c r="A39" s="24" t="s">
        <v>3285</v>
      </c>
      <c r="B39" s="346">
        <v>125110.0</v>
      </c>
      <c r="C39" s="347">
        <v>46094.0</v>
      </c>
      <c r="D39" s="24" t="s">
        <v>3335</v>
      </c>
    </row>
    <row r="40" ht="14.25" customHeight="1">
      <c r="A40" s="24" t="s">
        <v>3337</v>
      </c>
      <c r="B40" s="346">
        <v>6966.0</v>
      </c>
      <c r="C40" s="347">
        <v>46094.0</v>
      </c>
      <c r="D40" s="24" t="s">
        <v>3338</v>
      </c>
    </row>
    <row r="41" ht="14.25" customHeight="1">
      <c r="A41" s="24" t="s">
        <v>3340</v>
      </c>
      <c r="B41" s="346">
        <v>138000.0</v>
      </c>
      <c r="C41" s="347">
        <v>46121.0</v>
      </c>
      <c r="D41" s="24" t="s">
        <v>3341</v>
      </c>
    </row>
    <row r="42" ht="14.25" customHeight="1">
      <c r="A42" s="24" t="s">
        <v>3343</v>
      </c>
      <c r="B42" s="24" t="s">
        <v>3344</v>
      </c>
      <c r="C42" s="347">
        <v>46121.0</v>
      </c>
      <c r="D42" s="24" t="s">
        <v>3346</v>
      </c>
    </row>
    <row r="43" ht="14.25" customHeight="1">
      <c r="A43" s="24" t="s">
        <v>3348</v>
      </c>
      <c r="B43" s="24">
        <v>100.0</v>
      </c>
      <c r="C43" s="347">
        <v>46121.0</v>
      </c>
      <c r="D43" s="24" t="s">
        <v>3350</v>
      </c>
    </row>
    <row r="44" ht="14.25" customHeight="1">
      <c r="A44" s="24" t="s">
        <v>3348</v>
      </c>
      <c r="B44" s="24">
        <v>1000.0</v>
      </c>
      <c r="C44" s="347">
        <v>46121.0</v>
      </c>
      <c r="D44" s="24" t="s">
        <v>3350</v>
      </c>
    </row>
    <row r="45" ht="14.25" customHeight="1">
      <c r="A45" s="24" t="s">
        <v>624</v>
      </c>
      <c r="B45" s="24">
        <v>6.0</v>
      </c>
      <c r="C45" s="347">
        <v>46121.0</v>
      </c>
      <c r="D45" s="24" t="s">
        <v>3353</v>
      </c>
    </row>
    <row r="46" ht="14.25" customHeight="1">
      <c r="A46" s="24" t="s">
        <v>3354</v>
      </c>
      <c r="B46" s="346">
        <v>48600.0</v>
      </c>
      <c r="C46" s="347">
        <v>46126.0</v>
      </c>
      <c r="D46" s="24" t="s">
        <v>3356</v>
      </c>
    </row>
    <row r="47" ht="14.25" customHeight="1">
      <c r="A47" s="24" t="s">
        <v>3358</v>
      </c>
      <c r="B47" s="346">
        <v>90000.0</v>
      </c>
      <c r="C47" s="347">
        <v>46126.0</v>
      </c>
      <c r="D47" s="24" t="s">
        <v>3360</v>
      </c>
    </row>
    <row r="48" ht="14.25" customHeight="1">
      <c r="A48" s="24" t="s">
        <v>567</v>
      </c>
      <c r="B48" s="346">
        <v>16390.0</v>
      </c>
      <c r="C48" s="347">
        <v>46126.0</v>
      </c>
      <c r="D48" s="24" t="s">
        <v>3363</v>
      </c>
    </row>
    <row r="49" ht="14.25" customHeight="1">
      <c r="A49" s="24" t="s">
        <v>611</v>
      </c>
      <c r="B49" s="24">
        <v>30.0</v>
      </c>
      <c r="C49" s="347">
        <v>46126.0</v>
      </c>
      <c r="D49" s="24" t="s">
        <v>3366</v>
      </c>
    </row>
    <row r="50" ht="14.25" customHeight="1">
      <c r="A50" s="24" t="s">
        <v>2497</v>
      </c>
      <c r="B50" s="24">
        <v>2.0</v>
      </c>
      <c r="C50" s="347">
        <v>46126.0</v>
      </c>
      <c r="D50" s="24" t="s">
        <v>3368</v>
      </c>
    </row>
    <row r="51" ht="14.25" customHeight="1">
      <c r="A51" s="24" t="s">
        <v>3369</v>
      </c>
      <c r="B51" s="24">
        <v>100.0</v>
      </c>
      <c r="C51" s="347">
        <v>46126.0</v>
      </c>
      <c r="D51" s="24" t="s">
        <v>3368</v>
      </c>
    </row>
    <row r="52" ht="14.25" customHeight="1">
      <c r="A52" s="24" t="s">
        <v>597</v>
      </c>
      <c r="B52" s="24">
        <v>500.0</v>
      </c>
      <c r="C52" s="347">
        <v>46126.0</v>
      </c>
      <c r="D52" s="24" t="s">
        <v>3368</v>
      </c>
    </row>
    <row r="53" ht="14.25" customHeight="1">
      <c r="A53" s="24" t="s">
        <v>3372</v>
      </c>
      <c r="B53" s="24">
        <v>10.0</v>
      </c>
      <c r="C53" s="347">
        <v>46126.0</v>
      </c>
      <c r="D53" s="24" t="s">
        <v>3374</v>
      </c>
    </row>
    <row r="54" ht="14.25" customHeight="1">
      <c r="A54" s="24" t="s">
        <v>3375</v>
      </c>
      <c r="B54" s="24">
        <v>40.0</v>
      </c>
      <c r="C54" s="347">
        <v>46126.0</v>
      </c>
      <c r="D54" s="24" t="s">
        <v>3374</v>
      </c>
    </row>
    <row r="55" ht="14.25" customHeight="1">
      <c r="A55" s="24" t="s">
        <v>527</v>
      </c>
      <c r="B55" s="346">
        <v>216000.0</v>
      </c>
      <c r="C55" s="347">
        <v>46139.0</v>
      </c>
      <c r="D55" s="24" t="s">
        <v>3378</v>
      </c>
    </row>
    <row r="56" ht="14.25" customHeight="1">
      <c r="A56" s="24" t="s">
        <v>3379</v>
      </c>
      <c r="B56" s="346">
        <v>96000.0</v>
      </c>
      <c r="C56" s="347">
        <v>46155.0</v>
      </c>
      <c r="D56" s="24" t="s">
        <v>3381</v>
      </c>
    </row>
    <row r="57" ht="14.25" customHeight="1">
      <c r="A57" s="24" t="s">
        <v>3383</v>
      </c>
      <c r="B57" s="24">
        <v>250.0</v>
      </c>
      <c r="C57" s="347"/>
      <c r="D57" s="24" t="s">
        <v>3385</v>
      </c>
    </row>
    <row r="58" ht="14.25" customHeight="1">
      <c r="A58" s="348" t="s">
        <v>3387</v>
      </c>
      <c r="B58" s="24">
        <v>7.5</v>
      </c>
      <c r="C58" s="347"/>
      <c r="D58" s="24" t="s">
        <v>3385</v>
      </c>
    </row>
    <row r="59" ht="14.25" customHeight="1">
      <c r="A59" s="348" t="s">
        <v>3389</v>
      </c>
      <c r="B59" s="24">
        <v>2.0</v>
      </c>
      <c r="C59" s="347"/>
      <c r="D59" s="24" t="s">
        <v>3385</v>
      </c>
    </row>
    <row r="60" ht="14.25" customHeight="1">
      <c r="A60" s="24" t="s">
        <v>3379</v>
      </c>
      <c r="B60" s="346">
        <v>96000.0</v>
      </c>
      <c r="C60" s="347"/>
      <c r="D60" s="24" t="s">
        <v>3390</v>
      </c>
    </row>
    <row r="61" ht="14.25" customHeight="1">
      <c r="A61" s="24" t="s">
        <v>539</v>
      </c>
      <c r="B61" s="346">
        <v>72600.0</v>
      </c>
      <c r="C61" s="347"/>
      <c r="D61" s="24" t="s">
        <v>3393</v>
      </c>
    </row>
    <row r="62" ht="14.25" customHeight="1">
      <c r="A62" s="24" t="s">
        <v>3379</v>
      </c>
      <c r="B62" s="346">
        <v>24000.0</v>
      </c>
      <c r="C62" s="347"/>
      <c r="D62" s="24" t="s">
        <v>3395</v>
      </c>
    </row>
    <row r="63" ht="14.25" customHeight="1">
      <c r="A63" s="24" t="s">
        <v>3397</v>
      </c>
      <c r="B63" s="346">
        <v>190400.0</v>
      </c>
      <c r="C63" s="347"/>
      <c r="D63" s="24" t="s">
        <v>3398</v>
      </c>
    </row>
    <row r="64" ht="14.25" customHeight="1">
      <c r="A64" s="24" t="s">
        <v>3400</v>
      </c>
      <c r="B64" s="346">
        <v>1809.0</v>
      </c>
      <c r="C64" s="347">
        <v>46155.0</v>
      </c>
      <c r="D64" s="24" t="s">
        <v>3401</v>
      </c>
    </row>
    <row r="65" ht="14.25" customHeight="1">
      <c r="A65" s="24" t="s">
        <v>598</v>
      </c>
      <c r="B65" s="24">
        <v>45.0</v>
      </c>
      <c r="C65" s="347">
        <v>46157.0</v>
      </c>
      <c r="D65" s="24" t="s">
        <v>3405</v>
      </c>
    </row>
    <row r="66" ht="14.25" customHeight="1">
      <c r="A66" s="24" t="s">
        <v>3319</v>
      </c>
      <c r="B66" s="346">
        <v>115000.0</v>
      </c>
      <c r="C66" s="347">
        <v>46157.0</v>
      </c>
      <c r="D66" s="24" t="s">
        <v>3407</v>
      </c>
    </row>
    <row r="67" ht="14.25" customHeight="1">
      <c r="A67" s="24" t="s">
        <v>3409</v>
      </c>
      <c r="B67" s="346">
        <v>123850.0</v>
      </c>
      <c r="C67" s="347">
        <v>46197.0</v>
      </c>
      <c r="D67" s="24" t="s">
        <v>3410</v>
      </c>
    </row>
    <row r="68" ht="14.25" customHeight="1">
      <c r="A68" s="24" t="s">
        <v>3411</v>
      </c>
      <c r="B68" s="346">
        <v>197760.0</v>
      </c>
      <c r="C68" s="347">
        <v>46197.0</v>
      </c>
      <c r="D68" s="24" t="s">
        <v>3412</v>
      </c>
    </row>
    <row r="69" ht="14.25" customHeight="1">
      <c r="A69" s="24" t="s">
        <v>527</v>
      </c>
      <c r="B69" s="346">
        <v>353340.0</v>
      </c>
      <c r="C69" s="347">
        <v>46206.0</v>
      </c>
      <c r="D69" s="24" t="s">
        <v>3415</v>
      </c>
    </row>
    <row r="70" ht="14.25" customHeight="1">
      <c r="A70" s="24" t="s">
        <v>527</v>
      </c>
      <c r="B70" s="346">
        <v>434880.0</v>
      </c>
      <c r="D70" s="24" t="s">
        <v>3417</v>
      </c>
    </row>
    <row r="71" ht="14.25" customHeight="1">
      <c r="A71" s="24" t="s">
        <v>591</v>
      </c>
      <c r="B71" s="24">
        <v>875.0</v>
      </c>
      <c r="D71" s="24" t="s">
        <v>3418</v>
      </c>
    </row>
    <row r="72" ht="14.25" customHeight="1">
      <c r="A72" s="24" t="s">
        <v>3420</v>
      </c>
      <c r="B72" s="24">
        <v>875.0</v>
      </c>
      <c r="C72" s="347">
        <v>46206.0</v>
      </c>
      <c r="D72" s="24" t="s">
        <v>3422</v>
      </c>
    </row>
    <row r="73" ht="14.25" customHeight="1">
      <c r="A73" s="24" t="s">
        <v>3424</v>
      </c>
      <c r="B73" s="346">
        <v>592500.0</v>
      </c>
      <c r="D73" s="24" t="s">
        <v>3426</v>
      </c>
    </row>
    <row r="74" ht="14.25" customHeight="1">
      <c r="A74" s="24" t="s">
        <v>3424</v>
      </c>
      <c r="B74" s="346">
        <v>592500.0</v>
      </c>
      <c r="D74" s="24" t="s">
        <v>3429</v>
      </c>
    </row>
    <row r="75" ht="14.25" customHeight="1">
      <c r="A75" s="24" t="s">
        <v>3424</v>
      </c>
      <c r="B75" s="346">
        <v>592500.0</v>
      </c>
      <c r="D75" s="24" t="s">
        <v>3430</v>
      </c>
    </row>
    <row r="76" ht="14.25" customHeight="1">
      <c r="A76" s="24" t="s">
        <v>3383</v>
      </c>
      <c r="B76" s="24">
        <v>10.0</v>
      </c>
      <c r="D76" s="24" t="s">
        <v>3432</v>
      </c>
    </row>
    <row r="77" ht="14.25" customHeight="1">
      <c r="A77" s="24" t="s">
        <v>3433</v>
      </c>
      <c r="B77" s="24">
        <v>90.0</v>
      </c>
      <c r="D77" s="24" t="s">
        <v>3434</v>
      </c>
    </row>
    <row r="78" ht="14.25" customHeight="1">
      <c r="A78" s="24" t="s">
        <v>3433</v>
      </c>
      <c r="B78" s="24">
        <v>90.0</v>
      </c>
      <c r="D78" s="24" t="s">
        <v>3437</v>
      </c>
    </row>
    <row r="79" ht="14.25" customHeight="1">
      <c r="A79" s="24" t="s">
        <v>3438</v>
      </c>
      <c r="B79" s="24">
        <v>400.0</v>
      </c>
      <c r="D79" s="24" t="s">
        <v>3439</v>
      </c>
    </row>
    <row r="80" ht="14.25" customHeight="1">
      <c r="A80" s="24" t="s">
        <v>3438</v>
      </c>
      <c r="B80" s="24">
        <v>400.0</v>
      </c>
      <c r="D80" s="24" t="s">
        <v>3441</v>
      </c>
    </row>
    <row r="81" ht="14.25" customHeight="1">
      <c r="A81" s="24" t="s">
        <v>3442</v>
      </c>
      <c r="B81" s="346">
        <v>9656.8</v>
      </c>
      <c r="C81" s="347">
        <v>46206.0</v>
      </c>
      <c r="D81" s="24" t="s">
        <v>3444</v>
      </c>
    </row>
    <row r="82" ht="14.25" customHeight="1">
      <c r="A82" s="24" t="s">
        <v>3411</v>
      </c>
      <c r="B82" s="346">
        <v>24310.0</v>
      </c>
      <c r="D82" s="24" t="s">
        <v>3446</v>
      </c>
    </row>
    <row r="83" ht="14.25" customHeight="1">
      <c r="A83" s="24" t="s">
        <v>3447</v>
      </c>
      <c r="B83" s="24">
        <v>45.0</v>
      </c>
      <c r="D83" s="24" t="s">
        <v>3448</v>
      </c>
    </row>
    <row r="84" ht="14.25" customHeight="1">
      <c r="A84" s="24" t="s">
        <v>539</v>
      </c>
      <c r="B84" s="346">
        <v>75000.0</v>
      </c>
      <c r="D84" s="24" t="s">
        <v>3450</v>
      </c>
    </row>
    <row r="85" ht="14.25" customHeight="1">
      <c r="A85" s="24" t="s">
        <v>527</v>
      </c>
      <c r="B85" s="346">
        <v>434880.0</v>
      </c>
      <c r="D85" s="24" t="s">
        <v>3450</v>
      </c>
    </row>
    <row r="86" ht="14.25" customHeight="1">
      <c r="A86" s="24" t="s">
        <v>3454</v>
      </c>
      <c r="B86" s="346">
        <v>102800.0</v>
      </c>
      <c r="D86" s="24" t="s">
        <v>3455</v>
      </c>
    </row>
    <row r="87" ht="14.25" customHeight="1">
      <c r="A87" s="24" t="s">
        <v>3411</v>
      </c>
      <c r="B87" s="346">
        <v>72720.0</v>
      </c>
      <c r="D87" s="24" t="s">
        <v>3457</v>
      </c>
    </row>
    <row r="88" ht="14.25" customHeight="1">
      <c r="A88" s="24" t="s">
        <v>3411</v>
      </c>
      <c r="B88" s="346">
        <v>121980.0</v>
      </c>
      <c r="D88" s="24" t="s">
        <v>3461</v>
      </c>
    </row>
    <row r="89" ht="14.25" customHeight="1">
      <c r="A89" s="24" t="s">
        <v>3285</v>
      </c>
      <c r="B89" s="346">
        <v>49950.0</v>
      </c>
      <c r="D89" s="24" t="s">
        <v>3463</v>
      </c>
    </row>
    <row r="90" ht="14.25" customHeight="1">
      <c r="A90" s="24" t="s">
        <v>3465</v>
      </c>
      <c r="B90" s="346">
        <v>3819.161</v>
      </c>
      <c r="C90" s="347">
        <v>46206.0</v>
      </c>
      <c r="D90" s="24" t="s">
        <v>3467</v>
      </c>
    </row>
    <row r="91" ht="14.25" customHeight="1">
      <c r="A91" s="24" t="s">
        <v>3468</v>
      </c>
      <c r="B91" s="24">
        <v>650.0</v>
      </c>
      <c r="C91" s="347">
        <v>46212.0</v>
      </c>
      <c r="D91" s="24" t="s">
        <v>3470</v>
      </c>
    </row>
    <row r="92" ht="14.25" customHeight="1">
      <c r="A92" s="24" t="s">
        <v>3472</v>
      </c>
      <c r="B92" s="346">
        <v>6150.0</v>
      </c>
      <c r="C92" s="347">
        <v>46212.0</v>
      </c>
      <c r="D92" s="24" t="s">
        <v>3474</v>
      </c>
    </row>
    <row r="93" ht="14.25" customHeight="1">
      <c r="A93" s="24" t="s">
        <v>3475</v>
      </c>
      <c r="B93" s="350">
        <v>322900.0</v>
      </c>
      <c r="C93" s="347">
        <v>46216.0</v>
      </c>
      <c r="D93" s="24" t="s">
        <v>3479</v>
      </c>
    </row>
    <row r="94" ht="14.25" customHeight="1">
      <c r="A94" s="24" t="s">
        <v>3481</v>
      </c>
      <c r="B94" s="346">
        <v>205220.0</v>
      </c>
      <c r="C94" s="347">
        <v>46216.0</v>
      </c>
      <c r="D94" s="24" t="s">
        <v>3482</v>
      </c>
    </row>
    <row r="95" ht="14.25" customHeight="1">
      <c r="A95" s="24" t="s">
        <v>3411</v>
      </c>
      <c r="B95" s="346">
        <v>98380.0</v>
      </c>
      <c r="C95" s="347">
        <v>46223.0</v>
      </c>
      <c r="D95" s="24" t="s">
        <v>3484</v>
      </c>
    </row>
    <row r="96" ht="14.25" customHeight="1">
      <c r="A96" s="24" t="s">
        <v>3487</v>
      </c>
      <c r="B96" s="346">
        <v>1534.0</v>
      </c>
      <c r="D96" s="24" t="s">
        <v>3488</v>
      </c>
    </row>
    <row r="97" ht="14.25" customHeight="1">
      <c r="A97" s="24" t="s">
        <v>3490</v>
      </c>
      <c r="B97" s="346">
        <v>14850.0</v>
      </c>
      <c r="C97" s="347">
        <v>46223.0</v>
      </c>
      <c r="D97" s="24" t="s">
        <v>3492</v>
      </c>
    </row>
    <row r="98" ht="14.25" customHeight="1">
      <c r="A98" s="24" t="s">
        <v>3494</v>
      </c>
      <c r="B98" s="351">
        <v>617800.0</v>
      </c>
      <c r="C98" s="352">
        <v>46262.0</v>
      </c>
      <c r="D98" s="24" t="s">
        <v>3496</v>
      </c>
    </row>
    <row r="99" ht="14.25" customHeight="1">
      <c r="A99" s="24" t="s">
        <v>3498</v>
      </c>
      <c r="B99" s="346">
        <v>148.0</v>
      </c>
      <c r="C99" s="352">
        <v>46262.0</v>
      </c>
      <c r="D99" s="24" t="s">
        <v>3499</v>
      </c>
    </row>
    <row r="100" ht="14.25" customHeight="1">
      <c r="A100" s="24" t="s">
        <v>3500</v>
      </c>
      <c r="B100" s="351">
        <v>146210.0</v>
      </c>
      <c r="C100" s="352">
        <v>46262.0</v>
      </c>
      <c r="D100" s="24" t="s">
        <v>3503</v>
      </c>
    </row>
    <row r="101" ht="14.25" customHeight="1">
      <c r="A101" s="24" t="s">
        <v>623</v>
      </c>
      <c r="B101" s="346">
        <v>3.0</v>
      </c>
      <c r="C101" s="352">
        <v>46266.0</v>
      </c>
      <c r="D101" s="24" t="s">
        <v>3504</v>
      </c>
    </row>
    <row r="102" ht="14.25" customHeight="1">
      <c r="A102" s="24" t="s">
        <v>623</v>
      </c>
      <c r="B102" s="351">
        <v>3.0</v>
      </c>
      <c r="C102" s="352">
        <v>46266.0</v>
      </c>
      <c r="D102" s="24" t="s">
        <v>3506</v>
      </c>
    </row>
    <row r="103" ht="14.25" customHeight="1">
      <c r="A103" s="24" t="s">
        <v>623</v>
      </c>
      <c r="B103" s="346">
        <v>3.0</v>
      </c>
      <c r="C103" s="352">
        <v>46266.0</v>
      </c>
      <c r="D103" s="24" t="s">
        <v>3508</v>
      </c>
    </row>
    <row r="104" ht="14.25" customHeight="1">
      <c r="A104" s="24" t="s">
        <v>598</v>
      </c>
      <c r="B104" s="351">
        <v>454.0</v>
      </c>
      <c r="C104" s="352">
        <v>46266.0</v>
      </c>
      <c r="D104" s="24" t="s">
        <v>3509</v>
      </c>
    </row>
    <row r="105" ht="14.25" customHeight="1">
      <c r="A105" s="24" t="s">
        <v>540</v>
      </c>
      <c r="B105" s="351">
        <v>402000.0</v>
      </c>
      <c r="C105" s="352">
        <v>46272.0</v>
      </c>
      <c r="D105" s="24" t="s">
        <v>3510</v>
      </c>
    </row>
    <row r="106" ht="14.25" customHeight="1">
      <c r="A106" s="24" t="s">
        <v>563</v>
      </c>
      <c r="B106" s="351">
        <v>24587.2</v>
      </c>
      <c r="C106" s="352">
        <v>46272.0</v>
      </c>
      <c r="D106" s="24" t="s">
        <v>3512</v>
      </c>
    </row>
    <row r="107" ht="14.25" customHeight="1">
      <c r="A107" s="24" t="s">
        <v>3379</v>
      </c>
      <c r="B107" s="351">
        <v>415650.0</v>
      </c>
      <c r="C107" s="352">
        <v>46272.0</v>
      </c>
      <c r="D107" s="24" t="s">
        <v>3513</v>
      </c>
    </row>
    <row r="108" ht="14.25" customHeight="1">
      <c r="A108" s="24" t="s">
        <v>853</v>
      </c>
      <c r="B108" s="351">
        <v>102578.0</v>
      </c>
      <c r="C108" s="352">
        <v>46272.0</v>
      </c>
      <c r="D108" s="24" t="s">
        <v>3514</v>
      </c>
    </row>
    <row r="109" ht="14.25" customHeight="1">
      <c r="A109" s="24" t="s">
        <v>3515</v>
      </c>
      <c r="B109" s="351">
        <v>451933.0</v>
      </c>
      <c r="C109" s="352">
        <v>46272.0</v>
      </c>
      <c r="D109" s="24" t="s">
        <v>3516</v>
      </c>
    </row>
    <row r="110" ht="14.25" customHeight="1">
      <c r="A110" s="24" t="s">
        <v>3517</v>
      </c>
      <c r="B110" s="351">
        <v>678150.0</v>
      </c>
      <c r="C110" s="352">
        <v>46272.0</v>
      </c>
      <c r="D110" s="24" t="s">
        <v>3519</v>
      </c>
    </row>
    <row r="111" ht="14.25" customHeight="1">
      <c r="A111" s="24" t="s">
        <v>3520</v>
      </c>
      <c r="B111" s="351">
        <v>406890.0</v>
      </c>
      <c r="C111" s="352">
        <v>46272.0</v>
      </c>
      <c r="D111" s="24" t="s">
        <v>3522</v>
      </c>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2"/>
  </mergeCells>
  <printOptions horizontalCentered="1"/>
  <pageMargins bottom="0.5555555555555556" footer="0.0" header="0.0" left="0.5" right="0.5" top="0.5555555555555556"/>
  <pageSetup fitToHeight="0" paperSize="9" orientation="portrait"/>
  <headerFooter>
    <oddFooter>&amp;LERRS – CMU Database 2026 | &amp;A&amp;CPage &amp;P of &amp;RPrinted &amp;D</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pageSetUpPr fitToPage="1"/>
  </sheetPr>
  <sheetViews>
    <sheetView showGridLines="0" workbookViewId="0"/>
  </sheetViews>
  <sheetFormatPr customHeight="1" defaultColWidth="14.43" defaultRowHeight="15.0"/>
  <cols>
    <col customWidth="1" min="1" max="1" width="38.71"/>
    <col customWidth="1" min="2" max="2" width="21.0"/>
    <col customWidth="1" min="3" max="3" width="36.71"/>
    <col customWidth="1" min="4" max="4" width="17.29"/>
    <col customWidth="1" min="5" max="5" width="20.86"/>
    <col customWidth="1" min="6" max="26" width="8.71"/>
  </cols>
  <sheetData>
    <row r="1" ht="14.25" customHeight="1">
      <c r="A1" s="354" t="s">
        <v>3736</v>
      </c>
      <c r="D1" s="10"/>
      <c r="E1" s="10"/>
    </row>
    <row r="2" ht="14.25" customHeight="1">
      <c r="A2" s="355" t="s">
        <v>218</v>
      </c>
      <c r="B2" s="356" t="s">
        <v>3748</v>
      </c>
      <c r="C2" s="356" t="s">
        <v>3751</v>
      </c>
      <c r="D2" s="357" t="s">
        <v>3752</v>
      </c>
      <c r="E2" s="357" t="s">
        <v>553</v>
      </c>
    </row>
    <row r="3" ht="14.25" customHeight="1">
      <c r="A3" s="358" t="s">
        <v>3756</v>
      </c>
      <c r="B3" s="359">
        <v>233651.0</v>
      </c>
      <c r="C3" s="360" t="s">
        <v>3762</v>
      </c>
      <c r="D3" s="361">
        <v>46036.0</v>
      </c>
      <c r="E3" s="362">
        <v>4065.0</v>
      </c>
      <c r="F3" s="10"/>
    </row>
    <row r="4" ht="14.25" customHeight="1">
      <c r="A4" s="358" t="s">
        <v>3771</v>
      </c>
      <c r="B4" s="359">
        <v>6100.0</v>
      </c>
      <c r="C4" s="360" t="s">
        <v>3772</v>
      </c>
      <c r="D4" s="361">
        <v>46042.0</v>
      </c>
      <c r="E4" s="362">
        <v>4079.0</v>
      </c>
      <c r="F4" s="10"/>
    </row>
    <row r="5" ht="14.25" customHeight="1">
      <c r="A5" s="358" t="s">
        <v>3771</v>
      </c>
      <c r="B5" s="359">
        <v>5050.0</v>
      </c>
      <c r="C5" s="360" t="s">
        <v>3776</v>
      </c>
      <c r="D5" s="361">
        <v>46037.0</v>
      </c>
      <c r="E5" s="362">
        <v>4066.0</v>
      </c>
      <c r="F5" s="10"/>
    </row>
    <row r="6" ht="14.25" customHeight="1">
      <c r="A6" s="358" t="s">
        <v>3756</v>
      </c>
      <c r="B6" s="359">
        <v>3050.0</v>
      </c>
      <c r="C6" s="360" t="s">
        <v>3779</v>
      </c>
      <c r="D6" s="363">
        <v>46217.0</v>
      </c>
      <c r="E6" s="362">
        <v>4685.0</v>
      </c>
      <c r="F6" s="10"/>
    </row>
    <row r="7" ht="14.25" customHeight="1">
      <c r="A7" s="358" t="s">
        <v>3783</v>
      </c>
      <c r="B7" s="359">
        <v>4360.0</v>
      </c>
      <c r="C7" s="360" t="s">
        <v>3785</v>
      </c>
      <c r="D7" s="363">
        <v>46233.0</v>
      </c>
      <c r="E7" s="362">
        <v>4708.0</v>
      </c>
      <c r="F7" s="10"/>
    </row>
    <row r="8" ht="14.25" customHeight="1">
      <c r="A8" s="358" t="s">
        <v>781</v>
      </c>
      <c r="B8" s="359">
        <v>1500.0</v>
      </c>
      <c r="C8" s="360" t="s">
        <v>3762</v>
      </c>
      <c r="D8" s="361">
        <v>46014.0</v>
      </c>
      <c r="E8" s="362">
        <v>4032.0</v>
      </c>
      <c r="F8" s="10"/>
    </row>
    <row r="9" ht="14.25" customHeight="1">
      <c r="A9" s="358" t="s">
        <v>880</v>
      </c>
      <c r="B9" s="364">
        <v>1500.0</v>
      </c>
      <c r="C9" s="360" t="s">
        <v>3762</v>
      </c>
      <c r="D9" s="361">
        <v>46036.0</v>
      </c>
      <c r="E9" s="362">
        <v>4061.0</v>
      </c>
      <c r="F9" s="10"/>
    </row>
    <row r="10" ht="14.25" customHeight="1">
      <c r="A10" s="358" t="s">
        <v>892</v>
      </c>
      <c r="B10" s="359">
        <v>2000.0</v>
      </c>
      <c r="C10" s="360" t="s">
        <v>1696</v>
      </c>
      <c r="D10" s="363">
        <v>46143.0</v>
      </c>
      <c r="E10" s="362">
        <v>4546.0</v>
      </c>
      <c r="F10" s="10"/>
    </row>
    <row r="11" ht="14.25" customHeight="1">
      <c r="A11" s="358" t="s">
        <v>896</v>
      </c>
      <c r="B11" s="364">
        <v>4550.0</v>
      </c>
      <c r="C11" s="360" t="s">
        <v>3804</v>
      </c>
      <c r="D11" s="363">
        <v>46150.0</v>
      </c>
      <c r="E11" s="362">
        <v>4463.0</v>
      </c>
      <c r="F11" s="10"/>
    </row>
    <row r="12" ht="14.25" customHeight="1">
      <c r="A12" s="358" t="s">
        <v>901</v>
      </c>
      <c r="B12" s="359">
        <v>1500.0</v>
      </c>
      <c r="C12" s="360" t="s">
        <v>3806</v>
      </c>
      <c r="D12" s="361">
        <v>46052.0</v>
      </c>
      <c r="E12" s="362">
        <v>4054.0</v>
      </c>
      <c r="F12" s="10"/>
    </row>
    <row r="13" ht="14.25" customHeight="1">
      <c r="A13" s="358" t="s">
        <v>905</v>
      </c>
      <c r="B13" s="359">
        <v>1500.0</v>
      </c>
      <c r="C13" s="360" t="s">
        <v>3785</v>
      </c>
      <c r="D13" s="363">
        <v>46105.0</v>
      </c>
      <c r="E13" s="362">
        <v>4290.0</v>
      </c>
      <c r="F13" s="10"/>
    </row>
    <row r="14" ht="14.25" customHeight="1">
      <c r="A14" s="358" t="s">
        <v>3811</v>
      </c>
      <c r="B14" s="365">
        <v>275.0</v>
      </c>
      <c r="C14" s="360" t="s">
        <v>1645</v>
      </c>
      <c r="D14" s="361">
        <v>46056.0</v>
      </c>
      <c r="E14" s="362">
        <v>4175.0</v>
      </c>
      <c r="F14" s="10"/>
    </row>
    <row r="15" ht="14.25" customHeight="1">
      <c r="A15" s="358" t="s">
        <v>3818</v>
      </c>
      <c r="B15" s="365">
        <v>275.0</v>
      </c>
      <c r="C15" s="360" t="s">
        <v>1645</v>
      </c>
      <c r="D15" s="361">
        <v>46048.0</v>
      </c>
      <c r="E15" s="362">
        <v>4096.0</v>
      </c>
      <c r="F15" s="10"/>
    </row>
    <row r="16" ht="14.25" customHeight="1">
      <c r="A16" s="358" t="s">
        <v>796</v>
      </c>
      <c r="B16" s="359">
        <v>1500.0</v>
      </c>
      <c r="C16" s="360" t="s">
        <v>3806</v>
      </c>
      <c r="D16" s="361">
        <v>46065.0</v>
      </c>
      <c r="E16" s="362">
        <v>4210.0</v>
      </c>
      <c r="F16" s="10"/>
    </row>
    <row r="17" ht="14.25" customHeight="1">
      <c r="A17" s="358" t="s">
        <v>907</v>
      </c>
      <c r="B17" s="365">
        <v>500.0</v>
      </c>
      <c r="C17" s="360" t="s">
        <v>3806</v>
      </c>
      <c r="D17" s="363">
        <v>46056.0</v>
      </c>
      <c r="E17" s="362">
        <v>4173.0</v>
      </c>
      <c r="F17" s="10"/>
    </row>
    <row r="18" ht="14.25" customHeight="1">
      <c r="A18" s="358" t="s">
        <v>914</v>
      </c>
      <c r="B18" s="359">
        <v>4550.0</v>
      </c>
      <c r="C18" s="360" t="s">
        <v>3804</v>
      </c>
      <c r="D18" s="363">
        <v>46112.0</v>
      </c>
      <c r="E18" s="362">
        <v>4297.0</v>
      </c>
      <c r="F18" s="10"/>
    </row>
    <row r="19" ht="14.25" customHeight="1">
      <c r="A19" s="358" t="s">
        <v>918</v>
      </c>
      <c r="B19" s="359">
        <v>8500.0</v>
      </c>
      <c r="C19" s="360" t="s">
        <v>3827</v>
      </c>
      <c r="D19" s="363">
        <v>46175.0</v>
      </c>
      <c r="E19" s="362">
        <v>4565.0</v>
      </c>
      <c r="F19" s="10"/>
    </row>
    <row r="20" ht="14.25" customHeight="1">
      <c r="A20" s="358" t="s">
        <v>921</v>
      </c>
      <c r="B20" s="364">
        <v>1500.0</v>
      </c>
      <c r="C20" s="360" t="s">
        <v>3806</v>
      </c>
      <c r="D20" s="363">
        <v>46199.0</v>
      </c>
      <c r="E20" s="362">
        <v>4635.0</v>
      </c>
      <c r="F20" s="10"/>
    </row>
    <row r="21" ht="14.25" customHeight="1">
      <c r="A21" s="358" t="s">
        <v>924</v>
      </c>
      <c r="B21" s="359">
        <v>6000.0</v>
      </c>
      <c r="C21" s="360" t="s">
        <v>3833</v>
      </c>
      <c r="D21" s="362" t="s">
        <v>3834</v>
      </c>
      <c r="E21" s="362">
        <v>4216.0</v>
      </c>
      <c r="F21" s="10"/>
    </row>
    <row r="22" ht="14.25" customHeight="1">
      <c r="A22" s="358" t="s">
        <v>924</v>
      </c>
      <c r="B22" s="359">
        <v>6150.0</v>
      </c>
      <c r="C22" s="360" t="s">
        <v>3833</v>
      </c>
      <c r="D22" s="362" t="s">
        <v>3837</v>
      </c>
      <c r="E22" s="362">
        <v>4127.0</v>
      </c>
      <c r="F22" s="10"/>
    </row>
    <row r="23" ht="14.25" customHeight="1">
      <c r="A23" s="358" t="s">
        <v>3839</v>
      </c>
      <c r="B23" s="359">
        <v>4550.0</v>
      </c>
      <c r="C23" s="360" t="s">
        <v>3804</v>
      </c>
      <c r="D23" s="363">
        <v>46065.0</v>
      </c>
      <c r="E23" s="362">
        <v>4209.0</v>
      </c>
      <c r="F23" s="10"/>
    </row>
    <row r="24" ht="14.25" customHeight="1">
      <c r="A24" s="358" t="s">
        <v>927</v>
      </c>
      <c r="B24" s="359">
        <v>2500.0</v>
      </c>
      <c r="C24" s="360" t="s">
        <v>3804</v>
      </c>
      <c r="D24" s="363">
        <v>46150.0</v>
      </c>
      <c r="E24" s="362">
        <v>4459.0</v>
      </c>
      <c r="F24" s="10"/>
    </row>
    <row r="25" ht="14.25" customHeight="1">
      <c r="A25" s="358" t="s">
        <v>3845</v>
      </c>
      <c r="B25" s="364">
        <v>1500.0</v>
      </c>
      <c r="C25" s="365" t="s">
        <v>3806</v>
      </c>
      <c r="D25" s="363">
        <v>46099.0</v>
      </c>
      <c r="E25" s="362">
        <v>4281.0</v>
      </c>
      <c r="F25" s="10"/>
    </row>
    <row r="26" ht="14.25" customHeight="1">
      <c r="A26" s="358" t="s">
        <v>932</v>
      </c>
      <c r="B26" s="359">
        <v>3050.0</v>
      </c>
      <c r="C26" s="365" t="s">
        <v>3772</v>
      </c>
      <c r="D26" s="363">
        <v>46094.0</v>
      </c>
      <c r="E26" s="362">
        <v>4273.0</v>
      </c>
      <c r="F26" s="10"/>
    </row>
    <row r="27" ht="14.25" customHeight="1">
      <c r="A27" s="358" t="s">
        <v>3849</v>
      </c>
      <c r="B27" s="359">
        <v>2500.0</v>
      </c>
      <c r="C27" s="365" t="s">
        <v>3804</v>
      </c>
      <c r="D27" s="363" t="s">
        <v>3852</v>
      </c>
      <c r="E27" s="362">
        <v>3926.0</v>
      </c>
      <c r="F27" s="10"/>
    </row>
    <row r="28" ht="14.25" customHeight="1">
      <c r="A28" s="358" t="s">
        <v>935</v>
      </c>
      <c r="B28" s="365">
        <v>200.0</v>
      </c>
      <c r="C28" s="365" t="s">
        <v>3806</v>
      </c>
      <c r="D28" s="363">
        <v>46114.0</v>
      </c>
      <c r="E28" s="362">
        <v>4107.0</v>
      </c>
      <c r="F28" s="10"/>
    </row>
    <row r="29" ht="14.25" customHeight="1">
      <c r="A29" s="358" t="s">
        <v>939</v>
      </c>
      <c r="B29" s="359">
        <v>2760.0</v>
      </c>
      <c r="C29" s="365" t="s">
        <v>3762</v>
      </c>
      <c r="D29" s="363">
        <v>46112.0</v>
      </c>
      <c r="E29" s="362">
        <v>4295.0</v>
      </c>
      <c r="F29" s="10"/>
    </row>
    <row r="30" ht="14.25" customHeight="1">
      <c r="A30" s="358" t="s">
        <v>3858</v>
      </c>
      <c r="B30" s="359">
        <v>1950.0</v>
      </c>
      <c r="C30" s="365" t="s">
        <v>3860</v>
      </c>
      <c r="D30" s="363">
        <v>46134.0</v>
      </c>
      <c r="E30" s="362">
        <v>4501.0</v>
      </c>
      <c r="F30" s="10"/>
    </row>
    <row r="31" ht="14.25" customHeight="1">
      <c r="A31" s="358" t="s">
        <v>942</v>
      </c>
      <c r="B31" s="359">
        <v>1500.0</v>
      </c>
      <c r="C31" s="358" t="s">
        <v>3806</v>
      </c>
      <c r="D31" s="363">
        <v>46163.0</v>
      </c>
      <c r="E31" s="362">
        <v>4488.0</v>
      </c>
      <c r="F31" s="10"/>
    </row>
    <row r="32" ht="14.25" customHeight="1">
      <c r="A32" s="358" t="s">
        <v>944</v>
      </c>
      <c r="B32" s="365">
        <v>275.0</v>
      </c>
      <c r="C32" s="358" t="s">
        <v>1645</v>
      </c>
      <c r="D32" s="363">
        <v>46116.0</v>
      </c>
      <c r="E32" s="362" t="s">
        <v>3865</v>
      </c>
      <c r="F32" s="10"/>
    </row>
    <row r="33" ht="14.25" customHeight="1">
      <c r="A33" s="358" t="s">
        <v>3869</v>
      </c>
      <c r="B33" s="359">
        <v>2500.0</v>
      </c>
      <c r="C33" s="358" t="s">
        <v>3804</v>
      </c>
      <c r="D33" s="363">
        <v>46125.0</v>
      </c>
      <c r="E33" s="362">
        <v>4513.0</v>
      </c>
      <c r="F33" s="10"/>
    </row>
    <row r="34" ht="14.25" customHeight="1">
      <c r="A34" s="358" t="s">
        <v>816</v>
      </c>
      <c r="B34" s="359">
        <v>1800.0</v>
      </c>
      <c r="C34" s="358" t="s">
        <v>3762</v>
      </c>
      <c r="D34" s="363">
        <v>46048.0</v>
      </c>
      <c r="E34" s="362">
        <v>4185.0</v>
      </c>
      <c r="F34" s="10"/>
    </row>
    <row r="35" ht="14.25" customHeight="1">
      <c r="A35" s="358" t="s">
        <v>826</v>
      </c>
      <c r="B35" s="359">
        <v>2500.0</v>
      </c>
      <c r="C35" s="358" t="s">
        <v>3762</v>
      </c>
      <c r="D35" s="363">
        <v>46099.0</v>
      </c>
      <c r="E35" s="362">
        <v>4280.0</v>
      </c>
      <c r="F35" s="10"/>
    </row>
    <row r="36" ht="14.25" customHeight="1">
      <c r="A36" s="358" t="s">
        <v>868</v>
      </c>
      <c r="B36" s="365">
        <v>750.0</v>
      </c>
      <c r="C36" s="358" t="s">
        <v>1696</v>
      </c>
      <c r="D36" s="363">
        <v>46226.0</v>
      </c>
      <c r="E36" s="362" t="s">
        <v>3878</v>
      </c>
      <c r="F36" s="10"/>
    </row>
    <row r="37" ht="14.25" customHeight="1">
      <c r="A37" s="358" t="s">
        <v>812</v>
      </c>
      <c r="B37" s="359">
        <v>2500.0</v>
      </c>
      <c r="C37" s="358" t="s">
        <v>3833</v>
      </c>
      <c r="D37" s="363">
        <v>46076.0</v>
      </c>
      <c r="E37" s="362">
        <v>4234.0</v>
      </c>
      <c r="F37" s="10"/>
    </row>
    <row r="38" ht="14.25" customHeight="1">
      <c r="A38" s="358" t="s">
        <v>952</v>
      </c>
      <c r="B38" s="365">
        <v>275.0</v>
      </c>
      <c r="C38" s="358" t="s">
        <v>3884</v>
      </c>
      <c r="D38" s="363">
        <v>46209.0</v>
      </c>
      <c r="E38" s="362">
        <v>4662.0</v>
      </c>
      <c r="F38" s="10"/>
    </row>
    <row r="39" ht="14.25" customHeight="1">
      <c r="A39" s="358" t="s">
        <v>845</v>
      </c>
      <c r="B39" s="359">
        <v>2775.0</v>
      </c>
      <c r="C39" s="358" t="s">
        <v>3889</v>
      </c>
      <c r="D39" s="363">
        <v>46062.0</v>
      </c>
      <c r="E39" s="362">
        <v>4191.0</v>
      </c>
      <c r="F39" s="10"/>
    </row>
    <row r="40" ht="14.25" customHeight="1">
      <c r="A40" s="358" t="s">
        <v>850</v>
      </c>
      <c r="B40" s="359">
        <v>1500.0</v>
      </c>
      <c r="C40" s="358" t="s">
        <v>3762</v>
      </c>
      <c r="D40" s="363">
        <v>46106.0</v>
      </c>
      <c r="E40" s="362">
        <v>4291.0</v>
      </c>
      <c r="F40" s="10"/>
    </row>
    <row r="41" ht="14.25" customHeight="1">
      <c r="A41" s="358" t="s">
        <v>954</v>
      </c>
      <c r="B41" s="359">
        <v>2500.0</v>
      </c>
      <c r="C41" s="358" t="s">
        <v>3833</v>
      </c>
      <c r="D41" s="363">
        <v>46143.0</v>
      </c>
      <c r="E41" s="362">
        <v>4544.0</v>
      </c>
      <c r="F41" s="10"/>
    </row>
    <row r="42" ht="14.25" customHeight="1">
      <c r="A42" s="358" t="s">
        <v>957</v>
      </c>
      <c r="B42" s="365">
        <v>275.0</v>
      </c>
      <c r="C42" s="358" t="s">
        <v>1645</v>
      </c>
      <c r="D42" s="363">
        <v>46188.0</v>
      </c>
      <c r="E42" s="362">
        <v>4595.0</v>
      </c>
      <c r="F42" s="10"/>
    </row>
    <row r="43" ht="14.25" customHeight="1">
      <c r="A43" s="358" t="s">
        <v>873</v>
      </c>
      <c r="B43" s="359">
        <v>2400.0</v>
      </c>
      <c r="C43" s="358" t="s">
        <v>1696</v>
      </c>
      <c r="D43" s="363">
        <v>46045.0</v>
      </c>
      <c r="E43" s="362">
        <v>4094.0</v>
      </c>
      <c r="F43" s="10"/>
    </row>
    <row r="44" ht="14.25" customHeight="1">
      <c r="A44" s="358" t="s">
        <v>841</v>
      </c>
      <c r="B44" s="359">
        <v>8550.0</v>
      </c>
      <c r="C44" s="358" t="s">
        <v>3833</v>
      </c>
      <c r="D44" s="363">
        <v>46056.0</v>
      </c>
      <c r="E44" s="362">
        <v>4164.0</v>
      </c>
      <c r="F44" s="10"/>
    </row>
    <row r="45" ht="14.25" customHeight="1">
      <c r="A45" s="358" t="s">
        <v>960</v>
      </c>
      <c r="B45" s="365">
        <v>275.0</v>
      </c>
      <c r="C45" s="358" t="s">
        <v>1645</v>
      </c>
      <c r="D45" s="363">
        <v>46155.0</v>
      </c>
      <c r="E45" s="362">
        <v>4475.0</v>
      </c>
      <c r="F45" s="10"/>
    </row>
    <row r="46" ht="14.25" customHeight="1">
      <c r="A46" s="358" t="s">
        <v>3905</v>
      </c>
      <c r="B46" s="364">
        <v>68140.0</v>
      </c>
      <c r="C46" s="358" t="s">
        <v>3907</v>
      </c>
      <c r="D46" s="352">
        <v>46065.0</v>
      </c>
      <c r="E46" s="362">
        <v>4208.0</v>
      </c>
      <c r="F46" s="10"/>
    </row>
    <row r="47" ht="14.25" customHeight="1">
      <c r="A47" s="10" t="s">
        <v>3911</v>
      </c>
      <c r="B47" s="366">
        <v>4951.0</v>
      </c>
      <c r="C47" s="10"/>
      <c r="D47" s="352">
        <v>46094.0</v>
      </c>
      <c r="E47" s="362">
        <v>4274.0</v>
      </c>
    </row>
    <row r="48" ht="14.25" customHeight="1">
      <c r="A48" s="10" t="s">
        <v>3917</v>
      </c>
      <c r="B48" s="346">
        <v>2500.0</v>
      </c>
      <c r="C48" s="10" t="s">
        <v>3804</v>
      </c>
      <c r="D48" s="352">
        <v>46044.0</v>
      </c>
      <c r="E48" s="362">
        <v>4089.0</v>
      </c>
    </row>
    <row r="49" ht="14.25" customHeight="1">
      <c r="C49" s="10"/>
      <c r="D49" s="10"/>
      <c r="E49" s="10"/>
    </row>
    <row r="50" ht="14.25" customHeight="1">
      <c r="A50" s="367" t="s">
        <v>3925</v>
      </c>
      <c r="B50" s="368">
        <f>SUM(B3:B48)</f>
        <v>418987</v>
      </c>
    </row>
    <row r="51" ht="14.25" customHeight="1"/>
    <row r="52" ht="14.25" customHeight="1">
      <c r="A52" s="369" t="s">
        <v>3968</v>
      </c>
    </row>
    <row r="53" ht="14.25" customHeight="1">
      <c r="A53" s="362" t="s">
        <v>3972</v>
      </c>
      <c r="B53" s="370">
        <v>9455.0</v>
      </c>
      <c r="C53" s="362" t="s">
        <v>3785</v>
      </c>
      <c r="D53" s="361">
        <v>46255.0</v>
      </c>
      <c r="E53" s="362">
        <v>4759.0</v>
      </c>
    </row>
    <row r="54" ht="14.25" customHeight="1">
      <c r="A54" s="362" t="s">
        <v>976</v>
      </c>
      <c r="B54" s="370">
        <v>3000.0</v>
      </c>
      <c r="C54" s="362" t="s">
        <v>3804</v>
      </c>
      <c r="D54" s="361">
        <v>46251.0</v>
      </c>
      <c r="E54" s="362">
        <v>4746.0</v>
      </c>
    </row>
    <row r="55" ht="14.25" customHeight="1">
      <c r="A55" s="362" t="s">
        <v>3981</v>
      </c>
      <c r="B55" s="371">
        <v>2525.0</v>
      </c>
      <c r="C55" s="362" t="s">
        <v>3785</v>
      </c>
      <c r="D55" s="361">
        <v>46268.0</v>
      </c>
      <c r="E55" s="362">
        <v>4778.0</v>
      </c>
    </row>
    <row r="56" ht="14.25" customHeight="1">
      <c r="A56" s="362" t="s">
        <v>3986</v>
      </c>
      <c r="B56" s="372">
        <v>4550.0</v>
      </c>
      <c r="C56" s="362" t="s">
        <v>3804</v>
      </c>
      <c r="D56" s="373">
        <v>46279.0</v>
      </c>
      <c r="E56" s="362">
        <v>4861.0</v>
      </c>
    </row>
    <row r="57" ht="14.25" customHeight="1">
      <c r="A57" s="362" t="s">
        <v>3756</v>
      </c>
      <c r="B57" s="24">
        <v>466.0</v>
      </c>
      <c r="C57" s="362" t="s">
        <v>3993</v>
      </c>
      <c r="D57" s="352">
        <v>46287.0</v>
      </c>
      <c r="E57" s="362">
        <v>4889.0</v>
      </c>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1"/>
    <mergeCell ref="A52:B52"/>
  </mergeCells>
  <printOptions horizontalCentered="1"/>
  <pageMargins bottom="0.5555555555555556" footer="0.0" header="0.0" left="0.5" right="0.5" top="0.5555555555555556"/>
  <pageSetup fitToHeight="0" paperSize="9" orientation="portrait"/>
  <headerFooter>
    <oddFooter>&amp;LERRS – CMU Database 2026 | &amp;A&amp;CPage &amp;P of &amp;RPrinted &amp;D</oddFooter>
  </headerFooter>
  <drawing r:id="rId1"/>
</worksheet>
</file>