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Beta (β) Calc" sheetId="1" r:id="rId4"/>
  </sheets>
  <definedNames/>
  <calcPr/>
</workbook>
</file>

<file path=xl/sharedStrings.xml><?xml version="1.0" encoding="utf-8"?>
<sst xmlns="http://schemas.openxmlformats.org/spreadsheetml/2006/main" count="9" uniqueCount="9">
  <si>
    <t>NVDA (Close)</t>
  </si>
  <si>
    <t>S&amp;P500 (Close)</t>
  </si>
  <si>
    <t>Returns Stock</t>
  </si>
  <si>
    <t>Returns S&amp;P</t>
  </si>
  <si>
    <t>Beta 3Y (Daily)</t>
  </si>
  <si>
    <t>Beta 5Y (Daily)</t>
  </si>
  <si>
    <t>Beta 10Y (Daily)</t>
  </si>
  <si>
    <t>5Y from here</t>
  </si>
  <si>
    <t>3Y from here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</si>
</sst>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2" xfId="0" applyAlignment="1" applyFont="1" applyNumberFormat="1">
      <alignment readingOrder="0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8.88"/>
    <col customWidth="1" min="8" max="10" width="25.13"/>
  </cols>
  <sheetData>
    <row r="1">
      <c r="A1" s="1" t="str">
        <f>IFERROR(__xludf.DUMMYFUNCTION("GOOGLEFINANCE(""NVDA"", ""close"", DATE(2015,9,9), TODAY(), ""DAILY"")"),"Date")</f>
        <v>Date</v>
      </c>
      <c r="B1" s="1" t="str">
        <f>IFERROR(__xludf.DUMMYFUNCTION("""COMPUTED_VALUE"""),"Close")</f>
        <v>Close</v>
      </c>
      <c r="C1" s="1" t="s">
        <v>0</v>
      </c>
      <c r="D1" s="1" t="s">
        <v>1</v>
      </c>
      <c r="E1" s="1" t="s">
        <v>2</v>
      </c>
      <c r="F1" s="1" t="s">
        <v>3</v>
      </c>
      <c r="H1" s="2" t="s">
        <v>4</v>
      </c>
      <c r="I1" s="2" t="s">
        <v>5</v>
      </c>
      <c r="J1" s="2" t="s">
        <v>6</v>
      </c>
    </row>
    <row r="2">
      <c r="A2" s="3">
        <f>IFERROR(__xludf.DUMMYFUNCTION("""COMPUTED_VALUE"""),42256.66666666667)</f>
        <v>42256.66667</v>
      </c>
      <c r="B2" s="4">
        <f>IFERROR(__xludf.DUMMYFUNCTION("""COMPUTED_VALUE"""),0.56)</f>
        <v>0.56</v>
      </c>
      <c r="C2" s="5">
        <v>0.540256202220916</v>
      </c>
      <c r="D2" s="5">
        <v>164.202911376953</v>
      </c>
      <c r="H2" s="6">
        <f>SLOPE(E1765:E2515,F1765:F2515)</f>
        <v>2.077518912</v>
      </c>
      <c r="I2" s="7">
        <f>SLOPE(E1261:E2515,F1261:F2515)</f>
        <v>2.090359492</v>
      </c>
      <c r="J2" s="7">
        <f>SLOPE(E3:E2515,F3:F2515)</f>
        <v>1.78951082</v>
      </c>
    </row>
    <row r="3">
      <c r="A3" s="3">
        <f>IFERROR(__xludf.DUMMYFUNCTION("""COMPUTED_VALUE"""),42257.66666666667)</f>
        <v>42257.66667</v>
      </c>
      <c r="B3" s="5">
        <f>IFERROR(__xludf.DUMMYFUNCTION("""COMPUTED_VALUE"""),0.56)</f>
        <v>0.56</v>
      </c>
      <c r="C3" s="5">
        <v>0.548762440681457</v>
      </c>
      <c r="D3" s="5">
        <v>165.096481323242</v>
      </c>
      <c r="E3" s="7">
        <f t="shared" ref="E3:F3" si="1">C3/C2-1</f>
        <v>0.01574482334</v>
      </c>
      <c r="F3" s="7">
        <f t="shared" si="1"/>
        <v>0.005441864208</v>
      </c>
      <c r="H3" s="6"/>
    </row>
    <row r="4" ht="15.75" customHeight="1">
      <c r="A4" s="3">
        <f>IFERROR(__xludf.DUMMYFUNCTION("""COMPUTED_VALUE"""),42258.66666666667)</f>
        <v>42258.66667</v>
      </c>
      <c r="B4" s="5">
        <f>IFERROR(__xludf.DUMMYFUNCTION("""COMPUTED_VALUE"""),0.57)</f>
        <v>0.57</v>
      </c>
      <c r="C4" s="5">
        <v>0.550463676452636</v>
      </c>
      <c r="D4" s="5">
        <v>165.846725463867</v>
      </c>
      <c r="E4" s="7">
        <f t="shared" ref="E4:F4" si="2">C4/C3-1</f>
        <v>0.003100131578</v>
      </c>
      <c r="F4" s="7">
        <f t="shared" si="2"/>
        <v>0.004544276986</v>
      </c>
    </row>
    <row r="5">
      <c r="A5" s="3">
        <f>IFERROR(__xludf.DUMMYFUNCTION("""COMPUTED_VALUE"""),42261.66666666667)</f>
        <v>42261.66667</v>
      </c>
      <c r="B5" s="5">
        <f>IFERROR(__xludf.DUMMYFUNCTION("""COMPUTED_VALUE"""),0.57)</f>
        <v>0.57</v>
      </c>
      <c r="C5" s="5">
        <v>0.551435828208923</v>
      </c>
      <c r="D5" s="5">
        <v>165.231307983398</v>
      </c>
      <c r="E5" s="7">
        <f t="shared" ref="E5:F5" si="3">C5/C4-1</f>
        <v>0.001766059774</v>
      </c>
      <c r="F5" s="7">
        <f t="shared" si="3"/>
        <v>-0.003710760515</v>
      </c>
    </row>
    <row r="6">
      <c r="A6" s="3">
        <f>IFERROR(__xludf.DUMMYFUNCTION("""COMPUTED_VALUE"""),42262.66666666667)</f>
        <v>42262.66667</v>
      </c>
      <c r="B6" s="5">
        <f>IFERROR(__xludf.DUMMYFUNCTION("""COMPUTED_VALUE"""),0.57)</f>
        <v>0.57</v>
      </c>
      <c r="C6" s="5">
        <v>0.557511329650878</v>
      </c>
      <c r="D6" s="5">
        <v>167.296630859375</v>
      </c>
      <c r="E6" s="7">
        <f t="shared" ref="E6:F6" si="4">C6/C5-1</f>
        <v>0.01101760374</v>
      </c>
      <c r="F6" s="7">
        <f t="shared" si="4"/>
        <v>0.01249958559</v>
      </c>
    </row>
    <row r="7">
      <c r="A7" s="3">
        <f>IFERROR(__xludf.DUMMYFUNCTION("""COMPUTED_VALUE"""),42263.66666666667)</f>
        <v>42263.66667</v>
      </c>
      <c r="B7" s="5">
        <f>IFERROR(__xludf.DUMMYFUNCTION("""COMPUTED_VALUE"""),0.58)</f>
        <v>0.58</v>
      </c>
      <c r="C7" s="5">
        <v>0.56139999628067</v>
      </c>
      <c r="D7" s="5">
        <v>168.746536254882</v>
      </c>
      <c r="E7" s="7">
        <f t="shared" ref="E7:F7" si="5">C7/C6-1</f>
        <v>0.006975045031</v>
      </c>
      <c r="F7" s="7">
        <f t="shared" si="5"/>
        <v>0.008666674207</v>
      </c>
      <c r="H7" s="6"/>
    </row>
    <row r="8">
      <c r="A8" s="3">
        <f>IFERROR(__xludf.DUMMYFUNCTION("""COMPUTED_VALUE"""),42264.66666666667)</f>
        <v>42264.66667</v>
      </c>
      <c r="B8" s="5">
        <f>IFERROR(__xludf.DUMMYFUNCTION("""COMPUTED_VALUE"""),0.58)</f>
        <v>0.58</v>
      </c>
      <c r="C8" s="5">
        <v>0.566503763198852</v>
      </c>
      <c r="D8" s="5">
        <v>168.367141723632</v>
      </c>
      <c r="E8" s="7">
        <f t="shared" ref="E8:F8" si="6">C8/C7-1</f>
        <v>0.009091141703</v>
      </c>
      <c r="F8" s="7">
        <f t="shared" si="6"/>
        <v>-0.002248310037</v>
      </c>
      <c r="H8" s="6"/>
    </row>
    <row r="9">
      <c r="A9" s="3">
        <f>IFERROR(__xludf.DUMMYFUNCTION("""COMPUTED_VALUE"""),42265.66666666667)</f>
        <v>42265.66667</v>
      </c>
      <c r="B9" s="5">
        <f>IFERROR(__xludf.DUMMYFUNCTION("""COMPUTED_VALUE"""),0.58)</f>
        <v>0.58</v>
      </c>
      <c r="C9" s="5">
        <v>0.566017389297485</v>
      </c>
      <c r="D9" s="5">
        <v>165.615783691406</v>
      </c>
      <c r="E9" s="7">
        <f t="shared" ref="E9:F9" si="7">C9/C8-1</f>
        <v>-0.000858553699</v>
      </c>
      <c r="F9" s="7">
        <f t="shared" si="7"/>
        <v>-0.01634141914</v>
      </c>
      <c r="H9" s="6"/>
    </row>
    <row r="10">
      <c r="A10" s="3">
        <f>IFERROR(__xludf.DUMMYFUNCTION("""COMPUTED_VALUE"""),42268.66666666667)</f>
        <v>42268.66667</v>
      </c>
      <c r="B10" s="5">
        <f>IFERROR(__xludf.DUMMYFUNCTION("""COMPUTED_VALUE"""),0.59)</f>
        <v>0.59</v>
      </c>
      <c r="C10" s="5">
        <v>0.571850180625915</v>
      </c>
      <c r="D10" s="5">
        <v>166.471649169921</v>
      </c>
      <c r="E10" s="7">
        <f t="shared" ref="E10:F10" si="8">C10/C9-1</f>
        <v>0.01030496843</v>
      </c>
      <c r="F10" s="7">
        <f t="shared" si="8"/>
        <v>0.005167777246</v>
      </c>
      <c r="H10" s="6"/>
    </row>
    <row r="11">
      <c r="A11" s="3">
        <f>IFERROR(__xludf.DUMMYFUNCTION("""COMPUTED_VALUE"""),42269.66666666667)</f>
        <v>42269.66667</v>
      </c>
      <c r="B11" s="5">
        <f>IFERROR(__xludf.DUMMYFUNCTION("""COMPUTED_VALUE"""),0.57)</f>
        <v>0.57</v>
      </c>
      <c r="C11" s="5">
        <v>0.556296348571777</v>
      </c>
      <c r="D11" s="5">
        <v>164.310897827148</v>
      </c>
      <c r="E11" s="7">
        <f t="shared" ref="E11:F11" si="9">C11/C10-1</f>
        <v>-0.02719913813</v>
      </c>
      <c r="F11" s="7">
        <f t="shared" si="9"/>
        <v>-0.01297969566</v>
      </c>
      <c r="H11" s="6"/>
    </row>
    <row r="12">
      <c r="A12" s="3">
        <f>IFERROR(__xludf.DUMMYFUNCTION("""COMPUTED_VALUE"""),42270.66666666667)</f>
        <v>42270.66667</v>
      </c>
      <c r="B12" s="5">
        <f>IFERROR(__xludf.DUMMYFUNCTION("""COMPUTED_VALUE"""),0.57)</f>
        <v>0.57</v>
      </c>
      <c r="C12" s="5">
        <v>0.558969616889953</v>
      </c>
      <c r="D12" s="5">
        <v>164.048202514648</v>
      </c>
      <c r="E12" s="7">
        <f t="shared" ref="E12:F12" si="10">C12/C11-1</f>
        <v>0.00480547522</v>
      </c>
      <c r="F12" s="7">
        <f t="shared" si="10"/>
        <v>-0.001598769868</v>
      </c>
      <c r="H12" s="6"/>
    </row>
    <row r="13">
      <c r="A13" s="3">
        <f>IFERROR(__xludf.DUMMYFUNCTION("""COMPUTED_VALUE"""),42271.66666666667)</f>
        <v>42271.66667</v>
      </c>
      <c r="B13" s="5">
        <f>IFERROR(__xludf.DUMMYFUNCTION("""COMPUTED_VALUE"""),0.59)</f>
        <v>0.59</v>
      </c>
      <c r="C13" s="5">
        <v>0.569663166999816</v>
      </c>
      <c r="D13" s="5">
        <v>163.45506286621</v>
      </c>
      <c r="E13" s="7">
        <f t="shared" ref="E13:F13" si="11">C13/C12-1</f>
        <v>0.01913082534</v>
      </c>
      <c r="F13" s="7">
        <f t="shared" si="11"/>
        <v>-0.003615642472</v>
      </c>
    </row>
    <row r="14">
      <c r="A14" s="3">
        <f>IFERROR(__xludf.DUMMYFUNCTION("""COMPUTED_VALUE"""),42272.66666666667)</f>
        <v>42272.66667</v>
      </c>
      <c r="B14" s="5">
        <f>IFERROR(__xludf.DUMMYFUNCTION("""COMPUTED_VALUE"""),0.59)</f>
        <v>0.59</v>
      </c>
      <c r="C14" s="5">
        <v>0.573794662952423</v>
      </c>
      <c r="D14" s="5">
        <v>163.412673950195</v>
      </c>
      <c r="E14" s="7">
        <f t="shared" ref="E14:F14" si="12">C14/C13-1</f>
        <v>0.007252524284</v>
      </c>
      <c r="F14" s="7">
        <f t="shared" si="12"/>
        <v>-0.0002593307009</v>
      </c>
    </row>
    <row r="15">
      <c r="A15" s="3">
        <f>IFERROR(__xludf.DUMMYFUNCTION("""COMPUTED_VALUE"""),42275.66666666667)</f>
        <v>42275.66667</v>
      </c>
      <c r="B15" s="5">
        <f>IFERROR(__xludf.DUMMYFUNCTION("""COMPUTED_VALUE"""),0.58)</f>
        <v>0.58</v>
      </c>
      <c r="C15" s="5">
        <v>0.566260457038879</v>
      </c>
      <c r="D15" s="5">
        <v>159.311416625976</v>
      </c>
      <c r="E15" s="7">
        <f t="shared" ref="E15:F15" si="13">C15/C14-1</f>
        <v>-0.01313049145</v>
      </c>
      <c r="F15" s="7">
        <f t="shared" si="13"/>
        <v>-0.02509754736</v>
      </c>
    </row>
    <row r="16">
      <c r="A16" s="3">
        <f>IFERROR(__xludf.DUMMYFUNCTION("""COMPUTED_VALUE"""),42276.66666666667)</f>
        <v>42276.66667</v>
      </c>
      <c r="B16" s="5">
        <f>IFERROR(__xludf.DUMMYFUNCTION("""COMPUTED_VALUE"""),0.59)</f>
        <v>0.59</v>
      </c>
      <c r="C16" s="5">
        <v>0.576224982738494</v>
      </c>
      <c r="D16" s="5">
        <v>159.404693603515</v>
      </c>
      <c r="E16" s="7">
        <f t="shared" ref="E16:F16" si="14">C16/C15-1</f>
        <v>0.01759707141</v>
      </c>
      <c r="F16" s="7">
        <f t="shared" si="14"/>
        <v>0.0005855008983</v>
      </c>
    </row>
    <row r="17">
      <c r="A17" s="3">
        <f>IFERROR(__xludf.DUMMYFUNCTION("""COMPUTED_VALUE"""),42277.66666666667)</f>
        <v>42277.66667</v>
      </c>
      <c r="B17" s="5">
        <f>IFERROR(__xludf.DUMMYFUNCTION("""COMPUTED_VALUE"""),0.62)</f>
        <v>0.62</v>
      </c>
      <c r="C17" s="5">
        <v>0.599069595336914</v>
      </c>
      <c r="D17" s="5">
        <v>162.378952026367</v>
      </c>
      <c r="E17" s="7">
        <f t="shared" ref="E17:F17" si="15">C17/C16-1</f>
        <v>0.0396453005</v>
      </c>
      <c r="F17" s="7">
        <f t="shared" si="15"/>
        <v>0.01865853731</v>
      </c>
    </row>
    <row r="18">
      <c r="A18" s="3">
        <f>IFERROR(__xludf.DUMMYFUNCTION("""COMPUTED_VALUE"""),42278.66666666667)</f>
        <v>42278.66667</v>
      </c>
      <c r="B18" s="5">
        <f>IFERROR(__xludf.DUMMYFUNCTION("""COMPUTED_VALUE"""),0.6)</f>
        <v>0.6</v>
      </c>
      <c r="C18" s="5">
        <v>0.587404191493988</v>
      </c>
      <c r="D18" s="5">
        <v>162.802612304687</v>
      </c>
      <c r="E18" s="7">
        <f t="shared" ref="E18:F18" si="16">C18/C17-1</f>
        <v>-0.0194725353</v>
      </c>
      <c r="F18" s="7">
        <f t="shared" si="16"/>
        <v>0.002609083708</v>
      </c>
    </row>
    <row r="19">
      <c r="A19" s="3">
        <f>IFERROR(__xludf.DUMMYFUNCTION("""COMPUTED_VALUE"""),42279.66666666667)</f>
        <v>42279.66667</v>
      </c>
      <c r="B19" s="8">
        <f>IFERROR(__xludf.DUMMYFUNCTION("""COMPUTED_VALUE"""),0.62)</f>
        <v>0.62</v>
      </c>
      <c r="C19" s="5">
        <v>0.602714955806732</v>
      </c>
      <c r="D19" s="5">
        <v>165.23452758789</v>
      </c>
      <c r="E19" s="7">
        <f t="shared" ref="E19:F19" si="17">C19/C18-1</f>
        <v>0.02606512608</v>
      </c>
      <c r="F19" s="7">
        <f t="shared" si="17"/>
        <v>0.01493781487</v>
      </c>
    </row>
    <row r="20">
      <c r="A20" s="3">
        <f>IFERROR(__xludf.DUMMYFUNCTION("""COMPUTED_VALUE"""),42282.66666666667)</f>
        <v>42282.66667</v>
      </c>
      <c r="B20" s="5">
        <f>IFERROR(__xludf.DUMMYFUNCTION("""COMPUTED_VALUE"""),0.64)</f>
        <v>0.64</v>
      </c>
      <c r="C20" s="5">
        <v>0.617782950401306</v>
      </c>
      <c r="D20" s="5">
        <v>168.174835205078</v>
      </c>
      <c r="E20" s="7">
        <f t="shared" ref="E20:F20" si="18">C20/C19-1</f>
        <v>0.02500020026</v>
      </c>
      <c r="F20" s="7">
        <f t="shared" si="18"/>
        <v>0.01779475307</v>
      </c>
    </row>
    <row r="21">
      <c r="A21" s="3">
        <f>IFERROR(__xludf.DUMMYFUNCTION("""COMPUTED_VALUE"""),42283.66666666667)</f>
        <v>42283.66667</v>
      </c>
      <c r="B21" s="5">
        <f>IFERROR(__xludf.DUMMYFUNCTION("""COMPUTED_VALUE"""),0.64)</f>
        <v>0.64</v>
      </c>
      <c r="C21" s="5">
        <v>0.625802814960479</v>
      </c>
      <c r="D21" s="5">
        <v>167.5986328125</v>
      </c>
      <c r="E21" s="7">
        <f t="shared" ref="E21:F21" si="19">C21/C20-1</f>
        <v>0.01298168645</v>
      </c>
      <c r="F21" s="7">
        <f t="shared" si="19"/>
        <v>-0.003426210538</v>
      </c>
    </row>
    <row r="22">
      <c r="A22" s="3">
        <f>IFERROR(__xludf.DUMMYFUNCTION("""COMPUTED_VALUE"""),42284.66666666667)</f>
        <v>42284.66667</v>
      </c>
      <c r="B22" s="5">
        <f>IFERROR(__xludf.DUMMYFUNCTION("""COMPUTED_VALUE"""),0.65)</f>
        <v>0.65</v>
      </c>
      <c r="C22" s="5">
        <v>0.632364928722381</v>
      </c>
      <c r="D22" s="5">
        <v>168.971374511718</v>
      </c>
      <c r="E22" s="7">
        <f t="shared" ref="E22:F22" si="20">C22/C21-1</f>
        <v>0.01048591282</v>
      </c>
      <c r="F22" s="7">
        <f t="shared" si="20"/>
        <v>0.008190649746</v>
      </c>
    </row>
    <row r="23">
      <c r="A23" s="3">
        <f>IFERROR(__xludf.DUMMYFUNCTION("""COMPUTED_VALUE"""),42285.66666666667)</f>
        <v>42285.66667</v>
      </c>
      <c r="B23" s="5">
        <f>IFERROR(__xludf.DUMMYFUNCTION("""COMPUTED_VALUE"""),0.65)</f>
        <v>0.65</v>
      </c>
      <c r="C23" s="5">
        <v>0.636010408401489</v>
      </c>
      <c r="D23" s="5">
        <v>170.496612548828</v>
      </c>
      <c r="E23" s="7">
        <f t="shared" ref="E23:F23" si="21">C23/C22-1</f>
        <v>0.005764835325</v>
      </c>
      <c r="F23" s="7">
        <f t="shared" si="21"/>
        <v>0.009026606084</v>
      </c>
    </row>
    <row r="24">
      <c r="A24" s="3">
        <f>IFERROR(__xludf.DUMMYFUNCTION("""COMPUTED_VALUE"""),42286.66666666667)</f>
        <v>42286.66667</v>
      </c>
      <c r="B24" s="5">
        <f>IFERROR(__xludf.DUMMYFUNCTION("""COMPUTED_VALUE"""),0.65)</f>
        <v>0.65</v>
      </c>
      <c r="C24" s="5">
        <v>0.633579969406127</v>
      </c>
      <c r="D24" s="5">
        <v>170.598281860351</v>
      </c>
      <c r="E24" s="7">
        <f t="shared" ref="E24:F24" si="22">C24/C23-1</f>
        <v>-0.003821382423</v>
      </c>
      <c r="F24" s="7">
        <f t="shared" si="22"/>
        <v>0.0005963127947</v>
      </c>
    </row>
    <row r="25">
      <c r="A25" s="3">
        <f>IFERROR(__xludf.DUMMYFUNCTION("""COMPUTED_VALUE"""),42289.66666666667)</f>
        <v>42289.66667</v>
      </c>
      <c r="B25" s="5">
        <f>IFERROR(__xludf.DUMMYFUNCTION("""COMPUTED_VALUE"""),0.66)</f>
        <v>0.66</v>
      </c>
      <c r="C25" s="5">
        <v>0.640384674072265</v>
      </c>
      <c r="D25" s="5">
        <v>170.75927734375</v>
      </c>
      <c r="E25" s="7">
        <f t="shared" ref="E25:F25" si="23">C25/C24-1</f>
        <v>0.01074008806</v>
      </c>
      <c r="F25" s="7">
        <f t="shared" si="23"/>
        <v>0.0009437110482</v>
      </c>
    </row>
    <row r="26">
      <c r="A26" s="3">
        <f>IFERROR(__xludf.DUMMYFUNCTION("""COMPUTED_VALUE"""),42290.66666666667)</f>
        <v>42290.66667</v>
      </c>
      <c r="B26" s="5">
        <f>IFERROR(__xludf.DUMMYFUNCTION("""COMPUTED_VALUE"""),0.66)</f>
        <v>0.66</v>
      </c>
      <c r="C26" s="5">
        <v>0.641599953174591</v>
      </c>
      <c r="D26" s="5">
        <v>169.683166503906</v>
      </c>
      <c r="E26" s="7">
        <f t="shared" ref="E26:F26" si="24">C26/C25-1</f>
        <v>0.001897732959</v>
      </c>
      <c r="F26" s="7">
        <f t="shared" si="24"/>
        <v>-0.006301917275</v>
      </c>
    </row>
    <row r="27">
      <c r="A27" s="3">
        <f>IFERROR(__xludf.DUMMYFUNCTION("""COMPUTED_VALUE"""),42291.66666666667)</f>
        <v>42291.66667</v>
      </c>
      <c r="B27" s="5">
        <f>IFERROR(__xludf.DUMMYFUNCTION("""COMPUTED_VALUE"""),0.68)</f>
        <v>0.68</v>
      </c>
      <c r="C27" s="5">
        <v>0.664930880069732</v>
      </c>
      <c r="D27" s="5">
        <v>168.869689941406</v>
      </c>
      <c r="E27" s="7">
        <f t="shared" ref="E27:F27" si="25">C27/C26-1</f>
        <v>0.03636366677</v>
      </c>
      <c r="F27" s="7">
        <f t="shared" si="25"/>
        <v>-0.004794091124</v>
      </c>
    </row>
    <row r="28">
      <c r="A28" s="3">
        <f>IFERROR(__xludf.DUMMYFUNCTION("""COMPUTED_VALUE"""),42292.66666666667)</f>
        <v>42292.66667</v>
      </c>
      <c r="B28" s="5">
        <f>IFERROR(__xludf.DUMMYFUNCTION("""COMPUTED_VALUE"""),0.69)</f>
        <v>0.69</v>
      </c>
      <c r="C28" s="5">
        <v>0.666631937026977</v>
      </c>
      <c r="D28" s="5">
        <v>171.462600708007</v>
      </c>
      <c r="E28" s="7">
        <f t="shared" ref="E28:F28" si="26">C28/C27-1</f>
        <v>0.00255824629</v>
      </c>
      <c r="F28" s="7">
        <f t="shared" si="26"/>
        <v>0.01535450659</v>
      </c>
    </row>
    <row r="29">
      <c r="A29" s="3">
        <f>IFERROR(__xludf.DUMMYFUNCTION("""COMPUTED_VALUE"""),42293.66666666667)</f>
        <v>42293.66667</v>
      </c>
      <c r="B29" s="5">
        <f>IFERROR(__xludf.DUMMYFUNCTION("""COMPUTED_VALUE"""),0.7)</f>
        <v>0.7</v>
      </c>
      <c r="C29" s="5">
        <v>0.677082240581512</v>
      </c>
      <c r="D29" s="5">
        <v>172.242202758789</v>
      </c>
      <c r="E29" s="7">
        <f t="shared" ref="E29:F29" si="27">C29/C28-1</f>
        <v>0.01567627198</v>
      </c>
      <c r="F29" s="7">
        <f t="shared" si="27"/>
        <v>0.004546776076</v>
      </c>
    </row>
    <row r="30">
      <c r="A30" s="3">
        <f>IFERROR(__xludf.DUMMYFUNCTION("""COMPUTED_VALUE"""),42296.66666666667)</f>
        <v>42296.66667</v>
      </c>
      <c r="B30" s="5">
        <f>IFERROR(__xludf.DUMMYFUNCTION("""COMPUTED_VALUE"""),0.7)</f>
        <v>0.7</v>
      </c>
      <c r="C30" s="5">
        <v>0.675867140293121</v>
      </c>
      <c r="D30" s="5">
        <v>172.326904296875</v>
      </c>
      <c r="E30" s="7">
        <f t="shared" ref="E30:F30" si="28">C30/C29-1</f>
        <v>-0.001794612553</v>
      </c>
      <c r="F30" s="7">
        <f t="shared" si="28"/>
        <v>0.0004917583306</v>
      </c>
    </row>
    <row r="31">
      <c r="A31" s="3">
        <f>IFERROR(__xludf.DUMMYFUNCTION("""COMPUTED_VALUE"""),42297.66666666667)</f>
        <v>42297.66667</v>
      </c>
      <c r="B31" s="5">
        <f>IFERROR(__xludf.DUMMYFUNCTION("""COMPUTED_VALUE"""),0.69)</f>
        <v>0.69</v>
      </c>
      <c r="C31" s="5">
        <v>0.674894928932189</v>
      </c>
      <c r="D31" s="5">
        <v>172.106643676757</v>
      </c>
      <c r="E31" s="7">
        <f t="shared" ref="E31:F31" si="29">C31/C30-1</f>
        <v>-0.0014384652</v>
      </c>
      <c r="F31" s="7">
        <f t="shared" si="29"/>
        <v>-0.00127815573</v>
      </c>
    </row>
    <row r="32">
      <c r="A32" s="3">
        <f>IFERROR(__xludf.DUMMYFUNCTION("""COMPUTED_VALUE"""),42298.66666666667)</f>
        <v>42298.66667</v>
      </c>
      <c r="B32" s="5">
        <f>IFERROR(__xludf.DUMMYFUNCTION("""COMPUTED_VALUE"""),0.69)</f>
        <v>0.69</v>
      </c>
      <c r="C32" s="5">
        <v>0.666145980358123</v>
      </c>
      <c r="D32" s="5">
        <v>171.038925170898</v>
      </c>
      <c r="E32" s="7">
        <f t="shared" ref="E32:F32" si="30">C32/C31-1</f>
        <v>-0.01296342319</v>
      </c>
      <c r="F32" s="7">
        <f t="shared" si="30"/>
        <v>-0.006203819231</v>
      </c>
    </row>
    <row r="33">
      <c r="A33" s="3">
        <f>IFERROR(__xludf.DUMMYFUNCTION("""COMPUTED_VALUE"""),42299.66666666667)</f>
        <v>42299.66667</v>
      </c>
      <c r="B33" s="5">
        <f>IFERROR(__xludf.DUMMYFUNCTION("""COMPUTED_VALUE"""),0.71)</f>
        <v>0.71</v>
      </c>
      <c r="C33" s="5">
        <v>0.690206110477447</v>
      </c>
      <c r="D33" s="5">
        <v>173.928421020507</v>
      </c>
      <c r="E33" s="7">
        <f t="shared" ref="E33:F33" si="31">C33/C32-1</f>
        <v>0.03611840472</v>
      </c>
      <c r="F33" s="7">
        <f t="shared" si="31"/>
        <v>0.01689379097</v>
      </c>
    </row>
    <row r="34">
      <c r="A34" s="3">
        <f>IFERROR(__xludf.DUMMYFUNCTION("""COMPUTED_VALUE"""),42300.66666666667)</f>
        <v>42300.66667</v>
      </c>
      <c r="B34" s="5">
        <f>IFERROR(__xludf.DUMMYFUNCTION("""COMPUTED_VALUE"""),0.71)</f>
        <v>0.71</v>
      </c>
      <c r="C34" s="5">
        <v>0.694823384284973</v>
      </c>
      <c r="D34" s="5">
        <v>175.8349609375</v>
      </c>
      <c r="E34" s="7">
        <f t="shared" ref="E34:F34" si="32">C34/C33-1</f>
        <v>0.006689702884</v>
      </c>
      <c r="F34" s="7">
        <f t="shared" si="32"/>
        <v>0.01096163529</v>
      </c>
    </row>
    <row r="35">
      <c r="A35" s="3">
        <f>IFERROR(__xludf.DUMMYFUNCTION("""COMPUTED_VALUE"""),42303.66666666667)</f>
        <v>42303.66667</v>
      </c>
      <c r="B35" s="5">
        <f>IFERROR(__xludf.DUMMYFUNCTION("""COMPUTED_VALUE"""),0.71)</f>
        <v>0.71</v>
      </c>
      <c r="C35" s="5">
        <v>0.691664338111877</v>
      </c>
      <c r="D35" s="5">
        <v>175.402786254882</v>
      </c>
      <c r="E35" s="7">
        <f t="shared" ref="E35:F35" si="33">C35/C34-1</f>
        <v>-0.00454654556</v>
      </c>
      <c r="F35" s="7">
        <f t="shared" si="33"/>
        <v>-0.002457842743</v>
      </c>
    </row>
    <row r="36">
      <c r="A36" s="3">
        <f>IFERROR(__xludf.DUMMYFUNCTION("""COMPUTED_VALUE"""),42304.66666666667)</f>
        <v>42304.66667</v>
      </c>
      <c r="B36" s="5">
        <f>IFERROR(__xludf.DUMMYFUNCTION("""COMPUTED_VALUE"""),0.71)</f>
        <v>0.71</v>
      </c>
      <c r="C36" s="5">
        <v>0.691178262233734</v>
      </c>
      <c r="D36" s="5">
        <v>175.063858032226</v>
      </c>
      <c r="E36" s="7">
        <f t="shared" ref="E36:F36" si="34">C36/C35-1</f>
        <v>-0.0007027626717</v>
      </c>
      <c r="F36" s="7">
        <f t="shared" si="34"/>
        <v>-0.001932285284</v>
      </c>
    </row>
    <row r="37">
      <c r="A37" s="3">
        <f>IFERROR(__xludf.DUMMYFUNCTION("""COMPUTED_VALUE"""),42305.66666666667)</f>
        <v>42305.66667</v>
      </c>
      <c r="B37" s="5">
        <f>IFERROR(__xludf.DUMMYFUNCTION("""COMPUTED_VALUE"""),0.72)</f>
        <v>0.72</v>
      </c>
      <c r="C37" s="5">
        <v>0.696767926216125</v>
      </c>
      <c r="D37" s="5">
        <v>177.055099487304</v>
      </c>
      <c r="E37" s="7">
        <f t="shared" ref="E37:F37" si="35">C37/C36-1</f>
        <v>0.008087152458</v>
      </c>
      <c r="F37" s="7">
        <f t="shared" si="35"/>
        <v>0.01137437206</v>
      </c>
    </row>
    <row r="38">
      <c r="A38" s="3">
        <f>IFERROR(__xludf.DUMMYFUNCTION("""COMPUTED_VALUE"""),42306.66666666667)</f>
        <v>42306.66667</v>
      </c>
      <c r="B38" s="5">
        <f>IFERROR(__xludf.DUMMYFUNCTION("""COMPUTED_VALUE"""),0.69)</f>
        <v>0.69</v>
      </c>
      <c r="C38" s="5">
        <v>0.672707855701446</v>
      </c>
      <c r="D38" s="5">
        <v>176.953430175781</v>
      </c>
      <c r="E38" s="7">
        <f t="shared" ref="E38:F38" si="36">C38/C37-1</f>
        <v>-0.03453096736</v>
      </c>
      <c r="F38" s="7">
        <f t="shared" si="36"/>
        <v>-0.000574224136</v>
      </c>
    </row>
    <row r="39">
      <c r="A39" s="3">
        <f>IFERROR(__xludf.DUMMYFUNCTION("""COMPUTED_VALUE"""),42307.66666666667)</f>
        <v>42307.66667</v>
      </c>
      <c r="B39" s="5">
        <f>IFERROR(__xludf.DUMMYFUNCTION("""COMPUTED_VALUE"""),0.71)</f>
        <v>0.71</v>
      </c>
      <c r="C39" s="5">
        <v>0.68947696685791</v>
      </c>
      <c r="D39" s="5">
        <v>176.190856933593</v>
      </c>
      <c r="E39" s="7">
        <f t="shared" ref="E39:F39" si="37">C39/C38-1</f>
        <v>0.02492777662</v>
      </c>
      <c r="F39" s="7">
        <f t="shared" si="37"/>
        <v>-0.004309457248</v>
      </c>
    </row>
    <row r="40">
      <c r="A40" s="3">
        <f>IFERROR(__xludf.DUMMYFUNCTION("""COMPUTED_VALUE"""),42310.66666666667)</f>
        <v>42310.66667</v>
      </c>
      <c r="B40" s="5">
        <f>IFERROR(__xludf.DUMMYFUNCTION("""COMPUTED_VALUE"""),0.72)</f>
        <v>0.72</v>
      </c>
      <c r="C40" s="5">
        <v>0.697496950626373</v>
      </c>
      <c r="D40" s="5">
        <v>178.275268554687</v>
      </c>
      <c r="E40" s="7">
        <f t="shared" ref="E40:F40" si="38">C40/C39-1</f>
        <v>0.01163198215</v>
      </c>
      <c r="F40" s="7">
        <f t="shared" si="38"/>
        <v>0.01183041877</v>
      </c>
    </row>
    <row r="41">
      <c r="A41" s="3">
        <f>IFERROR(__xludf.DUMMYFUNCTION("""COMPUTED_VALUE"""),42311.66666666667)</f>
        <v>42311.66667</v>
      </c>
      <c r="B41" s="5">
        <f>IFERROR(__xludf.DUMMYFUNCTION("""COMPUTED_VALUE"""),0.71)</f>
        <v>0.71</v>
      </c>
      <c r="C41" s="5">
        <v>0.692636311054229</v>
      </c>
      <c r="D41" s="5">
        <v>178.792205810546</v>
      </c>
      <c r="E41" s="7">
        <f t="shared" ref="E41:F41" si="39">C41/C40-1</f>
        <v>-0.006968689351</v>
      </c>
      <c r="F41" s="7">
        <f t="shared" si="39"/>
        <v>0.002899657704</v>
      </c>
    </row>
    <row r="42">
      <c r="A42" s="3">
        <f>IFERROR(__xludf.DUMMYFUNCTION("""COMPUTED_VALUE"""),42312.66666666667)</f>
        <v>42312.66667</v>
      </c>
      <c r="B42" s="5">
        <f>IFERROR(__xludf.DUMMYFUNCTION("""COMPUTED_VALUE"""),0.7)</f>
        <v>0.7</v>
      </c>
      <c r="C42" s="5">
        <v>0.681213855743408</v>
      </c>
      <c r="D42" s="5">
        <v>178.249893188476</v>
      </c>
      <c r="E42" s="7">
        <f t="shared" ref="E42:F42" si="40">C42/C41-1</f>
        <v>-0.01649127418</v>
      </c>
      <c r="F42" s="7">
        <f t="shared" si="40"/>
        <v>-0.003033200578</v>
      </c>
    </row>
    <row r="43">
      <c r="A43" s="3">
        <f>IFERROR(__xludf.DUMMYFUNCTION("""COMPUTED_VALUE"""),42313.66666666667)</f>
        <v>42313.66667</v>
      </c>
      <c r="B43" s="5">
        <f>IFERROR(__xludf.DUMMYFUNCTION("""COMPUTED_VALUE"""),0.69)</f>
        <v>0.69</v>
      </c>
      <c r="C43" s="5">
        <v>0.673436939716339</v>
      </c>
      <c r="D43" s="5">
        <v>178.071945190429</v>
      </c>
      <c r="E43" s="7">
        <f t="shared" ref="E43:F43" si="41">C43/C42-1</f>
        <v>-0.01141626225</v>
      </c>
      <c r="F43" s="7">
        <f t="shared" si="41"/>
        <v>-0.0009983063376</v>
      </c>
    </row>
    <row r="44">
      <c r="A44" s="3">
        <f>IFERROR(__xludf.DUMMYFUNCTION("""COMPUTED_VALUE"""),42314.66666666667)</f>
        <v>42314.66667</v>
      </c>
      <c r="B44" s="5">
        <f>IFERROR(__xludf.DUMMYFUNCTION("""COMPUTED_VALUE"""),0.79)</f>
        <v>0.79</v>
      </c>
      <c r="C44" s="5">
        <v>0.766760528087616</v>
      </c>
      <c r="D44" s="5">
        <v>177.978729248046</v>
      </c>
      <c r="E44" s="7">
        <f t="shared" ref="E44:F44" si="42">C44/C43-1</f>
        <v>0.1385780655</v>
      </c>
      <c r="F44" s="7">
        <f t="shared" si="42"/>
        <v>-0.0005234734887</v>
      </c>
    </row>
    <row r="45">
      <c r="A45" s="3">
        <f>IFERROR(__xludf.DUMMYFUNCTION("""COMPUTED_VALUE"""),42317.66666666667)</f>
        <v>42317.66667</v>
      </c>
      <c r="B45" s="5">
        <f>IFERROR(__xludf.DUMMYFUNCTION("""COMPUTED_VALUE"""),0.79)</f>
        <v>0.79</v>
      </c>
      <c r="C45" s="5">
        <v>0.763358175754547</v>
      </c>
      <c r="D45" s="5">
        <v>176.317932128906</v>
      </c>
      <c r="E45" s="7">
        <f t="shared" ref="E45:F45" si="43">C45/C44-1</f>
        <v>-0.004437307619</v>
      </c>
      <c r="F45" s="7">
        <f t="shared" si="43"/>
        <v>-0.009331435988</v>
      </c>
    </row>
    <row r="46">
      <c r="A46" s="3">
        <f>IFERROR(__xludf.DUMMYFUNCTION("""COMPUTED_VALUE"""),42318.66666666667)</f>
        <v>42318.66667</v>
      </c>
      <c r="B46" s="5">
        <f>IFERROR(__xludf.DUMMYFUNCTION("""COMPUTED_VALUE"""),0.77)</f>
        <v>0.77</v>
      </c>
      <c r="C46" s="5">
        <v>0.74877643585205</v>
      </c>
      <c r="D46" s="5">
        <v>176.724639892578</v>
      </c>
      <c r="E46" s="7">
        <f t="shared" ref="E46:F46" si="44">C46/C45-1</f>
        <v>-0.01910209436</v>
      </c>
      <c r="F46" s="7">
        <f t="shared" si="44"/>
        <v>0.002306672718</v>
      </c>
    </row>
    <row r="47">
      <c r="A47" s="3">
        <f>IFERROR(__xludf.DUMMYFUNCTION("""COMPUTED_VALUE"""),42319.66666666667)</f>
        <v>42319.66667</v>
      </c>
      <c r="B47" s="5">
        <f>IFERROR(__xludf.DUMMYFUNCTION("""COMPUTED_VALUE"""),0.76)</f>
        <v>0.76</v>
      </c>
      <c r="C47" s="5">
        <v>0.741485476493835</v>
      </c>
      <c r="D47" s="5">
        <v>176.029861450195</v>
      </c>
      <c r="E47" s="7">
        <f t="shared" ref="E47:F47" si="45">C47/C46-1</f>
        <v>-0.009737164538</v>
      </c>
      <c r="F47" s="7">
        <f t="shared" si="45"/>
        <v>-0.003931418068</v>
      </c>
    </row>
    <row r="48">
      <c r="A48" s="3">
        <f>IFERROR(__xludf.DUMMYFUNCTION("""COMPUTED_VALUE"""),42320.66666666667)</f>
        <v>42320.66667</v>
      </c>
      <c r="B48" s="5">
        <f>IFERROR(__xludf.DUMMYFUNCTION("""COMPUTED_VALUE"""),0.76)</f>
        <v>0.76</v>
      </c>
      <c r="C48" s="5">
        <v>0.738811910152435</v>
      </c>
      <c r="D48" s="5">
        <v>173.572479248046</v>
      </c>
      <c r="E48" s="7">
        <f t="shared" ref="E48:F48" si="46">C48/C47-1</f>
        <v>-0.003605689425</v>
      </c>
      <c r="F48" s="7">
        <f t="shared" si="46"/>
        <v>-0.01396003031</v>
      </c>
    </row>
    <row r="49">
      <c r="A49" s="3">
        <f>IFERROR(__xludf.DUMMYFUNCTION("""COMPUTED_VALUE"""),42321.66666666667)</f>
        <v>42321.66667</v>
      </c>
      <c r="B49" s="5">
        <f>IFERROR(__xludf.DUMMYFUNCTION("""COMPUTED_VALUE"""),0.75)</f>
        <v>0.75</v>
      </c>
      <c r="C49" s="5">
        <v>0.724230229854583</v>
      </c>
      <c r="D49" s="5">
        <v>171.623580932617</v>
      </c>
      <c r="E49" s="7">
        <f t="shared" ref="E49:F49" si="47">C49/C48-1</f>
        <v>-0.01973666111</v>
      </c>
      <c r="F49" s="7">
        <f t="shared" si="47"/>
        <v>-0.01122815278</v>
      </c>
    </row>
    <row r="50">
      <c r="A50" s="3">
        <f>IFERROR(__xludf.DUMMYFUNCTION("""COMPUTED_VALUE"""),42324.66666666667)</f>
        <v>42324.66667</v>
      </c>
      <c r="B50" s="5">
        <f>IFERROR(__xludf.DUMMYFUNCTION("""COMPUTED_VALUE"""),0.76)</f>
        <v>0.76</v>
      </c>
      <c r="C50" s="5">
        <v>0.738811910152435</v>
      </c>
      <c r="D50" s="5">
        <v>174.233428955078</v>
      </c>
      <c r="E50" s="7">
        <f t="shared" ref="E50:F50" si="48">C50/C49-1</f>
        <v>0.02013403984</v>
      </c>
      <c r="F50" s="7">
        <f t="shared" si="48"/>
        <v>0.01520681487</v>
      </c>
    </row>
    <row r="51">
      <c r="A51" s="3">
        <f>IFERROR(__xludf.DUMMYFUNCTION("""COMPUTED_VALUE"""),42325.66666666667)</f>
        <v>42325.66667</v>
      </c>
      <c r="B51" s="5">
        <f>IFERROR(__xludf.DUMMYFUNCTION("""COMPUTED_VALUE"""),0.76)</f>
        <v>0.76</v>
      </c>
      <c r="C51" s="5">
        <v>0.738811910152435</v>
      </c>
      <c r="D51" s="5">
        <v>174.106292724609</v>
      </c>
      <c r="E51" s="7">
        <f t="shared" ref="E51:F51" si="49">C51/C50-1</f>
        <v>0</v>
      </c>
      <c r="F51" s="7">
        <f t="shared" si="49"/>
        <v>-0.0007296890799</v>
      </c>
    </row>
    <row r="52">
      <c r="A52" s="3">
        <f>IFERROR(__xludf.DUMMYFUNCTION("""COMPUTED_VALUE"""),42326.66666666667)</f>
        <v>42326.66667</v>
      </c>
      <c r="B52" s="5">
        <f>IFERROR(__xludf.DUMMYFUNCTION("""COMPUTED_VALUE"""),0.78)</f>
        <v>0.78</v>
      </c>
      <c r="C52" s="5">
        <v>0.756986558437347</v>
      </c>
      <c r="D52" s="5">
        <v>176.868728637695</v>
      </c>
      <c r="E52" s="7">
        <f t="shared" ref="E52:F52" si="50">C52/C51-1</f>
        <v>0.02459983121</v>
      </c>
      <c r="F52" s="7">
        <f t="shared" si="50"/>
        <v>0.01586637605</v>
      </c>
    </row>
    <row r="53">
      <c r="A53" s="3">
        <f>IFERROR(__xludf.DUMMYFUNCTION("""COMPUTED_VALUE"""),42327.66666666667)</f>
        <v>42327.66667</v>
      </c>
      <c r="B53" s="5">
        <f>IFERROR(__xludf.DUMMYFUNCTION("""COMPUTED_VALUE"""),0.78)</f>
        <v>0.78</v>
      </c>
      <c r="C53" s="5">
        <v>0.759182095527648</v>
      </c>
      <c r="D53" s="5">
        <v>176.716201782226</v>
      </c>
      <c r="E53" s="7">
        <f t="shared" ref="E53:F53" si="51">C53/C52-1</f>
        <v>0.002900364697</v>
      </c>
      <c r="F53" s="7">
        <f t="shared" si="51"/>
        <v>-0.0008623732225</v>
      </c>
    </row>
    <row r="54">
      <c r="A54" s="3">
        <f>IFERROR(__xludf.DUMMYFUNCTION("""COMPUTED_VALUE"""),42328.66666666667)</f>
        <v>42328.66667</v>
      </c>
      <c r="B54" s="5">
        <f>IFERROR(__xludf.DUMMYFUNCTION("""COMPUTED_VALUE"""),0.78)</f>
        <v>0.78</v>
      </c>
      <c r="C54" s="5">
        <v>0.765768826007843</v>
      </c>
      <c r="D54" s="5">
        <v>177.360122680664</v>
      </c>
      <c r="E54" s="7">
        <f t="shared" ref="E54:F54" si="52">C54/C53-1</f>
        <v>0.008676087752</v>
      </c>
      <c r="F54" s="7">
        <f t="shared" si="52"/>
        <v>0.003643813595</v>
      </c>
    </row>
    <row r="55">
      <c r="A55" s="3">
        <f>IFERROR(__xludf.DUMMYFUNCTION("""COMPUTED_VALUE"""),42331.66666666667)</f>
        <v>42331.66667</v>
      </c>
      <c r="B55" s="5">
        <f>IFERROR(__xludf.DUMMYFUNCTION("""COMPUTED_VALUE"""),0.77)</f>
        <v>0.77</v>
      </c>
      <c r="C55" s="5">
        <v>0.754303216934204</v>
      </c>
      <c r="D55" s="5">
        <v>177.156860351562</v>
      </c>
      <c r="E55" s="7">
        <f t="shared" ref="E55:F55" si="53">C55/C54-1</f>
        <v>-0.01497267672</v>
      </c>
      <c r="F55" s="7">
        <f t="shared" si="53"/>
        <v>-0.001146043011</v>
      </c>
    </row>
    <row r="56">
      <c r="A56" s="3">
        <f>IFERROR(__xludf.DUMMYFUNCTION("""COMPUTED_VALUE"""),42332.66666666667)</f>
        <v>42332.66667</v>
      </c>
      <c r="B56" s="5">
        <f>IFERROR(__xludf.DUMMYFUNCTION("""COMPUTED_VALUE"""),0.78)</f>
        <v>0.78</v>
      </c>
      <c r="C56" s="5">
        <v>0.760401964187622</v>
      </c>
      <c r="D56" s="5">
        <v>177.394073486328</v>
      </c>
      <c r="E56" s="7">
        <f t="shared" ref="E56:F56" si="54">C56/C55-1</f>
        <v>0.008085272761</v>
      </c>
      <c r="F56" s="7">
        <f t="shared" si="54"/>
        <v>0.001339000557</v>
      </c>
    </row>
    <row r="57">
      <c r="A57" s="3">
        <f>IFERROR(__xludf.DUMMYFUNCTION("""COMPUTED_VALUE"""),42333.66666666667)</f>
        <v>42333.66667</v>
      </c>
      <c r="B57" s="5">
        <f>IFERROR(__xludf.DUMMYFUNCTION("""COMPUTED_VALUE"""),0.78)</f>
        <v>0.78</v>
      </c>
      <c r="C57" s="5">
        <v>0.759426295757293</v>
      </c>
      <c r="D57" s="5">
        <v>177.368667602539</v>
      </c>
      <c r="E57" s="7">
        <f t="shared" ref="E57:F57" si="55">C57/C56-1</f>
        <v>-0.001283095621</v>
      </c>
      <c r="F57" s="7">
        <f t="shared" si="55"/>
        <v>-0.0001432172073</v>
      </c>
    </row>
    <row r="58">
      <c r="A58" s="3">
        <f>IFERROR(__xludf.DUMMYFUNCTION("""COMPUTED_VALUE"""),42335.66666666667)</f>
        <v>42335.66667</v>
      </c>
      <c r="B58" s="5">
        <f>IFERROR(__xludf.DUMMYFUNCTION("""COMPUTED_VALUE"""),0.78)</f>
        <v>0.78</v>
      </c>
      <c r="C58" s="5">
        <v>0.765768826007843</v>
      </c>
      <c r="D58" s="5">
        <v>177.572036743164</v>
      </c>
      <c r="E58" s="7">
        <f t="shared" ref="E58:F58" si="56">C58/C57-1</f>
        <v>0.008351739051</v>
      </c>
      <c r="F58" s="7">
        <f t="shared" si="56"/>
        <v>0.00114659</v>
      </c>
    </row>
    <row r="59">
      <c r="A59" s="3">
        <f>IFERROR(__xludf.DUMMYFUNCTION("""COMPUTED_VALUE"""),42338.66666666667)</f>
        <v>42338.66667</v>
      </c>
      <c r="B59" s="5">
        <f>IFERROR(__xludf.DUMMYFUNCTION("""COMPUTED_VALUE"""),0.79)</f>
        <v>0.79</v>
      </c>
      <c r="C59" s="5">
        <v>0.773819327354431</v>
      </c>
      <c r="D59" s="5">
        <v>176.834808349609</v>
      </c>
      <c r="E59" s="7">
        <f t="shared" ref="E59:F59" si="57">C59/C58-1</f>
        <v>0.01051296563</v>
      </c>
      <c r="F59" s="7">
        <f t="shared" si="57"/>
        <v>-0.004151714465</v>
      </c>
    </row>
    <row r="60">
      <c r="A60" s="3">
        <f>IFERROR(__xludf.DUMMYFUNCTION("""COMPUTED_VALUE"""),42339.66666666667)</f>
        <v>42339.66667</v>
      </c>
      <c r="B60" s="5">
        <f>IFERROR(__xludf.DUMMYFUNCTION("""COMPUTED_VALUE"""),0.82)</f>
        <v>0.82</v>
      </c>
      <c r="C60" s="5">
        <v>0.798946321010589</v>
      </c>
      <c r="D60" s="5">
        <v>178.521026611328</v>
      </c>
      <c r="E60" s="7">
        <f t="shared" ref="E60:F60" si="58">C60/C59-1</f>
        <v>0.0324713958</v>
      </c>
      <c r="F60" s="7">
        <f t="shared" si="58"/>
        <v>0.009535556249</v>
      </c>
    </row>
    <row r="61">
      <c r="A61" s="3">
        <f>IFERROR(__xludf.DUMMYFUNCTION("""COMPUTED_VALUE"""),42340.66666666667)</f>
        <v>42340.66667</v>
      </c>
      <c r="B61" s="5">
        <f>IFERROR(__xludf.DUMMYFUNCTION("""COMPUTED_VALUE"""),0.81)</f>
        <v>0.81</v>
      </c>
      <c r="C61" s="5">
        <v>0.792847514152526</v>
      </c>
      <c r="D61" s="5">
        <v>176.699264526367</v>
      </c>
      <c r="E61" s="7">
        <f t="shared" ref="E61:F61" si="59">C61/C60-1</f>
        <v>-0.007633562728</v>
      </c>
      <c r="F61" s="7">
        <f t="shared" si="59"/>
        <v>-0.01020474798</v>
      </c>
    </row>
    <row r="62">
      <c r="A62" s="3">
        <f>IFERROR(__xludf.DUMMYFUNCTION("""COMPUTED_VALUE"""),42341.66666666667)</f>
        <v>42341.66667</v>
      </c>
      <c r="B62" s="5">
        <f>IFERROR(__xludf.DUMMYFUNCTION("""COMPUTED_VALUE"""),0.81)</f>
        <v>0.81</v>
      </c>
      <c r="C62" s="5">
        <v>0.791139960289001</v>
      </c>
      <c r="D62" s="5">
        <v>174.224960327148</v>
      </c>
      <c r="E62" s="7">
        <f t="shared" ref="E62:F62" si="60">C62/C61-1</f>
        <v>-0.002153697695</v>
      </c>
      <c r="F62" s="7">
        <f t="shared" si="60"/>
        <v>-0.0140029117</v>
      </c>
    </row>
    <row r="63">
      <c r="A63" s="3">
        <f>IFERROR(__xludf.DUMMYFUNCTION("""COMPUTED_VALUE"""),42342.66666666667)</f>
        <v>42342.66667</v>
      </c>
      <c r="B63" s="5">
        <f>IFERROR(__xludf.DUMMYFUNCTION("""COMPUTED_VALUE"""),0.84)</f>
        <v>0.84</v>
      </c>
      <c r="C63" s="5">
        <v>0.823341727256774</v>
      </c>
      <c r="D63" s="5">
        <v>177.622833251953</v>
      </c>
      <c r="E63" s="7">
        <f t="shared" ref="E63:F63" si="61">C63/C62-1</f>
        <v>0.04070299642</v>
      </c>
      <c r="F63" s="7">
        <f t="shared" si="61"/>
        <v>0.01950279064</v>
      </c>
    </row>
    <row r="64">
      <c r="A64" s="3">
        <f>IFERROR(__xludf.DUMMYFUNCTION("""COMPUTED_VALUE"""),42345.66666666667)</f>
        <v>42345.66667</v>
      </c>
      <c r="B64" s="5">
        <f>IFERROR(__xludf.DUMMYFUNCTION("""COMPUTED_VALUE"""),0.83)</f>
        <v>0.83</v>
      </c>
      <c r="C64" s="5">
        <v>0.807728826999664</v>
      </c>
      <c r="D64" s="5">
        <v>176.54670715332</v>
      </c>
      <c r="E64" s="7">
        <f t="shared" ref="E64:F64" si="62">C64/C63-1</f>
        <v>-0.01896284342</v>
      </c>
      <c r="F64" s="7">
        <f t="shared" si="62"/>
        <v>-0.00605848966</v>
      </c>
    </row>
    <row r="65">
      <c r="A65" s="3">
        <f>IFERROR(__xludf.DUMMYFUNCTION("""COMPUTED_VALUE"""),42346.66666666667)</f>
        <v>42346.66667</v>
      </c>
      <c r="B65" s="5">
        <f>IFERROR(__xludf.DUMMYFUNCTION("""COMPUTED_VALUE"""),0.84)</f>
        <v>0.84</v>
      </c>
      <c r="C65" s="5">
        <v>0.818706631660461</v>
      </c>
      <c r="D65" s="5">
        <v>175.360412597656</v>
      </c>
      <c r="E65" s="7">
        <f t="shared" ref="E65:F65" si="63">C65/C64-1</f>
        <v>0.01359095317</v>
      </c>
      <c r="F65" s="7">
        <f t="shared" si="63"/>
        <v>-0.00671943745</v>
      </c>
    </row>
    <row r="66">
      <c r="A66" s="3">
        <f>IFERROR(__xludf.DUMMYFUNCTION("""COMPUTED_VALUE"""),42347.66666666667)</f>
        <v>42347.66667</v>
      </c>
      <c r="B66" s="5">
        <f>IFERROR(__xludf.DUMMYFUNCTION("""COMPUTED_VALUE"""),0.82)</f>
        <v>0.82</v>
      </c>
      <c r="C66" s="5">
        <v>0.797970712184906</v>
      </c>
      <c r="D66" s="5">
        <v>173.996215820312</v>
      </c>
      <c r="E66" s="7">
        <f t="shared" ref="E66:F66" si="64">C66/C65-1</f>
        <v>-0.02532765544</v>
      </c>
      <c r="F66" s="7">
        <f t="shared" si="64"/>
        <v>-0.007779388501</v>
      </c>
    </row>
    <row r="67">
      <c r="A67" s="3">
        <f>IFERROR(__xludf.DUMMYFUNCTION("""COMPUTED_VALUE"""),42348.66666666667)</f>
        <v>42348.66667</v>
      </c>
      <c r="B67" s="5">
        <f>IFERROR(__xludf.DUMMYFUNCTION("""COMPUTED_VALUE"""),0.82)</f>
        <v>0.82</v>
      </c>
      <c r="C67" s="5">
        <v>0.804557621479034</v>
      </c>
      <c r="D67" s="5">
        <v>174.445266723632</v>
      </c>
      <c r="E67" s="7">
        <f t="shared" ref="E67:F67" si="65">C67/C66-1</f>
        <v>0.008254575254</v>
      </c>
      <c r="F67" s="7">
        <f t="shared" si="65"/>
        <v>0.002580808446</v>
      </c>
    </row>
    <row r="68">
      <c r="A68" s="3">
        <f>IFERROR(__xludf.DUMMYFUNCTION("""COMPUTED_VALUE"""),42349.66666666667)</f>
        <v>42349.66667</v>
      </c>
      <c r="B68" s="5">
        <f>IFERROR(__xludf.DUMMYFUNCTION("""COMPUTED_VALUE"""),0.81)</f>
        <v>0.81</v>
      </c>
      <c r="C68" s="5">
        <v>0.79260367155075</v>
      </c>
      <c r="D68" s="5">
        <v>171.064315795898</v>
      </c>
      <c r="E68" s="7">
        <f t="shared" ref="E68:F68" si="66">C68/C67-1</f>
        <v>-0.01485779217</v>
      </c>
      <c r="F68" s="7">
        <f t="shared" si="66"/>
        <v>-0.019381156</v>
      </c>
    </row>
    <row r="69">
      <c r="A69" s="3">
        <f>IFERROR(__xludf.DUMMYFUNCTION("""COMPUTED_VALUE"""),42352.66666666667)</f>
        <v>42352.66667</v>
      </c>
      <c r="B69" s="5">
        <f>IFERROR(__xludf.DUMMYFUNCTION("""COMPUTED_VALUE"""),0.81)</f>
        <v>0.81</v>
      </c>
      <c r="C69" s="5">
        <v>0.794555187225341</v>
      </c>
      <c r="D69" s="5">
        <v>171.928665161132</v>
      </c>
      <c r="E69" s="7">
        <f t="shared" ref="E69:F69" si="67">C69/C68-1</f>
        <v>0.002462158257</v>
      </c>
      <c r="F69" s="7">
        <f t="shared" si="67"/>
        <v>0.005052774222</v>
      </c>
    </row>
    <row r="70">
      <c r="A70" s="3">
        <f>IFERROR(__xludf.DUMMYFUNCTION("""COMPUTED_VALUE"""),42353.66666666667)</f>
        <v>42353.66667</v>
      </c>
      <c r="B70" s="5">
        <f>IFERROR(__xludf.DUMMYFUNCTION("""COMPUTED_VALUE"""),0.82)</f>
        <v>0.82</v>
      </c>
      <c r="C70" s="5">
        <v>0.8043133020401</v>
      </c>
      <c r="D70" s="5">
        <v>173.733535766601</v>
      </c>
      <c r="E70" s="7">
        <f t="shared" ref="E70:F70" si="68">C70/C69-1</f>
        <v>0.01228122976</v>
      </c>
      <c r="F70" s="7">
        <f t="shared" si="68"/>
        <v>0.01049778758</v>
      </c>
    </row>
    <row r="71">
      <c r="A71" s="3">
        <f>IFERROR(__xludf.DUMMYFUNCTION("""COMPUTED_VALUE"""),42354.66666666667)</f>
        <v>42354.66667</v>
      </c>
      <c r="B71" s="5">
        <f>IFERROR(__xludf.DUMMYFUNCTION("""COMPUTED_VALUE"""),0.83)</f>
        <v>0.83</v>
      </c>
      <c r="C71" s="5">
        <v>0.809192478656768</v>
      </c>
      <c r="D71" s="5">
        <v>176.27554321289</v>
      </c>
      <c r="E71" s="7">
        <f t="shared" ref="E71:F71" si="69">C71/C70-1</f>
        <v>0.006066263736</v>
      </c>
      <c r="F71" s="7">
        <f t="shared" si="69"/>
        <v>0.01463164515</v>
      </c>
    </row>
    <row r="72">
      <c r="A72" s="3">
        <f>IFERROR(__xludf.DUMMYFUNCTION("""COMPUTED_VALUE"""),42355.66666666667)</f>
        <v>42355.66667</v>
      </c>
      <c r="B72" s="5">
        <f>IFERROR(__xludf.DUMMYFUNCTION("""COMPUTED_VALUE"""),0.82)</f>
        <v>0.82</v>
      </c>
      <c r="C72" s="5">
        <v>0.796994805335998</v>
      </c>
      <c r="D72" s="5">
        <v>173.589477539062</v>
      </c>
      <c r="E72" s="7">
        <f t="shared" ref="E72:F72" si="70">C72/C71-1</f>
        <v>-0.01507388371</v>
      </c>
      <c r="F72" s="7">
        <f t="shared" si="70"/>
        <v>-0.01523788056</v>
      </c>
    </row>
    <row r="73">
      <c r="A73" s="3">
        <f>IFERROR(__xludf.DUMMYFUNCTION("""COMPUTED_VALUE"""),42356.66666666667)</f>
        <v>42356.66667</v>
      </c>
      <c r="B73" s="5">
        <f>IFERROR(__xludf.DUMMYFUNCTION("""COMPUTED_VALUE"""),0.8)</f>
        <v>0.8</v>
      </c>
      <c r="C73" s="5">
        <v>0.784065306186676</v>
      </c>
      <c r="D73" s="5">
        <v>170.496994018554</v>
      </c>
      <c r="E73" s="7">
        <f t="shared" ref="E73:F73" si="71">C73/C72-1</f>
        <v>-0.01622281483</v>
      </c>
      <c r="F73" s="7">
        <f t="shared" si="71"/>
        <v>-0.01781492498</v>
      </c>
    </row>
    <row r="74">
      <c r="A74" s="3">
        <f>IFERROR(__xludf.DUMMYFUNCTION("""COMPUTED_VALUE"""),42359.66666666667)</f>
        <v>42359.66667</v>
      </c>
      <c r="B74" s="5">
        <f>IFERROR(__xludf.DUMMYFUNCTION("""COMPUTED_VALUE"""),0.82)</f>
        <v>0.82</v>
      </c>
      <c r="C74" s="5">
        <v>0.802605688571929</v>
      </c>
      <c r="D74" s="5">
        <v>171.903411865234</v>
      </c>
      <c r="E74" s="7">
        <f t="shared" ref="E74:F74" si="72">C74/C73-1</f>
        <v>0.0236464772</v>
      </c>
      <c r="F74" s="7">
        <f t="shared" si="72"/>
        <v>0.008248930456</v>
      </c>
    </row>
    <row r="75">
      <c r="A75" s="3">
        <f>IFERROR(__xludf.DUMMYFUNCTION("""COMPUTED_VALUE"""),42360.66666666667)</f>
        <v>42360.66667</v>
      </c>
      <c r="B75" s="5">
        <f>IFERROR(__xludf.DUMMYFUNCTION("""COMPUTED_VALUE"""),0.82)</f>
        <v>0.82</v>
      </c>
      <c r="C75" s="5">
        <v>0.803337574005127</v>
      </c>
      <c r="D75" s="5">
        <v>173.463302612304</v>
      </c>
      <c r="E75" s="7">
        <f t="shared" ref="E75:F75" si="73">C75/C74-1</f>
        <v>0.0009118866756</v>
      </c>
      <c r="F75" s="7">
        <f t="shared" si="73"/>
        <v>0.009074227964</v>
      </c>
    </row>
    <row r="76">
      <c r="A76" s="3">
        <f>IFERROR(__xludf.DUMMYFUNCTION("""COMPUTED_VALUE"""),42361.66666666667)</f>
        <v>42361.66667</v>
      </c>
      <c r="B76" s="5">
        <f>IFERROR(__xludf.DUMMYFUNCTION("""COMPUTED_VALUE"""),0.83)</f>
        <v>0.83</v>
      </c>
      <c r="C76" s="5">
        <v>0.806508958339691</v>
      </c>
      <c r="D76" s="5">
        <v>175.611328125</v>
      </c>
      <c r="E76" s="7">
        <f t="shared" ref="E76:F76" si="74">C76/C75-1</f>
        <v>0.00394776049</v>
      </c>
      <c r="F76" s="7">
        <f t="shared" si="74"/>
        <v>0.0123831697</v>
      </c>
    </row>
    <row r="77">
      <c r="A77" s="3">
        <f>IFERROR(__xludf.DUMMYFUNCTION("""COMPUTED_VALUE"""),42362.66666666667)</f>
        <v>42362.66667</v>
      </c>
      <c r="B77" s="5">
        <f>IFERROR(__xludf.DUMMYFUNCTION("""COMPUTED_VALUE"""),0.83)</f>
        <v>0.83</v>
      </c>
      <c r="C77" s="5">
        <v>0.809192478656768</v>
      </c>
      <c r="D77" s="5">
        <v>175.321502685546</v>
      </c>
      <c r="E77" s="7">
        <f t="shared" ref="E77:F77" si="75">C77/C76-1</f>
        <v>0.003327328592</v>
      </c>
      <c r="F77" s="7">
        <f t="shared" si="75"/>
        <v>-0.00165038009</v>
      </c>
    </row>
    <row r="78">
      <c r="A78" s="3">
        <f>IFERROR(__xludf.DUMMYFUNCTION("""COMPUTED_VALUE"""),42366.66666666667)</f>
        <v>42366.66667</v>
      </c>
      <c r="B78" s="5">
        <f>IFERROR(__xludf.DUMMYFUNCTION("""COMPUTED_VALUE"""),0.83)</f>
        <v>0.83</v>
      </c>
      <c r="C78" s="5">
        <v>0.808460414409637</v>
      </c>
      <c r="D78" s="5">
        <v>174.920913696289</v>
      </c>
      <c r="E78" s="7">
        <f t="shared" ref="E78:F78" si="76">C78/C77-1</f>
        <v>-0.0009046849377</v>
      </c>
      <c r="F78" s="7">
        <f t="shared" si="76"/>
        <v>-0.002284882248</v>
      </c>
    </row>
    <row r="79">
      <c r="A79" s="3">
        <f>IFERROR(__xludf.DUMMYFUNCTION("""COMPUTED_VALUE"""),42367.66666666667)</f>
        <v>42367.66667</v>
      </c>
      <c r="B79" s="5">
        <f>IFERROR(__xludf.DUMMYFUNCTION("""COMPUTED_VALUE"""),0.84)</f>
        <v>0.84</v>
      </c>
      <c r="C79" s="5">
        <v>0.821634113788604</v>
      </c>
      <c r="D79" s="5">
        <v>176.787628173828</v>
      </c>
      <c r="E79" s="7">
        <f t="shared" ref="E79:F79" si="77">C79/C78-1</f>
        <v>0.01629479829</v>
      </c>
      <c r="F79" s="7">
        <f t="shared" si="77"/>
        <v>0.01067176267</v>
      </c>
    </row>
    <row r="80">
      <c r="A80" s="3">
        <f>IFERROR(__xludf.DUMMYFUNCTION("""COMPUTED_VALUE"""),42368.66666666667)</f>
        <v>42368.66667</v>
      </c>
      <c r="B80" s="5">
        <f>IFERROR(__xludf.DUMMYFUNCTION("""COMPUTED_VALUE"""),0.83)</f>
        <v>0.83</v>
      </c>
      <c r="C80" s="5">
        <v>0.814559578895568</v>
      </c>
      <c r="D80" s="5">
        <v>175.534637451171</v>
      </c>
      <c r="E80" s="7">
        <f t="shared" ref="E80:F80" si="78">C80/C79-1</f>
        <v>-0.008610322739</v>
      </c>
      <c r="F80" s="7">
        <f t="shared" si="78"/>
        <v>-0.00708754756</v>
      </c>
    </row>
    <row r="81">
      <c r="A81" s="3">
        <f>IFERROR(__xludf.DUMMYFUNCTION("""COMPUTED_VALUE"""),42369.66666666667)</f>
        <v>42369.66667</v>
      </c>
      <c r="B81" s="5">
        <f>IFERROR(__xludf.DUMMYFUNCTION("""COMPUTED_VALUE"""),0.82)</f>
        <v>0.82</v>
      </c>
      <c r="C81" s="5">
        <v>0.804069459438324</v>
      </c>
      <c r="D81" s="5">
        <v>173.778671264648</v>
      </c>
      <c r="E81" s="7">
        <f t="shared" ref="E81:F81" si="79">C81/C80-1</f>
        <v>-0.01287827156</v>
      </c>
      <c r="F81" s="7">
        <f t="shared" si="79"/>
        <v>-0.010003531</v>
      </c>
    </row>
    <row r="82">
      <c r="A82" s="3">
        <f>IFERROR(__xludf.DUMMYFUNCTION("""COMPUTED_VALUE"""),42373.66666666667)</f>
        <v>42373.66667</v>
      </c>
      <c r="B82" s="5">
        <f>IFERROR(__xludf.DUMMYFUNCTION("""COMPUTED_VALUE"""),0.81)</f>
        <v>0.81</v>
      </c>
      <c r="C82" s="5">
        <v>0.789676189422607</v>
      </c>
      <c r="D82" s="5">
        <v>171.349319458007</v>
      </c>
      <c r="E82" s="7">
        <f t="shared" ref="E82:F82" si="80">C82/C81-1</f>
        <v>-0.01790053067</v>
      </c>
      <c r="F82" s="7">
        <f t="shared" si="80"/>
        <v>-0.01397957407</v>
      </c>
    </row>
    <row r="83">
      <c r="A83" s="3">
        <f>IFERROR(__xludf.DUMMYFUNCTION("""COMPUTED_VALUE"""),42374.66666666667)</f>
        <v>42374.66667</v>
      </c>
      <c r="B83" s="5">
        <f>IFERROR(__xludf.DUMMYFUNCTION("""COMPUTED_VALUE"""),0.82)</f>
        <v>0.82</v>
      </c>
      <c r="C83" s="5">
        <v>0.802361786365509</v>
      </c>
      <c r="D83" s="5">
        <v>171.63916015625</v>
      </c>
      <c r="E83" s="7">
        <f t="shared" ref="E83:F83" si="81">C83/C82-1</f>
        <v>0.01606430219</v>
      </c>
      <c r="F83" s="7">
        <f t="shared" si="81"/>
        <v>0.001691519401</v>
      </c>
    </row>
    <row r="84">
      <c r="A84" s="3">
        <f>IFERROR(__xludf.DUMMYFUNCTION("""COMPUTED_VALUE"""),42375.66666666667)</f>
        <v>42375.66667</v>
      </c>
      <c r="B84" s="5">
        <f>IFERROR(__xludf.DUMMYFUNCTION("""COMPUTED_VALUE"""),0.79)</f>
        <v>0.79</v>
      </c>
      <c r="C84" s="5">
        <v>0.769184291362762</v>
      </c>
      <c r="D84" s="5">
        <v>169.474075317382</v>
      </c>
      <c r="E84" s="7">
        <f t="shared" ref="E84:F84" si="82">C84/C83-1</f>
        <v>-0.04134979453</v>
      </c>
      <c r="F84" s="7">
        <f t="shared" si="82"/>
        <v>-0.01261416589</v>
      </c>
    </row>
    <row r="85">
      <c r="A85" s="3">
        <f>IFERROR(__xludf.DUMMYFUNCTION("""COMPUTED_VALUE"""),42376.66666666667)</f>
        <v>42376.66667</v>
      </c>
      <c r="B85" s="5">
        <f>IFERROR(__xludf.DUMMYFUNCTION("""COMPUTED_VALUE"""),0.76)</f>
        <v>0.76</v>
      </c>
      <c r="C85" s="5">
        <v>0.738689959049224</v>
      </c>
      <c r="D85" s="5">
        <v>165.408126831054</v>
      </c>
      <c r="E85" s="7">
        <f t="shared" ref="E85:F85" si="83">C85/C84-1</f>
        <v>-0.03964502741</v>
      </c>
      <c r="F85" s="7">
        <f t="shared" si="83"/>
        <v>-0.02399156614</v>
      </c>
    </row>
    <row r="86">
      <c r="A86" s="3">
        <f>IFERROR(__xludf.DUMMYFUNCTION("""COMPUTED_VALUE"""),42377.66666666667)</f>
        <v>42377.66667</v>
      </c>
      <c r="B86" s="5">
        <f>IFERROR(__xludf.DUMMYFUNCTION("""COMPUTED_VALUE"""),0.74)</f>
        <v>0.74</v>
      </c>
      <c r="C86" s="5">
        <v>0.722833156585693</v>
      </c>
      <c r="D86" s="5">
        <v>163.592498779296</v>
      </c>
      <c r="E86" s="7">
        <f t="shared" ref="E86:F86" si="84">C86/C85-1</f>
        <v>-0.02146611345</v>
      </c>
      <c r="F86" s="7">
        <f t="shared" si="84"/>
        <v>-0.01097665566</v>
      </c>
    </row>
    <row r="87">
      <c r="A87" s="3">
        <f>IFERROR(__xludf.DUMMYFUNCTION("""COMPUTED_VALUE"""),42380.66666666667)</f>
        <v>42380.66667</v>
      </c>
      <c r="B87" s="5">
        <f>IFERROR(__xludf.DUMMYFUNCTION("""COMPUTED_VALUE"""),0.74)</f>
        <v>0.74</v>
      </c>
      <c r="C87" s="5">
        <v>0.724052965641021</v>
      </c>
      <c r="D87" s="5">
        <v>163.754486083984</v>
      </c>
      <c r="E87" s="7">
        <f t="shared" ref="E87:F87" si="85">C87/C86-1</f>
        <v>0.00168753888</v>
      </c>
      <c r="F87" s="7">
        <f t="shared" si="85"/>
        <v>0.0009901878503</v>
      </c>
    </row>
    <row r="88">
      <c r="A88" s="3">
        <f>IFERROR(__xludf.DUMMYFUNCTION("""COMPUTED_VALUE"""),42381.66666666667)</f>
        <v>42381.66667</v>
      </c>
      <c r="B88" s="5">
        <f>IFERROR(__xludf.DUMMYFUNCTION("""COMPUTED_VALUE"""),0.75)</f>
        <v>0.75</v>
      </c>
      <c r="C88" s="5">
        <v>0.736250519752502</v>
      </c>
      <c r="D88" s="5">
        <v>165.075653076171</v>
      </c>
      <c r="E88" s="7">
        <f t="shared" ref="E88:F88" si="86">C88/C87-1</f>
        <v>0.01684621801</v>
      </c>
      <c r="F88" s="7">
        <f t="shared" si="86"/>
        <v>0.008067974342</v>
      </c>
    </row>
    <row r="89">
      <c r="A89" s="3">
        <f>IFERROR(__xludf.DUMMYFUNCTION("""COMPUTED_VALUE"""),42382.66666666667)</f>
        <v>42382.66667</v>
      </c>
      <c r="B89" s="5">
        <f>IFERROR(__xludf.DUMMYFUNCTION("""COMPUTED_VALUE"""),0.73)</f>
        <v>0.73</v>
      </c>
      <c r="C89" s="5">
        <v>0.713806748390197</v>
      </c>
      <c r="D89" s="5">
        <v>160.958602905273</v>
      </c>
      <c r="E89" s="7">
        <f t="shared" ref="E89:F89" si="87">C89/C88-1</f>
        <v>-0.03048387846</v>
      </c>
      <c r="F89" s="7">
        <f t="shared" si="87"/>
        <v>-0.02494038396</v>
      </c>
    </row>
    <row r="90">
      <c r="A90" s="3">
        <f>IFERROR(__xludf.DUMMYFUNCTION("""COMPUTED_VALUE"""),42383.66666666667)</f>
        <v>42383.66667</v>
      </c>
      <c r="B90" s="5">
        <f>IFERROR(__xludf.DUMMYFUNCTION("""COMPUTED_VALUE"""),0.72)</f>
        <v>0.72</v>
      </c>
      <c r="C90" s="5">
        <v>0.69941371679306</v>
      </c>
      <c r="D90" s="5">
        <v>163.601013183593</v>
      </c>
      <c r="E90" s="7">
        <f t="shared" ref="E90:F90" si="88">C90/C89-1</f>
        <v>-0.02016376509</v>
      </c>
      <c r="F90" s="7">
        <f t="shared" si="88"/>
        <v>0.01641670734</v>
      </c>
    </row>
    <row r="91">
      <c r="A91" s="3">
        <f>IFERROR(__xludf.DUMMYFUNCTION("""COMPUTED_VALUE"""),42384.66666666667)</f>
        <v>42384.66667</v>
      </c>
      <c r="B91" s="5">
        <f>IFERROR(__xludf.DUMMYFUNCTION("""COMPUTED_VALUE"""),0.68)</f>
        <v>0.68</v>
      </c>
      <c r="C91" s="5">
        <v>0.661356687545776</v>
      </c>
      <c r="D91" s="5">
        <v>160.08918762207</v>
      </c>
      <c r="E91" s="7">
        <f t="shared" ref="E91:F91" si="89">C91/C90-1</f>
        <v>-0.0544127579</v>
      </c>
      <c r="F91" s="7">
        <f t="shared" si="89"/>
        <v>-0.02146579348</v>
      </c>
    </row>
    <row r="92">
      <c r="A92" s="3">
        <f>IFERROR(__xludf.DUMMYFUNCTION("""COMPUTED_VALUE"""),42388.66666666667)</f>
        <v>42388.66667</v>
      </c>
      <c r="B92" s="5">
        <f>IFERROR(__xludf.DUMMYFUNCTION("""COMPUTED_VALUE"""),0.68)</f>
        <v>0.68</v>
      </c>
      <c r="C92" s="5">
        <v>0.666723728179931</v>
      </c>
      <c r="D92" s="5">
        <v>160.302261352539</v>
      </c>
      <c r="E92" s="7">
        <f t="shared" ref="E92:F92" si="90">C92/C91-1</f>
        <v>0.008115198251</v>
      </c>
      <c r="F92" s="7">
        <f t="shared" si="90"/>
        <v>0.001330968903</v>
      </c>
    </row>
    <row r="93">
      <c r="A93" s="3">
        <f>IFERROR(__xludf.DUMMYFUNCTION("""COMPUTED_VALUE"""),42389.66666666667)</f>
        <v>42389.66667</v>
      </c>
      <c r="B93" s="5">
        <f>IFERROR(__xludf.DUMMYFUNCTION("""COMPUTED_VALUE"""),0.69)</f>
        <v>0.69</v>
      </c>
      <c r="C93" s="5">
        <v>0.670383393764495</v>
      </c>
      <c r="D93" s="5">
        <v>158.247940063476</v>
      </c>
      <c r="E93" s="7">
        <f t="shared" ref="E93:F93" si="91">C93/C92-1</f>
        <v>0.005489028558</v>
      </c>
      <c r="F93" s="7">
        <f t="shared" si="91"/>
        <v>-0.01281529825</v>
      </c>
    </row>
    <row r="94">
      <c r="A94" s="3">
        <f>IFERROR(__xludf.DUMMYFUNCTION("""COMPUTED_VALUE"""),42390.66666666667)</f>
        <v>42390.66667</v>
      </c>
      <c r="B94" s="5">
        <f>IFERROR(__xludf.DUMMYFUNCTION("""COMPUTED_VALUE"""),0.7)</f>
        <v>0.7</v>
      </c>
      <c r="C94" s="5">
        <v>0.678189694881439</v>
      </c>
      <c r="D94" s="5">
        <v>159.134475708007</v>
      </c>
      <c r="E94" s="7">
        <f t="shared" ref="E94:F94" si="92">C94/C93-1</f>
        <v>0.01164453235</v>
      </c>
      <c r="F94" s="7">
        <f t="shared" si="92"/>
        <v>0.0056021939</v>
      </c>
    </row>
    <row r="95">
      <c r="A95" s="3">
        <f>IFERROR(__xludf.DUMMYFUNCTION("""COMPUTED_VALUE"""),42391.66666666667)</f>
        <v>42391.66667</v>
      </c>
      <c r="B95" s="5">
        <f>IFERROR(__xludf.DUMMYFUNCTION("""COMPUTED_VALUE"""),0.71)</f>
        <v>0.71</v>
      </c>
      <c r="C95" s="5">
        <v>0.694046556949615</v>
      </c>
      <c r="D95" s="5">
        <v>162.399139404296</v>
      </c>
      <c r="E95" s="7">
        <f t="shared" ref="E95:F95" si="93">C95/C94-1</f>
        <v>0.02338116045</v>
      </c>
      <c r="F95" s="7">
        <f t="shared" si="93"/>
        <v>0.02051512522</v>
      </c>
    </row>
    <row r="96">
      <c r="A96" s="3">
        <f>IFERROR(__xludf.DUMMYFUNCTION("""COMPUTED_VALUE"""),42394.66666666667)</f>
        <v>42394.66667</v>
      </c>
      <c r="B96" s="5">
        <f>IFERROR(__xludf.DUMMYFUNCTION("""COMPUTED_VALUE"""),0.71)</f>
        <v>0.71</v>
      </c>
      <c r="C96" s="5">
        <v>0.693314790725708</v>
      </c>
      <c r="D96" s="5">
        <v>159.944244384765</v>
      </c>
      <c r="E96" s="7">
        <f t="shared" ref="E96:F96" si="94">C96/C95-1</f>
        <v>-0.001054347459</v>
      </c>
      <c r="F96" s="7">
        <f t="shared" si="94"/>
        <v>-0.01511642875</v>
      </c>
    </row>
    <row r="97">
      <c r="A97" s="3">
        <f>IFERROR(__xludf.DUMMYFUNCTION("""COMPUTED_VALUE"""),42395.66666666667)</f>
        <v>42395.66667</v>
      </c>
      <c r="B97" s="5">
        <f>IFERROR(__xludf.DUMMYFUNCTION("""COMPUTED_VALUE"""),0.72)</f>
        <v>0.72</v>
      </c>
      <c r="C97" s="5">
        <v>0.700145542621612</v>
      </c>
      <c r="D97" s="5">
        <v>162.126373291015</v>
      </c>
      <c r="E97" s="7">
        <f t="shared" ref="E97:F97" si="95">C97/C96-1</f>
        <v>0.009852309495</v>
      </c>
      <c r="F97" s="7">
        <f t="shared" si="95"/>
        <v>0.0136430599</v>
      </c>
    </row>
    <row r="98">
      <c r="A98" s="3">
        <f>IFERROR(__xludf.DUMMYFUNCTION("""COMPUTED_VALUE"""),42396.66666666667)</f>
        <v>42396.66667</v>
      </c>
      <c r="B98" s="5">
        <f>IFERROR(__xludf.DUMMYFUNCTION("""COMPUTED_VALUE"""),0.71)</f>
        <v>0.71</v>
      </c>
      <c r="C98" s="5">
        <v>0.691851019859314</v>
      </c>
      <c r="D98" s="5">
        <v>160.361892700195</v>
      </c>
      <c r="E98" s="7">
        <f t="shared" ref="E98:F98" si="96">C98/C97-1</f>
        <v>-0.01184685506</v>
      </c>
      <c r="F98" s="7">
        <f t="shared" si="96"/>
        <v>-0.01088336558</v>
      </c>
    </row>
    <row r="99">
      <c r="A99" s="3">
        <f>IFERROR(__xludf.DUMMYFUNCTION("""COMPUTED_VALUE"""),42397.66666666667)</f>
        <v>42397.66667</v>
      </c>
      <c r="B99" s="5">
        <f>IFERROR(__xludf.DUMMYFUNCTION("""COMPUTED_VALUE"""),0.7)</f>
        <v>0.7</v>
      </c>
      <c r="C99" s="5">
        <v>0.684288620948791</v>
      </c>
      <c r="D99" s="5">
        <v>161.197311401367</v>
      </c>
      <c r="E99" s="7">
        <f t="shared" ref="E99:F99" si="97">C99/C98-1</f>
        <v>-0.01093067538</v>
      </c>
      <c r="F99" s="7">
        <f t="shared" si="97"/>
        <v>0.005209583693</v>
      </c>
    </row>
    <row r="100">
      <c r="A100" s="3">
        <f>IFERROR(__xludf.DUMMYFUNCTION("""COMPUTED_VALUE"""),42398.66666666667)</f>
        <v>42398.66667</v>
      </c>
      <c r="B100" s="5">
        <f>IFERROR(__xludf.DUMMYFUNCTION("""COMPUTED_VALUE"""),0.73)</f>
        <v>0.73</v>
      </c>
      <c r="C100" s="5">
        <v>0.714538812637329</v>
      </c>
      <c r="D100" s="5">
        <v>165.126831054687</v>
      </c>
      <c r="E100" s="7">
        <f t="shared" ref="E100:F100" si="98">C100/C99-1</f>
        <v>0.04420677294</v>
      </c>
      <c r="F100" s="7">
        <f t="shared" si="98"/>
        <v>0.02437707936</v>
      </c>
    </row>
    <row r="101">
      <c r="A101" s="3">
        <f>IFERROR(__xludf.DUMMYFUNCTION("""COMPUTED_VALUE"""),42401.66666666667)</f>
        <v>42401.66667</v>
      </c>
      <c r="B101" s="5">
        <f>IFERROR(__xludf.DUMMYFUNCTION("""COMPUTED_VALUE"""),0.73)</f>
        <v>0.73</v>
      </c>
      <c r="C101" s="5">
        <v>0.71478271484375</v>
      </c>
      <c r="D101" s="5">
        <v>165.067138671875</v>
      </c>
      <c r="E101" s="7">
        <f t="shared" ref="E101:F101" si="99">C101/C100-1</f>
        <v>0.0003413421386</v>
      </c>
      <c r="F101" s="7">
        <f t="shared" si="99"/>
        <v>-0.0003614941462</v>
      </c>
    </row>
    <row r="102">
      <c r="A102" s="3">
        <f>IFERROR(__xludf.DUMMYFUNCTION("""COMPUTED_VALUE"""),42402.66666666667)</f>
        <v>42402.66667</v>
      </c>
      <c r="B102" s="5">
        <f>IFERROR(__xludf.DUMMYFUNCTION("""COMPUTED_VALUE"""),0.7)</f>
        <v>0.7</v>
      </c>
      <c r="C102" s="5">
        <v>0.684532523155212</v>
      </c>
      <c r="D102" s="5">
        <v>162.092346191406</v>
      </c>
      <c r="E102" s="7">
        <f t="shared" ref="E102:F102" si="100">C102/C101-1</f>
        <v>-0.0423208215</v>
      </c>
      <c r="F102" s="7">
        <f t="shared" si="100"/>
        <v>-0.01802171228</v>
      </c>
    </row>
    <row r="103">
      <c r="A103" s="3">
        <f>IFERROR(__xludf.DUMMYFUNCTION("""COMPUTED_VALUE"""),42403.66666666667)</f>
        <v>42403.66667</v>
      </c>
      <c r="B103" s="5">
        <f>IFERROR(__xludf.DUMMYFUNCTION("""COMPUTED_VALUE"""),0.71)</f>
        <v>0.71</v>
      </c>
      <c r="C103" s="5">
        <v>0.687947809696197</v>
      </c>
      <c r="D103" s="5">
        <v>163.063995361328</v>
      </c>
      <c r="E103" s="7">
        <f t="shared" ref="E103:F103" si="101">C103/C102-1</f>
        <v>0.004989224654</v>
      </c>
      <c r="F103" s="7">
        <f t="shared" si="101"/>
        <v>0.005994417335</v>
      </c>
    </row>
    <row r="104">
      <c r="A104" s="3">
        <f>IFERROR(__xludf.DUMMYFUNCTION("""COMPUTED_VALUE"""),42404.66666666667)</f>
        <v>42404.66667</v>
      </c>
      <c r="B104" s="5">
        <f>IFERROR(__xludf.DUMMYFUNCTION("""COMPUTED_VALUE"""),0.71)</f>
        <v>0.71</v>
      </c>
      <c r="C104" s="5">
        <v>0.688191771507263</v>
      </c>
      <c r="D104" s="5">
        <v>163.319702148437</v>
      </c>
      <c r="E104" s="7">
        <f t="shared" ref="E104:F104" si="102">C104/C103-1</f>
        <v>0.0003546225566</v>
      </c>
      <c r="F104" s="7">
        <f t="shared" si="102"/>
        <v>0.001568137629</v>
      </c>
    </row>
    <row r="105">
      <c r="A105" s="3">
        <f>IFERROR(__xludf.DUMMYFUNCTION("""COMPUTED_VALUE"""),42405.66666666667)</f>
        <v>42405.66667</v>
      </c>
      <c r="B105" s="5">
        <f>IFERROR(__xludf.DUMMYFUNCTION("""COMPUTED_VALUE"""),0.66)</f>
        <v>0.66</v>
      </c>
      <c r="C105" s="5">
        <v>0.644768178462982</v>
      </c>
      <c r="D105" s="5">
        <v>160.208465576171</v>
      </c>
      <c r="E105" s="7">
        <f t="shared" ref="E105:F105" si="103">C105/C104-1</f>
        <v>-0.06309809975</v>
      </c>
      <c r="F105" s="7">
        <f t="shared" si="103"/>
        <v>-0.01904997702</v>
      </c>
    </row>
    <row r="106">
      <c r="A106" s="3">
        <f>IFERROR(__xludf.DUMMYFUNCTION("""COMPUTED_VALUE"""),42408.66666666667)</f>
        <v>42408.66667</v>
      </c>
      <c r="B106" s="5">
        <f>IFERROR(__xludf.DUMMYFUNCTION("""COMPUTED_VALUE"""),0.63)</f>
        <v>0.63</v>
      </c>
      <c r="C106" s="5">
        <v>0.615249872207641</v>
      </c>
      <c r="D106" s="5">
        <v>158.051925659179</v>
      </c>
      <c r="E106" s="7">
        <f t="shared" ref="E106:F106" si="104">C106/C105-1</f>
        <v>-0.04578127029</v>
      </c>
      <c r="F106" s="7">
        <f t="shared" si="104"/>
        <v>-0.01346083623</v>
      </c>
    </row>
    <row r="107">
      <c r="A107" s="3">
        <f>IFERROR(__xludf.DUMMYFUNCTION("""COMPUTED_VALUE"""),42409.66666666667)</f>
        <v>42409.66667</v>
      </c>
      <c r="B107" s="5">
        <f>IFERROR(__xludf.DUMMYFUNCTION("""COMPUTED_VALUE"""),0.64)</f>
        <v>0.64</v>
      </c>
      <c r="C107" s="5">
        <v>0.621836423873901</v>
      </c>
      <c r="D107" s="5">
        <v>158.060424804687</v>
      </c>
      <c r="E107" s="7">
        <f t="shared" ref="E107:F107" si="105">C107/C106-1</f>
        <v>0.01070549051</v>
      </c>
      <c r="F107" s="7">
        <f t="shared" si="105"/>
        <v>0.00005377438758</v>
      </c>
    </row>
    <row r="108">
      <c r="A108" s="3">
        <f>IFERROR(__xludf.DUMMYFUNCTION("""COMPUTED_VALUE"""),42410.66666666667)</f>
        <v>42410.66667</v>
      </c>
      <c r="B108" s="5">
        <f>IFERROR(__xludf.DUMMYFUNCTION("""COMPUTED_VALUE"""),0.64)</f>
        <v>0.64</v>
      </c>
      <c r="C108" s="5">
        <v>0.620372831821441</v>
      </c>
      <c r="D108" s="5">
        <v>157.924057006835</v>
      </c>
      <c r="E108" s="7">
        <f t="shared" ref="E108:F108" si="106">C108/C107-1</f>
        <v>-0.00235366086</v>
      </c>
      <c r="F108" s="7">
        <f t="shared" si="106"/>
        <v>-0.0008627573792</v>
      </c>
    </row>
    <row r="109">
      <c r="A109" s="3">
        <f>IFERROR(__xludf.DUMMYFUNCTION("""COMPUTED_VALUE"""),42411.66666666667)</f>
        <v>42411.66667</v>
      </c>
      <c r="B109" s="5">
        <f>IFERROR(__xludf.DUMMYFUNCTION("""COMPUTED_VALUE"""),0.63)</f>
        <v>0.63</v>
      </c>
      <c r="C109" s="5">
        <v>0.617201566696167</v>
      </c>
      <c r="D109" s="5">
        <v>155.86978149414</v>
      </c>
      <c r="E109" s="7">
        <f t="shared" ref="E109:F109" si="107">C109/C108-1</f>
        <v>-0.00511186977</v>
      </c>
      <c r="F109" s="7">
        <f t="shared" si="107"/>
        <v>-0.01300799607</v>
      </c>
    </row>
    <row r="110">
      <c r="A110" s="3">
        <f>IFERROR(__xludf.DUMMYFUNCTION("""COMPUTED_VALUE"""),42412.66666666667)</f>
        <v>42412.66667</v>
      </c>
      <c r="B110" s="5">
        <f>IFERROR(__xludf.DUMMYFUNCTION("""COMPUTED_VALUE"""),0.64)</f>
        <v>0.64</v>
      </c>
      <c r="C110" s="5">
        <v>0.627691268920898</v>
      </c>
      <c r="D110" s="5">
        <v>159.083343505859</v>
      </c>
      <c r="E110" s="7">
        <f t="shared" ref="E110:F110" si="108">C110/C109-1</f>
        <v>0.01699558587</v>
      </c>
      <c r="F110" s="7">
        <f t="shared" si="108"/>
        <v>0.02061696617</v>
      </c>
    </row>
    <row r="111">
      <c r="A111" s="3">
        <f>IFERROR(__xludf.DUMMYFUNCTION("""COMPUTED_VALUE"""),42416.66666666667)</f>
        <v>42416.66667</v>
      </c>
      <c r="B111" s="5">
        <f>IFERROR(__xludf.DUMMYFUNCTION("""COMPUTED_VALUE"""),0.67)</f>
        <v>0.67</v>
      </c>
      <c r="C111" s="5">
        <v>0.658429563045501</v>
      </c>
      <c r="D111" s="5">
        <v>161.76838684082</v>
      </c>
      <c r="E111" s="7">
        <f t="shared" ref="E111:F111" si="109">C111/C110-1</f>
        <v>0.04897040256</v>
      </c>
      <c r="F111" s="7">
        <f t="shared" si="109"/>
        <v>0.01687821789</v>
      </c>
    </row>
    <row r="112">
      <c r="A112" s="3">
        <f>IFERROR(__xludf.DUMMYFUNCTION("""COMPUTED_VALUE"""),42417.66666666667)</f>
        <v>42417.66667</v>
      </c>
      <c r="B112" s="5">
        <f>IFERROR(__xludf.DUMMYFUNCTION("""COMPUTED_VALUE"""),0.69)</f>
        <v>0.69</v>
      </c>
      <c r="C112" s="5">
        <v>0.674774527549743</v>
      </c>
      <c r="D112" s="5">
        <v>164.410781860351</v>
      </c>
      <c r="E112" s="7">
        <f t="shared" ref="E112:F112" si="110">C112/C111-1</f>
        <v>0.02482416559</v>
      </c>
      <c r="F112" s="7">
        <f t="shared" si="110"/>
        <v>0.01633443388</v>
      </c>
    </row>
    <row r="113">
      <c r="A113" s="3">
        <f>IFERROR(__xludf.DUMMYFUNCTION("""COMPUTED_VALUE"""),42418.66666666667)</f>
        <v>42418.66667</v>
      </c>
      <c r="B113" s="5">
        <f>IFERROR(__xludf.DUMMYFUNCTION("""COMPUTED_VALUE"""),0.75)</f>
        <v>0.75</v>
      </c>
      <c r="C113" s="5">
        <v>0.732835173606872</v>
      </c>
      <c r="D113" s="5">
        <v>163.737411499023</v>
      </c>
      <c r="E113" s="7">
        <f t="shared" ref="E113:F113" si="111">C113/C112-1</f>
        <v>0.08604451367</v>
      </c>
      <c r="F113" s="7">
        <f t="shared" si="111"/>
        <v>-0.004095658166</v>
      </c>
    </row>
    <row r="114">
      <c r="A114" s="3">
        <f>IFERROR(__xludf.DUMMYFUNCTION("""COMPUTED_VALUE"""),42419.66666666667)</f>
        <v>42419.66667</v>
      </c>
      <c r="B114" s="5">
        <f>IFERROR(__xludf.DUMMYFUNCTION("""COMPUTED_VALUE"""),0.76)</f>
        <v>0.76</v>
      </c>
      <c r="C114" s="5">
        <v>0.74259328842163</v>
      </c>
      <c r="D114" s="5">
        <v>163.660705566406</v>
      </c>
      <c r="E114" s="7">
        <f t="shared" ref="E114:F114" si="112">C114/C113-1</f>
        <v>0.01331556558</v>
      </c>
      <c r="F114" s="7">
        <f t="shared" si="112"/>
        <v>-0.0004684691905</v>
      </c>
    </row>
    <row r="115">
      <c r="A115" s="3">
        <f>IFERROR(__xludf.DUMMYFUNCTION("""COMPUTED_VALUE"""),42422.66666666667)</f>
        <v>42422.66667</v>
      </c>
      <c r="B115" s="5">
        <f>IFERROR(__xludf.DUMMYFUNCTION("""COMPUTED_VALUE"""),0.79)</f>
        <v>0.79</v>
      </c>
      <c r="C115" s="5">
        <v>0.768940329551696</v>
      </c>
      <c r="D115" s="5">
        <v>166.030380249023</v>
      </c>
      <c r="E115" s="7">
        <f t="shared" ref="E115:F115" si="113">C115/C114-1</f>
        <v>0.03547977277</v>
      </c>
      <c r="F115" s="7">
        <f t="shared" si="113"/>
        <v>0.01447919141</v>
      </c>
    </row>
    <row r="116">
      <c r="A116" s="3">
        <f>IFERROR(__xludf.DUMMYFUNCTION("""COMPUTED_VALUE"""),42423.66666666667)</f>
        <v>42423.66667</v>
      </c>
      <c r="B116" s="5">
        <f>IFERROR(__xludf.DUMMYFUNCTION("""COMPUTED_VALUE"""),0.79)</f>
        <v>0.79</v>
      </c>
      <c r="C116" s="5">
        <v>0.770891845226287</v>
      </c>
      <c r="D116" s="5">
        <v>163.933471679687</v>
      </c>
      <c r="E116" s="7">
        <f t="shared" ref="E116:F116" si="114">C116/C115-1</f>
        <v>0.002537928627</v>
      </c>
      <c r="F116" s="7">
        <f t="shared" si="114"/>
        <v>-0.01262966793</v>
      </c>
    </row>
    <row r="117">
      <c r="A117" s="3">
        <f>IFERROR(__xludf.DUMMYFUNCTION("""COMPUTED_VALUE"""),42424.66666666667)</f>
        <v>42424.66667</v>
      </c>
      <c r="B117" s="5">
        <f>IFERROR(__xludf.DUMMYFUNCTION("""COMPUTED_VALUE"""),0.8)</f>
        <v>0.8</v>
      </c>
      <c r="C117" s="5">
        <v>0.776258826255798</v>
      </c>
      <c r="D117" s="5">
        <v>164.683547973632</v>
      </c>
      <c r="E117" s="7">
        <f t="shared" ref="E117:F117" si="115">C117/C116-1</f>
        <v>0.006962041514</v>
      </c>
      <c r="F117" s="7">
        <f t="shared" si="115"/>
        <v>0.004575492035</v>
      </c>
    </row>
    <row r="118">
      <c r="A118" s="3">
        <f>IFERROR(__xludf.DUMMYFUNCTION("""COMPUTED_VALUE"""),42425.66666666667)</f>
        <v>42425.66667</v>
      </c>
      <c r="B118" s="5">
        <f>IFERROR(__xludf.DUMMYFUNCTION("""COMPUTED_VALUE"""),0.8)</f>
        <v>0.8</v>
      </c>
      <c r="C118" s="5">
        <v>0.777966558933258</v>
      </c>
      <c r="D118" s="5">
        <v>166.678146362304</v>
      </c>
      <c r="E118" s="7">
        <f t="shared" ref="E118:F118" si="116">C118/C117-1</f>
        <v>0.00219995267</v>
      </c>
      <c r="F118" s="7">
        <f t="shared" si="116"/>
        <v>0.01211170401</v>
      </c>
    </row>
    <row r="119">
      <c r="A119" s="3">
        <f>IFERROR(__xludf.DUMMYFUNCTION("""COMPUTED_VALUE"""),42426.66666666667)</f>
        <v>42426.66667</v>
      </c>
      <c r="B119" s="5">
        <f>IFERROR(__xludf.DUMMYFUNCTION("""COMPUTED_VALUE"""),0.79)</f>
        <v>0.79</v>
      </c>
      <c r="C119" s="5">
        <v>0.772843658924102</v>
      </c>
      <c r="D119" s="5">
        <v>166.294601440429</v>
      </c>
      <c r="E119" s="7">
        <f t="shared" ref="E119:F119" si="117">C119/C118-1</f>
        <v>-0.006584987427</v>
      </c>
      <c r="F119" s="7">
        <f t="shared" si="117"/>
        <v>-0.002301111035</v>
      </c>
    </row>
    <row r="120">
      <c r="A120" s="3">
        <f>IFERROR(__xludf.DUMMYFUNCTION("""COMPUTED_VALUE"""),42429.66666666667)</f>
        <v>42429.66667</v>
      </c>
      <c r="B120" s="5">
        <f>IFERROR(__xludf.DUMMYFUNCTION("""COMPUTED_VALUE"""),0.78)</f>
        <v>0.78</v>
      </c>
      <c r="C120" s="5">
        <v>0.767823994159698</v>
      </c>
      <c r="D120" s="5">
        <v>164.99038696289</v>
      </c>
      <c r="E120" s="7">
        <f t="shared" ref="E120:F120" si="118">C120/C119-1</f>
        <v>-0.006495058485</v>
      </c>
      <c r="F120" s="7">
        <f t="shared" si="118"/>
        <v>-0.007842795053</v>
      </c>
    </row>
    <row r="121">
      <c r="A121" s="3">
        <f>IFERROR(__xludf.DUMMYFUNCTION("""COMPUTED_VALUE"""),42430.66666666667)</f>
        <v>42430.66667</v>
      </c>
      <c r="B121" s="5">
        <f>IFERROR(__xludf.DUMMYFUNCTION("""COMPUTED_VALUE"""),0.82)</f>
        <v>0.82</v>
      </c>
      <c r="C121" s="5">
        <v>0.801857054233551</v>
      </c>
      <c r="D121" s="5">
        <v>168.868865966796</v>
      </c>
      <c r="E121" s="7">
        <f t="shared" ref="E121:F121" si="119">C121/C120-1</f>
        <v>0.04432403823</v>
      </c>
      <c r="F121" s="7">
        <f t="shared" si="119"/>
        <v>0.02350730291</v>
      </c>
    </row>
    <row r="122">
      <c r="A122" s="3">
        <f>IFERROR(__xludf.DUMMYFUNCTION("""COMPUTED_VALUE"""),42431.66666666667)</f>
        <v>42431.66667</v>
      </c>
      <c r="B122" s="5">
        <f>IFERROR(__xludf.DUMMYFUNCTION("""COMPUTED_VALUE"""),0.82)</f>
        <v>0.82</v>
      </c>
      <c r="C122" s="5">
        <v>0.806509315967559</v>
      </c>
      <c r="D122" s="5">
        <v>169.627456665039</v>
      </c>
      <c r="E122" s="7">
        <f t="shared" ref="E122:F122" si="120">C122/C121-1</f>
        <v>0.005801859209</v>
      </c>
      <c r="F122" s="7">
        <f t="shared" si="120"/>
        <v>0.004492188029</v>
      </c>
    </row>
    <row r="123">
      <c r="A123" s="3">
        <f>IFERROR(__xludf.DUMMYFUNCTION("""COMPUTED_VALUE"""),42432.66666666667)</f>
        <v>42432.66667</v>
      </c>
      <c r="B123" s="5">
        <f>IFERROR(__xludf.DUMMYFUNCTION("""COMPUTED_VALUE"""),0.82)</f>
        <v>0.82</v>
      </c>
      <c r="C123" s="5">
        <v>0.799408853054046</v>
      </c>
      <c r="D123" s="5">
        <v>170.292327880859</v>
      </c>
      <c r="E123" s="7">
        <f t="shared" ref="E123:F123" si="121">C123/C122-1</f>
        <v>-0.008803944075</v>
      </c>
      <c r="F123" s="7">
        <f t="shared" si="121"/>
        <v>0.003919596679</v>
      </c>
    </row>
    <row r="124">
      <c r="A124" s="3">
        <f>IFERROR(__xludf.DUMMYFUNCTION("""COMPUTED_VALUE"""),42433.66666666667)</f>
        <v>42433.66667</v>
      </c>
      <c r="B124" s="5">
        <f>IFERROR(__xludf.DUMMYFUNCTION("""COMPUTED_VALUE"""),0.81)</f>
        <v>0.81</v>
      </c>
      <c r="C124" s="5">
        <v>0.796960473060607</v>
      </c>
      <c r="D124" s="5">
        <v>170.846405029296</v>
      </c>
      <c r="E124" s="7">
        <f t="shared" ref="E124:F124" si="122">C124/C123-1</f>
        <v>-0.003062738152</v>
      </c>
      <c r="F124" s="7">
        <f t="shared" si="122"/>
        <v>0.00325368239</v>
      </c>
    </row>
    <row r="125">
      <c r="A125" s="3">
        <f>IFERROR(__xludf.DUMMYFUNCTION("""COMPUTED_VALUE"""),42436.66666666667)</f>
        <v>42436.66667</v>
      </c>
      <c r="B125" s="5">
        <f>IFERROR(__xludf.DUMMYFUNCTION("""COMPUTED_VALUE"""),0.81)</f>
        <v>0.81</v>
      </c>
      <c r="C125" s="5">
        <v>0.791818618774414</v>
      </c>
      <c r="D125" s="5">
        <v>170.982818603515</v>
      </c>
      <c r="E125" s="7">
        <f t="shared" ref="E125:F125" si="123">C125/C124-1</f>
        <v>-0.006451831</v>
      </c>
      <c r="F125" s="7">
        <f t="shared" si="123"/>
        <v>0.0007984573875</v>
      </c>
    </row>
    <row r="126">
      <c r="A126" s="3">
        <f>IFERROR(__xludf.DUMMYFUNCTION("""COMPUTED_VALUE"""),42437.66666666667)</f>
        <v>42437.66667</v>
      </c>
      <c r="B126" s="5">
        <f>IFERROR(__xludf.DUMMYFUNCTION("""COMPUTED_VALUE"""),0.79)</f>
        <v>0.79</v>
      </c>
      <c r="C126" s="5">
        <v>0.777373015880584</v>
      </c>
      <c r="D126" s="5">
        <v>169.116027832031</v>
      </c>
      <c r="E126" s="7">
        <f t="shared" ref="E126:F126" si="124">C126/C125-1</f>
        <v>-0.01824357568</v>
      </c>
      <c r="F126" s="7">
        <f t="shared" si="124"/>
        <v>-0.01091800209</v>
      </c>
    </row>
    <row r="127">
      <c r="A127" s="3">
        <f>IFERROR(__xludf.DUMMYFUNCTION("""COMPUTED_VALUE"""),42438.66666666667)</f>
        <v>42438.66667</v>
      </c>
      <c r="B127" s="5">
        <f>IFERROR(__xludf.DUMMYFUNCTION("""COMPUTED_VALUE"""),0.79)</f>
        <v>0.79</v>
      </c>
      <c r="C127" s="5">
        <v>0.776883482933044</v>
      </c>
      <c r="D127" s="5">
        <v>169.951416015625</v>
      </c>
      <c r="E127" s="7">
        <f t="shared" ref="E127:F127" si="125">C127/C126-1</f>
        <v>-0.0006297272192</v>
      </c>
      <c r="F127" s="7">
        <f t="shared" si="125"/>
        <v>0.004939733947</v>
      </c>
    </row>
    <row r="128">
      <c r="A128" s="3">
        <f>IFERROR(__xludf.DUMMYFUNCTION("""COMPUTED_VALUE"""),42439.66666666667)</f>
        <v>42439.66667</v>
      </c>
      <c r="B128" s="5">
        <f>IFERROR(__xludf.DUMMYFUNCTION("""COMPUTED_VALUE"""),0.79)</f>
        <v>0.79</v>
      </c>
      <c r="C128" s="5">
        <v>0.775659322738647</v>
      </c>
      <c r="D128" s="5">
        <v>170.087799072265</v>
      </c>
      <c r="E128" s="7">
        <f t="shared" ref="E128:F128" si="126">C128/C127-1</f>
        <v>-0.001575732039</v>
      </c>
      <c r="F128" s="7">
        <f t="shared" si="126"/>
        <v>0.0008024826144</v>
      </c>
    </row>
    <row r="129">
      <c r="A129" s="3">
        <f>IFERROR(__xludf.DUMMYFUNCTION("""COMPUTED_VALUE"""),42440.66666666667)</f>
        <v>42440.66667</v>
      </c>
      <c r="B129" s="5">
        <f>IFERROR(__xludf.DUMMYFUNCTION("""COMPUTED_VALUE"""),0.81)</f>
        <v>0.81</v>
      </c>
      <c r="C129" s="5">
        <v>0.788880407810211</v>
      </c>
      <c r="D129" s="5">
        <v>172.832534790039</v>
      </c>
      <c r="E129" s="7">
        <f t="shared" ref="E129:F129" si="127">C129/C128-1</f>
        <v>0.01704496379</v>
      </c>
      <c r="F129" s="7">
        <f t="shared" si="127"/>
        <v>0.01613716994</v>
      </c>
    </row>
    <row r="130">
      <c r="A130" s="3">
        <f>IFERROR(__xludf.DUMMYFUNCTION("""COMPUTED_VALUE"""),42443.66666666667)</f>
        <v>42443.66667</v>
      </c>
      <c r="B130" s="5">
        <f>IFERROR(__xludf.DUMMYFUNCTION("""COMPUTED_VALUE"""),0.81)</f>
        <v>0.81</v>
      </c>
      <c r="C130" s="5">
        <v>0.790839314460754</v>
      </c>
      <c r="D130" s="5">
        <v>172.610885620117</v>
      </c>
      <c r="E130" s="7">
        <f t="shared" ref="E130:F130" si="128">C130/C129-1</f>
        <v>0.002483147802</v>
      </c>
      <c r="F130" s="7">
        <f t="shared" si="128"/>
        <v>-0.001282450496</v>
      </c>
    </row>
    <row r="131">
      <c r="A131" s="3">
        <f>IFERROR(__xludf.DUMMYFUNCTION("""COMPUTED_VALUE"""),42444.66666666667)</f>
        <v>42444.66667</v>
      </c>
      <c r="B131" s="5">
        <f>IFERROR(__xludf.DUMMYFUNCTION("""COMPUTED_VALUE"""),0.8)</f>
        <v>0.8</v>
      </c>
      <c r="C131" s="5">
        <v>0.786921858787536</v>
      </c>
      <c r="D131" s="5">
        <v>172.329620361328</v>
      </c>
      <c r="E131" s="7">
        <f t="shared" ref="E131:F131" si="129">C131/C130-1</f>
        <v>-0.004953541891</v>
      </c>
      <c r="F131" s="7">
        <f t="shared" si="129"/>
        <v>-0.001629475788</v>
      </c>
    </row>
    <row r="132">
      <c r="A132" s="3">
        <f>IFERROR(__xludf.DUMMYFUNCTION("""COMPUTED_VALUE"""),42445.66666666667)</f>
        <v>42445.66667</v>
      </c>
      <c r="B132" s="5">
        <f>IFERROR(__xludf.DUMMYFUNCTION("""COMPUTED_VALUE"""),0.83)</f>
        <v>0.83</v>
      </c>
      <c r="C132" s="5">
        <v>0.810426652431488</v>
      </c>
      <c r="D132" s="5">
        <v>173.326904296875</v>
      </c>
      <c r="E132" s="7">
        <f t="shared" ref="E132:F132" si="130">C132/C131-1</f>
        <v>0.02986928547</v>
      </c>
      <c r="F132" s="7">
        <f t="shared" si="130"/>
        <v>0.005787072086</v>
      </c>
    </row>
    <row r="133">
      <c r="A133" s="3">
        <f>IFERROR(__xludf.DUMMYFUNCTION("""COMPUTED_VALUE"""),42446.66666666667)</f>
        <v>42446.66667</v>
      </c>
      <c r="B133" s="5">
        <f>IFERROR(__xludf.DUMMYFUNCTION("""COMPUTED_VALUE"""),0.82)</f>
        <v>0.82</v>
      </c>
      <c r="C133" s="5">
        <v>0.803571105003356</v>
      </c>
      <c r="D133" s="5">
        <v>174.426544189453</v>
      </c>
      <c r="E133" s="7">
        <f t="shared" ref="E133:F133" si="131">C133/C132-1</f>
        <v>-0.008459183083</v>
      </c>
      <c r="F133" s="7">
        <f t="shared" si="131"/>
        <v>0.006344311618</v>
      </c>
    </row>
    <row r="134">
      <c r="A134" s="3">
        <f>IFERROR(__xludf.DUMMYFUNCTION("""COMPUTED_VALUE"""),42447.66666666667)</f>
        <v>42447.66667</v>
      </c>
      <c r="B134" s="5">
        <f>IFERROR(__xludf.DUMMYFUNCTION("""COMPUTED_VALUE"""),0.85)</f>
        <v>0.85</v>
      </c>
      <c r="C134" s="5">
        <v>0.82781034708023</v>
      </c>
      <c r="D134" s="5">
        <v>175.111938476562</v>
      </c>
      <c r="E134" s="7">
        <f t="shared" ref="E134:F134" si="132">C134/C133-1</f>
        <v>0.03016440229</v>
      </c>
      <c r="F134" s="7">
        <f t="shared" si="132"/>
        <v>0.003929415046</v>
      </c>
    </row>
    <row r="135">
      <c r="A135" s="3">
        <f>IFERROR(__xludf.DUMMYFUNCTION("""COMPUTED_VALUE"""),42450.66666666667)</f>
        <v>42450.66667</v>
      </c>
      <c r="B135" s="5">
        <f>IFERROR(__xludf.DUMMYFUNCTION("""COMPUTED_VALUE"""),0.85)</f>
        <v>0.85</v>
      </c>
      <c r="C135" s="5">
        <v>0.830258905887603</v>
      </c>
      <c r="D135" s="5">
        <v>175.360397338867</v>
      </c>
      <c r="E135" s="7">
        <f t="shared" ref="E135:F135" si="133">C135/C134-1</f>
        <v>0.002957874127</v>
      </c>
      <c r="F135" s="7">
        <f t="shared" si="133"/>
        <v>0.001418857358</v>
      </c>
    </row>
    <row r="136">
      <c r="A136" s="3">
        <f>IFERROR(__xludf.DUMMYFUNCTION("""COMPUTED_VALUE"""),42451.66666666667)</f>
        <v>42451.66667</v>
      </c>
      <c r="B136" s="5">
        <f>IFERROR(__xludf.DUMMYFUNCTION("""COMPUTED_VALUE"""),0.85)</f>
        <v>0.85</v>
      </c>
      <c r="C136" s="5">
        <v>0.828789830207824</v>
      </c>
      <c r="D136" s="5">
        <v>175.266204833984</v>
      </c>
      <c r="E136" s="7">
        <f t="shared" ref="E136:F136" si="134">C136/C135-1</f>
        <v>-0.001769418755</v>
      </c>
      <c r="F136" s="7">
        <f t="shared" si="134"/>
        <v>-0.0005371366985</v>
      </c>
    </row>
    <row r="137">
      <c r="A137" s="3">
        <f>IFERROR(__xludf.DUMMYFUNCTION("""COMPUTED_VALUE"""),42452.66666666667)</f>
        <v>42452.66667</v>
      </c>
      <c r="B137" s="5">
        <f>IFERROR(__xludf.DUMMYFUNCTION("""COMPUTED_VALUE"""),0.86)</f>
        <v>0.86</v>
      </c>
      <c r="C137" s="5">
        <v>0.842990696430206</v>
      </c>
      <c r="D137" s="5">
        <v>174.109451293945</v>
      </c>
      <c r="E137" s="7">
        <f t="shared" ref="E137:F137" si="135">C137/C136-1</f>
        <v>0.01713446003</v>
      </c>
      <c r="F137" s="7">
        <f t="shared" si="135"/>
        <v>-0.006599980533</v>
      </c>
    </row>
    <row r="138">
      <c r="A138" s="3">
        <f>IFERROR(__xludf.DUMMYFUNCTION("""COMPUTED_VALUE"""),42453.66666666667)</f>
        <v>42453.66667</v>
      </c>
      <c r="B138" s="5">
        <f>IFERROR(__xludf.DUMMYFUNCTION("""COMPUTED_VALUE"""),0.86)</f>
        <v>0.86</v>
      </c>
      <c r="C138" s="5">
        <v>0.844214975833892</v>
      </c>
      <c r="D138" s="5">
        <v>174.03237915039</v>
      </c>
      <c r="E138" s="7">
        <f t="shared" ref="E138:F138" si="136">C138/C137-1</f>
        <v>0.001452304763</v>
      </c>
      <c r="F138" s="7">
        <f t="shared" si="136"/>
        <v>-0.0004426649041</v>
      </c>
    </row>
    <row r="139">
      <c r="A139" s="3">
        <f>IFERROR(__xludf.DUMMYFUNCTION("""COMPUTED_VALUE"""),42457.66666666667)</f>
        <v>42457.66667</v>
      </c>
      <c r="B139" s="5">
        <f>IFERROR(__xludf.DUMMYFUNCTION("""COMPUTED_VALUE"""),0.87)</f>
        <v>0.87</v>
      </c>
      <c r="C139" s="5">
        <v>0.852784276008606</v>
      </c>
      <c r="D139" s="5">
        <v>174.135177612304</v>
      </c>
      <c r="E139" s="7">
        <f t="shared" ref="E139:F139" si="137">C139/C138-1</f>
        <v>0.01015061379</v>
      </c>
      <c r="F139" s="7">
        <f t="shared" si="137"/>
        <v>0.0005906858391</v>
      </c>
    </row>
    <row r="140">
      <c r="A140" s="3">
        <f>IFERROR(__xludf.DUMMYFUNCTION("""COMPUTED_VALUE"""),42458.66666666667)</f>
        <v>42458.66667</v>
      </c>
      <c r="B140" s="5">
        <f>IFERROR(__xludf.DUMMYFUNCTION("""COMPUTED_VALUE"""),0.88)</f>
        <v>0.88</v>
      </c>
      <c r="C140" s="5">
        <v>0.866495549678802</v>
      </c>
      <c r="D140" s="5">
        <v>175.745956420898</v>
      </c>
      <c r="E140" s="7">
        <f t="shared" ref="E140:F140" si="138">C140/C139-1</f>
        <v>0.016078244</v>
      </c>
      <c r="F140" s="7">
        <f t="shared" si="138"/>
        <v>0.009250163182</v>
      </c>
    </row>
    <row r="141">
      <c r="A141" s="3">
        <f>IFERROR(__xludf.DUMMYFUNCTION("""COMPUTED_VALUE"""),42459.66666666667)</f>
        <v>42459.66667</v>
      </c>
      <c r="B141" s="5">
        <f>IFERROR(__xludf.DUMMYFUNCTION("""COMPUTED_VALUE"""),0.89)</f>
        <v>0.89</v>
      </c>
      <c r="C141" s="5">
        <v>0.87555456161499</v>
      </c>
      <c r="D141" s="5">
        <v>176.51707458496</v>
      </c>
      <c r="E141" s="7">
        <f t="shared" ref="E141:F141" si="139">C141/C140-1</f>
        <v>0.0104547703</v>
      </c>
      <c r="F141" s="7">
        <f t="shared" si="139"/>
        <v>0.004387686521</v>
      </c>
    </row>
    <row r="142">
      <c r="A142" s="3">
        <f>IFERROR(__xludf.DUMMYFUNCTION("""COMPUTED_VALUE"""),42460.66666666667)</f>
        <v>42460.66667</v>
      </c>
      <c r="B142" s="5">
        <f>IFERROR(__xludf.DUMMYFUNCTION("""COMPUTED_VALUE"""),0.89)</f>
        <v>0.89</v>
      </c>
      <c r="C142" s="5">
        <v>0.872371733188629</v>
      </c>
      <c r="D142" s="5">
        <v>176.088684082031</v>
      </c>
      <c r="E142" s="7">
        <f t="shared" ref="E142:F142" si="140">C142/C141-1</f>
        <v>-0.003635214258</v>
      </c>
      <c r="F142" s="7">
        <f t="shared" si="140"/>
        <v>-0.002426906881</v>
      </c>
    </row>
    <row r="143">
      <c r="A143" s="3">
        <f>IFERROR(__xludf.DUMMYFUNCTION("""COMPUTED_VALUE"""),42461.66666666667)</f>
        <v>42461.66667</v>
      </c>
      <c r="B143" s="5">
        <f>IFERROR(__xludf.DUMMYFUNCTION("""COMPUTED_VALUE"""),0.9)</f>
        <v>0.9</v>
      </c>
      <c r="C143" s="5">
        <v>0.885103404521942</v>
      </c>
      <c r="D143" s="5">
        <v>177.288177490234</v>
      </c>
      <c r="E143" s="7">
        <f t="shared" ref="E143:F143" si="141">C143/C142-1</f>
        <v>0.01459431897</v>
      </c>
      <c r="F143" s="7">
        <f t="shared" si="141"/>
        <v>0.006811871044</v>
      </c>
    </row>
    <row r="144">
      <c r="A144" s="3">
        <f>IFERROR(__xludf.DUMMYFUNCTION("""COMPUTED_VALUE"""),42464.66666666667)</f>
        <v>42464.66667</v>
      </c>
      <c r="B144" s="5">
        <f>IFERROR(__xludf.DUMMYFUNCTION("""COMPUTED_VALUE"""),0.9)</f>
        <v>0.9</v>
      </c>
      <c r="C144" s="5">
        <v>0.876534044742584</v>
      </c>
      <c r="D144" s="5">
        <v>176.714141845703</v>
      </c>
      <c r="E144" s="7">
        <f t="shared" ref="E144:F144" si="142">C144/C143-1</f>
        <v>-0.009681761177</v>
      </c>
      <c r="F144" s="7">
        <f t="shared" si="142"/>
        <v>-0.003237867593</v>
      </c>
    </row>
    <row r="145">
      <c r="A145" s="3">
        <f>IFERROR(__xludf.DUMMYFUNCTION("""COMPUTED_VALUE"""),42465.66666666667)</f>
        <v>42465.66667</v>
      </c>
      <c r="B145" s="5">
        <f>IFERROR(__xludf.DUMMYFUNCTION("""COMPUTED_VALUE"""),0.89)</f>
        <v>0.89</v>
      </c>
      <c r="C145" s="5">
        <v>0.875309884548187</v>
      </c>
      <c r="D145" s="5">
        <v>174.949127197265</v>
      </c>
      <c r="E145" s="7">
        <f t="shared" ref="E145:F145" si="143">C145/C144-1</f>
        <v>-0.001396591726</v>
      </c>
      <c r="F145" s="7">
        <f t="shared" si="143"/>
        <v>-0.009987964913</v>
      </c>
    </row>
    <row r="146">
      <c r="A146" s="3">
        <f>IFERROR(__xludf.DUMMYFUNCTION("""COMPUTED_VALUE"""),42466.66666666667)</f>
        <v>42466.66667</v>
      </c>
      <c r="B146" s="5">
        <f>IFERROR(__xludf.DUMMYFUNCTION("""COMPUTED_VALUE"""),0.9)</f>
        <v>0.9</v>
      </c>
      <c r="C146" s="5">
        <v>0.876534044742584</v>
      </c>
      <c r="D146" s="5">
        <v>176.859786987304</v>
      </c>
      <c r="E146" s="7">
        <f t="shared" ref="E146:F146" si="144">C146/C145-1</f>
        <v>0.001398544922</v>
      </c>
      <c r="F146" s="7">
        <f t="shared" si="144"/>
        <v>0.01092123076</v>
      </c>
    </row>
    <row r="147">
      <c r="A147" s="3">
        <f>IFERROR(__xludf.DUMMYFUNCTION("""COMPUTED_VALUE"""),42467.66666666667)</f>
        <v>42467.66667</v>
      </c>
      <c r="B147" s="5">
        <f>IFERROR(__xludf.DUMMYFUNCTION("""COMPUTED_VALUE"""),0.89)</f>
        <v>0.89</v>
      </c>
      <c r="C147" s="5">
        <v>0.867474853992462</v>
      </c>
      <c r="D147" s="5">
        <v>174.743530273437</v>
      </c>
      <c r="E147" s="7">
        <f t="shared" ref="E147:F147" si="145">C147/C146-1</f>
        <v>-0.01033524117</v>
      </c>
      <c r="F147" s="7">
        <f t="shared" si="145"/>
        <v>-0.01196573144</v>
      </c>
    </row>
    <row r="148">
      <c r="A148" s="3">
        <f>IFERROR(__xludf.DUMMYFUNCTION("""COMPUTED_VALUE"""),42468.66666666667)</f>
        <v>42468.66667</v>
      </c>
      <c r="B148" s="5">
        <f>IFERROR(__xludf.DUMMYFUNCTION("""COMPUTED_VALUE"""),0.89)</f>
        <v>0.89</v>
      </c>
      <c r="C148" s="5">
        <v>0.873106241226196</v>
      </c>
      <c r="D148" s="5">
        <v>175.214721679687</v>
      </c>
      <c r="E148" s="7">
        <f t="shared" ref="E148:F148" si="146">C148/C147-1</f>
        <v>0.006491700835</v>
      </c>
      <c r="F148" s="7">
        <f t="shared" si="146"/>
        <v>0.002696474116</v>
      </c>
    </row>
    <row r="149">
      <c r="A149" s="3">
        <f>IFERROR(__xludf.DUMMYFUNCTION("""COMPUTED_VALUE"""),42471.66666666667)</f>
        <v>42471.66667</v>
      </c>
      <c r="B149" s="5">
        <f>IFERROR(__xludf.DUMMYFUNCTION("""COMPUTED_VALUE"""),0.9)</f>
        <v>0.9</v>
      </c>
      <c r="C149" s="5">
        <v>0.878493010997772</v>
      </c>
      <c r="D149" s="5">
        <v>174.803512573242</v>
      </c>
      <c r="E149" s="7">
        <f t="shared" ref="E149:F149" si="147">C149/C148-1</f>
        <v>0.006169661282</v>
      </c>
      <c r="F149" s="7">
        <f t="shared" si="147"/>
        <v>-0.002346886737</v>
      </c>
    </row>
    <row r="150">
      <c r="A150" s="3">
        <f>IFERROR(__xludf.DUMMYFUNCTION("""COMPUTED_VALUE"""),42472.66666666667)</f>
        <v>42472.66667</v>
      </c>
      <c r="B150" s="5">
        <f>IFERROR(__xludf.DUMMYFUNCTION("""COMPUTED_VALUE"""),0.9)</f>
        <v>0.9</v>
      </c>
      <c r="C150" s="5">
        <v>0.877513587474823</v>
      </c>
      <c r="D150" s="5">
        <v>176.431411743164</v>
      </c>
      <c r="E150" s="7">
        <f t="shared" ref="E150:F150" si="148">C150/C149-1</f>
        <v>-0.001114890512</v>
      </c>
      <c r="F150" s="7">
        <f t="shared" si="148"/>
        <v>0.009312737175</v>
      </c>
    </row>
    <row r="151">
      <c r="A151" s="3">
        <f>IFERROR(__xludf.DUMMYFUNCTION("""COMPUTED_VALUE"""),42473.66666666667)</f>
        <v>42473.66667</v>
      </c>
      <c r="B151" s="5">
        <f>IFERROR(__xludf.DUMMYFUNCTION("""COMPUTED_VALUE"""),0.92)</f>
        <v>0.92</v>
      </c>
      <c r="C151" s="5">
        <v>0.899549126625061</v>
      </c>
      <c r="D151" s="5">
        <v>178.21353149414</v>
      </c>
      <c r="E151" s="7">
        <f t="shared" ref="E151:F151" si="149">C151/C150-1</f>
        <v>0.0251113367</v>
      </c>
      <c r="F151" s="7">
        <f t="shared" si="149"/>
        <v>0.01010092099</v>
      </c>
    </row>
    <row r="152">
      <c r="A152" s="3">
        <f>IFERROR(__xludf.DUMMYFUNCTION("""COMPUTED_VALUE"""),42474.66666666667)</f>
        <v>42474.66667</v>
      </c>
      <c r="B152" s="5">
        <f>IFERROR(__xludf.DUMMYFUNCTION("""COMPUTED_VALUE"""),0.92)</f>
        <v>0.92</v>
      </c>
      <c r="C152" s="5">
        <v>0.901997745037078</v>
      </c>
      <c r="D152" s="5">
        <v>178.222137451171</v>
      </c>
      <c r="E152" s="7">
        <f t="shared" ref="E152:F152" si="150">C152/C151-1</f>
        <v>0.002722050791</v>
      </c>
      <c r="F152" s="7">
        <f t="shared" si="150"/>
        <v>0.00004829014362</v>
      </c>
    </row>
    <row r="153">
      <c r="A153" s="3">
        <f>IFERROR(__xludf.DUMMYFUNCTION("""COMPUTED_VALUE"""),42475.66666666667)</f>
        <v>42475.66667</v>
      </c>
      <c r="B153" s="5">
        <f>IFERROR(__xludf.DUMMYFUNCTION("""COMPUTED_VALUE"""),0.93)</f>
        <v>0.93</v>
      </c>
      <c r="C153" s="5">
        <v>0.909098088741302</v>
      </c>
      <c r="D153" s="5">
        <v>178.02505493164</v>
      </c>
      <c r="E153" s="7">
        <f t="shared" ref="E153:F153" si="151">C153/C152-1</f>
        <v>0.007871797622</v>
      </c>
      <c r="F153" s="7">
        <f t="shared" si="151"/>
        <v>-0.001105825137</v>
      </c>
    </row>
    <row r="154">
      <c r="A154" s="3">
        <f>IFERROR(__xludf.DUMMYFUNCTION("""COMPUTED_VALUE"""),42478.66666666667)</f>
        <v>42478.66667</v>
      </c>
      <c r="B154" s="5">
        <f>IFERROR(__xludf.DUMMYFUNCTION("""COMPUTED_VALUE"""),0.92)</f>
        <v>0.92</v>
      </c>
      <c r="C154" s="5">
        <v>0.90518045425415</v>
      </c>
      <c r="D154" s="5">
        <v>179.275939941406</v>
      </c>
      <c r="E154" s="7">
        <f t="shared" ref="E154:F154" si="152">C154/C153-1</f>
        <v>-0.004309363902</v>
      </c>
      <c r="F154" s="7">
        <f t="shared" si="152"/>
        <v>0.007026454845</v>
      </c>
    </row>
    <row r="155">
      <c r="A155" s="3">
        <f>IFERROR(__xludf.DUMMYFUNCTION("""COMPUTED_VALUE"""),42479.66666666667)</f>
        <v>42479.66667</v>
      </c>
      <c r="B155" s="5">
        <f>IFERROR(__xludf.DUMMYFUNCTION("""COMPUTED_VALUE"""),0.91)</f>
        <v>0.91</v>
      </c>
      <c r="C155" s="5">
        <v>0.889020979404449</v>
      </c>
      <c r="D155" s="5">
        <v>179.841445922851</v>
      </c>
      <c r="E155" s="7">
        <f t="shared" ref="E155:F155" si="153">C155/C154-1</f>
        <v>-0.01785221364</v>
      </c>
      <c r="F155" s="7">
        <f t="shared" si="153"/>
        <v>0.003154388601</v>
      </c>
    </row>
    <row r="156">
      <c r="A156" s="3">
        <f>IFERROR(__xludf.DUMMYFUNCTION("""COMPUTED_VALUE"""),42480.66666666667)</f>
        <v>42480.66667</v>
      </c>
      <c r="B156" s="5">
        <f>IFERROR(__xludf.DUMMYFUNCTION("""COMPUTED_VALUE"""),0.91)</f>
        <v>0.91</v>
      </c>
      <c r="C156" s="5">
        <v>0.892448842525482</v>
      </c>
      <c r="D156" s="5">
        <v>180.012786865234</v>
      </c>
      <c r="E156" s="7">
        <f t="shared" ref="E156:F156" si="154">C156/C155-1</f>
        <v>0.003855773036</v>
      </c>
      <c r="F156" s="7">
        <f t="shared" si="154"/>
        <v>0.0009527333452</v>
      </c>
    </row>
    <row r="157">
      <c r="A157" s="3">
        <f>IFERROR(__xludf.DUMMYFUNCTION("""COMPUTED_VALUE"""),42481.66666666667)</f>
        <v>42481.66667</v>
      </c>
      <c r="B157" s="5">
        <f>IFERROR(__xludf.DUMMYFUNCTION("""COMPUTED_VALUE"""),0.91)</f>
        <v>0.91</v>
      </c>
      <c r="C157" s="5">
        <v>0.891469240188598</v>
      </c>
      <c r="D157" s="5">
        <v>179.044647216796</v>
      </c>
      <c r="E157" s="7">
        <f t="shared" ref="E157:F157" si="155">C157/C156-1</f>
        <v>-0.001097656572</v>
      </c>
      <c r="F157" s="7">
        <f t="shared" si="155"/>
        <v>-0.005378171547</v>
      </c>
    </row>
    <row r="158">
      <c r="A158" s="3">
        <f>IFERROR(__xludf.DUMMYFUNCTION("""COMPUTED_VALUE"""),42482.66666666667)</f>
        <v>42482.66667</v>
      </c>
      <c r="B158" s="5">
        <f>IFERROR(__xludf.DUMMYFUNCTION("""COMPUTED_VALUE"""),0.91)</f>
        <v>0.91</v>
      </c>
      <c r="C158" s="5">
        <v>0.8880415558815</v>
      </c>
      <c r="D158" s="5">
        <v>179.044647216796</v>
      </c>
      <c r="E158" s="7">
        <f t="shared" ref="E158:F158" si="156">C158/C157-1</f>
        <v>-0.003844983262</v>
      </c>
      <c r="F158" s="7">
        <f t="shared" si="156"/>
        <v>0</v>
      </c>
    </row>
    <row r="159">
      <c r="A159" s="3">
        <f>IFERROR(__xludf.DUMMYFUNCTION("""COMPUTED_VALUE"""),42485.66666666667)</f>
        <v>42485.66667</v>
      </c>
      <c r="B159" s="5">
        <f>IFERROR(__xludf.DUMMYFUNCTION("""COMPUTED_VALUE"""),0.91)</f>
        <v>0.91</v>
      </c>
      <c r="C159" s="5">
        <v>0.892448842525482</v>
      </c>
      <c r="D159" s="5">
        <v>178.736145019531</v>
      </c>
      <c r="E159" s="7">
        <f t="shared" ref="E159:F159" si="157">C159/C158-1</f>
        <v>0.004962928384</v>
      </c>
      <c r="F159" s="7">
        <f t="shared" si="157"/>
        <v>-0.00172304619</v>
      </c>
    </row>
    <row r="160">
      <c r="A160" s="3">
        <f>IFERROR(__xludf.DUMMYFUNCTION("""COMPUTED_VALUE"""),42486.66666666667)</f>
        <v>42486.66667</v>
      </c>
      <c r="B160" s="5">
        <f>IFERROR(__xludf.DUMMYFUNCTION("""COMPUTED_VALUE"""),0.91)</f>
        <v>0.91</v>
      </c>
      <c r="C160" s="5">
        <v>0.893183171749115</v>
      </c>
      <c r="D160" s="5">
        <v>179.001770019531</v>
      </c>
      <c r="E160" s="7">
        <f t="shared" ref="E160:F160" si="158">C160/C159-1</f>
        <v>0.0008228250054</v>
      </c>
      <c r="F160" s="7">
        <f t="shared" si="158"/>
        <v>0.001486129176</v>
      </c>
    </row>
    <row r="161">
      <c r="A161" s="3">
        <f>IFERROR(__xludf.DUMMYFUNCTION("""COMPUTED_VALUE"""),42487.66666666667)</f>
        <v>42487.66667</v>
      </c>
      <c r="B161" s="5">
        <f>IFERROR(__xludf.DUMMYFUNCTION("""COMPUTED_VALUE"""),0.93)</f>
        <v>0.93</v>
      </c>
      <c r="C161" s="5">
        <v>0.913505315780639</v>
      </c>
      <c r="D161" s="5">
        <v>179.370223999023</v>
      </c>
      <c r="E161" s="7">
        <f t="shared" ref="E161:F161" si="159">C161/C160-1</f>
        <v>0.02275249319</v>
      </c>
      <c r="F161" s="7">
        <f t="shared" si="159"/>
        <v>0.002058381766</v>
      </c>
    </row>
    <row r="162">
      <c r="A162" s="3">
        <f>IFERROR(__xludf.DUMMYFUNCTION("""COMPUTED_VALUE"""),42488.66666666667)</f>
        <v>42488.66667</v>
      </c>
      <c r="B162" s="5">
        <f>IFERROR(__xludf.DUMMYFUNCTION("""COMPUTED_VALUE"""),0.91)</f>
        <v>0.91</v>
      </c>
      <c r="C162" s="5">
        <v>0.886327624320983</v>
      </c>
      <c r="D162" s="5">
        <v>177.742324829101</v>
      </c>
      <c r="E162" s="7">
        <f t="shared" ref="E162:F162" si="160">C162/C161-1</f>
        <v>-0.02975099432</v>
      </c>
      <c r="F162" s="7">
        <f t="shared" si="160"/>
        <v>-0.009075637715</v>
      </c>
    </row>
    <row r="163">
      <c r="A163" s="3">
        <f>IFERROR(__xludf.DUMMYFUNCTION("""COMPUTED_VALUE"""),42489.66666666667)</f>
        <v>42489.66667</v>
      </c>
      <c r="B163" s="5">
        <f>IFERROR(__xludf.DUMMYFUNCTION("""COMPUTED_VALUE"""),0.89)</f>
        <v>0.89</v>
      </c>
      <c r="C163" s="5">
        <v>0.869923293590545</v>
      </c>
      <c r="D163" s="5">
        <v>176.782669067382</v>
      </c>
      <c r="E163" s="7">
        <f t="shared" ref="E163:F163" si="161">C163/C162-1</f>
        <v>-0.01850820202</v>
      </c>
      <c r="F163" s="7">
        <f t="shared" si="161"/>
        <v>-0.005399140372</v>
      </c>
    </row>
    <row r="164">
      <c r="A164" s="3">
        <f>IFERROR(__xludf.DUMMYFUNCTION("""COMPUTED_VALUE"""),42492.66666666667)</f>
        <v>42492.66667</v>
      </c>
      <c r="B164" s="5">
        <f>IFERROR(__xludf.DUMMYFUNCTION("""COMPUTED_VALUE"""),0.9)</f>
        <v>0.9</v>
      </c>
      <c r="C164" s="5">
        <v>0.881430923938751</v>
      </c>
      <c r="D164" s="5">
        <v>178.187850952148</v>
      </c>
      <c r="E164" s="7">
        <f t="shared" ref="E164:F164" si="162">C164/C163-1</f>
        <v>0.01322832764</v>
      </c>
      <c r="F164" s="7">
        <f t="shared" si="162"/>
        <v>0.00794864051</v>
      </c>
    </row>
    <row r="165">
      <c r="A165" s="3">
        <f>IFERROR(__xludf.DUMMYFUNCTION("""COMPUTED_VALUE"""),42493.66666666667)</f>
        <v>42493.66667</v>
      </c>
      <c r="B165" s="5">
        <f>IFERROR(__xludf.DUMMYFUNCTION("""COMPUTED_VALUE"""),0.89)</f>
        <v>0.89</v>
      </c>
      <c r="C165" s="5">
        <v>0.870902776718139</v>
      </c>
      <c r="D165" s="5">
        <v>176.637023925781</v>
      </c>
      <c r="E165" s="7">
        <f t="shared" ref="E165:F165" si="163">C165/C164-1</f>
        <v>-0.0119443815</v>
      </c>
      <c r="F165" s="7">
        <f t="shared" si="163"/>
        <v>-0.008703326394</v>
      </c>
    </row>
    <row r="166">
      <c r="A166" s="3">
        <f>IFERROR(__xludf.DUMMYFUNCTION("""COMPUTED_VALUE"""),42494.66666666667)</f>
        <v>42494.66667</v>
      </c>
      <c r="B166" s="5">
        <f>IFERROR(__xludf.DUMMYFUNCTION("""COMPUTED_VALUE"""),0.87)</f>
        <v>0.87</v>
      </c>
      <c r="C166" s="5">
        <v>0.851070344448089</v>
      </c>
      <c r="D166" s="5">
        <v>175.651733398437</v>
      </c>
      <c r="E166" s="7">
        <f t="shared" ref="E166:F166" si="164">C166/C165-1</f>
        <v>-0.02277226896</v>
      </c>
      <c r="F166" s="7">
        <f t="shared" si="164"/>
        <v>-0.005578052129</v>
      </c>
    </row>
    <row r="167">
      <c r="A167" s="3">
        <f>IFERROR(__xludf.DUMMYFUNCTION("""COMPUTED_VALUE"""),42495.66666666667)</f>
        <v>42495.66667</v>
      </c>
      <c r="B167" s="5">
        <f>IFERROR(__xludf.DUMMYFUNCTION("""COMPUTED_VALUE"""),0.87)</f>
        <v>0.87</v>
      </c>
      <c r="C167" s="5">
        <v>0.856212198734283</v>
      </c>
      <c r="D167" s="5">
        <v>175.617446899414</v>
      </c>
      <c r="E167" s="7">
        <f t="shared" ref="E167:F167" si="165">C167/C166-1</f>
        <v>0.006041632539</v>
      </c>
      <c r="F167" s="7">
        <f t="shared" si="165"/>
        <v>-0.0001951959048</v>
      </c>
    </row>
    <row r="168">
      <c r="A168" s="3">
        <f>IFERROR(__xludf.DUMMYFUNCTION("""COMPUTED_VALUE"""),42496.66666666667)</f>
        <v>42496.66667</v>
      </c>
      <c r="B168" s="5">
        <f>IFERROR(__xludf.DUMMYFUNCTION("""COMPUTED_VALUE"""),0.88)</f>
        <v>0.88</v>
      </c>
      <c r="C168" s="5">
        <v>0.865026235580444</v>
      </c>
      <c r="D168" s="5">
        <v>176.260070800781</v>
      </c>
      <c r="E168" s="7">
        <f t="shared" ref="E168:F168" si="166">C168/C167-1</f>
        <v>0.01029422012</v>
      </c>
      <c r="F168" s="7">
        <f t="shared" si="166"/>
        <v>0.00365922585</v>
      </c>
    </row>
    <row r="169">
      <c r="A169" s="3">
        <f>IFERROR(__xludf.DUMMYFUNCTION("""COMPUTED_VALUE"""),42499.66666666667)</f>
        <v>42499.66667</v>
      </c>
      <c r="B169" s="5">
        <f>IFERROR(__xludf.DUMMYFUNCTION("""COMPUTED_VALUE"""),0.88)</f>
        <v>0.88</v>
      </c>
      <c r="C169" s="5">
        <v>0.863802373409271</v>
      </c>
      <c r="D169" s="5">
        <v>176.405700683593</v>
      </c>
      <c r="E169" s="7">
        <f t="shared" ref="E169:F169" si="167">C169/C168-1</f>
        <v>-0.00141482665</v>
      </c>
      <c r="F169" s="7">
        <f t="shared" si="167"/>
        <v>0.0008262216289</v>
      </c>
    </row>
    <row r="170">
      <c r="A170" s="3">
        <f>IFERROR(__xludf.DUMMYFUNCTION("""COMPUTED_VALUE"""),42500.66666666667)</f>
        <v>42500.66667</v>
      </c>
      <c r="B170" s="5">
        <f>IFERROR(__xludf.DUMMYFUNCTION("""COMPUTED_VALUE"""),0.9)</f>
        <v>0.9</v>
      </c>
      <c r="C170" s="5">
        <v>0.880451619625091</v>
      </c>
      <c r="D170" s="5">
        <v>178.599090576171</v>
      </c>
      <c r="E170" s="7">
        <f t="shared" ref="E170:F170" si="168">C170/C169-1</f>
        <v>0.01927436961</v>
      </c>
      <c r="F170" s="7">
        <f t="shared" si="168"/>
        <v>0.01243378124</v>
      </c>
    </row>
    <row r="171">
      <c r="A171" s="3">
        <f>IFERROR(__xludf.DUMMYFUNCTION("""COMPUTED_VALUE"""),42501.66666666667)</f>
        <v>42501.66667</v>
      </c>
      <c r="B171" s="5">
        <f>IFERROR(__xludf.DUMMYFUNCTION("""COMPUTED_VALUE"""),0.9)</f>
        <v>0.9</v>
      </c>
      <c r="C171" s="5">
        <v>0.882899820804596</v>
      </c>
      <c r="D171" s="5">
        <v>176.928344726562</v>
      </c>
      <c r="E171" s="7">
        <f t="shared" ref="E171:F171" si="169">C171/C170-1</f>
        <v>0.002780619769</v>
      </c>
      <c r="F171" s="7">
        <f t="shared" si="169"/>
        <v>-0.009354727643</v>
      </c>
    </row>
    <row r="172">
      <c r="A172" s="3">
        <f>IFERROR(__xludf.DUMMYFUNCTION("""COMPUTED_VALUE"""),42502.66666666667)</f>
        <v>42502.66667</v>
      </c>
      <c r="B172" s="5">
        <f>IFERROR(__xludf.DUMMYFUNCTION("""COMPUTED_VALUE"""),0.89)</f>
        <v>0.89</v>
      </c>
      <c r="C172" s="5">
        <v>0.870902776718139</v>
      </c>
      <c r="D172" s="5">
        <v>176.979766845703</v>
      </c>
      <c r="E172" s="7">
        <f t="shared" ref="E172:F172" si="170">C172/C171-1</f>
        <v>-0.01358822802</v>
      </c>
      <c r="F172" s="7">
        <f t="shared" si="170"/>
        <v>0.0002906381067</v>
      </c>
    </row>
    <row r="173">
      <c r="A173" s="3">
        <f>IFERROR(__xludf.DUMMYFUNCTION("""COMPUTED_VALUE"""),42503.66666666667)</f>
        <v>42503.66667</v>
      </c>
      <c r="B173" s="5">
        <f>IFERROR(__xludf.DUMMYFUNCTION("""COMPUTED_VALUE"""),1.02)</f>
        <v>1.02</v>
      </c>
      <c r="C173" s="5">
        <v>1.00336229801177</v>
      </c>
      <c r="D173" s="5">
        <v>175.437530517578</v>
      </c>
      <c r="E173" s="7">
        <f t="shared" ref="E173:F173" si="171">C173/C172-1</f>
        <v>0.1520944988</v>
      </c>
      <c r="F173" s="7">
        <f t="shared" si="171"/>
        <v>-0.008714195728</v>
      </c>
    </row>
    <row r="174">
      <c r="A174" s="3">
        <f>IFERROR(__xludf.DUMMYFUNCTION("""COMPUTED_VALUE"""),42506.66666666667)</f>
        <v>42506.66667</v>
      </c>
      <c r="B174" s="5">
        <f>IFERROR(__xludf.DUMMYFUNCTION("""COMPUTED_VALUE"""),1.05)</f>
        <v>1.05</v>
      </c>
      <c r="C174" s="5">
        <v>1.03298819065094</v>
      </c>
      <c r="D174" s="5">
        <v>177.168228149414</v>
      </c>
      <c r="E174" s="7">
        <f t="shared" ref="E174:F174" si="172">C174/C173-1</f>
        <v>0.02952661536</v>
      </c>
      <c r="F174" s="7">
        <f t="shared" si="172"/>
        <v>0.009865036442</v>
      </c>
    </row>
    <row r="175">
      <c r="A175" s="3">
        <f>IFERROR(__xludf.DUMMYFUNCTION("""COMPUTED_VALUE"""),42507.66666666667)</f>
        <v>42507.66667</v>
      </c>
      <c r="B175" s="5">
        <f>IFERROR(__xludf.DUMMYFUNCTION("""COMPUTED_VALUE"""),1.06)</f>
        <v>1.06</v>
      </c>
      <c r="C175" s="5">
        <v>1.03519165515899</v>
      </c>
      <c r="D175" s="5">
        <v>175.5146484375</v>
      </c>
      <c r="E175" s="7">
        <f t="shared" ref="E175:F175" si="173">C175/C174-1</f>
        <v>0.002133097482</v>
      </c>
      <c r="F175" s="7">
        <f t="shared" si="173"/>
        <v>-0.00933338742</v>
      </c>
    </row>
    <row r="176">
      <c r="A176" s="3">
        <f>IFERROR(__xludf.DUMMYFUNCTION("""COMPUTED_VALUE"""),42508.66666666667)</f>
        <v>42508.66667</v>
      </c>
      <c r="B176" s="5">
        <f>IFERROR(__xludf.DUMMYFUNCTION("""COMPUTED_VALUE"""),1.08)</f>
        <v>1.08</v>
      </c>
      <c r="C176" s="5">
        <v>1.06163465976715</v>
      </c>
      <c r="D176" s="5">
        <v>175.566055297851</v>
      </c>
      <c r="E176" s="7">
        <f t="shared" ref="E176:F176" si="174">C176/C175-1</f>
        <v>0.02554406662</v>
      </c>
      <c r="F176" s="7">
        <f t="shared" si="174"/>
        <v>0.0002928921364</v>
      </c>
    </row>
    <row r="177">
      <c r="A177" s="3">
        <f>IFERROR(__xludf.DUMMYFUNCTION("""COMPUTED_VALUE"""),42509.66666666667)</f>
        <v>42509.66667</v>
      </c>
      <c r="B177" s="5">
        <f>IFERROR(__xludf.DUMMYFUNCTION("""COMPUTED_VALUE"""),1.09)</f>
        <v>1.09</v>
      </c>
      <c r="C177" s="5">
        <v>1.066286444664</v>
      </c>
      <c r="D177" s="5">
        <v>174.957717895507</v>
      </c>
      <c r="E177" s="7">
        <f t="shared" ref="E177:F177" si="175">C177/C176-1</f>
        <v>0.004381719129</v>
      </c>
      <c r="F177" s="7">
        <f t="shared" si="175"/>
        <v>-0.003465005814</v>
      </c>
    </row>
    <row r="178">
      <c r="A178" s="3">
        <f>IFERROR(__xludf.DUMMYFUNCTION("""COMPUTED_VALUE"""),42510.66666666667)</f>
        <v>42510.66667</v>
      </c>
      <c r="B178" s="5">
        <f>IFERROR(__xludf.DUMMYFUNCTION("""COMPUTED_VALUE"""),1.11)</f>
        <v>1.11</v>
      </c>
      <c r="C178" s="5">
        <v>1.08538424968719</v>
      </c>
      <c r="D178" s="5">
        <v>176.06297302246</v>
      </c>
      <c r="E178" s="7">
        <f t="shared" ref="E178:F178" si="176">C178/C177-1</f>
        <v>0.01791057658</v>
      </c>
      <c r="F178" s="7">
        <f t="shared" si="176"/>
        <v>0.006317269911</v>
      </c>
    </row>
    <row r="179">
      <c r="A179" s="3">
        <f>IFERROR(__xludf.DUMMYFUNCTION("""COMPUTED_VALUE"""),42513.66666666667)</f>
        <v>42513.66667</v>
      </c>
      <c r="B179" s="5">
        <f>IFERROR(__xludf.DUMMYFUNCTION("""COMPUTED_VALUE"""),1.11)</f>
        <v>1.11</v>
      </c>
      <c r="C179" s="5">
        <v>1.08709824085235</v>
      </c>
      <c r="D179" s="5">
        <v>175.823135375976</v>
      </c>
      <c r="E179" s="7">
        <f t="shared" ref="E179:F179" si="177">C179/C178-1</f>
        <v>0.001579156106</v>
      </c>
      <c r="F179" s="7">
        <f t="shared" si="177"/>
        <v>-0.001362226494</v>
      </c>
    </row>
    <row r="180">
      <c r="A180" s="3">
        <f>IFERROR(__xludf.DUMMYFUNCTION("""COMPUTED_VALUE"""),42514.66666666667)</f>
        <v>42514.66667</v>
      </c>
      <c r="B180" s="5">
        <f>IFERROR(__xludf.DUMMYFUNCTION("""COMPUTED_VALUE"""),1.13)</f>
        <v>1.13</v>
      </c>
      <c r="C180" s="5">
        <v>1.11348700523376</v>
      </c>
      <c r="D180" s="5">
        <v>178.102172851562</v>
      </c>
      <c r="E180" s="7">
        <f t="shared" ref="E180:F180" si="178">C180/C179-1</f>
        <v>0.02427449828</v>
      </c>
      <c r="F180" s="7">
        <f t="shared" si="178"/>
        <v>0.01296210235</v>
      </c>
    </row>
    <row r="181">
      <c r="A181" s="3">
        <f>IFERROR(__xludf.DUMMYFUNCTION("""COMPUTED_VALUE"""),42515.66666666667)</f>
        <v>42515.66667</v>
      </c>
      <c r="B181" s="5">
        <f>IFERROR(__xludf.DUMMYFUNCTION("""COMPUTED_VALUE"""),1.13)</f>
        <v>1.13</v>
      </c>
      <c r="C181" s="5">
        <v>1.10882306098937</v>
      </c>
      <c r="D181" s="5">
        <v>179.310241699218</v>
      </c>
      <c r="E181" s="7">
        <f t="shared" ref="E181:F181" si="179">C181/C180-1</f>
        <v>-0.004188593331</v>
      </c>
      <c r="F181" s="7">
        <f t="shared" si="179"/>
        <v>0.006783010158</v>
      </c>
    </row>
    <row r="182">
      <c r="A182" s="3">
        <f>IFERROR(__xludf.DUMMYFUNCTION("""COMPUTED_VALUE"""),42516.66666666667)</f>
        <v>42516.66667</v>
      </c>
      <c r="B182" s="5">
        <f>IFERROR(__xludf.DUMMYFUNCTION("""COMPUTED_VALUE"""),1.14)</f>
        <v>1.14</v>
      </c>
      <c r="C182" s="5">
        <v>1.12060594558715</v>
      </c>
      <c r="D182" s="5">
        <v>179.36164855957</v>
      </c>
      <c r="E182" s="7">
        <f t="shared" ref="E182:F182" si="180">C182/C181-1</f>
        <v>0.01062647866</v>
      </c>
      <c r="F182" s="7">
        <f t="shared" si="180"/>
        <v>0.0002866922707</v>
      </c>
    </row>
    <row r="183">
      <c r="A183" s="3">
        <f>IFERROR(__xludf.DUMMYFUNCTION("""COMPUTED_VALUE"""),42517.66666666667)</f>
        <v>42517.66667</v>
      </c>
      <c r="B183" s="5">
        <f>IFERROR(__xludf.DUMMYFUNCTION("""COMPUTED_VALUE"""),1.15)</f>
        <v>1.15</v>
      </c>
      <c r="C183" s="5">
        <v>1.12674272060394</v>
      </c>
      <c r="D183" s="5">
        <v>180.132781982421</v>
      </c>
      <c r="E183" s="7">
        <f t="shared" ref="E183:F183" si="181">C183/C182-1</f>
        <v>0.005476300604</v>
      </c>
      <c r="F183" s="7">
        <f t="shared" si="181"/>
        <v>0.004299321672</v>
      </c>
    </row>
    <row r="184">
      <c r="A184" s="3">
        <f>IFERROR(__xludf.DUMMYFUNCTION("""COMPUTED_VALUE"""),42521.66666666667)</f>
        <v>42521.66667</v>
      </c>
      <c r="B184" s="5">
        <f>IFERROR(__xludf.DUMMYFUNCTION("""COMPUTED_VALUE"""),1.17)</f>
        <v>1.17</v>
      </c>
      <c r="C184" s="5">
        <v>1.14687168598175</v>
      </c>
      <c r="D184" s="5">
        <v>179.790008544921</v>
      </c>
      <c r="E184" s="7">
        <f t="shared" ref="E184:F184" si="182">C184/C183-1</f>
        <v>0.01786473967</v>
      </c>
      <c r="F184" s="7">
        <f t="shared" si="182"/>
        <v>-0.001902893153</v>
      </c>
    </row>
    <row r="185">
      <c r="A185" s="3">
        <f>IFERROR(__xludf.DUMMYFUNCTION("""COMPUTED_VALUE"""),42522.66666666667)</f>
        <v>42522.66667</v>
      </c>
      <c r="B185" s="5">
        <f>IFERROR(__xludf.DUMMYFUNCTION("""COMPUTED_VALUE"""),1.17)</f>
        <v>1.17</v>
      </c>
      <c r="C185" s="5">
        <v>1.14908123016357</v>
      </c>
      <c r="D185" s="5">
        <v>180.158462524414</v>
      </c>
      <c r="E185" s="7">
        <f t="shared" ref="E185:F185" si="183">C185/C184-1</f>
        <v>0.0019265836</v>
      </c>
      <c r="F185" s="7">
        <f t="shared" si="183"/>
        <v>0.002049357372</v>
      </c>
    </row>
    <row r="186">
      <c r="A186" s="3">
        <f>IFERROR(__xludf.DUMMYFUNCTION("""COMPUTED_VALUE"""),42523.66666666667)</f>
        <v>42523.66667</v>
      </c>
      <c r="B186" s="5">
        <f>IFERROR(__xludf.DUMMYFUNCTION("""COMPUTED_VALUE"""),1.18)</f>
        <v>1.18</v>
      </c>
      <c r="C186" s="5">
        <v>1.1571819782257</v>
      </c>
      <c r="D186" s="5">
        <v>180.706848144531</v>
      </c>
      <c r="E186" s="7">
        <f t="shared" ref="E186:F186" si="184">C186/C185-1</f>
        <v>0.007049761017</v>
      </c>
      <c r="F186" s="7">
        <f t="shared" si="184"/>
        <v>0.003043907083</v>
      </c>
    </row>
    <row r="187">
      <c r="A187" s="3">
        <f>IFERROR(__xludf.DUMMYFUNCTION("""COMPUTED_VALUE"""),42524.66666666667)</f>
        <v>42524.66667</v>
      </c>
      <c r="B187" s="5">
        <f>IFERROR(__xludf.DUMMYFUNCTION("""COMPUTED_VALUE"""),1.16)</f>
        <v>1.16</v>
      </c>
      <c r="C187" s="5">
        <v>1.14098048210144</v>
      </c>
      <c r="D187" s="5">
        <v>180.167022705078</v>
      </c>
      <c r="E187" s="7">
        <f t="shared" ref="E187:F187" si="185">C187/C186-1</f>
        <v>-0.0140008196</v>
      </c>
      <c r="F187" s="7">
        <f t="shared" si="185"/>
        <v>-0.002987299292</v>
      </c>
    </row>
    <row r="188">
      <c r="A188" s="3">
        <f>IFERROR(__xludf.DUMMYFUNCTION("""COMPUTED_VALUE"""),42527.66666666667)</f>
        <v>42527.66667</v>
      </c>
      <c r="B188" s="5">
        <f>IFERROR(__xludf.DUMMYFUNCTION("""COMPUTED_VALUE"""),1.16)</f>
        <v>1.16</v>
      </c>
      <c r="C188" s="5">
        <v>1.13508903980255</v>
      </c>
      <c r="D188" s="5">
        <v>181.083786010742</v>
      </c>
      <c r="E188" s="7">
        <f t="shared" ref="E188:F188" si="186">C188/C187-1</f>
        <v>-0.005163490867</v>
      </c>
      <c r="F188" s="7">
        <f t="shared" si="186"/>
        <v>0.005088407922</v>
      </c>
    </row>
    <row r="189">
      <c r="A189" s="3">
        <f>IFERROR(__xludf.DUMMYFUNCTION("""COMPUTED_VALUE"""),42528.66666666667)</f>
        <v>42528.66667</v>
      </c>
      <c r="B189" s="5">
        <f>IFERROR(__xludf.DUMMYFUNCTION("""COMPUTED_VALUE"""),1.16)</f>
        <v>1.16</v>
      </c>
      <c r="C189" s="5">
        <v>1.13729834556579</v>
      </c>
      <c r="D189" s="5">
        <v>181.366561889648</v>
      </c>
      <c r="E189" s="7">
        <f t="shared" ref="E189:F189" si="187">C189/C188-1</f>
        <v>0.00194637221</v>
      </c>
      <c r="F189" s="7">
        <f t="shared" si="187"/>
        <v>0.001561574811</v>
      </c>
    </row>
    <row r="190">
      <c r="A190" s="3">
        <f>IFERROR(__xludf.DUMMYFUNCTION("""COMPUTED_VALUE"""),42529.66666666667)</f>
        <v>42529.66667</v>
      </c>
      <c r="B190" s="5">
        <f>IFERROR(__xludf.DUMMYFUNCTION("""COMPUTED_VALUE"""),1.15)</f>
        <v>1.15</v>
      </c>
      <c r="C190" s="5">
        <v>1.13361620903015</v>
      </c>
      <c r="D190" s="5">
        <v>181.957763671875</v>
      </c>
      <c r="E190" s="7">
        <f t="shared" ref="E190:F190" si="188">C190/C189-1</f>
        <v>-0.003237617069</v>
      </c>
      <c r="F190" s="7">
        <f t="shared" si="188"/>
        <v>0.003259706619</v>
      </c>
    </row>
    <row r="191">
      <c r="A191" s="3">
        <f>IFERROR(__xludf.DUMMYFUNCTION("""COMPUTED_VALUE"""),42530.66666666667)</f>
        <v>42530.66667</v>
      </c>
      <c r="B191" s="5">
        <f>IFERROR(__xludf.DUMMYFUNCTION("""COMPUTED_VALUE"""),1.18)</f>
        <v>1.18</v>
      </c>
      <c r="C191" s="5">
        <v>1.16307342052459</v>
      </c>
      <c r="D191" s="5">
        <v>181.709289550781</v>
      </c>
      <c r="E191" s="7">
        <f t="shared" ref="E191:F191" si="189">C191/C190-1</f>
        <v>0.0259851714</v>
      </c>
      <c r="F191" s="7">
        <f t="shared" si="189"/>
        <v>-0.001365559326</v>
      </c>
    </row>
    <row r="192">
      <c r="A192" s="3">
        <f>IFERROR(__xludf.DUMMYFUNCTION("""COMPUTED_VALUE"""),42531.66666666667)</f>
        <v>42531.66667</v>
      </c>
      <c r="B192" s="5">
        <f>IFERROR(__xludf.DUMMYFUNCTION("""COMPUTED_VALUE"""),1.16)</f>
        <v>1.16</v>
      </c>
      <c r="C192" s="5">
        <v>1.13410687446594</v>
      </c>
      <c r="D192" s="5">
        <v>179.987152099609</v>
      </c>
      <c r="E192" s="7">
        <f t="shared" ref="E192:F192" si="190">C192/C191-1</f>
        <v>-0.02490517413</v>
      </c>
      <c r="F192" s="7">
        <f t="shared" si="190"/>
        <v>-0.009477432086</v>
      </c>
    </row>
    <row r="193">
      <c r="A193" s="3">
        <f>IFERROR(__xludf.DUMMYFUNCTION("""COMPUTED_VALUE"""),42534.66666666667)</f>
        <v>42534.66667</v>
      </c>
      <c r="B193" s="5">
        <f>IFERROR(__xludf.DUMMYFUNCTION("""COMPUTED_VALUE"""),1.17)</f>
        <v>1.17</v>
      </c>
      <c r="C193" s="5">
        <v>1.14859008789062</v>
      </c>
      <c r="D193" s="5">
        <v>178.599090576171</v>
      </c>
      <c r="E193" s="7">
        <f t="shared" ref="E193:F193" si="191">C193/C192-1</f>
        <v>0.01277058957</v>
      </c>
      <c r="F193" s="7">
        <f t="shared" si="191"/>
        <v>-0.007712003369</v>
      </c>
    </row>
    <row r="194">
      <c r="A194" s="3">
        <f>IFERROR(__xludf.DUMMYFUNCTION("""COMPUTED_VALUE"""),42535.66666666667)</f>
        <v>42535.66667</v>
      </c>
      <c r="B194" s="5">
        <f>IFERROR(__xludf.DUMMYFUNCTION("""COMPUTED_VALUE"""),1.17)</f>
        <v>1.17</v>
      </c>
      <c r="C194" s="5">
        <v>1.15079975128173</v>
      </c>
      <c r="D194" s="5">
        <v>178.247802734375</v>
      </c>
      <c r="E194" s="7">
        <f t="shared" ref="E194:F194" si="192">C194/C193-1</f>
        <v>0.001923805032</v>
      </c>
      <c r="F194" s="7">
        <f t="shared" si="192"/>
        <v>-0.001966907226</v>
      </c>
    </row>
    <row r="195">
      <c r="A195" s="3">
        <f>IFERROR(__xludf.DUMMYFUNCTION("""COMPUTED_VALUE"""),42536.66666666667)</f>
        <v>42536.66667</v>
      </c>
      <c r="B195" s="5">
        <f>IFERROR(__xludf.DUMMYFUNCTION("""COMPUTED_VALUE"""),1.18)</f>
        <v>1.18</v>
      </c>
      <c r="C195" s="5">
        <v>1.16258251667022</v>
      </c>
      <c r="D195" s="5">
        <v>177.999389648437</v>
      </c>
      <c r="E195" s="7">
        <f t="shared" ref="E195:F195" si="193">C195/C194-1</f>
        <v>0.01023876254</v>
      </c>
      <c r="F195" s="7">
        <f t="shared" si="193"/>
        <v>-0.00139363898</v>
      </c>
    </row>
    <row r="196">
      <c r="A196" s="3">
        <f>IFERROR(__xludf.DUMMYFUNCTION("""COMPUTED_VALUE"""),42537.66666666667)</f>
        <v>42537.66667</v>
      </c>
      <c r="B196" s="5">
        <f>IFERROR(__xludf.DUMMYFUNCTION("""COMPUTED_VALUE"""),1.19)</f>
        <v>1.19</v>
      </c>
      <c r="C196" s="5">
        <v>1.16724705696105</v>
      </c>
      <c r="D196" s="5">
        <v>178.530548095703</v>
      </c>
      <c r="E196" s="7">
        <f t="shared" ref="E196:F196" si="194">C196/C195-1</f>
        <v>0.004012222981</v>
      </c>
      <c r="F196" s="7">
        <f t="shared" si="194"/>
        <v>0.002984046453</v>
      </c>
    </row>
    <row r="197">
      <c r="A197" s="3">
        <f>IFERROR(__xludf.DUMMYFUNCTION("""COMPUTED_VALUE"""),42538.66666666667)</f>
        <v>42538.66667</v>
      </c>
      <c r="B197" s="5">
        <f>IFERROR(__xludf.DUMMYFUNCTION("""COMPUTED_VALUE"""),1.17)</f>
        <v>1.17</v>
      </c>
      <c r="C197" s="5">
        <v>1.14687168598175</v>
      </c>
      <c r="D197" s="5">
        <v>177.86570739746</v>
      </c>
      <c r="E197" s="7">
        <f t="shared" ref="E197:F197" si="195">C197/C196-1</f>
        <v>-0.01745591977</v>
      </c>
      <c r="F197" s="7">
        <f t="shared" si="195"/>
        <v>-0.003723960439</v>
      </c>
    </row>
    <row r="198">
      <c r="A198" s="3">
        <f>IFERROR(__xludf.DUMMYFUNCTION("""COMPUTED_VALUE"""),42541.66666666667)</f>
        <v>42541.66667</v>
      </c>
      <c r="B198" s="5">
        <f>IFERROR(__xludf.DUMMYFUNCTION("""COMPUTED_VALUE"""),1.19)</f>
        <v>1.19</v>
      </c>
      <c r="C198" s="5">
        <v>1.16749215126037</v>
      </c>
      <c r="D198" s="5">
        <v>179.011154174804</v>
      </c>
      <c r="E198" s="7">
        <f t="shared" ref="E198:F198" si="196">C198/C197-1</f>
        <v>0.0179797492</v>
      </c>
      <c r="F198" s="7">
        <f t="shared" si="196"/>
        <v>0.006439952895</v>
      </c>
    </row>
    <row r="199">
      <c r="A199" s="3">
        <f>IFERROR(__xludf.DUMMYFUNCTION("""COMPUTED_VALUE"""),42542.66666666667)</f>
        <v>42542.66667</v>
      </c>
      <c r="B199" s="5">
        <f>IFERROR(__xludf.DUMMYFUNCTION("""COMPUTED_VALUE"""),1.18)</f>
        <v>1.18</v>
      </c>
      <c r="C199" s="5">
        <v>1.16037309169769</v>
      </c>
      <c r="D199" s="5">
        <v>179.519271850585</v>
      </c>
      <c r="E199" s="7">
        <f t="shared" ref="E199:F199" si="197">C199/C198-1</f>
        <v>-0.00609773655</v>
      </c>
      <c r="F199" s="7">
        <f t="shared" si="197"/>
        <v>0.002838469358</v>
      </c>
    </row>
    <row r="200">
      <c r="A200" s="3">
        <f>IFERROR(__xludf.DUMMYFUNCTION("""COMPUTED_VALUE"""),42543.66666666667)</f>
        <v>42543.66667</v>
      </c>
      <c r="B200" s="5">
        <f>IFERROR(__xludf.DUMMYFUNCTION("""COMPUTED_VALUE"""),1.18)</f>
        <v>1.18</v>
      </c>
      <c r="C200" s="5">
        <v>1.15939140319824</v>
      </c>
      <c r="D200" s="5">
        <v>179.226455688476</v>
      </c>
      <c r="E200" s="7">
        <f t="shared" ref="E200:F200" si="198">C200/C199-1</f>
        <v>-0.000846011086</v>
      </c>
      <c r="F200" s="7">
        <f t="shared" si="198"/>
        <v>-0.001631112688</v>
      </c>
    </row>
    <row r="201">
      <c r="A201" s="3">
        <f>IFERROR(__xludf.DUMMYFUNCTION("""COMPUTED_VALUE"""),42544.66666666667)</f>
        <v>42544.66667</v>
      </c>
      <c r="B201" s="5">
        <f>IFERROR(__xludf.DUMMYFUNCTION("""COMPUTED_VALUE"""),1.21)</f>
        <v>1.21</v>
      </c>
      <c r="C201" s="5">
        <v>1.19032096862792</v>
      </c>
      <c r="D201" s="5">
        <v>181.560455322265</v>
      </c>
      <c r="E201" s="7">
        <f t="shared" ref="E201:F201" si="199">C201/C200-1</f>
        <v>0.02667741484</v>
      </c>
      <c r="F201" s="7">
        <f t="shared" si="199"/>
        <v>0.01302262897</v>
      </c>
    </row>
    <row r="202">
      <c r="A202" s="3">
        <f>IFERROR(__xludf.DUMMYFUNCTION("""COMPUTED_VALUE"""),42545.66666666667)</f>
        <v>42545.66667</v>
      </c>
      <c r="B202" s="5">
        <f>IFERROR(__xludf.DUMMYFUNCTION("""COMPUTED_VALUE"""),1.14)</f>
        <v>1.14</v>
      </c>
      <c r="C202" s="5">
        <v>1.12256979942321</v>
      </c>
      <c r="D202" s="5">
        <v>175.040771484375</v>
      </c>
      <c r="E202" s="7">
        <f t="shared" ref="E202:F202" si="200">C202/C201-1</f>
        <v>-0.05691840351</v>
      </c>
      <c r="F202" s="7">
        <f t="shared" si="200"/>
        <v>-0.03590916219</v>
      </c>
    </row>
    <row r="203">
      <c r="A203" s="3">
        <f>IFERROR(__xludf.DUMMYFUNCTION("""COMPUTED_VALUE"""),42548.66666666667)</f>
        <v>42548.66667</v>
      </c>
      <c r="B203" s="5">
        <f>IFERROR(__xludf.DUMMYFUNCTION("""COMPUTED_VALUE"""),1.13)</f>
        <v>1.13</v>
      </c>
      <c r="C203" s="5">
        <v>1.11054134368896</v>
      </c>
      <c r="D203" s="5">
        <v>171.905822753906</v>
      </c>
      <c r="E203" s="7">
        <f t="shared" ref="E203:F203" si="201">C203/C202-1</f>
        <v>-0.01071510719</v>
      </c>
      <c r="F203" s="7">
        <f t="shared" si="201"/>
        <v>-0.01790982012</v>
      </c>
    </row>
    <row r="204">
      <c r="A204" s="3">
        <f>IFERROR(__xludf.DUMMYFUNCTION("""COMPUTED_VALUE"""),42549.66666666667)</f>
        <v>42549.66667</v>
      </c>
      <c r="B204" s="5">
        <f>IFERROR(__xludf.DUMMYFUNCTION("""COMPUTED_VALUE"""),1.15)</f>
        <v>1.15</v>
      </c>
      <c r="C204" s="5">
        <v>1.12674272060394</v>
      </c>
      <c r="D204" s="5">
        <v>175.006286621093</v>
      </c>
      <c r="E204" s="7">
        <f t="shared" ref="E204:F204" si="202">C204/C203-1</f>
        <v>0.01458872018</v>
      </c>
      <c r="F204" s="7">
        <f t="shared" si="202"/>
        <v>0.01803582809</v>
      </c>
    </row>
    <row r="205">
      <c r="A205" s="3">
        <f>IFERROR(__xludf.DUMMYFUNCTION("""COMPUTED_VALUE"""),42550.66666666667)</f>
        <v>42550.66667</v>
      </c>
      <c r="B205" s="5">
        <f>IFERROR(__xludf.DUMMYFUNCTION("""COMPUTED_VALUE"""),1.17)</f>
        <v>1.17</v>
      </c>
      <c r="C205" s="5">
        <v>1.14515328407287</v>
      </c>
      <c r="D205" s="5">
        <v>177.986267089843</v>
      </c>
      <c r="E205" s="7">
        <f t="shared" ref="E205:F205" si="203">C205/C204-1</f>
        <v>0.01633963382</v>
      </c>
      <c r="F205" s="7">
        <f t="shared" si="203"/>
        <v>0.01702784812</v>
      </c>
    </row>
    <row r="206">
      <c r="A206" s="3">
        <f>IFERROR(__xludf.DUMMYFUNCTION("""COMPUTED_VALUE"""),42551.66666666667)</f>
        <v>42551.66667</v>
      </c>
      <c r="B206" s="5">
        <f>IFERROR(__xludf.DUMMYFUNCTION("""COMPUTED_VALUE"""),1.18)</f>
        <v>1.18</v>
      </c>
      <c r="C206" s="5">
        <v>1.15399062633514</v>
      </c>
      <c r="D206" s="5">
        <v>180.414993286132</v>
      </c>
      <c r="E206" s="7">
        <f t="shared" ref="E206:F206" si="204">C206/C205-1</f>
        <v>0.007717169732</v>
      </c>
      <c r="F206" s="7">
        <f t="shared" si="204"/>
        <v>0.01364558197</v>
      </c>
    </row>
    <row r="207">
      <c r="A207" s="3">
        <f>IFERROR(__xludf.DUMMYFUNCTION("""COMPUTED_VALUE"""),42552.66666666667)</f>
        <v>42552.66667</v>
      </c>
      <c r="B207" s="5">
        <f>IFERROR(__xludf.DUMMYFUNCTION("""COMPUTED_VALUE"""),1.17)</f>
        <v>1.17</v>
      </c>
      <c r="C207" s="5">
        <v>1.14539909362792</v>
      </c>
      <c r="D207" s="5">
        <v>180.793914794921</v>
      </c>
      <c r="E207" s="7">
        <f t="shared" ref="E207:F207" si="205">C207/C206-1</f>
        <v>-0.00744506282</v>
      </c>
      <c r="F207" s="7">
        <f t="shared" si="205"/>
        <v>0.002100277266</v>
      </c>
    </row>
    <row r="208">
      <c r="A208" s="3">
        <f>IFERROR(__xludf.DUMMYFUNCTION("""COMPUTED_VALUE"""),42556.66666666667)</f>
        <v>42556.66667</v>
      </c>
      <c r="B208" s="5">
        <f>IFERROR(__xludf.DUMMYFUNCTION("""COMPUTED_VALUE"""),1.18)</f>
        <v>1.18</v>
      </c>
      <c r="C208" s="5">
        <v>1.16233706474304</v>
      </c>
      <c r="D208" s="5">
        <v>179.493377685546</v>
      </c>
      <c r="E208" s="7">
        <f t="shared" ref="E208:F208" si="206">C208/C207-1</f>
        <v>0.01478783352</v>
      </c>
      <c r="F208" s="7">
        <f t="shared" si="206"/>
        <v>-0.007193478336</v>
      </c>
    </row>
    <row r="209">
      <c r="A209" s="3">
        <f>IFERROR(__xludf.DUMMYFUNCTION("""COMPUTED_VALUE"""),42557.66666666667)</f>
        <v>42557.66667</v>
      </c>
      <c r="B209" s="5">
        <f>IFERROR(__xludf.DUMMYFUNCTION("""COMPUTED_VALUE"""),1.19)</f>
        <v>1.19</v>
      </c>
      <c r="C209" s="5">
        <v>1.16970157623291</v>
      </c>
      <c r="D209" s="5">
        <v>180.569961547851</v>
      </c>
      <c r="E209" s="7">
        <f t="shared" ref="E209:F209" si="207">C209/C208-1</f>
        <v>0.00633595169</v>
      </c>
      <c r="F209" s="7">
        <f t="shared" si="207"/>
        <v>0.005997902965</v>
      </c>
    </row>
    <row r="210">
      <c r="A210" s="3">
        <f>IFERROR(__xludf.DUMMYFUNCTION("""COMPUTED_VALUE"""),42558.66666666667)</f>
        <v>42558.66667</v>
      </c>
      <c r="B210" s="5">
        <f>IFERROR(__xludf.DUMMYFUNCTION("""COMPUTED_VALUE"""),1.22)</f>
        <v>1.22</v>
      </c>
      <c r="C210" s="5">
        <v>1.20014071464538</v>
      </c>
      <c r="D210" s="5">
        <v>180.458068847656</v>
      </c>
      <c r="E210" s="7">
        <f t="shared" ref="E210:F210" si="208">C210/C209-1</f>
        <v>0.02602299512</v>
      </c>
      <c r="F210" s="7">
        <f t="shared" si="208"/>
        <v>-0.0006196639753</v>
      </c>
    </row>
    <row r="211">
      <c r="A211" s="3">
        <f>IFERROR(__xludf.DUMMYFUNCTION("""COMPUTED_VALUE"""),42559.66666666667)</f>
        <v>42559.66667</v>
      </c>
      <c r="B211" s="5">
        <f>IFERROR(__xludf.DUMMYFUNCTION("""COMPUTED_VALUE"""),1.27)</f>
        <v>1.27</v>
      </c>
      <c r="C211" s="5">
        <v>1.24825406074523</v>
      </c>
      <c r="D211" s="5">
        <v>183.145126342773</v>
      </c>
      <c r="E211" s="7">
        <f t="shared" ref="E211:F211" si="209">C211/C210-1</f>
        <v>0.04008975407</v>
      </c>
      <c r="F211" s="7">
        <f t="shared" si="209"/>
        <v>0.0148902042</v>
      </c>
    </row>
    <row r="212">
      <c r="A212" s="3">
        <f>IFERROR(__xludf.DUMMYFUNCTION("""COMPUTED_VALUE"""),42562.66666666667)</f>
        <v>42562.66667</v>
      </c>
      <c r="B212" s="5">
        <f>IFERROR(__xludf.DUMMYFUNCTION("""COMPUTED_VALUE"""),1.3)</f>
        <v>1.3</v>
      </c>
      <c r="C212" s="5">
        <v>1.2769751548767</v>
      </c>
      <c r="D212" s="5">
        <v>183.791076660156</v>
      </c>
      <c r="E212" s="7">
        <f t="shared" ref="E212:F212" si="210">C212/C211-1</f>
        <v>0.02300901318</v>
      </c>
      <c r="F212" s="7">
        <f t="shared" si="210"/>
        <v>0.003526986114</v>
      </c>
    </row>
    <row r="213">
      <c r="A213" s="3">
        <f>IFERROR(__xludf.DUMMYFUNCTION("""COMPUTED_VALUE"""),42563.66666666667)</f>
        <v>42563.66667</v>
      </c>
      <c r="B213" s="5">
        <f>IFERROR(__xludf.DUMMYFUNCTION("""COMPUTED_VALUE"""),1.32)</f>
        <v>1.32</v>
      </c>
      <c r="C213" s="5">
        <v>1.29612243175506</v>
      </c>
      <c r="D213" s="5">
        <v>185.126083374023</v>
      </c>
      <c r="E213" s="7">
        <f t="shared" ref="E213:F213" si="211">C213/C212-1</f>
        <v>0.01499424386</v>
      </c>
      <c r="F213" s="7">
        <f t="shared" si="211"/>
        <v>0.007263718882</v>
      </c>
    </row>
    <row r="214">
      <c r="A214" s="3">
        <f>IFERROR(__xludf.DUMMYFUNCTION("""COMPUTED_VALUE"""),42564.66666666667)</f>
        <v>42564.66667</v>
      </c>
      <c r="B214" s="5">
        <f>IFERROR(__xludf.DUMMYFUNCTION("""COMPUTED_VALUE"""),1.32)</f>
        <v>1.32</v>
      </c>
      <c r="C214" s="5">
        <v>1.29563105106353</v>
      </c>
      <c r="D214" s="5">
        <v>185.100219726562</v>
      </c>
      <c r="E214" s="7">
        <f t="shared" ref="E214:F214" si="212">C214/C213-1</f>
        <v>-0.0003791159535</v>
      </c>
      <c r="F214" s="7">
        <f t="shared" si="212"/>
        <v>-0.0001397082842</v>
      </c>
    </row>
    <row r="215">
      <c r="A215" s="3">
        <f>IFERROR(__xludf.DUMMYFUNCTION("""COMPUTED_VALUE"""),42565.66666666667)</f>
        <v>42565.66667</v>
      </c>
      <c r="B215" s="5">
        <f>IFERROR(__xludf.DUMMYFUNCTION("""COMPUTED_VALUE"""),1.33)</f>
        <v>1.33</v>
      </c>
      <c r="C215" s="5">
        <v>1.30888664722442</v>
      </c>
      <c r="D215" s="5">
        <v>186.133697509765</v>
      </c>
      <c r="E215" s="7">
        <f t="shared" ref="E215:F215" si="213">C215/C214-1</f>
        <v>0.01023099605</v>
      </c>
      <c r="F215" s="7">
        <f t="shared" si="213"/>
        <v>0.005583341742</v>
      </c>
    </row>
    <row r="216">
      <c r="A216" s="3">
        <f>IFERROR(__xludf.DUMMYFUNCTION("""COMPUTED_VALUE"""),42566.66666666667)</f>
        <v>42566.66667</v>
      </c>
      <c r="B216" s="5">
        <f>IFERROR(__xludf.DUMMYFUNCTION("""COMPUTED_VALUE"""),1.32)</f>
        <v>1.32</v>
      </c>
      <c r="C216" s="5">
        <v>1.29366719722747</v>
      </c>
      <c r="D216" s="5">
        <v>185.883956909179</v>
      </c>
      <c r="E216" s="7">
        <f t="shared" ref="E216:F216" si="214">C216/C215-1</f>
        <v>-0.01162778307</v>
      </c>
      <c r="F216" s="7">
        <f t="shared" si="214"/>
        <v>-0.001341726963</v>
      </c>
    </row>
    <row r="217">
      <c r="A217" s="3">
        <f>IFERROR(__xludf.DUMMYFUNCTION("""COMPUTED_VALUE"""),42569.66666666667)</f>
        <v>42569.66667</v>
      </c>
      <c r="B217" s="5">
        <f>IFERROR(__xludf.DUMMYFUNCTION("""COMPUTED_VALUE"""),1.32)</f>
        <v>1.32</v>
      </c>
      <c r="C217" s="5">
        <v>1.30029499530792</v>
      </c>
      <c r="D217" s="5">
        <v>186.383483886718</v>
      </c>
      <c r="E217" s="7">
        <f t="shared" ref="E217:F217" si="215">C217/C216-1</f>
        <v>0.005123263614</v>
      </c>
      <c r="F217" s="7">
        <f t="shared" si="215"/>
        <v>0.002687305488</v>
      </c>
    </row>
    <row r="218">
      <c r="A218" s="3">
        <f>IFERROR(__xludf.DUMMYFUNCTION("""COMPUTED_VALUE"""),42570.66666666667)</f>
        <v>42570.66667</v>
      </c>
      <c r="B218" s="5">
        <f>IFERROR(__xludf.DUMMYFUNCTION("""COMPUTED_VALUE"""),1.34)</f>
        <v>1.34</v>
      </c>
      <c r="C218" s="5">
        <v>1.31379687786102</v>
      </c>
      <c r="D218" s="5">
        <v>186.193923950195</v>
      </c>
      <c r="E218" s="7">
        <f t="shared" ref="E218:F218" si="216">C218/C217-1</f>
        <v>0.01038370724</v>
      </c>
      <c r="F218" s="7">
        <f t="shared" si="216"/>
        <v>-0.001017042565</v>
      </c>
    </row>
    <row r="219">
      <c r="A219" s="3">
        <f>IFERROR(__xludf.DUMMYFUNCTION("""COMPUTED_VALUE"""),42571.66666666667)</f>
        <v>42571.66667</v>
      </c>
      <c r="B219" s="5">
        <f>IFERROR(__xludf.DUMMYFUNCTION("""COMPUTED_VALUE"""),1.36)</f>
        <v>1.36</v>
      </c>
      <c r="C219" s="5">
        <v>1.33097970485687</v>
      </c>
      <c r="D219" s="5">
        <v>186.96907043457</v>
      </c>
      <c r="E219" s="7">
        <f t="shared" ref="E219:F219" si="217">C219/C218-1</f>
        <v>0.01307875463</v>
      </c>
      <c r="F219" s="7">
        <f t="shared" si="217"/>
        <v>0.004163113747</v>
      </c>
    </row>
    <row r="220">
      <c r="A220" s="3">
        <f>IFERROR(__xludf.DUMMYFUNCTION("""COMPUTED_VALUE"""),42572.66666666667)</f>
        <v>42572.66667</v>
      </c>
      <c r="B220" s="5">
        <f>IFERROR(__xludf.DUMMYFUNCTION("""COMPUTED_VALUE"""),1.33)</f>
        <v>1.33</v>
      </c>
      <c r="C220" s="5">
        <v>1.30643284320831</v>
      </c>
      <c r="D220" s="5">
        <v>186.262878417968</v>
      </c>
      <c r="E220" s="7">
        <f t="shared" ref="E220:F220" si="218">C220/C219-1</f>
        <v>-0.01844270169</v>
      </c>
      <c r="F220" s="7">
        <f t="shared" si="218"/>
        <v>-0.003777052616</v>
      </c>
    </row>
    <row r="221">
      <c r="A221" s="3">
        <f>IFERROR(__xludf.DUMMYFUNCTION("""COMPUTED_VALUE"""),42573.66666666667)</f>
        <v>42573.66667</v>
      </c>
      <c r="B221" s="5">
        <f>IFERROR(__xludf.DUMMYFUNCTION("""COMPUTED_VALUE"""),1.37)</f>
        <v>1.37</v>
      </c>
      <c r="C221" s="5">
        <v>1.34202694892883</v>
      </c>
      <c r="D221" s="5">
        <v>187.098312377929</v>
      </c>
      <c r="E221" s="7">
        <f t="shared" ref="E221:F221" si="219">C221/C220-1</f>
        <v>0.02724526248</v>
      </c>
      <c r="F221" s="7">
        <f t="shared" si="219"/>
        <v>0.004485241327</v>
      </c>
    </row>
    <row r="222">
      <c r="A222" s="3">
        <f>IFERROR(__xludf.DUMMYFUNCTION("""COMPUTED_VALUE"""),42576.66666666667)</f>
        <v>42576.66667</v>
      </c>
      <c r="B222" s="5">
        <f>IFERROR(__xludf.DUMMYFUNCTION("""COMPUTED_VALUE"""),1.39)</f>
        <v>1.39</v>
      </c>
      <c r="C222" s="5">
        <v>1.36681973934173</v>
      </c>
      <c r="D222" s="5">
        <v>186.590133666992</v>
      </c>
      <c r="E222" s="7">
        <f t="shared" ref="E222:F222" si="220">C222/C221-1</f>
        <v>0.01847413752</v>
      </c>
      <c r="F222" s="7">
        <f t="shared" si="220"/>
        <v>-0.002716105263</v>
      </c>
    </row>
    <row r="223">
      <c r="A223" s="3">
        <f>IFERROR(__xludf.DUMMYFUNCTION("""COMPUTED_VALUE"""),42577.66666666667)</f>
        <v>42577.66667</v>
      </c>
      <c r="B223" s="5">
        <f>IFERROR(__xludf.DUMMYFUNCTION("""COMPUTED_VALUE"""),1.42)</f>
        <v>1.42</v>
      </c>
      <c r="C223" s="5">
        <v>1.39014029502868</v>
      </c>
      <c r="D223" s="5">
        <v>186.67625427246</v>
      </c>
      <c r="E223" s="7">
        <f t="shared" ref="E223:F223" si="221">C223/C222-1</f>
        <v>0.01706191023</v>
      </c>
      <c r="F223" s="7">
        <f t="shared" si="221"/>
        <v>0.000461549621</v>
      </c>
    </row>
    <row r="224">
      <c r="A224" s="3">
        <f>IFERROR(__xludf.DUMMYFUNCTION("""COMPUTED_VALUE"""),42578.66666666667)</f>
        <v>42578.66667</v>
      </c>
      <c r="B224" s="5">
        <f>IFERROR(__xludf.DUMMYFUNCTION("""COMPUTED_VALUE"""),1.4)</f>
        <v>1.4</v>
      </c>
      <c r="C224" s="5">
        <v>1.37614810466766</v>
      </c>
      <c r="D224" s="5">
        <v>186.47817993164</v>
      </c>
      <c r="E224" s="7">
        <f t="shared" ref="E224:F224" si="222">C224/C223-1</f>
        <v>-0.01006530809</v>
      </c>
      <c r="F224" s="7">
        <f t="shared" si="222"/>
        <v>-0.001061058042</v>
      </c>
    </row>
    <row r="225">
      <c r="A225" s="3">
        <f>IFERROR(__xludf.DUMMYFUNCTION("""COMPUTED_VALUE"""),42579.66666666667)</f>
        <v>42579.66667</v>
      </c>
      <c r="B225" s="5">
        <f>IFERROR(__xludf.DUMMYFUNCTION("""COMPUTED_VALUE"""),1.4)</f>
        <v>1.4</v>
      </c>
      <c r="C225" s="5">
        <v>1.37909352779388</v>
      </c>
      <c r="D225" s="5">
        <v>186.69351196289</v>
      </c>
      <c r="E225" s="7">
        <f t="shared" ref="E225:F225" si="223">C225/C224-1</f>
        <v>0.002140338759</v>
      </c>
      <c r="F225" s="7">
        <f t="shared" si="223"/>
        <v>0.001154730443</v>
      </c>
    </row>
    <row r="226">
      <c r="A226" s="3">
        <f>IFERROR(__xludf.DUMMYFUNCTION("""COMPUTED_VALUE"""),42580.66666666667)</f>
        <v>42580.66667</v>
      </c>
      <c r="B226" s="5">
        <f>IFERROR(__xludf.DUMMYFUNCTION("""COMPUTED_VALUE"""),1.43)</f>
        <v>1.43</v>
      </c>
      <c r="C226" s="5">
        <v>1.40167760848999</v>
      </c>
      <c r="D226" s="5">
        <v>186.994964599609</v>
      </c>
      <c r="E226" s="7">
        <f t="shared" ref="E226:F226" si="224">C226/C225-1</f>
        <v>0.01637603269</v>
      </c>
      <c r="F226" s="7">
        <f t="shared" si="224"/>
        <v>0.001614692624</v>
      </c>
    </row>
    <row r="227">
      <c r="A227" s="3">
        <f>IFERROR(__xludf.DUMMYFUNCTION("""COMPUTED_VALUE"""),42583.66666666667)</f>
        <v>42583.66667</v>
      </c>
      <c r="B227" s="5">
        <f>IFERROR(__xludf.DUMMYFUNCTION("""COMPUTED_VALUE"""),1.42)</f>
        <v>1.42</v>
      </c>
      <c r="C227" s="5">
        <v>1.39259481430053</v>
      </c>
      <c r="D227" s="5">
        <v>186.839904785156</v>
      </c>
      <c r="E227" s="7">
        <f t="shared" ref="E227:F227" si="225">C227/C226-1</f>
        <v>-0.00647994527</v>
      </c>
      <c r="F227" s="7">
        <f t="shared" si="225"/>
        <v>-0.0008292191973</v>
      </c>
    </row>
    <row r="228">
      <c r="A228" s="3">
        <f>IFERROR(__xludf.DUMMYFUNCTION("""COMPUTED_VALUE"""),42584.66666666667)</f>
        <v>42584.66667</v>
      </c>
      <c r="B228" s="5">
        <f>IFERROR(__xludf.DUMMYFUNCTION("""COMPUTED_VALUE"""),1.4)</f>
        <v>1.4</v>
      </c>
      <c r="C228" s="5">
        <v>1.37565720081329</v>
      </c>
      <c r="D228" s="5">
        <v>185.642745971679</v>
      </c>
      <c r="E228" s="7">
        <f t="shared" ref="E228:F228" si="226">C228/C227-1</f>
        <v>-0.01216262858</v>
      </c>
      <c r="F228" s="7">
        <f t="shared" si="226"/>
        <v>-0.006407404322</v>
      </c>
    </row>
    <row r="229">
      <c r="A229" s="3">
        <f>IFERROR(__xludf.DUMMYFUNCTION("""COMPUTED_VALUE"""),42585.66666666667)</f>
        <v>42585.66667</v>
      </c>
      <c r="B229" s="5">
        <f>IFERROR(__xludf.DUMMYFUNCTION("""COMPUTED_VALUE"""),1.4)</f>
        <v>1.4</v>
      </c>
      <c r="C229" s="5">
        <v>1.37933957576751</v>
      </c>
      <c r="D229" s="5">
        <v>186.185348510742</v>
      </c>
      <c r="E229" s="7">
        <f t="shared" ref="E229:F229" si="227">C229/C228-1</f>
        <v>0.002676811456</v>
      </c>
      <c r="F229" s="7">
        <f t="shared" si="227"/>
        <v>0.002922831895</v>
      </c>
    </row>
    <row r="230">
      <c r="A230" s="3">
        <f>IFERROR(__xludf.DUMMYFUNCTION("""COMPUTED_VALUE"""),42586.66666666667)</f>
        <v>42586.66667</v>
      </c>
      <c r="B230" s="5">
        <f>IFERROR(__xludf.DUMMYFUNCTION("""COMPUTED_VALUE"""),1.43)</f>
        <v>1.43</v>
      </c>
      <c r="C230" s="5">
        <v>1.40486907958984</v>
      </c>
      <c r="D230" s="5">
        <v>186.383483886718</v>
      </c>
      <c r="E230" s="7">
        <f t="shared" ref="E230:F230" si="228">C230/C229-1</f>
        <v>0.01850849803</v>
      </c>
      <c r="F230" s="7">
        <f t="shared" si="228"/>
        <v>0.001064183501</v>
      </c>
    </row>
    <row r="231">
      <c r="A231" s="3">
        <f>IFERROR(__xludf.DUMMYFUNCTION("""COMPUTED_VALUE"""),42587.66666666667)</f>
        <v>42587.66667</v>
      </c>
      <c r="B231" s="5">
        <f>IFERROR(__xludf.DUMMYFUNCTION("""COMPUTED_VALUE"""),1.46)</f>
        <v>1.46</v>
      </c>
      <c r="C231" s="5">
        <v>1.42868018150329</v>
      </c>
      <c r="D231" s="5">
        <v>187.907882690429</v>
      </c>
      <c r="E231" s="7">
        <f t="shared" ref="E231:F231" si="229">C231/C230-1</f>
        <v>0.01694898283</v>
      </c>
      <c r="F231" s="7">
        <f t="shared" si="229"/>
        <v>0.008178829862</v>
      </c>
    </row>
    <row r="232">
      <c r="A232" s="3">
        <f>IFERROR(__xludf.DUMMYFUNCTION("""COMPUTED_VALUE"""),42590.66666666667)</f>
        <v>42590.66667</v>
      </c>
      <c r="B232" s="5">
        <f>IFERROR(__xludf.DUMMYFUNCTION("""COMPUTED_VALUE"""),1.47)</f>
        <v>1.47</v>
      </c>
      <c r="C232" s="5">
        <v>1.44193601608276</v>
      </c>
      <c r="D232" s="5">
        <v>187.7958984375</v>
      </c>
      <c r="E232" s="7">
        <f t="shared" ref="E232:F232" si="230">C232/C231-1</f>
        <v>0.00927837787</v>
      </c>
      <c r="F232" s="7">
        <f t="shared" si="230"/>
        <v>-0.0005959529282</v>
      </c>
    </row>
    <row r="233">
      <c r="A233" s="3">
        <f>IFERROR(__xludf.DUMMYFUNCTION("""COMPUTED_VALUE"""),42591.66666666667)</f>
        <v>42591.66667</v>
      </c>
      <c r="B233" s="5">
        <f>IFERROR(__xludf.DUMMYFUNCTION("""COMPUTED_VALUE"""),1.47)</f>
        <v>1.47</v>
      </c>
      <c r="C233" s="5">
        <v>1.44561839103698</v>
      </c>
      <c r="D233" s="5">
        <v>187.907882690429</v>
      </c>
      <c r="E233" s="7">
        <f t="shared" ref="E233:F233" si="231">C233/C232-1</f>
        <v>0.002553771397</v>
      </c>
      <c r="F233" s="7">
        <f t="shared" si="231"/>
        <v>0.0005963082999</v>
      </c>
    </row>
    <row r="234">
      <c r="A234" s="3">
        <f>IFERROR(__xludf.DUMMYFUNCTION("""COMPUTED_VALUE"""),42592.66666666667)</f>
        <v>42592.66667</v>
      </c>
      <c r="B234" s="5">
        <f>IFERROR(__xludf.DUMMYFUNCTION("""COMPUTED_VALUE"""),1.46)</f>
        <v>1.46</v>
      </c>
      <c r="C234" s="5">
        <v>1.43628978729248</v>
      </c>
      <c r="D234" s="5">
        <v>187.442810058593</v>
      </c>
      <c r="E234" s="7">
        <f t="shared" ref="E234:F234" si="232">C234/C233-1</f>
        <v>-0.006453019554</v>
      </c>
      <c r="F234" s="7">
        <f t="shared" si="232"/>
        <v>-0.002475003311</v>
      </c>
    </row>
    <row r="235">
      <c r="A235" s="3">
        <f>IFERROR(__xludf.DUMMYFUNCTION("""COMPUTED_VALUE"""),42593.66666666667)</f>
        <v>42593.66667</v>
      </c>
      <c r="B235" s="5">
        <f>IFERROR(__xludf.DUMMYFUNCTION("""COMPUTED_VALUE"""),1.49)</f>
        <v>1.49</v>
      </c>
      <c r="C235" s="5">
        <v>1.46550214290618</v>
      </c>
      <c r="D235" s="5">
        <v>188.312637329101</v>
      </c>
      <c r="E235" s="7">
        <f t="shared" ref="E235:F235" si="233">C235/C234-1</f>
        <v>0.02033876163</v>
      </c>
      <c r="F235" s="7">
        <f t="shared" si="233"/>
        <v>0.004640494187</v>
      </c>
    </row>
    <row r="236">
      <c r="A236" s="3">
        <f>IFERROR(__xludf.DUMMYFUNCTION("""COMPUTED_VALUE"""),42594.66666666667)</f>
        <v>42594.66667</v>
      </c>
      <c r="B236" s="5">
        <f>IFERROR(__xludf.DUMMYFUNCTION("""COMPUTED_VALUE"""),1.58)</f>
        <v>1.58</v>
      </c>
      <c r="C236" s="5">
        <v>1.54749155044555</v>
      </c>
      <c r="D236" s="5">
        <v>188.149032592773</v>
      </c>
      <c r="E236" s="7">
        <f t="shared" ref="E236:F236" si="234">C236/C235-1</f>
        <v>0.05594628977</v>
      </c>
      <c r="F236" s="7">
        <f t="shared" si="234"/>
        <v>-0.0008687931869</v>
      </c>
    </row>
    <row r="237">
      <c r="A237" s="3">
        <f>IFERROR(__xludf.DUMMYFUNCTION("""COMPUTED_VALUE"""),42597.66666666667)</f>
        <v>42597.66667</v>
      </c>
      <c r="B237" s="5">
        <f>IFERROR(__xludf.DUMMYFUNCTION("""COMPUTED_VALUE"""),1.57)</f>
        <v>1.57</v>
      </c>
      <c r="C237" s="5">
        <v>1.54601883888244</v>
      </c>
      <c r="D237" s="5">
        <v>188.691604614257</v>
      </c>
      <c r="E237" s="7">
        <f t="shared" ref="E237:F237" si="235">C237/C236-1</f>
        <v>-0.0009516766426</v>
      </c>
      <c r="F237" s="7">
        <f t="shared" si="235"/>
        <v>0.002883735377</v>
      </c>
    </row>
    <row r="238">
      <c r="A238" s="3">
        <f>IFERROR(__xludf.DUMMYFUNCTION("""COMPUTED_VALUE"""),42598.66666666667)</f>
        <v>42598.66667</v>
      </c>
      <c r="B238" s="5">
        <f>IFERROR(__xludf.DUMMYFUNCTION("""COMPUTED_VALUE"""),1.57)</f>
        <v>1.57</v>
      </c>
      <c r="C238" s="5">
        <v>1.53669071197509</v>
      </c>
      <c r="D238" s="5">
        <v>187.718368530273</v>
      </c>
      <c r="E238" s="7">
        <f t="shared" ref="E238:F238" si="236">C238/C237-1</f>
        <v>-0.006033643752</v>
      </c>
      <c r="F238" s="7">
        <f t="shared" si="236"/>
        <v>-0.005157813385</v>
      </c>
    </row>
    <row r="239">
      <c r="A239" s="3">
        <f>IFERROR(__xludf.DUMMYFUNCTION("""COMPUTED_VALUE"""),42599.66666666667)</f>
        <v>42599.66667</v>
      </c>
      <c r="B239" s="5">
        <f>IFERROR(__xludf.DUMMYFUNCTION("""COMPUTED_VALUE"""),1.53)</f>
        <v>1.53</v>
      </c>
      <c r="C239" s="5">
        <v>1.50109636783599</v>
      </c>
      <c r="D239" s="5">
        <v>188.071533203125</v>
      </c>
      <c r="E239" s="7">
        <f t="shared" ref="E239:F239" si="237">C239/C238-1</f>
        <v>-0.02316298515</v>
      </c>
      <c r="F239" s="7">
        <f t="shared" si="237"/>
        <v>0.001881353837</v>
      </c>
    </row>
    <row r="240">
      <c r="A240" s="3">
        <f>IFERROR(__xludf.DUMMYFUNCTION("""COMPUTED_VALUE"""),42600.66666666667)</f>
        <v>42600.66667</v>
      </c>
      <c r="B240" s="5">
        <f>IFERROR(__xludf.DUMMYFUNCTION("""COMPUTED_VALUE"""),1.55)</f>
        <v>1.55</v>
      </c>
      <c r="C240" s="5">
        <v>1.52441656589508</v>
      </c>
      <c r="D240" s="5">
        <v>188.493515014648</v>
      </c>
      <c r="E240" s="7">
        <f t="shared" ref="E240:F240" si="238">C240/C239-1</f>
        <v>0.01553544367</v>
      </c>
      <c r="F240" s="7">
        <f t="shared" si="238"/>
        <v>0.002243730374</v>
      </c>
    </row>
    <row r="241">
      <c r="A241" s="3">
        <f>IFERROR(__xludf.DUMMYFUNCTION("""COMPUTED_VALUE"""),42601.66666666667)</f>
        <v>42601.66667</v>
      </c>
      <c r="B241" s="5">
        <f>IFERROR(__xludf.DUMMYFUNCTION("""COMPUTED_VALUE"""),1.56)</f>
        <v>1.56</v>
      </c>
      <c r="C241" s="5">
        <v>1.52834463119506</v>
      </c>
      <c r="D241" s="5">
        <v>188.217956542968</v>
      </c>
      <c r="E241" s="7">
        <f t="shared" ref="E241:F241" si="239">C241/C240-1</f>
        <v>0.002576766343</v>
      </c>
      <c r="F241" s="7">
        <f t="shared" si="239"/>
        <v>-0.00146189895</v>
      </c>
    </row>
    <row r="242">
      <c r="A242" s="3">
        <f>IFERROR(__xludf.DUMMYFUNCTION("""COMPUTED_VALUE"""),42604.66666666667)</f>
        <v>42604.66667</v>
      </c>
      <c r="B242" s="5">
        <f>IFERROR(__xludf.DUMMYFUNCTION("""COMPUTED_VALUE"""),1.56)</f>
        <v>1.56</v>
      </c>
      <c r="C242" s="5">
        <v>1.53472661972045</v>
      </c>
      <c r="D242" s="5">
        <v>188.20930480957</v>
      </c>
      <c r="E242" s="7">
        <f t="shared" ref="E242:F242" si="240">C242/C241-1</f>
        <v>0.004175752245</v>
      </c>
      <c r="F242" s="7">
        <f t="shared" si="240"/>
        <v>-0.00004596656747</v>
      </c>
    </row>
    <row r="243">
      <c r="A243" s="3">
        <f>IFERROR(__xludf.DUMMYFUNCTION("""COMPUTED_VALUE"""),42605.66666666667)</f>
        <v>42605.66667</v>
      </c>
      <c r="B243" s="5">
        <f>IFERROR(__xludf.DUMMYFUNCTION("""COMPUTED_VALUE"""),1.57)</f>
        <v>1.57</v>
      </c>
      <c r="C243" s="5">
        <v>1.54714632034301</v>
      </c>
      <c r="D243" s="5">
        <v>188.588256835937</v>
      </c>
      <c r="E243" s="7">
        <f t="shared" ref="E243:F243" si="241">C243/C242-1</f>
        <v>0.008092451426</v>
      </c>
      <c r="F243" s="7">
        <f t="shared" si="241"/>
        <v>0.002013460635</v>
      </c>
    </row>
    <row r="244">
      <c r="A244" s="3">
        <f>IFERROR(__xludf.DUMMYFUNCTION("""COMPUTED_VALUE"""),42606.66666666667)</f>
        <v>42606.66667</v>
      </c>
      <c r="B244" s="5">
        <f>IFERROR(__xludf.DUMMYFUNCTION("""COMPUTED_VALUE"""),1.55)</f>
        <v>1.55</v>
      </c>
      <c r="C244" s="5">
        <v>1.52329075336456</v>
      </c>
      <c r="D244" s="5">
        <v>187.623641967773</v>
      </c>
      <c r="E244" s="7">
        <f t="shared" ref="E244:F244" si="242">C244/C243-1</f>
        <v>-0.01541907618</v>
      </c>
      <c r="F244" s="7">
        <f t="shared" si="242"/>
        <v>-0.005114925417</v>
      </c>
    </row>
    <row r="245">
      <c r="A245" s="3">
        <f>IFERROR(__xludf.DUMMYFUNCTION("""COMPUTED_VALUE"""),42607.66666666667)</f>
        <v>42607.66667</v>
      </c>
      <c r="B245" s="5">
        <f>IFERROR(__xludf.DUMMYFUNCTION("""COMPUTED_VALUE"""),1.54)</f>
        <v>1.54</v>
      </c>
      <c r="C245" s="5">
        <v>1.51320719718933</v>
      </c>
      <c r="D245" s="5">
        <v>187.494476318359</v>
      </c>
      <c r="E245" s="7">
        <f t="shared" ref="E245:F245" si="243">C245/C244-1</f>
        <v>-0.006619587333</v>
      </c>
      <c r="F245" s="7">
        <f t="shared" si="243"/>
        <v>-0.0006884294967</v>
      </c>
    </row>
    <row r="246">
      <c r="A246" s="3">
        <f>IFERROR(__xludf.DUMMYFUNCTION("""COMPUTED_VALUE"""),42608.66666666667)</f>
        <v>42608.66667</v>
      </c>
      <c r="B246" s="5">
        <f>IFERROR(__xludf.DUMMYFUNCTION("""COMPUTED_VALUE"""),1.55)</f>
        <v>1.55</v>
      </c>
      <c r="C246" s="5">
        <v>1.52550435066223</v>
      </c>
      <c r="D246" s="5">
        <v>187.141357421875</v>
      </c>
      <c r="E246" s="7">
        <f t="shared" ref="E246:F246" si="244">C246/C245-1</f>
        <v>0.008126549686</v>
      </c>
      <c r="F246" s="7">
        <f t="shared" si="244"/>
        <v>-0.001883356264</v>
      </c>
    </row>
    <row r="247">
      <c r="A247" s="3">
        <f>IFERROR(__xludf.DUMMYFUNCTION("""COMPUTED_VALUE"""),42611.66666666667)</f>
        <v>42611.66667</v>
      </c>
      <c r="B247" s="5">
        <f>IFERROR(__xludf.DUMMYFUNCTION("""COMPUTED_VALUE"""),1.55)</f>
        <v>1.55</v>
      </c>
      <c r="C247" s="5">
        <v>1.52452075481414</v>
      </c>
      <c r="D247" s="5">
        <v>188.062911987304</v>
      </c>
      <c r="E247" s="7">
        <f t="shared" ref="E247:F247" si="245">C247/C246-1</f>
        <v>-0.0006447676453</v>
      </c>
      <c r="F247" s="7">
        <f t="shared" si="245"/>
        <v>0.004924376835</v>
      </c>
    </row>
    <row r="248">
      <c r="A248" s="3">
        <f>IFERROR(__xludf.DUMMYFUNCTION("""COMPUTED_VALUE"""),42612.66666666667)</f>
        <v>42612.66667</v>
      </c>
      <c r="B248" s="5">
        <f>IFERROR(__xludf.DUMMYFUNCTION("""COMPUTED_VALUE"""),1.54)</f>
        <v>1.54</v>
      </c>
      <c r="C248" s="5">
        <v>1.51566708087921</v>
      </c>
      <c r="D248" s="5">
        <v>187.752838134765</v>
      </c>
      <c r="E248" s="7">
        <f t="shared" ref="E248:F248" si="246">C248/C247-1</f>
        <v>-0.00580751289</v>
      </c>
      <c r="F248" s="7">
        <f t="shared" si="246"/>
        <v>-0.001648777259</v>
      </c>
    </row>
    <row r="249">
      <c r="A249" s="3">
        <f>IFERROR(__xludf.DUMMYFUNCTION("""COMPUTED_VALUE"""),42613.66666666667)</f>
        <v>42613.66667</v>
      </c>
      <c r="B249" s="5">
        <f>IFERROR(__xludf.DUMMYFUNCTION("""COMPUTED_VALUE"""),1.53)</f>
        <v>1.53</v>
      </c>
      <c r="C249" s="5">
        <v>1.50853502750396</v>
      </c>
      <c r="D249" s="5">
        <v>187.218917846679</v>
      </c>
      <c r="E249" s="7">
        <f t="shared" ref="E249:F249" si="247">C249/C248-1</f>
        <v>-0.004705554053</v>
      </c>
      <c r="F249" s="7">
        <f t="shared" si="247"/>
        <v>-0.002843740171</v>
      </c>
    </row>
    <row r="250">
      <c r="A250" s="3">
        <f>IFERROR(__xludf.DUMMYFUNCTION("""COMPUTED_VALUE"""),42614.66666666667)</f>
        <v>42614.66667</v>
      </c>
      <c r="B250" s="5">
        <f>IFERROR(__xludf.DUMMYFUNCTION("""COMPUTED_VALUE"""),1.58)</f>
        <v>1.58</v>
      </c>
      <c r="C250" s="5">
        <v>1.55304872989654</v>
      </c>
      <c r="D250" s="5">
        <v>187.227493286132</v>
      </c>
      <c r="E250" s="7">
        <f t="shared" ref="E250:F250" si="248">C250/C249-1</f>
        <v>0.0295079011</v>
      </c>
      <c r="F250" s="7">
        <f t="shared" si="248"/>
        <v>0.00004580434259</v>
      </c>
    </row>
    <row r="251">
      <c r="A251" s="3">
        <f>IFERROR(__xludf.DUMMYFUNCTION("""COMPUTED_VALUE"""),42615.66666666667)</f>
        <v>42615.66667</v>
      </c>
      <c r="B251" s="5">
        <f>IFERROR(__xludf.DUMMYFUNCTION("""COMPUTED_VALUE"""),1.56)</f>
        <v>1.56</v>
      </c>
      <c r="C251" s="5">
        <v>1.53780090808868</v>
      </c>
      <c r="D251" s="5">
        <v>188.071533203125</v>
      </c>
      <c r="E251" s="7">
        <f t="shared" ref="E251:F251" si="249">C251/C250-1</f>
        <v>-0.00981799316</v>
      </c>
      <c r="F251" s="7">
        <f t="shared" si="249"/>
        <v>0.004508098155</v>
      </c>
    </row>
    <row r="252">
      <c r="A252" s="3">
        <f>IFERROR(__xludf.DUMMYFUNCTION("""COMPUTED_VALUE"""),42619.66666666667)</f>
        <v>42619.66667</v>
      </c>
      <c r="B252" s="5">
        <f>IFERROR(__xludf.DUMMYFUNCTION("""COMPUTED_VALUE"""),1.58)</f>
        <v>1.58</v>
      </c>
      <c r="C252" s="5">
        <v>1.55231058597564</v>
      </c>
      <c r="D252" s="5">
        <v>188.639938354492</v>
      </c>
      <c r="E252" s="7">
        <f t="shared" ref="E252:F252" si="250">C252/C251-1</f>
        <v>0.009435342254</v>
      </c>
      <c r="F252" s="7">
        <f t="shared" si="250"/>
        <v>0.003022281691</v>
      </c>
    </row>
    <row r="253">
      <c r="A253" s="3">
        <f>IFERROR(__xludf.DUMMYFUNCTION("""COMPUTED_VALUE"""),42620.66666666667)</f>
        <v>42620.66667</v>
      </c>
      <c r="B253" s="5">
        <f>IFERROR(__xludf.DUMMYFUNCTION("""COMPUTED_VALUE"""),1.55)</f>
        <v>1.55</v>
      </c>
      <c r="C253" s="5">
        <v>1.52943933010101</v>
      </c>
      <c r="D253" s="5">
        <v>188.622665405273</v>
      </c>
      <c r="E253" s="7">
        <f t="shared" ref="E253:F253" si="251">C253/C252-1</f>
        <v>-0.01473368544</v>
      </c>
      <c r="F253" s="7">
        <f t="shared" si="251"/>
        <v>-0.00009156570644</v>
      </c>
    </row>
    <row r="254">
      <c r="A254" s="3">
        <f>IFERROR(__xludf.DUMMYFUNCTION("""COMPUTED_VALUE"""),42621.66666666667)</f>
        <v>42621.66667</v>
      </c>
      <c r="B254" s="5">
        <f>IFERROR(__xludf.DUMMYFUNCTION("""COMPUTED_VALUE"""),1.57)</f>
        <v>1.57</v>
      </c>
      <c r="C254" s="5">
        <v>1.54050588607788</v>
      </c>
      <c r="D254" s="5">
        <v>188.192092895507</v>
      </c>
      <c r="E254" s="7">
        <f t="shared" ref="E254:F254" si="252">C254/C253-1</f>
        <v>0.007235694649</v>
      </c>
      <c r="F254" s="7">
        <f t="shared" si="252"/>
        <v>-0.002282718828</v>
      </c>
    </row>
    <row r="255">
      <c r="A255" s="3">
        <f>IFERROR(__xludf.DUMMYFUNCTION("""COMPUTED_VALUE"""),42622.66666666667)</f>
        <v>42622.66667</v>
      </c>
      <c r="B255" s="5">
        <f>IFERROR(__xludf.DUMMYFUNCTION("""COMPUTED_VALUE"""),1.49)</f>
        <v>1.49</v>
      </c>
      <c r="C255" s="5">
        <v>1.4637758731842</v>
      </c>
      <c r="D255" s="5">
        <v>183.687713623046</v>
      </c>
      <c r="E255" s="7">
        <f t="shared" ref="E255:F255" si="253">C255/C254-1</f>
        <v>-0.04980832179</v>
      </c>
      <c r="F255" s="7">
        <f t="shared" si="253"/>
        <v>-0.02393500812</v>
      </c>
    </row>
    <row r="256">
      <c r="A256" s="3">
        <f>IFERROR(__xludf.DUMMYFUNCTION("""COMPUTED_VALUE"""),42625.66666666667)</f>
        <v>42625.66667</v>
      </c>
      <c r="B256" s="5">
        <f>IFERROR(__xludf.DUMMYFUNCTION("""COMPUTED_VALUE"""),1.52)</f>
        <v>1.52</v>
      </c>
      <c r="C256" s="5">
        <v>1.49402511119842</v>
      </c>
      <c r="D256" s="5">
        <v>186.323120117187</v>
      </c>
      <c r="E256" s="7">
        <f t="shared" ref="E256:F256" si="254">C256/C255-1</f>
        <v>0.0206652115</v>
      </c>
      <c r="F256" s="7">
        <f t="shared" si="254"/>
        <v>0.01434721159</v>
      </c>
    </row>
    <row r="257">
      <c r="A257" s="3">
        <f>IFERROR(__xludf.DUMMYFUNCTION("""COMPUTED_VALUE"""),42626.66666666667)</f>
        <v>42626.66667</v>
      </c>
      <c r="B257" s="5">
        <f>IFERROR(__xludf.DUMMYFUNCTION("""COMPUTED_VALUE"""),1.5)</f>
        <v>1.5</v>
      </c>
      <c r="C257" s="5">
        <v>1.47238326072692</v>
      </c>
      <c r="D257" s="5">
        <v>183.644653320312</v>
      </c>
      <c r="E257" s="7">
        <f t="shared" ref="E257:F257" si="255">C257/C256-1</f>
        <v>-0.01448560021</v>
      </c>
      <c r="F257" s="7">
        <f t="shared" si="255"/>
        <v>-0.01437538613</v>
      </c>
    </row>
    <row r="258">
      <c r="A258" s="3">
        <f>IFERROR(__xludf.DUMMYFUNCTION("""COMPUTED_VALUE"""),42627.66666666667)</f>
        <v>42627.66667</v>
      </c>
      <c r="B258" s="5">
        <f>IFERROR(__xludf.DUMMYFUNCTION("""COMPUTED_VALUE"""),1.51)</f>
        <v>1.51</v>
      </c>
      <c r="C258" s="5">
        <v>1.4854177236557</v>
      </c>
      <c r="D258" s="5">
        <v>183.575775146484</v>
      </c>
      <c r="E258" s="7">
        <f t="shared" ref="E258:F258" si="256">C258/C257-1</f>
        <v>0.008852629119</v>
      </c>
      <c r="F258" s="7">
        <f t="shared" si="256"/>
        <v>-0.0003750622334</v>
      </c>
    </row>
    <row r="259">
      <c r="A259" s="3">
        <f>IFERROR(__xludf.DUMMYFUNCTION("""COMPUTED_VALUE"""),42628.66666666667)</f>
        <v>42628.66667</v>
      </c>
      <c r="B259" s="5">
        <f>IFERROR(__xludf.DUMMYFUNCTION("""COMPUTED_VALUE"""),1.57)</f>
        <v>1.57</v>
      </c>
      <c r="C259" s="5">
        <v>1.54173552989959</v>
      </c>
      <c r="D259" s="5">
        <v>185.410247802734</v>
      </c>
      <c r="E259" s="7">
        <f t="shared" ref="E259:F259" si="257">C259/C258-1</f>
        <v>0.03791378368</v>
      </c>
      <c r="F259" s="7">
        <f t="shared" si="257"/>
        <v>0.009992999647</v>
      </c>
    </row>
    <row r="260">
      <c r="A260" s="3">
        <f>IFERROR(__xludf.DUMMYFUNCTION("""COMPUTED_VALUE"""),42629.66666666667)</f>
        <v>42629.66667</v>
      </c>
      <c r="B260" s="5">
        <f>IFERROR(__xludf.DUMMYFUNCTION("""COMPUTED_VALUE"""),1.57)</f>
        <v>1.57</v>
      </c>
      <c r="C260" s="5">
        <v>1.54542434215545</v>
      </c>
      <c r="D260" s="5">
        <v>184.693496704101</v>
      </c>
      <c r="E260" s="7">
        <f t="shared" ref="E260:F260" si="258">C260/C259-1</f>
        <v>0.002392636211</v>
      </c>
      <c r="F260" s="7">
        <f t="shared" si="258"/>
        <v>-0.00386575773</v>
      </c>
    </row>
    <row r="261">
      <c r="A261" s="3">
        <f>IFERROR(__xludf.DUMMYFUNCTION("""COMPUTED_VALUE"""),42632.66666666667)</f>
        <v>42632.66667</v>
      </c>
      <c r="B261" s="5">
        <f>IFERROR(__xludf.DUMMYFUNCTION("""COMPUTED_VALUE"""),1.59)</f>
        <v>1.59</v>
      </c>
      <c r="C261" s="5">
        <v>1.5658369064331</v>
      </c>
      <c r="D261" s="5">
        <v>184.728164672851</v>
      </c>
      <c r="E261" s="7">
        <f t="shared" ref="E261:F261" si="259">C261/C260-1</f>
        <v>0.01320838796</v>
      </c>
      <c r="F261" s="7">
        <f t="shared" si="259"/>
        <v>0.0001877054112</v>
      </c>
    </row>
    <row r="262">
      <c r="A262" s="3">
        <f>IFERROR(__xludf.DUMMYFUNCTION("""COMPUTED_VALUE"""),42633.66666666667)</f>
        <v>42633.66667</v>
      </c>
      <c r="B262" s="5">
        <f>IFERROR(__xludf.DUMMYFUNCTION("""COMPUTED_VALUE"""),1.58)</f>
        <v>1.58</v>
      </c>
      <c r="C262" s="5">
        <v>1.55157279968261</v>
      </c>
      <c r="D262" s="5">
        <v>184.73680114746</v>
      </c>
      <c r="E262" s="7">
        <f t="shared" ref="E262:F262" si="260">C262/C261-1</f>
        <v>-0.009109573731</v>
      </c>
      <c r="F262" s="7">
        <f t="shared" si="260"/>
        <v>0.0000467523435</v>
      </c>
    </row>
    <row r="263">
      <c r="A263" s="3">
        <f>IFERROR(__xludf.DUMMYFUNCTION("""COMPUTED_VALUE"""),42634.66666666667)</f>
        <v>42634.66667</v>
      </c>
      <c r="B263" s="5">
        <f>IFERROR(__xludf.DUMMYFUNCTION("""COMPUTED_VALUE"""),1.62)</f>
        <v>1.62</v>
      </c>
      <c r="C263" s="5">
        <v>1.59510254859924</v>
      </c>
      <c r="D263" s="5">
        <v>186.814254760742</v>
      </c>
      <c r="E263" s="7">
        <f t="shared" ref="E263:F263" si="261">C263/C262-1</f>
        <v>0.02805524106</v>
      </c>
      <c r="F263" s="7">
        <f t="shared" si="261"/>
        <v>0.01124547789</v>
      </c>
    </row>
    <row r="264">
      <c r="A264" s="3">
        <f>IFERROR(__xludf.DUMMYFUNCTION("""COMPUTED_VALUE"""),42635.66666666667)</f>
        <v>42635.66667</v>
      </c>
      <c r="B264" s="5">
        <f>IFERROR(__xludf.DUMMYFUNCTION("""COMPUTED_VALUE"""),1.63)</f>
        <v>1.63</v>
      </c>
      <c r="C264" s="5">
        <v>1.59903764724731</v>
      </c>
      <c r="D264" s="5">
        <v>187.991485595703</v>
      </c>
      <c r="E264" s="7">
        <f t="shared" ref="E264:F264" si="262">C264/C263-1</f>
        <v>0.002466987876</v>
      </c>
      <c r="F264" s="7">
        <f t="shared" si="262"/>
        <v>0.006301611387</v>
      </c>
    </row>
    <row r="265">
      <c r="A265" s="3">
        <f>IFERROR(__xludf.DUMMYFUNCTION("""COMPUTED_VALUE"""),42636.66666666667)</f>
        <v>42636.66667</v>
      </c>
      <c r="B265" s="5">
        <f>IFERROR(__xludf.DUMMYFUNCTION("""COMPUTED_VALUE"""),1.62)</f>
        <v>1.62</v>
      </c>
      <c r="C265" s="5">
        <v>1.59731531143188</v>
      </c>
      <c r="D265" s="5">
        <v>186.961380004882</v>
      </c>
      <c r="E265" s="7">
        <f t="shared" ref="E265:F265" si="263">C265/C264-1</f>
        <v>-0.001077107733</v>
      </c>
      <c r="F265" s="7">
        <f t="shared" si="263"/>
        <v>-0.005479533222</v>
      </c>
    </row>
    <row r="266">
      <c r="A266" s="3">
        <f>IFERROR(__xludf.DUMMYFUNCTION("""COMPUTED_VALUE"""),42639.66666666667)</f>
        <v>42639.66667</v>
      </c>
      <c r="B266" s="5">
        <f>IFERROR(__xludf.DUMMYFUNCTION("""COMPUTED_VALUE"""),1.61)</f>
        <v>1.61</v>
      </c>
      <c r="C266" s="5">
        <v>1.58231389522552</v>
      </c>
      <c r="D266" s="5">
        <v>185.446578979492</v>
      </c>
      <c r="E266" s="7">
        <f t="shared" ref="E266:F266" si="264">C266/C265-1</f>
        <v>-0.009391643653</v>
      </c>
      <c r="F266" s="7">
        <f t="shared" si="264"/>
        <v>-0.008102213545</v>
      </c>
    </row>
    <row r="267">
      <c r="A267" s="3">
        <f>IFERROR(__xludf.DUMMYFUNCTION("""COMPUTED_VALUE"""),42640.66666666667)</f>
        <v>42640.66667</v>
      </c>
      <c r="B267" s="5">
        <f>IFERROR(__xludf.DUMMYFUNCTION("""COMPUTED_VALUE"""),1.66)</f>
        <v>1.66</v>
      </c>
      <c r="C267" s="5">
        <v>1.63641846179962</v>
      </c>
      <c r="D267" s="5">
        <v>186.597854614257</v>
      </c>
      <c r="E267" s="7">
        <f t="shared" ref="E267:F267" si="265">C267/C266-1</f>
        <v>0.03419332077</v>
      </c>
      <c r="F267" s="7">
        <f t="shared" si="265"/>
        <v>0.006208125494</v>
      </c>
    </row>
    <row r="268">
      <c r="A268" s="3">
        <f>IFERROR(__xludf.DUMMYFUNCTION("""COMPUTED_VALUE"""),42641.66666666667)</f>
        <v>42641.66667</v>
      </c>
      <c r="B268" s="5">
        <f>IFERROR(__xludf.DUMMYFUNCTION("""COMPUTED_VALUE"""),1.67)</f>
        <v>1.67</v>
      </c>
      <c r="C268" s="5">
        <v>1.64232110977172</v>
      </c>
      <c r="D268" s="5">
        <v>187.524063110351</v>
      </c>
      <c r="E268" s="7">
        <f t="shared" ref="E268:F268" si="266">C268/C267-1</f>
        <v>0.003607052908</v>
      </c>
      <c r="F268" s="7">
        <f t="shared" si="266"/>
        <v>0.004963661013</v>
      </c>
    </row>
    <row r="269">
      <c r="A269" s="3">
        <f>IFERROR(__xludf.DUMMYFUNCTION("""COMPUTED_VALUE"""),42642.66666666667)</f>
        <v>42642.66667</v>
      </c>
      <c r="B269" s="5">
        <f>IFERROR(__xludf.DUMMYFUNCTION("""COMPUTED_VALUE"""),1.69)</f>
        <v>1.69</v>
      </c>
      <c r="C269" s="5">
        <v>1.65756893157958</v>
      </c>
      <c r="D269" s="5">
        <v>185.82746887207</v>
      </c>
      <c r="E269" s="7">
        <f t="shared" ref="E269:F269" si="267">C269/C268-1</f>
        <v>0.009284312134</v>
      </c>
      <c r="F269" s="7">
        <f t="shared" si="267"/>
        <v>-0.009047341499</v>
      </c>
    </row>
    <row r="270">
      <c r="A270" s="3">
        <f>IFERROR(__xludf.DUMMYFUNCTION("""COMPUTED_VALUE"""),42643.66666666667)</f>
        <v>42643.66667</v>
      </c>
      <c r="B270" s="5">
        <f>IFERROR(__xludf.DUMMYFUNCTION("""COMPUTED_VALUE"""),1.71)</f>
        <v>1.71</v>
      </c>
      <c r="C270" s="5">
        <v>1.68511307239532</v>
      </c>
      <c r="D270" s="5">
        <v>187.229751586914</v>
      </c>
      <c r="E270" s="7">
        <f t="shared" ref="E270:F270" si="268">C270/C269-1</f>
        <v>0.01661719177</v>
      </c>
      <c r="F270" s="7">
        <f t="shared" si="268"/>
        <v>0.007546154093</v>
      </c>
    </row>
    <row r="271">
      <c r="A271" s="3">
        <f>IFERROR(__xludf.DUMMYFUNCTION("""COMPUTED_VALUE"""),42646.66666666667)</f>
        <v>42646.66667</v>
      </c>
      <c r="B271" s="5">
        <f>IFERROR(__xludf.DUMMYFUNCTION("""COMPUTED_VALUE"""),1.71)</f>
        <v>1.71</v>
      </c>
      <c r="C271" s="5">
        <v>1.68339145183563</v>
      </c>
      <c r="D271" s="5">
        <v>186.779586791992</v>
      </c>
      <c r="E271" s="7">
        <f t="shared" ref="E271:F271" si="269">C271/C270-1</f>
        <v>-0.001021664711</v>
      </c>
      <c r="F271" s="7">
        <f t="shared" si="269"/>
        <v>-0.002404344348</v>
      </c>
    </row>
    <row r="272">
      <c r="A272" s="3">
        <f>IFERROR(__xludf.DUMMYFUNCTION("""COMPUTED_VALUE"""),42647.66666666667)</f>
        <v>42647.66667</v>
      </c>
      <c r="B272" s="5">
        <f>IFERROR(__xludf.DUMMYFUNCTION("""COMPUTED_VALUE"""),1.71)</f>
        <v>1.71</v>
      </c>
      <c r="C272" s="5">
        <v>1.67970216274261</v>
      </c>
      <c r="D272" s="5">
        <v>185.82746887207</v>
      </c>
      <c r="E272" s="7">
        <f t="shared" ref="E272:F272" si="270">C272/C271-1</f>
        <v>-0.002191581221</v>
      </c>
      <c r="F272" s="7">
        <f t="shared" si="270"/>
        <v>-0.005097548058</v>
      </c>
    </row>
    <row r="273">
      <c r="A273" s="3">
        <f>IFERROR(__xludf.DUMMYFUNCTION("""COMPUTED_VALUE"""),42648.66666666667)</f>
        <v>42648.66667</v>
      </c>
      <c r="B273" s="5">
        <f>IFERROR(__xludf.DUMMYFUNCTION("""COMPUTED_VALUE"""),1.71)</f>
        <v>1.71</v>
      </c>
      <c r="C273" s="5">
        <v>1.67798066139221</v>
      </c>
      <c r="D273" s="5">
        <v>186.649780273437</v>
      </c>
      <c r="E273" s="7">
        <f t="shared" ref="E273:F273" si="271">C273/C272-1</f>
        <v>-0.001024884881</v>
      </c>
      <c r="F273" s="7">
        <f t="shared" si="271"/>
        <v>0.004425133735</v>
      </c>
    </row>
    <row r="274">
      <c r="A274" s="3">
        <f>IFERROR(__xludf.DUMMYFUNCTION("""COMPUTED_VALUE"""),42649.66666666667)</f>
        <v>42649.66667</v>
      </c>
      <c r="B274" s="5">
        <f>IFERROR(__xludf.DUMMYFUNCTION("""COMPUTED_VALUE"""),1.68)</f>
        <v>1.68</v>
      </c>
      <c r="C274" s="5">
        <v>1.65609323978424</v>
      </c>
      <c r="D274" s="5">
        <v>186.779586791992</v>
      </c>
      <c r="E274" s="7">
        <f t="shared" ref="E274:F274" si="272">C274/C273-1</f>
        <v>-0.01304390576</v>
      </c>
      <c r="F274" s="7">
        <f t="shared" si="272"/>
        <v>0.0006954549765</v>
      </c>
    </row>
    <row r="275">
      <c r="A275" s="3">
        <f>IFERROR(__xludf.DUMMYFUNCTION("""COMPUTED_VALUE"""),42650.66666666667)</f>
        <v>42650.66667</v>
      </c>
      <c r="B275" s="5">
        <f>IFERROR(__xludf.DUMMYFUNCTION("""COMPUTED_VALUE"""),1.67)</f>
        <v>1.67</v>
      </c>
      <c r="C275" s="5">
        <v>1.64404273033142</v>
      </c>
      <c r="D275" s="5">
        <v>186.139083862304</v>
      </c>
      <c r="E275" s="7">
        <f t="shared" ref="E275:F275" si="273">C275/C274-1</f>
        <v>-0.007276467993</v>
      </c>
      <c r="F275" s="7">
        <f t="shared" si="273"/>
        <v>-0.003429191277</v>
      </c>
    </row>
    <row r="276">
      <c r="A276" s="3">
        <f>IFERROR(__xludf.DUMMYFUNCTION("""COMPUTED_VALUE"""),42653.66666666667)</f>
        <v>42653.66667</v>
      </c>
      <c r="B276" s="5">
        <f>IFERROR(__xludf.DUMMYFUNCTION("""COMPUTED_VALUE"""),1.68)</f>
        <v>1.68</v>
      </c>
      <c r="C276" s="5">
        <v>1.65019083023071</v>
      </c>
      <c r="D276" s="5">
        <v>187.10855102539</v>
      </c>
      <c r="E276" s="7">
        <f t="shared" ref="E276:F276" si="274">C276/C275-1</f>
        <v>0.003739622934</v>
      </c>
      <c r="F276" s="7">
        <f t="shared" si="274"/>
        <v>0.005208294481</v>
      </c>
    </row>
    <row r="277">
      <c r="A277" s="3">
        <f>IFERROR(__xludf.DUMMYFUNCTION("""COMPUTED_VALUE"""),42654.66666666667)</f>
        <v>42654.66667</v>
      </c>
      <c r="B277" s="5">
        <f>IFERROR(__xludf.DUMMYFUNCTION("""COMPUTED_VALUE"""),1.65)</f>
        <v>1.65</v>
      </c>
      <c r="C277" s="5">
        <v>1.62633574008941</v>
      </c>
      <c r="D277" s="5">
        <v>184.745468139648</v>
      </c>
      <c r="E277" s="7">
        <f t="shared" ref="E277:F277" si="275">C277/C276-1</f>
        <v>-0.01445595849</v>
      </c>
      <c r="F277" s="7">
        <f t="shared" si="275"/>
        <v>-0.01262947563</v>
      </c>
    </row>
    <row r="278">
      <c r="A278" s="3">
        <f>IFERROR(__xludf.DUMMYFUNCTION("""COMPUTED_VALUE"""),42655.66666666667)</f>
        <v>42655.66667</v>
      </c>
      <c r="B278" s="5">
        <f>IFERROR(__xludf.DUMMYFUNCTION("""COMPUTED_VALUE"""),1.66)</f>
        <v>1.66</v>
      </c>
      <c r="C278" s="5">
        <v>1.63371360301971</v>
      </c>
      <c r="D278" s="5">
        <v>184.987808227539</v>
      </c>
      <c r="E278" s="7">
        <f t="shared" ref="E278:F278" si="276">C278/C277-1</f>
        <v>0.004536494371</v>
      </c>
      <c r="F278" s="7">
        <f t="shared" si="276"/>
        <v>0.001311751191</v>
      </c>
    </row>
    <row r="279">
      <c r="A279" s="3">
        <f>IFERROR(__xludf.DUMMYFUNCTION("""COMPUTED_VALUE"""),42656.66666666667)</f>
        <v>42656.66667</v>
      </c>
      <c r="B279" s="5">
        <f>IFERROR(__xludf.DUMMYFUNCTION("""COMPUTED_VALUE"""),1.63)</f>
        <v>1.63</v>
      </c>
      <c r="C279" s="5">
        <v>1.60715281963348</v>
      </c>
      <c r="D279" s="5">
        <v>184.381896972656</v>
      </c>
      <c r="E279" s="7">
        <f t="shared" ref="E279:F279" si="277">C279/C278-1</f>
        <v>-0.01625791897</v>
      </c>
      <c r="F279" s="7">
        <f t="shared" si="277"/>
        <v>-0.003275411827</v>
      </c>
    </row>
    <row r="280">
      <c r="A280" s="3">
        <f>IFERROR(__xludf.DUMMYFUNCTION("""COMPUTED_VALUE"""),42657.66666666667)</f>
        <v>42657.66667</v>
      </c>
      <c r="B280" s="5">
        <f>IFERROR(__xludf.DUMMYFUNCTION("""COMPUTED_VALUE"""),1.65)</f>
        <v>1.65</v>
      </c>
      <c r="C280" s="5">
        <v>1.62289261817932</v>
      </c>
      <c r="D280" s="5">
        <v>184.477142333984</v>
      </c>
      <c r="E280" s="7">
        <f t="shared" ref="E280:F280" si="278">C280/C279-1</f>
        <v>0.009793591719</v>
      </c>
      <c r="F280" s="7">
        <f t="shared" si="278"/>
        <v>0.0005165656873</v>
      </c>
    </row>
    <row r="281">
      <c r="A281" s="3">
        <f>IFERROR(__xludf.DUMMYFUNCTION("""COMPUTED_VALUE"""),42660.66666666667)</f>
        <v>42660.66667</v>
      </c>
      <c r="B281" s="5">
        <f>IFERROR(__xludf.DUMMYFUNCTION("""COMPUTED_VALUE"""),1.64)</f>
        <v>1.64</v>
      </c>
      <c r="C281" s="5">
        <v>1.61354744434356</v>
      </c>
      <c r="D281" s="5">
        <v>183.836563110351</v>
      </c>
      <c r="E281" s="7">
        <f t="shared" ref="E281:F281" si="279">C281/C280-1</f>
        <v>-0.005758343917</v>
      </c>
      <c r="F281" s="7">
        <f t="shared" si="279"/>
        <v>-0.003472404307</v>
      </c>
    </row>
    <row r="282">
      <c r="A282" s="3">
        <f>IFERROR(__xludf.DUMMYFUNCTION("""COMPUTED_VALUE"""),42661.66666666667)</f>
        <v>42661.66667</v>
      </c>
      <c r="B282" s="5">
        <f>IFERROR(__xludf.DUMMYFUNCTION("""COMPUTED_VALUE"""),1.67)</f>
        <v>1.67</v>
      </c>
      <c r="C282" s="5">
        <v>1.63813996315002</v>
      </c>
      <c r="D282" s="5">
        <v>184.987808227539</v>
      </c>
      <c r="E282" s="7">
        <f t="shared" ref="E282:F282" si="280">C282/C281-1</f>
        <v>0.01524127406</v>
      </c>
      <c r="F282" s="7">
        <f t="shared" si="280"/>
        <v>0.006262329418</v>
      </c>
    </row>
    <row r="283">
      <c r="A283" s="3">
        <f>IFERROR(__xludf.DUMMYFUNCTION("""COMPUTED_VALUE"""),42662.66666666667)</f>
        <v>42662.66667</v>
      </c>
      <c r="B283" s="5">
        <f>IFERROR(__xludf.DUMMYFUNCTION("""COMPUTED_VALUE"""),1.66)</f>
        <v>1.66</v>
      </c>
      <c r="C283" s="5">
        <v>1.63469660282135</v>
      </c>
      <c r="D283" s="5">
        <v>185.481201171875</v>
      </c>
      <c r="E283" s="7">
        <f t="shared" ref="E283:F283" si="281">C283/C282-1</f>
        <v>-0.002101993973</v>
      </c>
      <c r="F283" s="7">
        <f t="shared" si="281"/>
        <v>0.002667164658</v>
      </c>
    </row>
    <row r="284">
      <c r="A284" s="3">
        <f>IFERROR(__xludf.DUMMYFUNCTION("""COMPUTED_VALUE"""),42663.66666666667)</f>
        <v>42663.66667</v>
      </c>
      <c r="B284" s="5">
        <f>IFERROR(__xludf.DUMMYFUNCTION("""COMPUTED_VALUE"""),1.69)</f>
        <v>1.69</v>
      </c>
      <c r="C284" s="5">
        <v>1.66568410396575</v>
      </c>
      <c r="D284" s="5">
        <v>185.134979248046</v>
      </c>
      <c r="E284" s="7">
        <f t="shared" ref="E284:F284" si="282">C284/C283-1</f>
        <v>0.01895611766</v>
      </c>
      <c r="F284" s="7">
        <f t="shared" si="282"/>
        <v>-0.001866614631</v>
      </c>
    </row>
    <row r="285">
      <c r="A285" s="3">
        <f>IFERROR(__xludf.DUMMYFUNCTION("""COMPUTED_VALUE"""),42664.66666666667)</f>
        <v>42664.66667</v>
      </c>
      <c r="B285" s="5">
        <f>IFERROR(__xludf.DUMMYFUNCTION("""COMPUTED_VALUE"""),1.69)</f>
        <v>1.69</v>
      </c>
      <c r="C285" s="5">
        <v>1.66101193428039</v>
      </c>
      <c r="D285" s="5">
        <v>185.22151184082</v>
      </c>
      <c r="E285" s="7">
        <f t="shared" ref="E285:F285" si="283">C285/C284-1</f>
        <v>-0.002804955438</v>
      </c>
      <c r="F285" s="7">
        <f t="shared" si="283"/>
        <v>0.0004674027195</v>
      </c>
    </row>
    <row r="286">
      <c r="A286" s="3">
        <f>IFERROR(__xludf.DUMMYFUNCTION("""COMPUTED_VALUE"""),42667.66666666667)</f>
        <v>42667.66667</v>
      </c>
      <c r="B286" s="5">
        <f>IFERROR(__xludf.DUMMYFUNCTION("""COMPUTED_VALUE"""),1.77)</f>
        <v>1.77</v>
      </c>
      <c r="C286" s="5">
        <v>1.73897147178649</v>
      </c>
      <c r="D286" s="5">
        <v>186.009201049804</v>
      </c>
      <c r="E286" s="7">
        <f t="shared" ref="E286:F286" si="284">C286/C285-1</f>
        <v>0.0469349653</v>
      </c>
      <c r="F286" s="7">
        <f t="shared" si="284"/>
        <v>0.004252687505</v>
      </c>
    </row>
    <row r="287">
      <c r="A287" s="3">
        <f>IFERROR(__xludf.DUMMYFUNCTION("""COMPUTED_VALUE"""),42668.66666666667)</f>
        <v>42668.66667</v>
      </c>
      <c r="B287" s="5">
        <f>IFERROR(__xludf.DUMMYFUNCTION("""COMPUTED_VALUE"""),1.8)</f>
        <v>1.8</v>
      </c>
      <c r="C287" s="5">
        <v>1.76749968528747</v>
      </c>
      <c r="D287" s="5">
        <v>185.386001586914</v>
      </c>
      <c r="E287" s="7">
        <f t="shared" ref="E287:F287" si="285">C287/C286-1</f>
        <v>0.01640522226</v>
      </c>
      <c r="F287" s="7">
        <f t="shared" si="285"/>
        <v>-0.003350369011</v>
      </c>
    </row>
    <row r="288">
      <c r="A288" s="3">
        <f>IFERROR(__xludf.DUMMYFUNCTION("""COMPUTED_VALUE"""),42669.66666666667)</f>
        <v>42669.66667</v>
      </c>
      <c r="B288" s="5">
        <f>IFERROR(__xludf.DUMMYFUNCTION("""COMPUTED_VALUE"""),1.8)</f>
        <v>1.8</v>
      </c>
      <c r="C288" s="5">
        <v>1.77463114261627</v>
      </c>
      <c r="D288" s="5">
        <v>185.013793945312</v>
      </c>
      <c r="E288" s="7">
        <f t="shared" ref="E288:F288" si="286">C288/C287-1</f>
        <v>0.004034771484</v>
      </c>
      <c r="F288" s="7">
        <f t="shared" si="286"/>
        <v>-0.00200774405</v>
      </c>
    </row>
    <row r="289">
      <c r="A289" s="3">
        <f>IFERROR(__xludf.DUMMYFUNCTION("""COMPUTED_VALUE"""),42670.66666666667)</f>
        <v>42670.66667</v>
      </c>
      <c r="B289" s="5">
        <f>IFERROR(__xludf.DUMMYFUNCTION("""COMPUTED_VALUE"""),1.77)</f>
        <v>1.77</v>
      </c>
      <c r="C289" s="5">
        <v>1.73823344707489</v>
      </c>
      <c r="D289" s="5">
        <v>184.520355224609</v>
      </c>
      <c r="E289" s="7">
        <f t="shared" ref="E289:F289" si="287">C289/C288-1</f>
        <v>-0.02051000609</v>
      </c>
      <c r="F289" s="7">
        <f t="shared" si="287"/>
        <v>-0.002667037469</v>
      </c>
    </row>
    <row r="290">
      <c r="A290" s="3">
        <f>IFERROR(__xludf.DUMMYFUNCTION("""COMPUTED_VALUE"""),42671.66666666667)</f>
        <v>42671.66667</v>
      </c>
      <c r="B290" s="5">
        <f>IFERROR(__xludf.DUMMYFUNCTION("""COMPUTED_VALUE"""),1.76)</f>
        <v>1.76</v>
      </c>
      <c r="C290" s="5">
        <v>1.73528289794921</v>
      </c>
      <c r="D290" s="5">
        <v>183.975036621093</v>
      </c>
      <c r="E290" s="7">
        <f t="shared" ref="E290:F290" si="288">C290/C289-1</f>
        <v>-0.001697441233</v>
      </c>
      <c r="F290" s="7">
        <f t="shared" si="288"/>
        <v>-0.002955330337</v>
      </c>
    </row>
    <row r="291">
      <c r="A291" s="3">
        <f>IFERROR(__xludf.DUMMYFUNCTION("""COMPUTED_VALUE"""),42674.66666666667)</f>
        <v>42674.66667</v>
      </c>
      <c r="B291" s="5">
        <f>IFERROR(__xludf.DUMMYFUNCTION("""COMPUTED_VALUE"""),1.78)</f>
        <v>1.78</v>
      </c>
      <c r="C291" s="5">
        <v>1.75003862380981</v>
      </c>
      <c r="D291" s="5">
        <v>183.98371887207</v>
      </c>
      <c r="E291" s="7">
        <f t="shared" ref="E291:F291" si="289">C291/C290-1</f>
        <v>0.008503354628</v>
      </c>
      <c r="F291" s="7">
        <f t="shared" si="289"/>
        <v>0.00004719254925</v>
      </c>
    </row>
    <row r="292">
      <c r="A292" s="3">
        <f>IFERROR(__xludf.DUMMYFUNCTION("""COMPUTED_VALUE"""),42675.66666666667)</f>
        <v>42675.66667</v>
      </c>
      <c r="B292" s="5">
        <f>IFERROR(__xludf.DUMMYFUNCTION("""COMPUTED_VALUE"""),1.73)</f>
        <v>1.73</v>
      </c>
      <c r="C292" s="5">
        <v>1.69814729690551</v>
      </c>
      <c r="D292" s="5">
        <v>182.650665283203</v>
      </c>
      <c r="E292" s="7">
        <f t="shared" ref="E292:F292" si="290">C292/C291-1</f>
        <v>-0.02965153237</v>
      </c>
      <c r="F292" s="7">
        <f t="shared" si="290"/>
        <v>-0.007245497575</v>
      </c>
    </row>
    <row r="293">
      <c r="A293" s="3">
        <f>IFERROR(__xludf.DUMMYFUNCTION("""COMPUTED_VALUE"""),42676.66666666667)</f>
        <v>42676.66667</v>
      </c>
      <c r="B293" s="5">
        <f>IFERROR(__xludf.DUMMYFUNCTION("""COMPUTED_VALUE"""),1.72)</f>
        <v>1.72</v>
      </c>
      <c r="C293" s="5">
        <v>1.69101476669311</v>
      </c>
      <c r="D293" s="5">
        <v>181.551406860351</v>
      </c>
      <c r="E293" s="7">
        <f t="shared" ref="E293:F293" si="291">C293/C292-1</f>
        <v>-0.004200183474</v>
      </c>
      <c r="F293" s="7">
        <f t="shared" si="291"/>
        <v>-0.006018365283</v>
      </c>
    </row>
    <row r="294">
      <c r="A294" s="3">
        <f>IFERROR(__xludf.DUMMYFUNCTION("""COMPUTED_VALUE"""),42677.66666666667)</f>
        <v>42677.66667</v>
      </c>
      <c r="B294" s="5">
        <f>IFERROR(__xludf.DUMMYFUNCTION("""COMPUTED_VALUE"""),1.7)</f>
        <v>1.7</v>
      </c>
      <c r="C294" s="5">
        <v>1.67134094238281</v>
      </c>
      <c r="D294" s="5">
        <v>180.72036743164</v>
      </c>
      <c r="E294" s="7">
        <f t="shared" ref="E294:F294" si="292">C294/C293-1</f>
        <v>-0.01163433028</v>
      </c>
      <c r="F294" s="7">
        <f t="shared" si="292"/>
        <v>-0.004577433153</v>
      </c>
    </row>
    <row r="295">
      <c r="A295" s="3">
        <f>IFERROR(__xludf.DUMMYFUNCTION("""COMPUTED_VALUE"""),42678.66666666667)</f>
        <v>42678.66667</v>
      </c>
      <c r="B295" s="5">
        <f>IFERROR(__xludf.DUMMYFUNCTION("""COMPUTED_VALUE"""),1.69)</f>
        <v>1.69</v>
      </c>
      <c r="C295" s="5">
        <v>1.66174936294555</v>
      </c>
      <c r="D295" s="5">
        <v>180.521331787109</v>
      </c>
      <c r="E295" s="7">
        <f t="shared" ref="E295:F295" si="293">C295/C294-1</f>
        <v>-0.005738852675</v>
      </c>
      <c r="F295" s="7">
        <f t="shared" si="293"/>
        <v>-0.001101345949</v>
      </c>
    </row>
    <row r="296">
      <c r="A296" s="3">
        <f>IFERROR(__xludf.DUMMYFUNCTION("""COMPUTED_VALUE"""),42681.66666666667)</f>
        <v>42681.66667</v>
      </c>
      <c r="B296" s="5">
        <f>IFERROR(__xludf.DUMMYFUNCTION("""COMPUTED_VALUE"""),1.78)</f>
        <v>1.78</v>
      </c>
      <c r="C296" s="5">
        <v>1.7527437210083</v>
      </c>
      <c r="D296" s="5">
        <v>184.503067016601</v>
      </c>
      <c r="E296" s="7">
        <f t="shared" ref="E296:F296" si="294">C296/C295-1</f>
        <v>0.05475817238</v>
      </c>
      <c r="F296" s="7">
        <f t="shared" si="294"/>
        <v>0.02205686824</v>
      </c>
    </row>
    <row r="297">
      <c r="A297" s="3">
        <f>IFERROR(__xludf.DUMMYFUNCTION("""COMPUTED_VALUE"""),42682.66666666667)</f>
        <v>42682.66667</v>
      </c>
      <c r="B297" s="5">
        <f>IFERROR(__xludf.DUMMYFUNCTION("""COMPUTED_VALUE"""),1.78)</f>
        <v>1.78</v>
      </c>
      <c r="C297" s="5">
        <v>1.75003862380981</v>
      </c>
      <c r="D297" s="5">
        <v>185.334030151367</v>
      </c>
      <c r="E297" s="7">
        <f t="shared" ref="E297:F297" si="295">C297/C296-1</f>
        <v>-0.001543350101</v>
      </c>
      <c r="F297" s="7">
        <f t="shared" si="295"/>
        <v>0.004503790361</v>
      </c>
    </row>
    <row r="298">
      <c r="A298" s="3">
        <f>IFERROR(__xludf.DUMMYFUNCTION("""COMPUTED_VALUE"""),42683.66666666667)</f>
        <v>42683.66667</v>
      </c>
      <c r="B298" s="5">
        <f>IFERROR(__xludf.DUMMYFUNCTION("""COMPUTED_VALUE"""),1.75)</f>
        <v>1.75</v>
      </c>
      <c r="C298" s="5">
        <v>1.72052669525146</v>
      </c>
      <c r="D298" s="5">
        <v>187.299011230468</v>
      </c>
      <c r="E298" s="7">
        <f t="shared" ref="E298:F298" si="296">C298/C297-1</f>
        <v>-0.01686358698</v>
      </c>
      <c r="F298" s="7">
        <f t="shared" si="296"/>
        <v>0.01060237603</v>
      </c>
    </row>
    <row r="299">
      <c r="A299" s="3">
        <f>IFERROR(__xludf.DUMMYFUNCTION("""COMPUTED_VALUE"""),42684.66666666667)</f>
        <v>42684.66667</v>
      </c>
      <c r="B299" s="5">
        <f>IFERROR(__xludf.DUMMYFUNCTION("""COMPUTED_VALUE"""),1.69)</f>
        <v>1.69</v>
      </c>
      <c r="C299" s="5">
        <v>1.666668176651</v>
      </c>
      <c r="D299" s="5">
        <v>187.766387939453</v>
      </c>
      <c r="E299" s="7">
        <f t="shared" ref="E299:F299" si="297">C299/C298-1</f>
        <v>-0.03130350651</v>
      </c>
      <c r="F299" s="7">
        <f t="shared" si="297"/>
        <v>0.002495350648</v>
      </c>
    </row>
    <row r="300">
      <c r="A300" s="3">
        <f>IFERROR(__xludf.DUMMYFUNCTION("""COMPUTED_VALUE"""),42685.66666666667)</f>
        <v>42685.66667</v>
      </c>
      <c r="B300" s="5">
        <f>IFERROR(__xludf.DUMMYFUNCTION("""COMPUTED_VALUE"""),2.2)</f>
        <v>2.2</v>
      </c>
      <c r="C300" s="5">
        <v>2.16344690322875</v>
      </c>
      <c r="D300" s="5">
        <v>187.333587646484</v>
      </c>
      <c r="E300" s="7">
        <f t="shared" ref="E300:F300" si="298">C300/C299-1</f>
        <v>0.2980669659</v>
      </c>
      <c r="F300" s="7">
        <f t="shared" si="298"/>
        <v>-0.002304993443</v>
      </c>
    </row>
    <row r="301">
      <c r="A301" s="3">
        <f>IFERROR(__xludf.DUMMYFUNCTION("""COMPUTED_VALUE"""),42688.66666666667)</f>
        <v>42688.66667</v>
      </c>
      <c r="B301" s="5">
        <f>IFERROR(__xludf.DUMMYFUNCTION("""COMPUTED_VALUE"""),2.09)</f>
        <v>2.09</v>
      </c>
      <c r="C301" s="5">
        <v>2.05695986747741</v>
      </c>
      <c r="D301" s="5">
        <v>187.480743408203</v>
      </c>
      <c r="E301" s="7">
        <f t="shared" ref="E301:F301" si="299">C301/C300-1</f>
        <v>-0.04922100727</v>
      </c>
      <c r="F301" s="7">
        <f t="shared" si="299"/>
        <v>0.0007855279108</v>
      </c>
    </row>
    <row r="302">
      <c r="A302" s="3">
        <f>IFERROR(__xludf.DUMMYFUNCTION("""COMPUTED_VALUE"""),42689.66666666667)</f>
        <v>42689.66667</v>
      </c>
      <c r="B302" s="5">
        <f>IFERROR(__xludf.DUMMYFUNCTION("""COMPUTED_VALUE"""),2.15)</f>
        <v>2.15</v>
      </c>
      <c r="C302" s="5">
        <v>2.11967182159423</v>
      </c>
      <c r="D302" s="5">
        <v>188.943603515625</v>
      </c>
      <c r="E302" s="7">
        <f t="shared" ref="E302:F302" si="300">C302/C301-1</f>
        <v>0.03048768968</v>
      </c>
      <c r="F302" s="7">
        <f t="shared" si="300"/>
        <v>0.007802721927</v>
      </c>
    </row>
    <row r="303">
      <c r="A303" s="3">
        <f>IFERROR(__xludf.DUMMYFUNCTION("""COMPUTED_VALUE"""),42690.66666666667)</f>
        <v>42690.66667</v>
      </c>
      <c r="B303" s="5">
        <f>IFERROR(__xludf.DUMMYFUNCTION("""COMPUTED_VALUE"""),2.29)</f>
        <v>2.29</v>
      </c>
      <c r="C303" s="5">
        <v>2.25345706939697</v>
      </c>
      <c r="D303" s="5">
        <v>188.58869934082</v>
      </c>
      <c r="E303" s="7">
        <f t="shared" ref="E303:F303" si="301">C303/C302-1</f>
        <v>0.06311601939</v>
      </c>
      <c r="F303" s="7">
        <f t="shared" si="301"/>
        <v>-0.001878360358</v>
      </c>
    </row>
    <row r="304">
      <c r="A304" s="3">
        <f>IFERROR(__xludf.DUMMYFUNCTION("""COMPUTED_VALUE"""),42691.66666666667)</f>
        <v>42691.66667</v>
      </c>
      <c r="B304" s="5">
        <f>IFERROR(__xludf.DUMMYFUNCTION("""COMPUTED_VALUE"""),2.31)</f>
        <v>2.31</v>
      </c>
      <c r="C304" s="5">
        <v>2.27214860916137</v>
      </c>
      <c r="D304" s="5">
        <v>189.558197021484</v>
      </c>
      <c r="E304" s="7">
        <f t="shared" ref="E304:F304" si="302">C304/C303-1</f>
        <v>0.008294606548</v>
      </c>
      <c r="F304" s="7">
        <f t="shared" si="302"/>
        <v>0.005140804746</v>
      </c>
    </row>
    <row r="305">
      <c r="A305" s="3">
        <f>IFERROR(__xludf.DUMMYFUNCTION("""COMPUTED_VALUE"""),42692.66666666667)</f>
        <v>42692.66667</v>
      </c>
      <c r="B305" s="5">
        <f>IFERROR(__xludf.DUMMYFUNCTION("""COMPUTED_VALUE"""),2.33)</f>
        <v>2.33</v>
      </c>
      <c r="C305" s="5">
        <v>2.29600310325622</v>
      </c>
      <c r="D305" s="5">
        <v>189.134048461914</v>
      </c>
      <c r="E305" s="7">
        <f t="shared" ref="E305:F305" si="303">C305/C304-1</f>
        <v>0.01049865048</v>
      </c>
      <c r="F305" s="7">
        <f t="shared" si="303"/>
        <v>-0.0022375638</v>
      </c>
    </row>
    <row r="306">
      <c r="A306" s="3">
        <f>IFERROR(__xludf.DUMMYFUNCTION("""COMPUTED_VALUE"""),42695.66666666667)</f>
        <v>42695.66667</v>
      </c>
      <c r="B306" s="5">
        <f>IFERROR(__xludf.DUMMYFUNCTION("""COMPUTED_VALUE"""),2.32)</f>
        <v>2.32</v>
      </c>
      <c r="C306" s="5">
        <v>2.2866575717926</v>
      </c>
      <c r="D306" s="5">
        <v>190.562301635742</v>
      </c>
      <c r="E306" s="7">
        <f t="shared" ref="E306:F306" si="304">C306/C305-1</f>
        <v>-0.004070347923</v>
      </c>
      <c r="F306" s="7">
        <f t="shared" si="304"/>
        <v>0.007551539162</v>
      </c>
    </row>
    <row r="307">
      <c r="A307" s="3">
        <f>IFERROR(__xludf.DUMMYFUNCTION("""COMPUTED_VALUE"""),42696.66666666667)</f>
        <v>42696.66667</v>
      </c>
      <c r="B307" s="5">
        <f>IFERROR(__xludf.DUMMYFUNCTION("""COMPUTED_VALUE"""),2.34)</f>
        <v>2.34</v>
      </c>
      <c r="C307" s="5">
        <v>2.30313515663146</v>
      </c>
      <c r="D307" s="5">
        <v>190.934494018554</v>
      </c>
      <c r="E307" s="7">
        <f t="shared" ref="E307:F307" si="305">C307/C306-1</f>
        <v>0.007205969552</v>
      </c>
      <c r="F307" s="7">
        <f t="shared" si="305"/>
        <v>0.001953127033</v>
      </c>
    </row>
    <row r="308">
      <c r="A308" s="3">
        <f>IFERROR(__xludf.DUMMYFUNCTION("""COMPUTED_VALUE"""),42697.66666666667)</f>
        <v>42697.66667</v>
      </c>
      <c r="B308" s="5">
        <f>IFERROR(__xludf.DUMMYFUNCTION("""COMPUTED_VALUE"""),2.35)</f>
        <v>2.35</v>
      </c>
      <c r="C308" s="5">
        <v>2.31446576118469</v>
      </c>
      <c r="D308" s="5">
        <v>191.038360595703</v>
      </c>
      <c r="E308" s="7">
        <f t="shared" ref="E308:F308" si="306">C308/C307-1</f>
        <v>0.004919643782</v>
      </c>
      <c r="F308" s="7">
        <f t="shared" si="306"/>
        <v>0.0005439906376</v>
      </c>
    </row>
    <row r="309">
      <c r="A309" s="3">
        <f>IFERROR(__xludf.DUMMYFUNCTION("""COMPUTED_VALUE"""),42699.66666666667)</f>
        <v>42699.66667</v>
      </c>
      <c r="B309" s="5">
        <f>IFERROR(__xludf.DUMMYFUNCTION("""COMPUTED_VALUE"""),2.35)</f>
        <v>2.35</v>
      </c>
      <c r="C309" s="5">
        <v>2.31914520263671</v>
      </c>
      <c r="D309" s="5">
        <v>191.748153686523</v>
      </c>
      <c r="E309" s="7">
        <f t="shared" ref="E309:F309" si="307">C309/C308-1</f>
        <v>0.00202182358</v>
      </c>
      <c r="F309" s="7">
        <f t="shared" si="307"/>
        <v>0.003715447979</v>
      </c>
    </row>
    <row r="310">
      <c r="A310" s="3">
        <f>IFERROR(__xludf.DUMMYFUNCTION("""COMPUTED_VALUE"""),42702.66666666667)</f>
        <v>42702.66667</v>
      </c>
      <c r="B310" s="5">
        <f>IFERROR(__xludf.DUMMYFUNCTION("""COMPUTED_VALUE"""),2.35)</f>
        <v>2.35</v>
      </c>
      <c r="C310" s="5">
        <v>2.31791186332702</v>
      </c>
      <c r="D310" s="5">
        <v>190.847946166992</v>
      </c>
      <c r="E310" s="7">
        <f t="shared" ref="E310:F310" si="308">C310/C309-1</f>
        <v>-0.0005318077144</v>
      </c>
      <c r="F310" s="7">
        <f t="shared" si="308"/>
        <v>-0.004694738918</v>
      </c>
    </row>
    <row r="311">
      <c r="A311" s="3">
        <f>IFERROR(__xludf.DUMMYFUNCTION("""COMPUTED_VALUE"""),42703.66666666667)</f>
        <v>42703.66667</v>
      </c>
      <c r="B311" s="5">
        <f>IFERROR(__xludf.DUMMYFUNCTION("""COMPUTED_VALUE"""),2.33)</f>
        <v>2.33</v>
      </c>
      <c r="C311" s="5">
        <v>2.29673218727111</v>
      </c>
      <c r="D311" s="5">
        <v>191.220108032226</v>
      </c>
      <c r="E311" s="7">
        <f t="shared" ref="E311:F311" si="309">C311/C310-1</f>
        <v>-0.009137394907</v>
      </c>
      <c r="F311" s="7">
        <f t="shared" si="309"/>
        <v>0.001950043858</v>
      </c>
    </row>
    <row r="312">
      <c r="A312" s="3">
        <f>IFERROR(__xludf.DUMMYFUNCTION("""COMPUTED_VALUE"""),42704.66666666667)</f>
        <v>42704.66667</v>
      </c>
      <c r="B312" s="5">
        <f>IFERROR(__xludf.DUMMYFUNCTION("""COMPUTED_VALUE"""),2.31)</f>
        <v>2.31</v>
      </c>
      <c r="C312" s="5">
        <v>2.27087044715881</v>
      </c>
      <c r="D312" s="5">
        <v>190.761352539062</v>
      </c>
      <c r="E312" s="7">
        <f t="shared" ref="E312:F312" si="310">C312/C311-1</f>
        <v>-0.01126023324</v>
      </c>
      <c r="F312" s="7">
        <f t="shared" si="310"/>
        <v>-0.002399096507</v>
      </c>
    </row>
    <row r="313">
      <c r="A313" s="3">
        <f>IFERROR(__xludf.DUMMYFUNCTION("""COMPUTED_VALUE"""),42705.66666666667)</f>
        <v>42705.66667</v>
      </c>
      <c r="B313" s="5">
        <f>IFERROR(__xludf.DUMMYFUNCTION("""COMPUTED_VALUE"""),2.19)</f>
        <v>2.19</v>
      </c>
      <c r="C313" s="5">
        <v>2.15855836868286</v>
      </c>
      <c r="D313" s="5">
        <v>190.060256958007</v>
      </c>
      <c r="E313" s="7">
        <f t="shared" ref="E313:F313" si="311">C313/C312-1</f>
        <v>-0.04945772165</v>
      </c>
      <c r="F313" s="7">
        <f t="shared" si="311"/>
        <v>-0.003675249581</v>
      </c>
    </row>
    <row r="314">
      <c r="A314" s="3">
        <f>IFERROR(__xludf.DUMMYFUNCTION("""COMPUTED_VALUE"""),42706.66666666667)</f>
        <v>42706.66667</v>
      </c>
      <c r="B314" s="5">
        <f>IFERROR(__xludf.DUMMYFUNCTION("""COMPUTED_VALUE"""),2.21)</f>
        <v>2.21</v>
      </c>
      <c r="C314" s="5">
        <v>2.17850828170776</v>
      </c>
      <c r="D314" s="5">
        <v>190.155502319335</v>
      </c>
      <c r="E314" s="7">
        <f t="shared" ref="E314:F314" si="312">C314/C313-1</f>
        <v>0.009242239318</v>
      </c>
      <c r="F314" s="7">
        <f t="shared" si="312"/>
        <v>0.0005011324453</v>
      </c>
    </row>
    <row r="315">
      <c r="A315" s="3">
        <f>IFERROR(__xludf.DUMMYFUNCTION("""COMPUTED_VALUE"""),42709.66666666667)</f>
        <v>42709.66667</v>
      </c>
      <c r="B315" s="5">
        <f>IFERROR(__xludf.DUMMYFUNCTION("""COMPUTED_VALUE"""),2.3)</f>
        <v>2.3</v>
      </c>
      <c r="C315" s="5">
        <v>2.26298856735229</v>
      </c>
      <c r="D315" s="5">
        <v>191.298034667968</v>
      </c>
      <c r="E315" s="7">
        <f t="shared" ref="E315:F315" si="313">C315/C314-1</f>
        <v>0.03877896006</v>
      </c>
      <c r="F315" s="7">
        <f t="shared" si="313"/>
        <v>0.006008410668</v>
      </c>
    </row>
    <row r="316">
      <c r="A316" s="3">
        <f>IFERROR(__xludf.DUMMYFUNCTION("""COMPUTED_VALUE"""),42710.66666666667)</f>
        <v>42710.66667</v>
      </c>
      <c r="B316" s="5">
        <f>IFERROR(__xludf.DUMMYFUNCTION("""COMPUTED_VALUE"""),2.33)</f>
        <v>2.33</v>
      </c>
      <c r="C316" s="5">
        <v>2.30017900466918</v>
      </c>
      <c r="D316" s="5">
        <v>191.903976440429</v>
      </c>
      <c r="E316" s="7">
        <f t="shared" ref="E316:F316" si="314">C316/C315-1</f>
        <v>0.01643421352</v>
      </c>
      <c r="F316" s="7">
        <f t="shared" si="314"/>
        <v>0.003167527432</v>
      </c>
    </row>
    <row r="317">
      <c r="A317" s="3">
        <f>IFERROR(__xludf.DUMMYFUNCTION("""COMPUTED_VALUE"""),42711.66666666667)</f>
        <v>42711.66667</v>
      </c>
      <c r="B317" s="5">
        <f>IFERROR(__xludf.DUMMYFUNCTION("""COMPUTED_VALUE"""),2.38)</f>
        <v>2.38</v>
      </c>
      <c r="C317" s="5">
        <v>2.34155797958374</v>
      </c>
      <c r="D317" s="5">
        <v>194.414245605468</v>
      </c>
      <c r="E317" s="7">
        <f t="shared" ref="E317:F317" si="315">C317/C316-1</f>
        <v>0.01798945857</v>
      </c>
      <c r="F317" s="7">
        <f t="shared" si="315"/>
        <v>0.0130808606</v>
      </c>
    </row>
    <row r="318">
      <c r="A318" s="3">
        <f>IFERROR(__xludf.DUMMYFUNCTION("""COMPUTED_VALUE"""),42712.66666666667)</f>
        <v>42712.66667</v>
      </c>
      <c r="B318" s="5">
        <f>IFERROR(__xludf.DUMMYFUNCTION("""COMPUTED_VALUE"""),2.34)</f>
        <v>2.34</v>
      </c>
      <c r="C318" s="5">
        <v>2.30239629745483</v>
      </c>
      <c r="D318" s="5">
        <v>194.890274047851</v>
      </c>
      <c r="E318" s="7">
        <f t="shared" ref="E318:F318" si="316">C318/C317-1</f>
        <v>-0.01672462628</v>
      </c>
      <c r="F318" s="7">
        <f t="shared" si="316"/>
        <v>0.002448526552</v>
      </c>
    </row>
    <row r="319">
      <c r="A319" s="3">
        <f>IFERROR(__xludf.DUMMYFUNCTION("""COMPUTED_VALUE"""),42713.66666666667)</f>
        <v>42713.66667</v>
      </c>
      <c r="B319" s="5">
        <f>IFERROR(__xludf.DUMMYFUNCTION("""COMPUTED_VALUE"""),2.3)</f>
        <v>2.3</v>
      </c>
      <c r="C319" s="5">
        <v>2.26151084899902</v>
      </c>
      <c r="D319" s="5">
        <v>196.067520141601</v>
      </c>
      <c r="E319" s="7">
        <f t="shared" ref="E319:F319" si="317">C319/C318-1</f>
        <v>-0.01775778067</v>
      </c>
      <c r="F319" s="7">
        <f t="shared" si="317"/>
        <v>0.00604055846</v>
      </c>
    </row>
    <row r="320">
      <c r="A320" s="3">
        <f>IFERROR(__xludf.DUMMYFUNCTION("""COMPUTED_VALUE"""),42716.66666666667)</f>
        <v>42716.66667</v>
      </c>
      <c r="B320" s="5">
        <f>IFERROR(__xludf.DUMMYFUNCTION("""COMPUTED_VALUE"""),2.24)</f>
        <v>2.24</v>
      </c>
      <c r="C320" s="5">
        <v>2.20658564567565</v>
      </c>
      <c r="D320" s="5">
        <v>195.842453002929</v>
      </c>
      <c r="E320" s="7">
        <f t="shared" ref="E320:F320" si="318">C320/C319-1</f>
        <v>-0.02428695107</v>
      </c>
      <c r="F320" s="7">
        <f t="shared" si="318"/>
        <v>-0.001147906285</v>
      </c>
    </row>
    <row r="321">
      <c r="A321" s="3">
        <f>IFERROR(__xludf.DUMMYFUNCTION("""COMPUTED_VALUE"""),42717.66666666667)</f>
        <v>42717.66667</v>
      </c>
      <c r="B321" s="5">
        <f>IFERROR(__xludf.DUMMYFUNCTION("""COMPUTED_VALUE"""),2.28)</f>
        <v>2.28</v>
      </c>
      <c r="C321" s="5">
        <v>2.24550127983093</v>
      </c>
      <c r="D321" s="5">
        <v>197.149551391601</v>
      </c>
      <c r="E321" s="7">
        <f t="shared" ref="E321:F321" si="319">C321/C320-1</f>
        <v>0.01763613129</v>
      </c>
      <c r="F321" s="7">
        <f t="shared" si="319"/>
        <v>0.006674234154</v>
      </c>
    </row>
    <row r="322">
      <c r="A322" s="3">
        <f>IFERROR(__xludf.DUMMYFUNCTION("""COMPUTED_VALUE"""),42718.66666666667)</f>
        <v>42718.66667</v>
      </c>
      <c r="B322" s="5">
        <f>IFERROR(__xludf.DUMMYFUNCTION("""COMPUTED_VALUE"""),2.41)</f>
        <v>2.41</v>
      </c>
      <c r="C322" s="5">
        <v>2.37554693222045</v>
      </c>
      <c r="D322" s="5">
        <v>195.522216796875</v>
      </c>
      <c r="E322" s="7">
        <f t="shared" ref="E322:F322" si="320">C322/C321-1</f>
        <v>0.05791386251</v>
      </c>
      <c r="F322" s="7">
        <f t="shared" si="320"/>
        <v>-0.008254315484</v>
      </c>
    </row>
    <row r="323">
      <c r="A323" s="3">
        <f>IFERROR(__xludf.DUMMYFUNCTION("""COMPUTED_VALUE"""),42719.66666666667)</f>
        <v>42719.66667</v>
      </c>
      <c r="B323" s="5">
        <f>IFERROR(__xludf.DUMMYFUNCTION("""COMPUTED_VALUE"""),2.47)</f>
        <v>2.47</v>
      </c>
      <c r="C323" s="5">
        <v>2.4312105178833</v>
      </c>
      <c r="D323" s="5">
        <v>196.327194213867</v>
      </c>
      <c r="E323" s="7">
        <f t="shared" ref="E323:F323" si="321">C323/C322-1</f>
        <v>0.02343190316</v>
      </c>
      <c r="F323" s="7">
        <f t="shared" si="321"/>
        <v>0.004117063678</v>
      </c>
    </row>
    <row r="324">
      <c r="A324" s="3">
        <f>IFERROR(__xludf.DUMMYFUNCTION("""COMPUTED_VALUE"""),42720.66666666667)</f>
        <v>42720.66667</v>
      </c>
      <c r="B324" s="5">
        <f>IFERROR(__xludf.DUMMYFUNCTION("""COMPUTED_VALUE"""),2.51)</f>
        <v>2.51</v>
      </c>
      <c r="C324" s="5">
        <v>2.47308111190795</v>
      </c>
      <c r="D324" s="5">
        <v>195.94319152832</v>
      </c>
      <c r="E324" s="7">
        <f t="shared" ref="E324:F324" si="322">C324/C323-1</f>
        <v>0.01722211784</v>
      </c>
      <c r="F324" s="7">
        <f t="shared" si="322"/>
        <v>-0.001955932224</v>
      </c>
    </row>
    <row r="325">
      <c r="A325" s="3">
        <f>IFERROR(__xludf.DUMMYFUNCTION("""COMPUTED_VALUE"""),42723.66666666667)</f>
        <v>42723.66667</v>
      </c>
      <c r="B325" s="5">
        <f>IFERROR(__xludf.DUMMYFUNCTION("""COMPUTED_VALUE"""),2.54)</f>
        <v>2.54</v>
      </c>
      <c r="C325" s="5">
        <v>2.50312948226928</v>
      </c>
      <c r="D325" s="5">
        <v>196.369857788085</v>
      </c>
      <c r="E325" s="7">
        <f t="shared" ref="E325:F325" si="323">C325/C324-1</f>
        <v>0.01215017583</v>
      </c>
      <c r="F325" s="7">
        <f t="shared" si="323"/>
        <v>0.002177499797</v>
      </c>
    </row>
    <row r="326">
      <c r="A326" s="3">
        <f>IFERROR(__xludf.DUMMYFUNCTION("""COMPUTED_VALUE"""),42724.66666666667)</f>
        <v>42724.66667</v>
      </c>
      <c r="B326" s="5">
        <f>IFERROR(__xludf.DUMMYFUNCTION("""COMPUTED_VALUE"""),2.63)</f>
        <v>2.63</v>
      </c>
      <c r="C326" s="5">
        <v>2.59031844139099</v>
      </c>
      <c r="D326" s="5">
        <v>197.127395629882</v>
      </c>
      <c r="E326" s="7">
        <f t="shared" ref="E326:F326" si="324">C326/C325-1</f>
        <v>0.03483198122</v>
      </c>
      <c r="F326" s="7">
        <f t="shared" si="324"/>
        <v>0.003857709377</v>
      </c>
    </row>
    <row r="327">
      <c r="A327" s="3">
        <f>IFERROR(__xludf.DUMMYFUNCTION("""COMPUTED_VALUE"""),42725.66666666667)</f>
        <v>42725.66667</v>
      </c>
      <c r="B327" s="5">
        <f>IFERROR(__xludf.DUMMYFUNCTION("""COMPUTED_VALUE"""),2.65)</f>
        <v>2.65</v>
      </c>
      <c r="C327" s="5">
        <v>2.60657477378845</v>
      </c>
      <c r="D327" s="5">
        <v>196.578826904296</v>
      </c>
      <c r="E327" s="7">
        <f t="shared" ref="E327:F327" si="325">C327/C326-1</f>
        <v>0.006275804603</v>
      </c>
      <c r="F327" s="7">
        <f t="shared" si="325"/>
        <v>-0.002782813235</v>
      </c>
    </row>
    <row r="328">
      <c r="A328" s="3">
        <f>IFERROR(__xludf.DUMMYFUNCTION("""COMPUTED_VALUE"""),42726.66666666667)</f>
        <v>42726.66667</v>
      </c>
      <c r="B328" s="5">
        <f>IFERROR(__xludf.DUMMYFUNCTION("""COMPUTED_VALUE"""),2.68)</f>
        <v>2.68</v>
      </c>
      <c r="C328" s="5">
        <v>2.63810133934021</v>
      </c>
      <c r="D328" s="5">
        <v>196.2392578125</v>
      </c>
      <c r="E328" s="7">
        <f t="shared" ref="E328:F328" si="326">C328/C327-1</f>
        <v>0.01209501675</v>
      </c>
      <c r="F328" s="7">
        <f t="shared" si="326"/>
        <v>-0.001727394029</v>
      </c>
    </row>
    <row r="329">
      <c r="A329" s="3">
        <f>IFERROR(__xludf.DUMMYFUNCTION("""COMPUTED_VALUE"""),42727.66666666667)</f>
        <v>42727.66667</v>
      </c>
      <c r="B329" s="5">
        <f>IFERROR(__xludf.DUMMYFUNCTION("""COMPUTED_VALUE"""),2.74)</f>
        <v>2.74</v>
      </c>
      <c r="C329" s="5">
        <v>2.70386219024658</v>
      </c>
      <c r="D329" s="5">
        <v>196.526611328125</v>
      </c>
      <c r="E329" s="7">
        <f t="shared" ref="E329:F329" si="327">C329/C328-1</f>
        <v>0.02492734071</v>
      </c>
      <c r="F329" s="7">
        <f t="shared" si="327"/>
        <v>0.001464301888</v>
      </c>
    </row>
    <row r="330">
      <c r="A330" s="3">
        <f>IFERROR(__xludf.DUMMYFUNCTION("""COMPUTED_VALUE"""),42731.66666666667)</f>
        <v>42731.66667</v>
      </c>
      <c r="B330" s="5">
        <f>IFERROR(__xludf.DUMMYFUNCTION("""COMPUTED_VALUE"""),2.93)</f>
        <v>2.93</v>
      </c>
      <c r="C330" s="5">
        <v>2.88957238197326</v>
      </c>
      <c r="D330" s="5">
        <v>197.014190673828</v>
      </c>
      <c r="E330" s="7">
        <f t="shared" ref="E330:F330" si="328">C330/C329-1</f>
        <v>0.06868330509</v>
      </c>
      <c r="F330" s="7">
        <f t="shared" si="328"/>
        <v>0.002480983834</v>
      </c>
    </row>
    <row r="331">
      <c r="A331" s="3">
        <f>IFERROR(__xludf.DUMMYFUNCTION("""COMPUTED_VALUE"""),42732.66666666667)</f>
        <v>42732.66667</v>
      </c>
      <c r="B331" s="5">
        <f>IFERROR(__xludf.DUMMYFUNCTION("""COMPUTED_VALUE"""),2.73)</f>
        <v>2.73</v>
      </c>
      <c r="C331" s="5">
        <v>2.69080924987792</v>
      </c>
      <c r="D331" s="5">
        <v>195.385971069335</v>
      </c>
      <c r="E331" s="7">
        <f t="shared" ref="E331:F331" si="329">C331/C330-1</f>
        <v>-0.06878634823</v>
      </c>
      <c r="F331" s="7">
        <f t="shared" si="329"/>
        <v>-0.008264478812</v>
      </c>
    </row>
    <row r="332">
      <c r="A332" s="3">
        <f>IFERROR(__xludf.DUMMYFUNCTION("""COMPUTED_VALUE"""),42733.66666666667)</f>
        <v>42733.66667</v>
      </c>
      <c r="B332" s="5">
        <f>IFERROR(__xludf.DUMMYFUNCTION("""COMPUTED_VALUE"""),2.79)</f>
        <v>2.79</v>
      </c>
      <c r="C332" s="5">
        <v>2.74450087547302</v>
      </c>
      <c r="D332" s="5">
        <v>195.342468261718</v>
      </c>
      <c r="E332" s="7">
        <f t="shared" ref="E332:F332" si="330">C332/C331-1</f>
        <v>0.01995370932</v>
      </c>
      <c r="F332" s="7">
        <f t="shared" si="330"/>
        <v>-0.0002226506201</v>
      </c>
    </row>
    <row r="333">
      <c r="A333" s="3">
        <f>IFERROR(__xludf.DUMMYFUNCTION("""COMPUTED_VALUE"""),42734.66666666667)</f>
        <v>42734.66667</v>
      </c>
      <c r="B333" s="5">
        <f>IFERROR(__xludf.DUMMYFUNCTION("""COMPUTED_VALUE"""),2.67)</f>
        <v>2.67</v>
      </c>
      <c r="C333" s="5">
        <v>2.62898850440979</v>
      </c>
      <c r="D333" s="5">
        <v>194.628433227539</v>
      </c>
      <c r="E333" s="7">
        <f t="shared" ref="E333:F333" si="331">C333/C332-1</f>
        <v>-0.04208866249</v>
      </c>
      <c r="F333" s="7">
        <f t="shared" si="331"/>
        <v>-0.003655298515</v>
      </c>
    </row>
    <row r="334">
      <c r="A334" s="3">
        <f>IFERROR(__xludf.DUMMYFUNCTION("""COMPUTED_VALUE"""),42738.66666666667)</f>
        <v>42738.66667</v>
      </c>
      <c r="B334" s="5">
        <f>IFERROR(__xludf.DUMMYFUNCTION("""COMPUTED_VALUE"""),2.55)</f>
        <v>2.55</v>
      </c>
      <c r="C334" s="5">
        <v>2.51248836517334</v>
      </c>
      <c r="D334" s="5">
        <v>196.117370605468</v>
      </c>
      <c r="E334" s="7">
        <f t="shared" ref="E334:F334" si="332">C334/C333-1</f>
        <v>-0.04431367389</v>
      </c>
      <c r="F334" s="7">
        <f t="shared" si="332"/>
        <v>0.00765015344</v>
      </c>
    </row>
    <row r="335">
      <c r="A335" s="3">
        <f>IFERROR(__xludf.DUMMYFUNCTION("""COMPUTED_VALUE"""),42739.66666666667)</f>
        <v>42739.66667</v>
      </c>
      <c r="B335" s="5">
        <f>IFERROR(__xludf.DUMMYFUNCTION("""COMPUTED_VALUE"""),2.61)</f>
        <v>2.61</v>
      </c>
      <c r="C335" s="5">
        <v>2.57110691070556</v>
      </c>
      <c r="D335" s="5">
        <v>197.28416442871</v>
      </c>
      <c r="E335" s="7">
        <f t="shared" ref="E335:F335" si="333">C335/C334-1</f>
        <v>0.02333087243</v>
      </c>
      <c r="F335" s="7">
        <f t="shared" si="333"/>
        <v>0.005949466993</v>
      </c>
    </row>
    <row r="336">
      <c r="A336" s="3">
        <f>IFERROR(__xludf.DUMMYFUNCTION("""COMPUTED_VALUE"""),42740.66666666667)</f>
        <v>42740.66667</v>
      </c>
      <c r="B336" s="5">
        <f>IFERROR(__xludf.DUMMYFUNCTION("""COMPUTED_VALUE"""),2.54)</f>
        <v>2.54</v>
      </c>
      <c r="C336" s="5">
        <v>2.50583910942077</v>
      </c>
      <c r="D336" s="5">
        <v>197.127395629882</v>
      </c>
      <c r="E336" s="7">
        <f t="shared" ref="E336:F336" si="334">C336/C335-1</f>
        <v>-0.02538509815</v>
      </c>
      <c r="F336" s="7">
        <f t="shared" si="334"/>
        <v>-0.000794634477</v>
      </c>
    </row>
    <row r="337">
      <c r="A337" s="3">
        <f>IFERROR(__xludf.DUMMYFUNCTION("""COMPUTED_VALUE"""),42741.66666666667)</f>
        <v>42741.66667</v>
      </c>
      <c r="B337" s="5">
        <f>IFERROR(__xludf.DUMMYFUNCTION("""COMPUTED_VALUE"""),2.58)</f>
        <v>2.58</v>
      </c>
      <c r="C337" s="5">
        <v>2.53933548927307</v>
      </c>
      <c r="D337" s="5">
        <v>197.832641601562</v>
      </c>
      <c r="E337" s="7">
        <f t="shared" ref="E337:F337" si="335">C337/C336-1</f>
        <v>0.01336733062</v>
      </c>
      <c r="F337" s="7">
        <f t="shared" si="335"/>
        <v>0.003577615224</v>
      </c>
    </row>
    <row r="338">
      <c r="A338" s="3">
        <f>IFERROR(__xludf.DUMMYFUNCTION("""COMPUTED_VALUE"""),42744.66666666667)</f>
        <v>42744.66667</v>
      </c>
      <c r="B338" s="5">
        <f>IFERROR(__xludf.DUMMYFUNCTION("""COMPUTED_VALUE"""),2.68)</f>
        <v>2.68</v>
      </c>
      <c r="C338" s="5">
        <v>2.64228796958923</v>
      </c>
      <c r="D338" s="5">
        <v>197.179611206054</v>
      </c>
      <c r="E338" s="7">
        <f t="shared" ref="E338:F338" si="336">C338/C337-1</f>
        <v>0.04054307938</v>
      </c>
      <c r="F338" s="7">
        <f t="shared" si="336"/>
        <v>-0.003300923398</v>
      </c>
    </row>
    <row r="339">
      <c r="A339" s="3">
        <f>IFERROR(__xludf.DUMMYFUNCTION("""COMPUTED_VALUE"""),42745.66666666667)</f>
        <v>42745.66667</v>
      </c>
      <c r="B339" s="5">
        <f>IFERROR(__xludf.DUMMYFUNCTION("""COMPUTED_VALUE"""),2.66)</f>
        <v>2.66</v>
      </c>
      <c r="C339" s="5">
        <v>2.62233781814575</v>
      </c>
      <c r="D339" s="5">
        <v>197.179611206054</v>
      </c>
      <c r="E339" s="7">
        <f t="shared" ref="E339:F339" si="337">C339/C338-1</f>
        <v>-0.007550332013</v>
      </c>
      <c r="F339" s="7">
        <f t="shared" si="337"/>
        <v>0</v>
      </c>
    </row>
    <row r="340">
      <c r="A340" s="3">
        <f>IFERROR(__xludf.DUMMYFUNCTION("""COMPUTED_VALUE"""),42746.66666666667)</f>
        <v>42746.66667</v>
      </c>
      <c r="B340" s="5">
        <f>IFERROR(__xludf.DUMMYFUNCTION("""COMPUTED_VALUE"""),2.63)</f>
        <v>2.63</v>
      </c>
      <c r="C340" s="5">
        <v>2.59007263183593</v>
      </c>
      <c r="D340" s="5">
        <v>197.736862182617</v>
      </c>
      <c r="E340" s="7">
        <f t="shared" ref="E340:F340" si="338">C340/C339-1</f>
        <v>-0.0123039778</v>
      </c>
      <c r="F340" s="7">
        <f t="shared" si="338"/>
        <v>0.002826108507</v>
      </c>
    </row>
    <row r="341">
      <c r="A341" s="3">
        <f>IFERROR(__xludf.DUMMYFUNCTION("""COMPUTED_VALUE"""),42747.66666666667)</f>
        <v>42747.66667</v>
      </c>
      <c r="B341" s="5">
        <f>IFERROR(__xludf.DUMMYFUNCTION("""COMPUTED_VALUE"""),2.59)</f>
        <v>2.59</v>
      </c>
      <c r="C341" s="5">
        <v>2.54770898818969</v>
      </c>
      <c r="D341" s="5">
        <v>197.24055480957</v>
      </c>
      <c r="E341" s="7">
        <f t="shared" ref="E341:F341" si="339">C341/C340-1</f>
        <v>-0.01635616049</v>
      </c>
      <c r="F341" s="7">
        <f t="shared" si="339"/>
        <v>-0.002509938549</v>
      </c>
    </row>
    <row r="342">
      <c r="A342" s="3">
        <f>IFERROR(__xludf.DUMMYFUNCTION("""COMPUTED_VALUE"""),42748.66666666667)</f>
        <v>42748.66667</v>
      </c>
      <c r="B342" s="5">
        <f>IFERROR(__xludf.DUMMYFUNCTION("""COMPUTED_VALUE"""),2.59)</f>
        <v>2.59</v>
      </c>
      <c r="C342" s="5">
        <v>2.54746341705322</v>
      </c>
      <c r="D342" s="5">
        <v>197.693405151367</v>
      </c>
      <c r="E342" s="7">
        <f t="shared" ref="E342:F342" si="340">C342/C341-1</f>
        <v>-0.00009638900581</v>
      </c>
      <c r="F342" s="7">
        <f t="shared" si="340"/>
        <v>0.002295929162</v>
      </c>
    </row>
    <row r="343">
      <c r="A343" s="3">
        <f>IFERROR(__xludf.DUMMYFUNCTION("""COMPUTED_VALUE"""),42752.66666666667)</f>
        <v>42752.66667</v>
      </c>
      <c r="B343" s="5">
        <f>IFERROR(__xludf.DUMMYFUNCTION("""COMPUTED_VALUE"""),2.53)</f>
        <v>2.53</v>
      </c>
      <c r="C343" s="5">
        <v>2.49032235145568</v>
      </c>
      <c r="D343" s="5">
        <v>196.996780395507</v>
      </c>
      <c r="E343" s="7">
        <f t="shared" ref="E343:F343" si="341">C343/C342-1</f>
        <v>-0.02243057357</v>
      </c>
      <c r="F343" s="7">
        <f t="shared" si="341"/>
        <v>-0.00352376325</v>
      </c>
    </row>
    <row r="344">
      <c r="A344" s="3">
        <f>IFERROR(__xludf.DUMMYFUNCTION("""COMPUTED_VALUE"""),42753.66666666667)</f>
        <v>42753.66667</v>
      </c>
      <c r="B344" s="5">
        <f>IFERROR(__xludf.DUMMYFUNCTION("""COMPUTED_VALUE"""),2.57)</f>
        <v>2.57</v>
      </c>
      <c r="C344" s="5">
        <v>2.53564119338989</v>
      </c>
      <c r="D344" s="5">
        <v>197.432159423828</v>
      </c>
      <c r="E344" s="7">
        <f t="shared" ref="E344:F344" si="342">C344/C343-1</f>
        <v>0.01819798224</v>
      </c>
      <c r="F344" s="7">
        <f t="shared" si="342"/>
        <v>0.002210081949</v>
      </c>
    </row>
    <row r="345">
      <c r="A345" s="3">
        <f>IFERROR(__xludf.DUMMYFUNCTION("""COMPUTED_VALUE"""),42754.66666666667)</f>
        <v>42754.66667</v>
      </c>
      <c r="B345" s="5">
        <f>IFERROR(__xludf.DUMMYFUNCTION("""COMPUTED_VALUE"""),2.63)</f>
        <v>2.63</v>
      </c>
      <c r="C345" s="5">
        <v>2.59007263183593</v>
      </c>
      <c r="D345" s="5">
        <v>196.70068359375</v>
      </c>
      <c r="E345" s="7">
        <f t="shared" ref="E345:F345" si="343">C345/C344-1</f>
        <v>0.02146653816</v>
      </c>
      <c r="F345" s="7">
        <f t="shared" si="343"/>
        <v>-0.003704947726</v>
      </c>
    </row>
    <row r="346">
      <c r="A346" s="3">
        <f>IFERROR(__xludf.DUMMYFUNCTION("""COMPUTED_VALUE"""),42755.66666666667)</f>
        <v>42755.66667</v>
      </c>
      <c r="B346" s="5">
        <f>IFERROR(__xludf.DUMMYFUNCTION("""COMPUTED_VALUE"""),2.6)</f>
        <v>2.6</v>
      </c>
      <c r="C346" s="5">
        <v>2.56174898147583</v>
      </c>
      <c r="D346" s="5">
        <v>197.423461914062</v>
      </c>
      <c r="E346" s="7">
        <f t="shared" ref="E346:F346" si="344">C346/C345-1</f>
        <v>-0.01093546567</v>
      </c>
      <c r="F346" s="7">
        <f t="shared" si="344"/>
        <v>0.003674508431</v>
      </c>
    </row>
    <row r="347">
      <c r="A347" s="3">
        <f>IFERROR(__xludf.DUMMYFUNCTION("""COMPUTED_VALUE"""),42758.66666666667)</f>
        <v>42758.66667</v>
      </c>
      <c r="B347" s="5">
        <f>IFERROR(__xludf.DUMMYFUNCTION("""COMPUTED_VALUE"""),2.63)</f>
        <v>2.63</v>
      </c>
      <c r="C347" s="5">
        <v>2.58834862709045</v>
      </c>
      <c r="D347" s="5">
        <v>196.909759521484</v>
      </c>
      <c r="E347" s="7">
        <f t="shared" ref="E347:F347" si="345">C347/C346-1</f>
        <v>0.01038339268</v>
      </c>
      <c r="F347" s="7">
        <f t="shared" si="345"/>
        <v>-0.00260203315</v>
      </c>
    </row>
    <row r="348">
      <c r="A348" s="3">
        <f>IFERROR(__xludf.DUMMYFUNCTION("""COMPUTED_VALUE"""),42759.66666666667)</f>
        <v>42759.66667</v>
      </c>
      <c r="B348" s="5">
        <f>IFERROR(__xludf.DUMMYFUNCTION("""COMPUTED_VALUE"""),2.68)</f>
        <v>2.68</v>
      </c>
      <c r="C348" s="5">
        <v>2.64351940155029</v>
      </c>
      <c r="D348" s="5">
        <v>198.172225952148</v>
      </c>
      <c r="E348" s="7">
        <f t="shared" ref="E348:F348" si="346">C348/C347-1</f>
        <v>0.0213150477</v>
      </c>
      <c r="F348" s="7">
        <f t="shared" si="346"/>
        <v>0.006411395929</v>
      </c>
    </row>
    <row r="349">
      <c r="A349" s="3">
        <f>IFERROR(__xludf.DUMMYFUNCTION("""COMPUTED_VALUE"""),42760.66666666667)</f>
        <v>42760.66667</v>
      </c>
      <c r="B349" s="5">
        <f>IFERROR(__xludf.DUMMYFUNCTION("""COMPUTED_VALUE"""),2.69)</f>
        <v>2.69</v>
      </c>
      <c r="C349" s="5">
        <v>2.65484929084777</v>
      </c>
      <c r="D349" s="5">
        <v>199.887542724609</v>
      </c>
      <c r="E349" s="7">
        <f t="shared" ref="E349:F349" si="347">C349/C348-1</f>
        <v>0.004285911157</v>
      </c>
      <c r="F349" s="7">
        <f t="shared" si="347"/>
        <v>0.008655687063</v>
      </c>
    </row>
    <row r="350">
      <c r="A350" s="3">
        <f>IFERROR(__xludf.DUMMYFUNCTION("""COMPUTED_VALUE"""),42761.66666666667)</f>
        <v>42761.66667</v>
      </c>
      <c r="B350" s="5">
        <f>IFERROR(__xludf.DUMMYFUNCTION("""COMPUTED_VALUE"""),2.74)</f>
        <v>2.74</v>
      </c>
      <c r="C350" s="5">
        <v>2.70066046714782</v>
      </c>
      <c r="D350" s="5">
        <v>199.678527832031</v>
      </c>
      <c r="E350" s="7">
        <f t="shared" ref="E350:F350" si="348">C350/C349-1</f>
        <v>0.01725565984</v>
      </c>
      <c r="F350" s="7">
        <f t="shared" si="348"/>
        <v>-0.001045662425</v>
      </c>
    </row>
    <row r="351">
      <c r="A351" s="3">
        <f>IFERROR(__xludf.DUMMYFUNCTION("""COMPUTED_VALUE"""),42762.66666666667)</f>
        <v>42762.66667</v>
      </c>
      <c r="B351" s="5">
        <f>IFERROR(__xludf.DUMMYFUNCTION("""COMPUTED_VALUE"""),2.79)</f>
        <v>2.79</v>
      </c>
      <c r="C351" s="5">
        <v>2.7528760433197</v>
      </c>
      <c r="D351" s="5">
        <v>199.365112304687</v>
      </c>
      <c r="E351" s="7">
        <f t="shared" ref="E351:F351" si="349">C351/C350-1</f>
        <v>0.01933437276</v>
      </c>
      <c r="F351" s="7">
        <f t="shared" si="349"/>
        <v>-0.001569600551</v>
      </c>
    </row>
    <row r="352">
      <c r="A352" s="3">
        <f>IFERROR(__xludf.DUMMYFUNCTION("""COMPUTED_VALUE"""),42765.66666666667)</f>
        <v>42765.66667</v>
      </c>
      <c r="B352" s="5">
        <f>IFERROR(__xludf.DUMMYFUNCTION("""COMPUTED_VALUE"""),2.75)</f>
        <v>2.75</v>
      </c>
      <c r="C352" s="5">
        <v>2.70977425575256</v>
      </c>
      <c r="D352" s="5">
        <v>198.128707885742</v>
      </c>
      <c r="E352" s="7">
        <f t="shared" ref="E352:F352" si="350">C352/C351-1</f>
        <v>-0.01565700267</v>
      </c>
      <c r="F352" s="7">
        <f t="shared" si="350"/>
        <v>-0.006201709039</v>
      </c>
    </row>
    <row r="353">
      <c r="A353" s="3">
        <f>IFERROR(__xludf.DUMMYFUNCTION("""COMPUTED_VALUE"""),42766.66666666667)</f>
        <v>42766.66667</v>
      </c>
      <c r="B353" s="5">
        <f>IFERROR(__xludf.DUMMYFUNCTION("""COMPUTED_VALUE"""),2.73)</f>
        <v>2.73</v>
      </c>
      <c r="C353" s="5">
        <v>2.68908500671386</v>
      </c>
      <c r="D353" s="5">
        <v>198.111297607421</v>
      </c>
      <c r="E353" s="7">
        <f t="shared" ref="E353:F353" si="351">C353/C352-1</f>
        <v>-0.007635045242</v>
      </c>
      <c r="F353" s="7">
        <f t="shared" si="351"/>
        <v>-0.00008787357727</v>
      </c>
    </row>
    <row r="354">
      <c r="A354" s="3">
        <f>IFERROR(__xludf.DUMMYFUNCTION("""COMPUTED_VALUE"""),42767.66666666667)</f>
        <v>42767.66667</v>
      </c>
      <c r="B354" s="5">
        <f>IFERROR(__xludf.DUMMYFUNCTION("""COMPUTED_VALUE"""),2.85)</f>
        <v>2.85</v>
      </c>
      <c r="C354" s="5">
        <v>2.806569814682</v>
      </c>
      <c r="D354" s="5">
        <v>198.18960571289</v>
      </c>
      <c r="E354" s="7">
        <f t="shared" ref="E354:F354" si="352">C354/C353-1</f>
        <v>0.04368951062</v>
      </c>
      <c r="F354" s="7">
        <f t="shared" si="352"/>
        <v>0.0003952732954</v>
      </c>
    </row>
    <row r="355">
      <c r="A355" s="3">
        <f>IFERROR(__xludf.DUMMYFUNCTION("""COMPUTED_VALUE"""),42768.66666666667)</f>
        <v>42768.66667</v>
      </c>
      <c r="B355" s="5">
        <f>IFERROR(__xludf.DUMMYFUNCTION("""COMPUTED_VALUE"""),2.88)</f>
        <v>2.88</v>
      </c>
      <c r="C355" s="5">
        <v>2.8420352935791</v>
      </c>
      <c r="D355" s="5">
        <v>198.320236206054</v>
      </c>
      <c r="E355" s="7">
        <f t="shared" ref="E355:F355" si="353">C355/C354-1</f>
        <v>0.01263659244</v>
      </c>
      <c r="F355" s="7">
        <f t="shared" si="353"/>
        <v>0.0006591187903</v>
      </c>
    </row>
    <row r="356">
      <c r="A356" s="3">
        <f>IFERROR(__xludf.DUMMYFUNCTION("""COMPUTED_VALUE"""),42769.66666666667)</f>
        <v>42769.66667</v>
      </c>
      <c r="B356" s="5">
        <f>IFERROR(__xludf.DUMMYFUNCTION("""COMPUTED_VALUE"""),2.86)</f>
        <v>2.86</v>
      </c>
      <c r="C356" s="5">
        <v>2.81715941429138</v>
      </c>
      <c r="D356" s="5">
        <v>199.687286376953</v>
      </c>
      <c r="E356" s="7">
        <f t="shared" ref="E356:F356" si="354">C356/C355-1</f>
        <v>-0.008752839679</v>
      </c>
      <c r="F356" s="7">
        <f t="shared" si="354"/>
        <v>0.006893145133</v>
      </c>
    </row>
    <row r="357">
      <c r="A357" s="3">
        <f>IFERROR(__xludf.DUMMYFUNCTION("""COMPUTED_VALUE"""),42772.66666666667)</f>
        <v>42772.66667</v>
      </c>
      <c r="B357" s="5">
        <f>IFERROR(__xludf.DUMMYFUNCTION("""COMPUTED_VALUE"""),2.93)</f>
        <v>2.93</v>
      </c>
      <c r="C357" s="5">
        <v>2.88932490348815</v>
      </c>
      <c r="D357" s="5">
        <v>199.330245971679</v>
      </c>
      <c r="E357" s="7">
        <f t="shared" ref="E357:F357" si="355">C357/C356-1</f>
        <v>0.02561640241</v>
      </c>
      <c r="F357" s="7">
        <f t="shared" si="355"/>
        <v>-0.001787997683</v>
      </c>
    </row>
    <row r="358">
      <c r="A358" s="3">
        <f>IFERROR(__xludf.DUMMYFUNCTION("""COMPUTED_VALUE"""),42773.66666666667)</f>
        <v>42773.66667</v>
      </c>
      <c r="B358" s="5">
        <f>IFERROR(__xludf.DUMMYFUNCTION("""COMPUTED_VALUE"""),2.98)</f>
        <v>2.98</v>
      </c>
      <c r="C358" s="5">
        <v>2.93415141105651</v>
      </c>
      <c r="D358" s="5">
        <v>199.338973999023</v>
      </c>
      <c r="E358" s="7">
        <f t="shared" ref="E358:F358" si="356">C358/C357-1</f>
        <v>0.01551452643</v>
      </c>
      <c r="F358" s="7">
        <f t="shared" si="356"/>
        <v>0.00004378676854</v>
      </c>
    </row>
    <row r="359">
      <c r="A359" s="3">
        <f>IFERROR(__xludf.DUMMYFUNCTION("""COMPUTED_VALUE"""),42774.66666666667)</f>
        <v>42774.66667</v>
      </c>
      <c r="B359" s="5">
        <f>IFERROR(__xludf.DUMMYFUNCTION("""COMPUTED_VALUE"""),2.97)</f>
        <v>2.97</v>
      </c>
      <c r="C359" s="5">
        <v>2.9213433265686</v>
      </c>
      <c r="D359" s="5">
        <v>199.600204467773</v>
      </c>
      <c r="E359" s="7">
        <f t="shared" ref="E359:F359" si="357">C359/C358-1</f>
        <v>-0.004365175035</v>
      </c>
      <c r="F359" s="7">
        <f t="shared" si="357"/>
        <v>0.001310483663</v>
      </c>
    </row>
    <row r="360">
      <c r="A360" s="3">
        <f>IFERROR(__xludf.DUMMYFUNCTION("""COMPUTED_VALUE"""),42775.66666666667)</f>
        <v>42775.66667</v>
      </c>
      <c r="B360" s="5">
        <f>IFERROR(__xludf.DUMMYFUNCTION("""COMPUTED_VALUE"""),2.91)</f>
        <v>2.91</v>
      </c>
      <c r="C360" s="5">
        <v>2.86641931533813</v>
      </c>
      <c r="D360" s="5">
        <v>200.78433227539</v>
      </c>
      <c r="E360" s="7">
        <f t="shared" ref="E360:F360" si="358">C360/C359-1</f>
        <v>-0.01880094364</v>
      </c>
      <c r="F360" s="7">
        <f t="shared" si="358"/>
        <v>0.005932497969</v>
      </c>
    </row>
    <row r="361">
      <c r="A361" s="3">
        <f>IFERROR(__xludf.DUMMYFUNCTION("""COMPUTED_VALUE"""),42776.66666666667)</f>
        <v>42776.66667</v>
      </c>
      <c r="B361" s="5">
        <f>IFERROR(__xludf.DUMMYFUNCTION("""COMPUTED_VALUE"""),2.84)</f>
        <v>2.84</v>
      </c>
      <c r="C361" s="5">
        <v>2.79844117164611</v>
      </c>
      <c r="D361" s="5">
        <v>201.576690673828</v>
      </c>
      <c r="E361" s="7">
        <f t="shared" ref="E361:F361" si="359">C361/C360-1</f>
        <v>-0.02371535223</v>
      </c>
      <c r="F361" s="7">
        <f t="shared" si="359"/>
        <v>0.003946315878</v>
      </c>
    </row>
    <row r="362">
      <c r="A362" s="3">
        <f>IFERROR(__xludf.DUMMYFUNCTION("""COMPUTED_VALUE"""),42779.66666666667)</f>
        <v>42779.66667</v>
      </c>
      <c r="B362" s="5">
        <f>IFERROR(__xludf.DUMMYFUNCTION("""COMPUTED_VALUE"""),2.71)</f>
        <v>2.71</v>
      </c>
      <c r="C362" s="5">
        <v>2.66938138008117</v>
      </c>
      <c r="D362" s="5">
        <v>202.673782348632</v>
      </c>
      <c r="E362" s="7">
        <f t="shared" ref="E362:F362" si="360">C362/C361-1</f>
        <v>-0.04611845797</v>
      </c>
      <c r="F362" s="7">
        <f t="shared" si="360"/>
        <v>0.005442552267</v>
      </c>
    </row>
    <row r="363">
      <c r="A363" s="3">
        <f>IFERROR(__xludf.DUMMYFUNCTION("""COMPUTED_VALUE"""),42780.66666666667)</f>
        <v>42780.66667</v>
      </c>
      <c r="B363" s="5">
        <f>IFERROR(__xludf.DUMMYFUNCTION("""COMPUTED_VALUE"""),2.72)</f>
        <v>2.72</v>
      </c>
      <c r="C363" s="5">
        <v>2.67923331260681</v>
      </c>
      <c r="D363" s="5">
        <v>203.483505249023</v>
      </c>
      <c r="E363" s="7">
        <f t="shared" ref="E363:F363" si="361">C363/C362-1</f>
        <v>0.003690717482</v>
      </c>
      <c r="F363" s="7">
        <f t="shared" si="361"/>
        <v>0.003995202986</v>
      </c>
    </row>
    <row r="364">
      <c r="A364" s="3">
        <f>IFERROR(__xludf.DUMMYFUNCTION("""COMPUTED_VALUE"""),42781.66666666667)</f>
        <v>42781.66667</v>
      </c>
      <c r="B364" s="5">
        <f>IFERROR(__xludf.DUMMYFUNCTION("""COMPUTED_VALUE"""),2.73)</f>
        <v>2.73</v>
      </c>
      <c r="C364" s="5">
        <v>2.68465113639831</v>
      </c>
      <c r="D364" s="5">
        <v>204.545761108398</v>
      </c>
      <c r="E364" s="7">
        <f t="shared" ref="E364:F364" si="362">C364/C363-1</f>
        <v>0.002022154534</v>
      </c>
      <c r="F364" s="7">
        <f t="shared" si="362"/>
        <v>0.00522035365</v>
      </c>
    </row>
    <row r="365">
      <c r="A365" s="3">
        <f>IFERROR(__xludf.DUMMYFUNCTION("""COMPUTED_VALUE"""),42782.66666666667)</f>
        <v>42782.66667</v>
      </c>
      <c r="B365" s="5">
        <f>IFERROR(__xludf.DUMMYFUNCTION("""COMPUTED_VALUE"""),2.68)</f>
        <v>2.68</v>
      </c>
      <c r="C365" s="5">
        <v>2.64154934883117</v>
      </c>
      <c r="D365" s="5">
        <v>204.371658325195</v>
      </c>
      <c r="E365" s="7">
        <f t="shared" ref="E365:F365" si="363">C365/C364-1</f>
        <v>-0.01605489331</v>
      </c>
      <c r="F365" s="7">
        <f t="shared" si="363"/>
        <v>-0.0008511678866</v>
      </c>
    </row>
    <row r="366">
      <c r="A366" s="3">
        <f>IFERROR(__xludf.DUMMYFUNCTION("""COMPUTED_VALUE"""),42783.66666666667)</f>
        <v>42783.66667</v>
      </c>
      <c r="B366" s="5">
        <f>IFERROR(__xludf.DUMMYFUNCTION("""COMPUTED_VALUE"""),2.68)</f>
        <v>2.68</v>
      </c>
      <c r="C366" s="5">
        <v>2.64105606079101</v>
      </c>
      <c r="D366" s="5">
        <v>204.693786621093</v>
      </c>
      <c r="E366" s="7">
        <f t="shared" ref="E366:F366" si="364">C366/C365-1</f>
        <v>-0.0001867419363</v>
      </c>
      <c r="F366" s="7">
        <f t="shared" si="364"/>
        <v>0.001576188688</v>
      </c>
    </row>
    <row r="367">
      <c r="A367" s="3">
        <f>IFERROR(__xludf.DUMMYFUNCTION("""COMPUTED_VALUE"""),42787.66666666667)</f>
        <v>42787.66667</v>
      </c>
      <c r="B367" s="5">
        <f>IFERROR(__xludf.DUMMYFUNCTION("""COMPUTED_VALUE"""),2.78)</f>
        <v>2.78</v>
      </c>
      <c r="C367" s="5">
        <v>2.73563432693481</v>
      </c>
      <c r="D367" s="5">
        <v>205.912811279296</v>
      </c>
      <c r="E367" s="7">
        <f t="shared" ref="E367:F367" si="365">C367/C366-1</f>
        <v>0.03581077568</v>
      </c>
      <c r="F367" s="7">
        <f t="shared" si="365"/>
        <v>0.005955357406</v>
      </c>
    </row>
    <row r="368">
      <c r="A368" s="3">
        <f>IFERROR(__xludf.DUMMYFUNCTION("""COMPUTED_VALUE"""),42788.66666666667)</f>
        <v>42788.66667</v>
      </c>
      <c r="B368" s="5">
        <f>IFERROR(__xludf.DUMMYFUNCTION("""COMPUTED_VALUE"""),2.77)</f>
        <v>2.77</v>
      </c>
      <c r="C368" s="5">
        <v>2.73144268989563</v>
      </c>
      <c r="D368" s="5">
        <v>205.729904174804</v>
      </c>
      <c r="E368" s="7">
        <f t="shared" ref="E368:F368" si="366">C368/C367-1</f>
        <v>-0.001532235869</v>
      </c>
      <c r="F368" s="7">
        <f t="shared" si="366"/>
        <v>-0.0008882745243</v>
      </c>
    </row>
    <row r="369">
      <c r="A369" s="3">
        <f>IFERROR(__xludf.DUMMYFUNCTION("""COMPUTED_VALUE"""),42789.66666666667)</f>
        <v>42789.66667</v>
      </c>
      <c r="B369" s="5">
        <f>IFERROR(__xludf.DUMMYFUNCTION("""COMPUTED_VALUE"""),2.51)</f>
        <v>2.51</v>
      </c>
      <c r="C369" s="5">
        <v>2.47817492485046</v>
      </c>
      <c r="D369" s="5">
        <v>205.869262695312</v>
      </c>
      <c r="E369" s="7">
        <f t="shared" ref="E369:F369" si="367">C369/C368-1</f>
        <v>-0.09272307487</v>
      </c>
      <c r="F369" s="7">
        <f t="shared" si="367"/>
        <v>0.0006773858233</v>
      </c>
    </row>
    <row r="370">
      <c r="A370" s="3">
        <f>IFERROR(__xludf.DUMMYFUNCTION("""COMPUTED_VALUE"""),42790.66666666667)</f>
        <v>42790.66667</v>
      </c>
      <c r="B370" s="5">
        <f>IFERROR(__xludf.DUMMYFUNCTION("""COMPUTED_VALUE"""),2.54)</f>
        <v>2.54</v>
      </c>
      <c r="C370" s="5">
        <v>2.50209617614746</v>
      </c>
      <c r="D370" s="5">
        <v>206.130493164062</v>
      </c>
      <c r="E370" s="7">
        <f t="shared" ref="E370:F370" si="368">C370/C369-1</f>
        <v>0.009652769487</v>
      </c>
      <c r="F370" s="7">
        <f t="shared" si="368"/>
        <v>0.001268914384</v>
      </c>
    </row>
    <row r="371">
      <c r="A371" s="3">
        <f>IFERROR(__xludf.DUMMYFUNCTION("""COMPUTED_VALUE"""),42793.66666666667)</f>
        <v>42793.66667</v>
      </c>
      <c r="B371" s="5">
        <f>IFERROR(__xludf.DUMMYFUNCTION("""COMPUTED_VALUE"""),2.61)</f>
        <v>2.61</v>
      </c>
      <c r="C371" s="5">
        <v>2.57484579086303</v>
      </c>
      <c r="D371" s="5">
        <v>206.45262145996</v>
      </c>
      <c r="E371" s="7">
        <f t="shared" ref="E371:F371" si="369">C371/C370-1</f>
        <v>0.02907546697</v>
      </c>
      <c r="F371" s="7">
        <f t="shared" si="369"/>
        <v>0.001562739656</v>
      </c>
    </row>
    <row r="372">
      <c r="A372" s="3">
        <f>IFERROR(__xludf.DUMMYFUNCTION("""COMPUTED_VALUE"""),42794.66666666667)</f>
        <v>42794.66667</v>
      </c>
      <c r="B372" s="5">
        <f>IFERROR(__xludf.DUMMYFUNCTION("""COMPUTED_VALUE"""),2.54)</f>
        <v>2.54</v>
      </c>
      <c r="C372" s="5">
        <v>2.50258874893188</v>
      </c>
      <c r="D372" s="5">
        <v>205.895401000976</v>
      </c>
      <c r="E372" s="7">
        <f t="shared" ref="E372:F372" si="370">C372/C371-1</f>
        <v>-0.02806266775</v>
      </c>
      <c r="F372" s="7">
        <f t="shared" si="370"/>
        <v>-0.002699023413</v>
      </c>
    </row>
    <row r="373">
      <c r="A373" s="3">
        <f>IFERROR(__xludf.DUMMYFUNCTION("""COMPUTED_VALUE"""),42795.66666666667)</f>
        <v>42795.66667</v>
      </c>
      <c r="B373" s="5">
        <f>IFERROR(__xludf.DUMMYFUNCTION("""COMPUTED_VALUE"""),2.57)</f>
        <v>2.57</v>
      </c>
      <c r="C373" s="5">
        <v>2.53489565849304</v>
      </c>
      <c r="D373" s="5">
        <v>208.777420043945</v>
      </c>
      <c r="E373" s="7">
        <f t="shared" ref="E373:F373" si="371">C373/C372-1</f>
        <v>0.01290939615</v>
      </c>
      <c r="F373" s="7">
        <f t="shared" si="371"/>
        <v>0.0139974911</v>
      </c>
    </row>
    <row r="374">
      <c r="A374" s="3">
        <f>IFERROR(__xludf.DUMMYFUNCTION("""COMPUTED_VALUE"""),42796.66666666667)</f>
        <v>42796.66667</v>
      </c>
      <c r="B374" s="5">
        <f>IFERROR(__xludf.DUMMYFUNCTION("""COMPUTED_VALUE"""),2.48)</f>
        <v>2.48</v>
      </c>
      <c r="C374" s="5">
        <v>2.44143009185791</v>
      </c>
      <c r="D374" s="5">
        <v>207.462707519531</v>
      </c>
      <c r="E374" s="7">
        <f t="shared" ref="E374:F374" si="372">C374/C373-1</f>
        <v>-0.03687156366</v>
      </c>
      <c r="F374" s="7">
        <f t="shared" si="372"/>
        <v>-0.00629719691</v>
      </c>
    </row>
    <row r="375">
      <c r="A375" s="3">
        <f>IFERROR(__xludf.DUMMYFUNCTION("""COMPUTED_VALUE"""),42797.66666666667)</f>
        <v>42797.66667</v>
      </c>
      <c r="B375" s="5">
        <f>IFERROR(__xludf.DUMMYFUNCTION("""COMPUTED_VALUE"""),2.46)</f>
        <v>2.46</v>
      </c>
      <c r="C375" s="5">
        <v>2.42737388610839</v>
      </c>
      <c r="D375" s="5">
        <v>207.593215942382</v>
      </c>
      <c r="E375" s="7">
        <f t="shared" ref="E375:F375" si="373">C375/C374-1</f>
        <v>-0.005757365651</v>
      </c>
      <c r="F375" s="7">
        <f t="shared" si="373"/>
        <v>0.0006290693128</v>
      </c>
    </row>
    <row r="376">
      <c r="A376" s="3">
        <f>IFERROR(__xludf.DUMMYFUNCTION("""COMPUTED_VALUE"""),42800.66666666667)</f>
        <v>42800.66667</v>
      </c>
      <c r="B376" s="5">
        <f>IFERROR(__xludf.DUMMYFUNCTION("""COMPUTED_VALUE"""),2.44)</f>
        <v>2.44</v>
      </c>
      <c r="C376" s="5">
        <v>2.40863156318664</v>
      </c>
      <c r="D376" s="5">
        <v>206.975051879882</v>
      </c>
      <c r="E376" s="7">
        <f t="shared" ref="E376:F376" si="374">C376/C375-1</f>
        <v>-0.00772123447</v>
      </c>
      <c r="F376" s="7">
        <f t="shared" si="374"/>
        <v>-0.002977766203</v>
      </c>
    </row>
    <row r="377">
      <c r="A377" s="3">
        <f>IFERROR(__xludf.DUMMYFUNCTION("""COMPUTED_VALUE"""),42801.66666666667)</f>
        <v>42801.66667</v>
      </c>
      <c r="B377" s="5">
        <f>IFERROR(__xludf.DUMMYFUNCTION("""COMPUTED_VALUE"""),2.47)</f>
        <v>2.47</v>
      </c>
      <c r="C377" s="5">
        <v>2.43501877784729</v>
      </c>
      <c r="D377" s="5">
        <v>206.356887817382</v>
      </c>
      <c r="E377" s="7">
        <f t="shared" ref="E377:F377" si="375">C377/C376-1</f>
        <v>0.01095527231</v>
      </c>
      <c r="F377" s="7">
        <f t="shared" si="375"/>
        <v>-0.002986659778</v>
      </c>
    </row>
    <row r="378">
      <c r="A378" s="3">
        <f>IFERROR(__xludf.DUMMYFUNCTION("""COMPUTED_VALUE"""),42802.66666666667)</f>
        <v>42802.66667</v>
      </c>
      <c r="B378" s="5">
        <f>IFERROR(__xludf.DUMMYFUNCTION("""COMPUTED_VALUE"""),2.46)</f>
        <v>2.46</v>
      </c>
      <c r="C378" s="5">
        <v>2.43057966232299</v>
      </c>
      <c r="D378" s="5">
        <v>205.973709106445</v>
      </c>
      <c r="E378" s="7">
        <f t="shared" ref="E378:F378" si="376">C378/C377-1</f>
        <v>-0.001823031331</v>
      </c>
      <c r="F378" s="7">
        <f t="shared" si="376"/>
        <v>-0.001856873861</v>
      </c>
    </row>
    <row r="379">
      <c r="A379" s="3">
        <f>IFERROR(__xludf.DUMMYFUNCTION("""COMPUTED_VALUE"""),42803.66666666667)</f>
        <v>42803.66667</v>
      </c>
      <c r="B379" s="5">
        <f>IFERROR(__xludf.DUMMYFUNCTION("""COMPUTED_VALUE"""),2.46)</f>
        <v>2.46</v>
      </c>
      <c r="C379" s="5">
        <v>2.43008589744567</v>
      </c>
      <c r="D379" s="5">
        <v>206.234970092773</v>
      </c>
      <c r="E379" s="7">
        <f t="shared" ref="E379:F379" si="377">C379/C378-1</f>
        <v>-0.0002031469632</v>
      </c>
      <c r="F379" s="7">
        <f t="shared" si="377"/>
        <v>0.001268419098</v>
      </c>
    </row>
    <row r="380">
      <c r="A380" s="3">
        <f>IFERROR(__xludf.DUMMYFUNCTION("""COMPUTED_VALUE"""),42804.66666666667)</f>
        <v>42804.66667</v>
      </c>
      <c r="B380" s="5">
        <f>IFERROR(__xludf.DUMMYFUNCTION("""COMPUTED_VALUE"""),2.48)</f>
        <v>2.48</v>
      </c>
      <c r="C380" s="5">
        <v>2.44438910484313</v>
      </c>
      <c r="D380" s="5">
        <v>206.957656860351</v>
      </c>
      <c r="E380" s="7">
        <f t="shared" ref="E380:F380" si="378">C380/C379-1</f>
        <v>0.005885885521</v>
      </c>
      <c r="F380" s="7">
        <f t="shared" si="378"/>
        <v>0.003504191201</v>
      </c>
    </row>
    <row r="381">
      <c r="A381" s="3">
        <f>IFERROR(__xludf.DUMMYFUNCTION("""COMPUTED_VALUE"""),42807.66666666667)</f>
        <v>42807.66667</v>
      </c>
      <c r="B381" s="5">
        <f>IFERROR(__xludf.DUMMYFUNCTION("""COMPUTED_VALUE"""),2.55)</f>
        <v>2.55</v>
      </c>
      <c r="C381" s="5">
        <v>2.51171469688415</v>
      </c>
      <c r="D381" s="5">
        <v>207.062118530273</v>
      </c>
      <c r="E381" s="7">
        <f t="shared" ref="E381:F381" si="379">C381/C380-1</f>
        <v>0.0275429112</v>
      </c>
      <c r="F381" s="7">
        <f t="shared" si="379"/>
        <v>0.000504748998</v>
      </c>
    </row>
    <row r="382">
      <c r="A382" s="3">
        <f>IFERROR(__xludf.DUMMYFUNCTION("""COMPUTED_VALUE"""),42808.66666666667)</f>
        <v>42808.66667</v>
      </c>
      <c r="B382" s="5">
        <f>IFERROR(__xludf.DUMMYFUNCTION("""COMPUTED_VALUE"""),2.54)</f>
        <v>2.54</v>
      </c>
      <c r="C382" s="5">
        <v>2.50998783111572</v>
      </c>
      <c r="D382" s="5">
        <v>206.269775390625</v>
      </c>
      <c r="E382" s="7">
        <f t="shared" ref="E382:F382" si="380">C382/C381-1</f>
        <v>-0.0006875246502</v>
      </c>
      <c r="F382" s="7">
        <f t="shared" si="380"/>
        <v>-0.003826596315</v>
      </c>
    </row>
    <row r="383">
      <c r="A383" s="3">
        <f>IFERROR(__xludf.DUMMYFUNCTION("""COMPUTED_VALUE"""),42809.66666666667)</f>
        <v>42809.66667</v>
      </c>
      <c r="B383" s="5">
        <f>IFERROR(__xludf.DUMMYFUNCTION("""COMPUTED_VALUE"""),2.56)</f>
        <v>2.56</v>
      </c>
      <c r="C383" s="5">
        <v>2.52897715568542</v>
      </c>
      <c r="D383" s="5">
        <v>208.054702758789</v>
      </c>
      <c r="E383" s="7">
        <f t="shared" ref="E383:F383" si="381">C383/C382-1</f>
        <v>0.007565504635</v>
      </c>
      <c r="F383" s="7">
        <f t="shared" si="381"/>
        <v>0.00865336361</v>
      </c>
    </row>
    <row r="384">
      <c r="A384" s="3">
        <f>IFERROR(__xludf.DUMMYFUNCTION("""COMPUTED_VALUE"""),42810.66666666667)</f>
        <v>42810.66667</v>
      </c>
      <c r="B384" s="5">
        <f>IFERROR(__xludf.DUMMYFUNCTION("""COMPUTED_VALUE"""),2.6)</f>
        <v>2.6</v>
      </c>
      <c r="C384" s="5">
        <v>2.56004929542541</v>
      </c>
      <c r="D384" s="5">
        <v>207.645523071289</v>
      </c>
      <c r="E384" s="7">
        <f t="shared" ref="E384:F384" si="382">C384/C383-1</f>
        <v>0.0122864454</v>
      </c>
      <c r="F384" s="7">
        <f t="shared" si="382"/>
        <v>-0.001966692808</v>
      </c>
    </row>
    <row r="385">
      <c r="A385" s="3">
        <f>IFERROR(__xludf.DUMMYFUNCTION("""COMPUTED_VALUE"""),42811.66666666667)</f>
        <v>42811.66667</v>
      </c>
      <c r="B385" s="5">
        <f>IFERROR(__xludf.DUMMYFUNCTION("""COMPUTED_VALUE"""),2.65)</f>
        <v>2.65</v>
      </c>
      <c r="C385" s="5">
        <v>2.61578249931335</v>
      </c>
      <c r="D385" s="5">
        <v>207.280899047851</v>
      </c>
      <c r="E385" s="7">
        <f t="shared" ref="E385:F385" si="383">C385/C384-1</f>
        <v>0.02177036356</v>
      </c>
      <c r="F385" s="7">
        <f t="shared" si="383"/>
        <v>-0.001755992704</v>
      </c>
    </row>
    <row r="386">
      <c r="A386" s="3">
        <f>IFERROR(__xludf.DUMMYFUNCTION("""COMPUTED_VALUE"""),42814.66666666667)</f>
        <v>42814.66667</v>
      </c>
      <c r="B386" s="5">
        <f>IFERROR(__xludf.DUMMYFUNCTION("""COMPUTED_VALUE"""),2.74)</f>
        <v>2.74</v>
      </c>
      <c r="C386" s="5">
        <v>2.69913625717163</v>
      </c>
      <c r="D386" s="5">
        <v>207.053436279296</v>
      </c>
      <c r="E386" s="7">
        <f t="shared" ref="E386:F386" si="384">C386/C385-1</f>
        <v>0.03186570668</v>
      </c>
      <c r="F386" s="7">
        <f t="shared" si="384"/>
        <v>-0.00109736483</v>
      </c>
    </row>
    <row r="387">
      <c r="A387" s="3">
        <f>IFERROR(__xludf.DUMMYFUNCTION("""COMPUTED_VALUE"""),42815.66666666667)</f>
        <v>42815.66667</v>
      </c>
      <c r="B387" s="5">
        <f>IFERROR(__xludf.DUMMYFUNCTION("""COMPUTED_VALUE"""),2.65)</f>
        <v>2.65</v>
      </c>
      <c r="C387" s="5">
        <v>2.61183714866638</v>
      </c>
      <c r="D387" s="5">
        <v>204.39500427246</v>
      </c>
      <c r="E387" s="7">
        <f t="shared" ref="E387:F387" si="385">C387/C386-1</f>
        <v>-0.03234334994</v>
      </c>
      <c r="F387" s="7">
        <f t="shared" si="385"/>
        <v>-0.01283935227</v>
      </c>
    </row>
    <row r="388">
      <c r="A388" s="3">
        <f>IFERROR(__xludf.DUMMYFUNCTION("""COMPUTED_VALUE"""),42816.66666666667)</f>
        <v>42816.66667</v>
      </c>
      <c r="B388" s="5">
        <f>IFERROR(__xludf.DUMMYFUNCTION("""COMPUTED_VALUE"""),2.7)</f>
        <v>2.7</v>
      </c>
      <c r="C388" s="5">
        <v>2.66510558128356</v>
      </c>
      <c r="D388" s="5">
        <v>204.875946044921</v>
      </c>
      <c r="E388" s="7">
        <f t="shared" ref="E388:F388" si="386">C388/C387-1</f>
        <v>0.02039500535</v>
      </c>
      <c r="F388" s="7">
        <f t="shared" si="386"/>
        <v>0.002353001602</v>
      </c>
    </row>
    <row r="389">
      <c r="A389" s="3">
        <f>IFERROR(__xludf.DUMMYFUNCTION("""COMPUTED_VALUE"""),42817.66666666667)</f>
        <v>42817.66667</v>
      </c>
      <c r="B389" s="5">
        <f>IFERROR(__xludf.DUMMYFUNCTION("""COMPUTED_VALUE"""),2.68)</f>
        <v>2.68</v>
      </c>
      <c r="C389" s="5">
        <v>2.6409375667572</v>
      </c>
      <c r="D389" s="5">
        <v>204.657333374023</v>
      </c>
      <c r="E389" s="7">
        <f t="shared" ref="E389:F389" si="387">C389/C388-1</f>
        <v>-0.009068314102</v>
      </c>
      <c r="F389" s="7">
        <f t="shared" si="387"/>
        <v>-0.001067048988</v>
      </c>
    </row>
    <row r="390">
      <c r="A390" s="3">
        <f>IFERROR(__xludf.DUMMYFUNCTION("""COMPUTED_VALUE"""),42818.66666666667)</f>
        <v>42818.66667</v>
      </c>
      <c r="B390" s="5">
        <f>IFERROR(__xludf.DUMMYFUNCTION("""COMPUTED_VALUE"""),2.69)</f>
        <v>2.69</v>
      </c>
      <c r="C390" s="5">
        <v>2.65030837059021</v>
      </c>
      <c r="D390" s="5">
        <v>204.508682250976</v>
      </c>
      <c r="E390" s="7">
        <f t="shared" ref="E390:F390" si="388">C390/C389-1</f>
        <v>0.003548286772</v>
      </c>
      <c r="F390" s="7">
        <f t="shared" si="388"/>
        <v>-0.0007263415417</v>
      </c>
    </row>
    <row r="391">
      <c r="A391" s="3">
        <f>IFERROR(__xludf.DUMMYFUNCTION("""COMPUTED_VALUE"""),42821.66666666667)</f>
        <v>42821.66667</v>
      </c>
      <c r="B391" s="5">
        <f>IFERROR(__xludf.DUMMYFUNCTION("""COMPUTED_VALUE"""),2.71)</f>
        <v>2.71</v>
      </c>
      <c r="C391" s="5">
        <v>2.66954326629638</v>
      </c>
      <c r="D391" s="5">
        <v>204.298782348632</v>
      </c>
      <c r="E391" s="7">
        <f t="shared" ref="E391:F391" si="389">C391/C390-1</f>
        <v>0.007257606669</v>
      </c>
      <c r="F391" s="7">
        <f t="shared" si="389"/>
        <v>-0.001026361815</v>
      </c>
    </row>
    <row r="392">
      <c r="A392" s="3">
        <f>IFERROR(__xludf.DUMMYFUNCTION("""COMPUTED_VALUE"""),42822.66666666667)</f>
        <v>42822.66667</v>
      </c>
      <c r="B392" s="5">
        <f>IFERROR(__xludf.DUMMYFUNCTION("""COMPUTED_VALUE"""),2.69)</f>
        <v>2.69</v>
      </c>
      <c r="C392" s="5">
        <v>2.65573334693908</v>
      </c>
      <c r="D392" s="5">
        <v>205.785415649414</v>
      </c>
      <c r="E392" s="7">
        <f t="shared" ref="E392:F392" si="390">C392/C391-1</f>
        <v>-0.005173139365</v>
      </c>
      <c r="F392" s="7">
        <f t="shared" si="390"/>
        <v>0.007276760457</v>
      </c>
    </row>
    <row r="393">
      <c r="A393" s="3">
        <f>IFERROR(__xludf.DUMMYFUNCTION("""COMPUTED_VALUE"""),42823.66666666667)</f>
        <v>42823.66667</v>
      </c>
      <c r="B393" s="5">
        <f>IFERROR(__xludf.DUMMYFUNCTION("""COMPUTED_VALUE"""),2.68)</f>
        <v>2.68</v>
      </c>
      <c r="C393" s="5">
        <v>2.64710211753845</v>
      </c>
      <c r="D393" s="5">
        <v>205.977844238281</v>
      </c>
      <c r="E393" s="7">
        <f t="shared" ref="E393:F393" si="391">C393/C392-1</f>
        <v>-0.003250036157</v>
      </c>
      <c r="F393" s="7">
        <f t="shared" si="391"/>
        <v>0.0009350934237</v>
      </c>
    </row>
    <row r="394">
      <c r="A394" s="3">
        <f>IFERROR(__xludf.DUMMYFUNCTION("""COMPUTED_VALUE"""),42824.66666666667)</f>
        <v>42824.66667</v>
      </c>
      <c r="B394" s="5">
        <f>IFERROR(__xludf.DUMMYFUNCTION("""COMPUTED_VALUE"""),2.74)</f>
        <v>2.74</v>
      </c>
      <c r="C394" s="5">
        <v>2.69790363311767</v>
      </c>
      <c r="D394" s="5">
        <v>206.633682250976</v>
      </c>
      <c r="E394" s="7">
        <f t="shared" ref="E394:F394" si="392">C394/C393-1</f>
        <v>0.01919136978</v>
      </c>
      <c r="F394" s="7">
        <f t="shared" si="392"/>
        <v>0.003184022122</v>
      </c>
    </row>
    <row r="395">
      <c r="A395" s="3">
        <f>IFERROR(__xludf.DUMMYFUNCTION("""COMPUTED_VALUE"""),42825.66666666667)</f>
        <v>42825.66667</v>
      </c>
      <c r="B395" s="5">
        <f>IFERROR(__xludf.DUMMYFUNCTION("""COMPUTED_VALUE"""),2.72)</f>
        <v>2.72</v>
      </c>
      <c r="C395" s="5">
        <v>2.68631267547607</v>
      </c>
      <c r="D395" s="5">
        <v>206.152725219726</v>
      </c>
      <c r="E395" s="7">
        <f t="shared" ref="E395:F395" si="393">C395/C394-1</f>
        <v>-0.004296283047</v>
      </c>
      <c r="F395" s="7">
        <f t="shared" si="393"/>
        <v>-0.002327582928</v>
      </c>
    </row>
    <row r="396">
      <c r="A396" s="3">
        <f>IFERROR(__xludf.DUMMYFUNCTION("""COMPUTED_VALUE"""),42828.66666666667)</f>
        <v>42828.66667</v>
      </c>
      <c r="B396" s="5">
        <f>IFERROR(__xludf.DUMMYFUNCTION("""COMPUTED_VALUE"""),2.71)</f>
        <v>2.71</v>
      </c>
      <c r="C396" s="5">
        <v>2.67275023460388</v>
      </c>
      <c r="D396" s="5">
        <v>205.794189453125</v>
      </c>
      <c r="E396" s="7">
        <f t="shared" ref="E396:F396" si="394">C396/C395-1</f>
        <v>-0.005048720127</v>
      </c>
      <c r="F396" s="7">
        <f t="shared" si="394"/>
        <v>-0.001739175489</v>
      </c>
    </row>
    <row r="397">
      <c r="A397" s="3">
        <f>IFERROR(__xludf.DUMMYFUNCTION("""COMPUTED_VALUE"""),42829.66666666667)</f>
        <v>42829.66667</v>
      </c>
      <c r="B397" s="5">
        <f>IFERROR(__xludf.DUMMYFUNCTION("""COMPUTED_VALUE"""),2.52)</f>
        <v>2.52</v>
      </c>
      <c r="C397" s="5">
        <v>2.48532700538635</v>
      </c>
      <c r="D397" s="5">
        <v>205.92527770996</v>
      </c>
      <c r="E397" s="7">
        <f t="shared" ref="E397:F397" si="395">C397/C396-1</f>
        <v>-0.07012373502</v>
      </c>
      <c r="F397" s="7">
        <f t="shared" si="395"/>
        <v>0.0006369871627</v>
      </c>
    </row>
    <row r="398">
      <c r="A398" s="3">
        <f>IFERROR(__xludf.DUMMYFUNCTION("""COMPUTED_VALUE"""),42830.66666666667)</f>
        <v>42830.66667</v>
      </c>
      <c r="B398" s="5">
        <f>IFERROR(__xludf.DUMMYFUNCTION("""COMPUTED_VALUE"""),2.5)</f>
        <v>2.5</v>
      </c>
      <c r="C398" s="5">
        <v>2.46683025360107</v>
      </c>
      <c r="D398" s="5">
        <v>205.313232421875</v>
      </c>
      <c r="E398" s="7">
        <f t="shared" ref="E398:F398" si="396">C398/C397-1</f>
        <v>-0.007442381524</v>
      </c>
      <c r="F398" s="7">
        <f t="shared" si="396"/>
        <v>-0.002972171726</v>
      </c>
    </row>
    <row r="399">
      <c r="A399" s="3">
        <f>IFERROR(__xludf.DUMMYFUNCTION("""COMPUTED_VALUE"""),42831.66666666667)</f>
        <v>42831.66667</v>
      </c>
      <c r="B399" s="5">
        <f>IFERROR(__xludf.DUMMYFUNCTION("""COMPUTED_VALUE"""),2.52)</f>
        <v>2.52</v>
      </c>
      <c r="C399" s="5">
        <v>2.48483395576477</v>
      </c>
      <c r="D399" s="5">
        <v>205.890350341796</v>
      </c>
      <c r="E399" s="7">
        <f t="shared" ref="E399:F399" si="397">C399/C398-1</f>
        <v>0.007298314157</v>
      </c>
      <c r="F399" s="7">
        <f t="shared" si="397"/>
        <v>0.002810914392</v>
      </c>
    </row>
    <row r="400">
      <c r="A400" s="3">
        <f>IFERROR(__xludf.DUMMYFUNCTION("""COMPUTED_VALUE"""),42832.66666666667)</f>
        <v>42832.66667</v>
      </c>
      <c r="B400" s="5">
        <f>IFERROR(__xludf.DUMMYFUNCTION("""COMPUTED_VALUE"""),2.51)</f>
        <v>2.51</v>
      </c>
      <c r="C400" s="5">
        <v>2.47423005104064</v>
      </c>
      <c r="D400" s="5">
        <v>205.68049621582</v>
      </c>
      <c r="E400" s="7">
        <f t="shared" ref="E400:F400" si="398">C400/C399-1</f>
        <v>-0.004267450024</v>
      </c>
      <c r="F400" s="7">
        <f t="shared" si="398"/>
        <v>-0.001019251877</v>
      </c>
    </row>
    <row r="401">
      <c r="A401" s="3">
        <f>IFERROR(__xludf.DUMMYFUNCTION("""COMPUTED_VALUE"""),42835.66666666667)</f>
        <v>42835.66667</v>
      </c>
      <c r="B401" s="5">
        <f>IFERROR(__xludf.DUMMYFUNCTION("""COMPUTED_VALUE"""),2.44)</f>
        <v>2.44</v>
      </c>
      <c r="C401" s="5">
        <v>2.41109728813171</v>
      </c>
      <c r="D401" s="5">
        <v>205.802932739257</v>
      </c>
      <c r="E401" s="7">
        <f t="shared" ref="E401:F401" si="399">C401/C400-1</f>
        <v>-0.02551612486</v>
      </c>
      <c r="F401" s="7">
        <f t="shared" si="399"/>
        <v>0.0005952753211</v>
      </c>
    </row>
    <row r="402">
      <c r="A402" s="3">
        <f>IFERROR(__xludf.DUMMYFUNCTION("""COMPUTED_VALUE"""),42836.66666666667)</f>
        <v>42836.66667</v>
      </c>
      <c r="B402" s="5">
        <f>IFERROR(__xludf.DUMMYFUNCTION("""COMPUTED_VALUE"""),2.45)</f>
        <v>2.45</v>
      </c>
      <c r="C402" s="5">
        <v>2.41972851753234</v>
      </c>
      <c r="D402" s="5">
        <v>205.558059692382</v>
      </c>
      <c r="E402" s="7">
        <f t="shared" ref="E402:F402" si="400">C402/C401-1</f>
        <v>0.003579793086</v>
      </c>
      <c r="F402" s="7">
        <f t="shared" si="400"/>
        <v>-0.001189842358</v>
      </c>
    </row>
    <row r="403">
      <c r="A403" s="3">
        <f>IFERROR(__xludf.DUMMYFUNCTION("""COMPUTED_VALUE"""),42837.66666666667)</f>
        <v>42837.66667</v>
      </c>
      <c r="B403" s="5">
        <f>IFERROR(__xludf.DUMMYFUNCTION("""COMPUTED_VALUE"""),2.43)</f>
        <v>2.43</v>
      </c>
      <c r="C403" s="5">
        <v>2.3997528553009</v>
      </c>
      <c r="D403" s="5">
        <v>204.657333374023</v>
      </c>
      <c r="E403" s="7">
        <f t="shared" ref="E403:F403" si="401">C403/C402-1</f>
        <v>-0.008255331987</v>
      </c>
      <c r="F403" s="7">
        <f t="shared" si="401"/>
        <v>-0.004381858438</v>
      </c>
    </row>
    <row r="404">
      <c r="A404" s="3">
        <f>IFERROR(__xludf.DUMMYFUNCTION("""COMPUTED_VALUE"""),42838.66666666667)</f>
        <v>42838.66667</v>
      </c>
      <c r="B404" s="5">
        <f>IFERROR(__xludf.DUMMYFUNCTION("""COMPUTED_VALUE"""),2.39)</f>
        <v>2.39</v>
      </c>
      <c r="C404" s="5">
        <v>2.35487031936645</v>
      </c>
      <c r="D404" s="5">
        <v>203.32810974121</v>
      </c>
      <c r="E404" s="7">
        <f t="shared" ref="E404:F404" si="402">C404/C403-1</f>
        <v>-0.01870298262</v>
      </c>
      <c r="F404" s="7">
        <f t="shared" si="402"/>
        <v>-0.006494874192</v>
      </c>
    </row>
    <row r="405">
      <c r="A405" s="3">
        <f>IFERROR(__xludf.DUMMYFUNCTION("""COMPUTED_VALUE"""),42842.66666666667)</f>
        <v>42842.66667</v>
      </c>
      <c r="B405" s="5">
        <f>IFERROR(__xludf.DUMMYFUNCTION("""COMPUTED_VALUE"""),2.48)</f>
        <v>2.48</v>
      </c>
      <c r="C405" s="5">
        <v>2.44710206985473</v>
      </c>
      <c r="D405" s="5">
        <v>205.129577636718</v>
      </c>
      <c r="E405" s="7">
        <f t="shared" ref="E405:F405" si="403">C405/C404-1</f>
        <v>0.039166382</v>
      </c>
      <c r="F405" s="7">
        <f t="shared" si="403"/>
        <v>0.008859905784</v>
      </c>
    </row>
    <row r="406">
      <c r="A406" s="3">
        <f>IFERROR(__xludf.DUMMYFUNCTION("""COMPUTED_VALUE"""),42843.66666666667)</f>
        <v>42843.66667</v>
      </c>
      <c r="B406" s="5">
        <f>IFERROR(__xludf.DUMMYFUNCTION("""COMPUTED_VALUE"""),2.48)</f>
        <v>2.48</v>
      </c>
      <c r="C406" s="5">
        <v>2.44858264923095</v>
      </c>
      <c r="D406" s="5">
        <v>204.517425537109</v>
      </c>
      <c r="E406" s="7">
        <f t="shared" ref="E406:F406" si="404">C406/C405-1</f>
        <v>0.000605033764</v>
      </c>
      <c r="F406" s="7">
        <f t="shared" si="404"/>
        <v>-0.002984221518</v>
      </c>
    </row>
    <row r="407">
      <c r="A407" s="3">
        <f>IFERROR(__xludf.DUMMYFUNCTION("""COMPUTED_VALUE"""),42844.66666666667)</f>
        <v>42844.66667</v>
      </c>
      <c r="B407" s="5">
        <f>IFERROR(__xludf.DUMMYFUNCTION("""COMPUTED_VALUE"""),2.49)</f>
        <v>2.49</v>
      </c>
      <c r="C407" s="5">
        <v>2.45819973945617</v>
      </c>
      <c r="D407" s="5">
        <v>204.14143371582</v>
      </c>
      <c r="E407" s="7">
        <f t="shared" ref="E407:F407" si="405">C407/C406-1</f>
        <v>0.003927615116</v>
      </c>
      <c r="F407" s="7">
        <f t="shared" si="405"/>
        <v>-0.001838434159</v>
      </c>
    </row>
    <row r="408">
      <c r="A408" s="3">
        <f>IFERROR(__xludf.DUMMYFUNCTION("""COMPUTED_VALUE"""),42845.66666666667)</f>
        <v>42845.66667</v>
      </c>
      <c r="B408" s="5">
        <f>IFERROR(__xludf.DUMMYFUNCTION("""COMPUTED_VALUE"""),2.53)</f>
        <v>2.53</v>
      </c>
      <c r="C408" s="5">
        <v>2.497163772583</v>
      </c>
      <c r="D408" s="5">
        <v>205.802932739257</v>
      </c>
      <c r="E408" s="7">
        <f t="shared" ref="E408:F408" si="406">C408/C407-1</f>
        <v>0.01585063756</v>
      </c>
      <c r="F408" s="7">
        <f t="shared" si="406"/>
        <v>0.008138960294</v>
      </c>
    </row>
    <row r="409">
      <c r="A409" s="3">
        <f>IFERROR(__xludf.DUMMYFUNCTION("""COMPUTED_VALUE"""),42846.66666666667)</f>
        <v>42846.66667</v>
      </c>
      <c r="B409" s="5">
        <f>IFERROR(__xludf.DUMMYFUNCTION("""COMPUTED_VALUE"""),2.54)</f>
        <v>2.54</v>
      </c>
      <c r="C409" s="5">
        <v>2.50752162933349</v>
      </c>
      <c r="D409" s="5">
        <v>205.147033691406</v>
      </c>
      <c r="E409" s="7">
        <f t="shared" ref="E409:F409" si="407">C409/C408-1</f>
        <v>0.004147848397</v>
      </c>
      <c r="F409" s="7">
        <f t="shared" si="407"/>
        <v>-0.003187024787</v>
      </c>
    </row>
    <row r="410">
      <c r="A410" s="3">
        <f>IFERROR(__xludf.DUMMYFUNCTION("""COMPUTED_VALUE"""),42849.66666666667)</f>
        <v>42849.66667</v>
      </c>
      <c r="B410" s="5">
        <f>IFERROR(__xludf.DUMMYFUNCTION("""COMPUTED_VALUE"""),2.57)</f>
        <v>2.57</v>
      </c>
      <c r="C410" s="5">
        <v>2.53884124755859</v>
      </c>
      <c r="D410" s="5">
        <v>207.403259277343</v>
      </c>
      <c r="E410" s="7">
        <f t="shared" ref="E410:F410" si="408">C410/C409-1</f>
        <v>0.01249026842</v>
      </c>
      <c r="F410" s="7">
        <f t="shared" si="408"/>
        <v>0.01099809023</v>
      </c>
    </row>
    <row r="411">
      <c r="A411" s="3">
        <f>IFERROR(__xludf.DUMMYFUNCTION("""COMPUTED_VALUE"""),42850.66666666667)</f>
        <v>42850.66667</v>
      </c>
      <c r="B411" s="5">
        <f>IFERROR(__xludf.DUMMYFUNCTION("""COMPUTED_VALUE"""),2.62)</f>
        <v>2.62</v>
      </c>
      <c r="C411" s="5">
        <v>2.58298349380493</v>
      </c>
      <c r="D411" s="5">
        <v>208.610076904296</v>
      </c>
      <c r="E411" s="7">
        <f t="shared" ref="E411:F411" si="409">C411/C410-1</f>
        <v>0.01738676898</v>
      </c>
      <c r="F411" s="7">
        <f t="shared" si="409"/>
        <v>0.005818701361</v>
      </c>
    </row>
    <row r="412">
      <c r="A412" s="3">
        <f>IFERROR(__xludf.DUMMYFUNCTION("""COMPUTED_VALUE"""),42851.66666666667)</f>
        <v>42851.66667</v>
      </c>
      <c r="B412" s="5">
        <f>IFERROR(__xludf.DUMMYFUNCTION("""COMPUTED_VALUE"""),2.6)</f>
        <v>2.6</v>
      </c>
      <c r="C412" s="5">
        <v>2.5652277469635</v>
      </c>
      <c r="D412" s="5">
        <v>208.478866577148</v>
      </c>
      <c r="E412" s="7">
        <f t="shared" ref="E412:F412" si="410">C412/C411-1</f>
        <v>-0.006874123232</v>
      </c>
      <c r="F412" s="7">
        <f t="shared" si="410"/>
        <v>-0.0006289740606</v>
      </c>
    </row>
    <row r="413">
      <c r="A413" s="3">
        <f>IFERROR(__xludf.DUMMYFUNCTION("""COMPUTED_VALUE"""),42852.66666666667)</f>
        <v>42852.66667</v>
      </c>
      <c r="B413" s="5">
        <f>IFERROR(__xludf.DUMMYFUNCTION("""COMPUTED_VALUE"""),2.64)</f>
        <v>2.64</v>
      </c>
      <c r="C413" s="5">
        <v>2.60517907142639</v>
      </c>
      <c r="D413" s="5">
        <v>208.653778076171</v>
      </c>
      <c r="E413" s="7">
        <f t="shared" ref="E413:F413" si="411">C413/C412-1</f>
        <v>0.01557418226</v>
      </c>
      <c r="F413" s="7">
        <f t="shared" si="411"/>
        <v>0.0008389891114</v>
      </c>
    </row>
    <row r="414">
      <c r="A414" s="3">
        <f>IFERROR(__xludf.DUMMYFUNCTION("""COMPUTED_VALUE"""),42853.66666666667)</f>
        <v>42853.66667</v>
      </c>
      <c r="B414" s="5">
        <f>IFERROR(__xludf.DUMMYFUNCTION("""COMPUTED_VALUE"""),2.61)</f>
        <v>2.61</v>
      </c>
      <c r="C414" s="5">
        <v>2.57213306427001</v>
      </c>
      <c r="D414" s="5">
        <v>208.19905090332</v>
      </c>
      <c r="E414" s="7">
        <f t="shared" ref="E414:F414" si="412">C414/C413-1</f>
        <v>-0.01268473539</v>
      </c>
      <c r="F414" s="7">
        <f t="shared" si="412"/>
        <v>-0.002179338314</v>
      </c>
    </row>
    <row r="415">
      <c r="A415" s="3">
        <f>IFERROR(__xludf.DUMMYFUNCTION("""COMPUTED_VALUE"""),42856.66666666667)</f>
        <v>42856.66667</v>
      </c>
      <c r="B415" s="5">
        <f>IFERROR(__xludf.DUMMYFUNCTION("""COMPUTED_VALUE"""),2.67)</f>
        <v>2.67</v>
      </c>
      <c r="C415" s="5">
        <v>2.6298394203186</v>
      </c>
      <c r="D415" s="5">
        <v>208.723754882812</v>
      </c>
      <c r="E415" s="7">
        <f t="shared" ref="E415:F415" si="413">C415/C414-1</f>
        <v>0.02243521412</v>
      </c>
      <c r="F415" s="7">
        <f t="shared" si="413"/>
        <v>0.002520203513</v>
      </c>
    </row>
    <row r="416">
      <c r="A416" s="3">
        <f>IFERROR(__xludf.DUMMYFUNCTION("""COMPUTED_VALUE"""),42857.66666666667)</f>
        <v>42857.66667</v>
      </c>
      <c r="B416" s="5">
        <f>IFERROR(__xludf.DUMMYFUNCTION("""COMPUTED_VALUE"""),2.59)</f>
        <v>2.59</v>
      </c>
      <c r="C416" s="5">
        <v>2.55191111564636</v>
      </c>
      <c r="D416" s="5">
        <v>208.802444458007</v>
      </c>
      <c r="E416" s="7">
        <f t="shared" ref="E416:F416" si="414">C416/C415-1</f>
        <v>-0.02963234336</v>
      </c>
      <c r="F416" s="7">
        <f t="shared" si="414"/>
        <v>0.0003770034476</v>
      </c>
    </row>
    <row r="417">
      <c r="A417" s="3">
        <f>IFERROR(__xludf.DUMMYFUNCTION("""COMPUTED_VALUE"""),42858.66666666667)</f>
        <v>42858.66667</v>
      </c>
      <c r="B417" s="5">
        <f>IFERROR(__xludf.DUMMYFUNCTION("""COMPUTED_VALUE"""),2.61)</f>
        <v>2.61</v>
      </c>
      <c r="C417" s="5">
        <v>2.57090020179748</v>
      </c>
      <c r="D417" s="5">
        <v>208.548843383789</v>
      </c>
      <c r="E417" s="7">
        <f t="shared" ref="E417:F417" si="415">C417/C416-1</f>
        <v>0.007441123648</v>
      </c>
      <c r="F417" s="7">
        <f t="shared" si="415"/>
        <v>-0.001214550313</v>
      </c>
    </row>
    <row r="418">
      <c r="A418" s="3">
        <f>IFERROR(__xludf.DUMMYFUNCTION("""COMPUTED_VALUE"""),42859.66666666667)</f>
        <v>42859.66667</v>
      </c>
      <c r="B418" s="5">
        <f>IFERROR(__xludf.DUMMYFUNCTION("""COMPUTED_VALUE"""),2.6)</f>
        <v>2.6</v>
      </c>
      <c r="C418" s="5">
        <v>2.56103563308715</v>
      </c>
      <c r="D418" s="5">
        <v>208.793655395507</v>
      </c>
      <c r="E418" s="7">
        <f t="shared" ref="E418:F418" si="416">C418/C417-1</f>
        <v>-0.003837009583</v>
      </c>
      <c r="F418" s="7">
        <f t="shared" si="416"/>
        <v>0.001173883335</v>
      </c>
    </row>
    <row r="419">
      <c r="A419" s="3">
        <f>IFERROR(__xludf.DUMMYFUNCTION("""COMPUTED_VALUE"""),42860.66666666667)</f>
        <v>42860.66667</v>
      </c>
      <c r="B419" s="5">
        <f>IFERROR(__xludf.DUMMYFUNCTION("""COMPUTED_VALUE"""),2.6)</f>
        <v>2.6</v>
      </c>
      <c r="C419" s="5">
        <v>2.56128191947937</v>
      </c>
      <c r="D419" s="5">
        <v>209.61570739746</v>
      </c>
      <c r="E419" s="7">
        <f t="shared" ref="E419:F419" si="417">C419/C418-1</f>
        <v>0.00009616671828</v>
      </c>
      <c r="F419" s="7">
        <f t="shared" si="417"/>
        <v>0.003937150295</v>
      </c>
    </row>
    <row r="420">
      <c r="A420" s="3">
        <f>IFERROR(__xludf.DUMMYFUNCTION("""COMPUTED_VALUE"""),42863.66666666667)</f>
        <v>42863.66667</v>
      </c>
      <c r="B420" s="5">
        <f>IFERROR(__xludf.DUMMYFUNCTION("""COMPUTED_VALUE"""),2.57)</f>
        <v>2.57</v>
      </c>
      <c r="C420" s="5">
        <v>2.5344021320343</v>
      </c>
      <c r="D420" s="5">
        <v>209.580749511718</v>
      </c>
      <c r="E420" s="7">
        <f t="shared" ref="E420:F420" si="418">C420/C419-1</f>
        <v>-0.01049466177</v>
      </c>
      <c r="F420" s="7">
        <f t="shared" si="418"/>
        <v>-0.0001667713082</v>
      </c>
    </row>
    <row r="421">
      <c r="A421" s="3">
        <f>IFERROR(__xludf.DUMMYFUNCTION("""COMPUTED_VALUE"""),42864.66666666667)</f>
        <v>42864.66667</v>
      </c>
      <c r="B421" s="5">
        <f>IFERROR(__xludf.DUMMYFUNCTION("""COMPUTED_VALUE"""),2.57)</f>
        <v>2.57</v>
      </c>
      <c r="C421" s="5">
        <v>2.53859305381774</v>
      </c>
      <c r="D421" s="5">
        <v>209.388351440429</v>
      </c>
      <c r="E421" s="7">
        <f t="shared" ref="E421:F421" si="419">C421/C420-1</f>
        <v>0.00165361358</v>
      </c>
      <c r="F421" s="7">
        <f t="shared" si="419"/>
        <v>-0.0009180140435</v>
      </c>
    </row>
    <row r="422">
      <c r="A422" s="3">
        <f>IFERROR(__xludf.DUMMYFUNCTION("""COMPUTED_VALUE"""),42865.66666666667)</f>
        <v>42865.66667</v>
      </c>
      <c r="B422" s="5">
        <f>IFERROR(__xludf.DUMMYFUNCTION("""COMPUTED_VALUE"""),3.03)</f>
        <v>3.03</v>
      </c>
      <c r="C422" s="5">
        <v>2.99112200736999</v>
      </c>
      <c r="D422" s="5">
        <v>209.764358520507</v>
      </c>
      <c r="E422" s="7">
        <f t="shared" ref="E422:F422" si="420">C422/C421-1</f>
        <v>0.1782597462</v>
      </c>
      <c r="F422" s="7">
        <f t="shared" si="420"/>
        <v>0.0017957402</v>
      </c>
    </row>
    <row r="423">
      <c r="A423" s="3">
        <f>IFERROR(__xludf.DUMMYFUNCTION("""COMPUTED_VALUE"""),42866.66666666667)</f>
        <v>42866.66667</v>
      </c>
      <c r="B423" s="5">
        <f>IFERROR(__xludf.DUMMYFUNCTION("""COMPUTED_VALUE"""),3.16)</f>
        <v>3.16</v>
      </c>
      <c r="C423" s="5">
        <v>3.1196060180664</v>
      </c>
      <c r="D423" s="5">
        <v>209.335861206054</v>
      </c>
      <c r="E423" s="7">
        <f t="shared" ref="E423:F423" si="421">C423/C422-1</f>
        <v>0.04295512198</v>
      </c>
      <c r="F423" s="7">
        <f t="shared" si="421"/>
        <v>-0.002042755583</v>
      </c>
    </row>
    <row r="424">
      <c r="A424" s="3">
        <f>IFERROR(__xludf.DUMMYFUNCTION("""COMPUTED_VALUE"""),42867.66666666667)</f>
        <v>42867.66667</v>
      </c>
      <c r="B424" s="5">
        <f>IFERROR(__xludf.DUMMYFUNCTION("""COMPUTED_VALUE"""),3.2)</f>
        <v>3.2</v>
      </c>
      <c r="C424" s="5">
        <v>3.15388417243957</v>
      </c>
      <c r="D424" s="5">
        <v>208.986053466796</v>
      </c>
      <c r="E424" s="7">
        <f t="shared" ref="E424:F424" si="422">C424/C423-1</f>
        <v>0.01098797546</v>
      </c>
      <c r="F424" s="7">
        <f t="shared" si="422"/>
        <v>-0.0016710359</v>
      </c>
    </row>
    <row r="425">
      <c r="A425" s="3">
        <f>IFERROR(__xludf.DUMMYFUNCTION("""COMPUTED_VALUE"""),42870.66666666667)</f>
        <v>42870.66667</v>
      </c>
      <c r="B425" s="5">
        <f>IFERROR(__xludf.DUMMYFUNCTION("""COMPUTED_VALUE"""),3.36)</f>
        <v>3.36</v>
      </c>
      <c r="C425" s="5">
        <v>3.31220698356628</v>
      </c>
      <c r="D425" s="5">
        <v>210.140441894531</v>
      </c>
      <c r="E425" s="7">
        <f t="shared" ref="E425:F425" si="423">C425/C424-1</f>
        <v>0.05019931059</v>
      </c>
      <c r="F425" s="7">
        <f t="shared" si="423"/>
        <v>0.005523758206</v>
      </c>
    </row>
    <row r="426">
      <c r="A426" s="3">
        <f>IFERROR(__xludf.DUMMYFUNCTION("""COMPUTED_VALUE"""),42871.66666666667)</f>
        <v>42871.66667</v>
      </c>
      <c r="B426" s="5">
        <f>IFERROR(__xludf.DUMMYFUNCTION("""COMPUTED_VALUE"""),3.42)</f>
        <v>3.42</v>
      </c>
      <c r="C426" s="5">
        <v>3.37385892868042</v>
      </c>
      <c r="D426" s="5">
        <v>209.948028564453</v>
      </c>
      <c r="E426" s="7">
        <f t="shared" ref="E426:F426" si="424">C426/C425-1</f>
        <v>0.01861355447</v>
      </c>
      <c r="F426" s="7">
        <f t="shared" si="424"/>
        <v>-0.0009156415983</v>
      </c>
    </row>
    <row r="427">
      <c r="A427" s="3">
        <f>IFERROR(__xludf.DUMMYFUNCTION("""COMPUTED_VALUE"""),42872.66666666667)</f>
        <v>42872.66667</v>
      </c>
      <c r="B427" s="5">
        <f>IFERROR(__xludf.DUMMYFUNCTION("""COMPUTED_VALUE"""),3.19)</f>
        <v>3.19</v>
      </c>
      <c r="C427" s="5">
        <v>3.14969182014465</v>
      </c>
      <c r="D427" s="5">
        <v>206.222671508789</v>
      </c>
      <c r="E427" s="7">
        <f t="shared" ref="E427:F427" si="425">C427/C426-1</f>
        <v>-0.06644234785</v>
      </c>
      <c r="F427" s="7">
        <f t="shared" si="425"/>
        <v>-0.01774418689</v>
      </c>
    </row>
    <row r="428">
      <c r="A428" s="3">
        <f>IFERROR(__xludf.DUMMYFUNCTION("""COMPUTED_VALUE"""),42873.66666666667)</f>
        <v>42873.66667</v>
      </c>
      <c r="B428" s="5">
        <f>IFERROR(__xludf.DUMMYFUNCTION("""COMPUTED_VALUE"""),3.33)</f>
        <v>3.33</v>
      </c>
      <c r="C428" s="5">
        <v>3.28162670135498</v>
      </c>
      <c r="D428" s="5">
        <v>207.053436279296</v>
      </c>
      <c r="E428" s="7">
        <f t="shared" ref="E428:F428" si="426">C428/C427-1</f>
        <v>0.0418881874</v>
      </c>
      <c r="F428" s="7">
        <f t="shared" si="426"/>
        <v>0.004028484184</v>
      </c>
    </row>
    <row r="429">
      <c r="A429" s="3">
        <f>IFERROR(__xludf.DUMMYFUNCTION("""COMPUTED_VALUE"""),42874.66666666667)</f>
        <v>42874.66667</v>
      </c>
      <c r="B429" s="5">
        <f>IFERROR(__xludf.DUMMYFUNCTION("""COMPUTED_VALUE"""),3.4)</f>
        <v>3.4</v>
      </c>
      <c r="C429" s="5">
        <v>3.35741639137268</v>
      </c>
      <c r="D429" s="5">
        <v>208.400146484375</v>
      </c>
      <c r="E429" s="7">
        <f t="shared" ref="E429:F429" si="427">C429/C428-1</f>
        <v>0.02309515887</v>
      </c>
      <c r="F429" s="7">
        <f t="shared" si="427"/>
        <v>0.006504167375</v>
      </c>
    </row>
    <row r="430">
      <c r="A430" s="3">
        <f>IFERROR(__xludf.DUMMYFUNCTION("""COMPUTED_VALUE"""),42877.66666666667)</f>
        <v>42877.66667</v>
      </c>
      <c r="B430" s="5">
        <f>IFERROR(__xludf.DUMMYFUNCTION("""COMPUTED_VALUE"""),3.47)</f>
        <v>3.47</v>
      </c>
      <c r="C430" s="5">
        <v>3.42900824546813</v>
      </c>
      <c r="D430" s="5">
        <v>209.458251953125</v>
      </c>
      <c r="E430" s="7">
        <f t="shared" ref="E430:F430" si="428">C430/C429-1</f>
        <v>0.02132349573</v>
      </c>
      <c r="F430" s="7">
        <f t="shared" si="428"/>
        <v>0.005077277951</v>
      </c>
    </row>
    <row r="431">
      <c r="A431" s="3">
        <f>IFERROR(__xludf.DUMMYFUNCTION("""COMPUTED_VALUE"""),42878.66666666667)</f>
        <v>42878.66667</v>
      </c>
      <c r="B431" s="5">
        <f>IFERROR(__xludf.DUMMYFUNCTION("""COMPUTED_VALUE"""),3.43)</f>
        <v>3.43</v>
      </c>
      <c r="C431" s="5">
        <v>3.38284349441528</v>
      </c>
      <c r="D431" s="5">
        <v>209.921829223632</v>
      </c>
      <c r="E431" s="7">
        <f t="shared" ref="E431:F431" si="429">C431/C430-1</f>
        <v>-0.0134630038</v>
      </c>
      <c r="F431" s="7">
        <f t="shared" si="429"/>
        <v>0.002213220373</v>
      </c>
    </row>
    <row r="432">
      <c r="A432" s="3">
        <f>IFERROR(__xludf.DUMMYFUNCTION("""COMPUTED_VALUE"""),42879.66666666667)</f>
        <v>42879.66667</v>
      </c>
      <c r="B432" s="5">
        <f>IFERROR(__xludf.DUMMYFUNCTION("""COMPUTED_VALUE"""),3.46)</f>
        <v>3.46</v>
      </c>
      <c r="C432" s="5">
        <v>3.42086195945739</v>
      </c>
      <c r="D432" s="5">
        <v>210.411514282226</v>
      </c>
      <c r="E432" s="7">
        <f t="shared" ref="E432:F432" si="430">C432/C431-1</f>
        <v>0.01123861187</v>
      </c>
      <c r="F432" s="7">
        <f t="shared" si="430"/>
        <v>0.002332701942</v>
      </c>
    </row>
    <row r="433">
      <c r="A433" s="3">
        <f>IFERROR(__xludf.DUMMYFUNCTION("""COMPUTED_VALUE"""),42880.66666666667)</f>
        <v>42880.66667</v>
      </c>
      <c r="B433" s="5">
        <f>IFERROR(__xludf.DUMMYFUNCTION("""COMPUTED_VALUE"""),3.46)</f>
        <v>3.46</v>
      </c>
      <c r="C433" s="5">
        <v>3.41320919990539</v>
      </c>
      <c r="D433" s="5">
        <v>211.417175292968</v>
      </c>
      <c r="E433" s="7">
        <f t="shared" ref="E433:F433" si="431">C433/C432-1</f>
        <v>-0.002237085168</v>
      </c>
      <c r="F433" s="7">
        <f t="shared" si="431"/>
        <v>0.004779496094</v>
      </c>
    </row>
    <row r="434">
      <c r="A434" s="3">
        <f>IFERROR(__xludf.DUMMYFUNCTION("""COMPUTED_VALUE"""),42881.66666666667)</f>
        <v>42881.66667</v>
      </c>
      <c r="B434" s="5">
        <f>IFERROR(__xludf.DUMMYFUNCTION("""COMPUTED_VALUE"""),3.55)</f>
        <v>3.55</v>
      </c>
      <c r="C434" s="5">
        <v>3.50158786773681</v>
      </c>
      <c r="D434" s="5">
        <v>211.373443603515</v>
      </c>
      <c r="E434" s="7">
        <f t="shared" ref="E434:F434" si="432">C434/C433-1</f>
        <v>0.0258931295</v>
      </c>
      <c r="F434" s="7">
        <f t="shared" si="432"/>
        <v>-0.0002068502211</v>
      </c>
    </row>
    <row r="435">
      <c r="A435" s="3">
        <f>IFERROR(__xludf.DUMMYFUNCTION("""COMPUTED_VALUE"""),42885.66666666667)</f>
        <v>42885.66667</v>
      </c>
      <c r="B435" s="5">
        <f>IFERROR(__xludf.DUMMYFUNCTION("""COMPUTED_VALUE"""),3.62)</f>
        <v>3.62</v>
      </c>
      <c r="C435" s="5">
        <v>3.57638978958129</v>
      </c>
      <c r="D435" s="5">
        <v>211.189788818359</v>
      </c>
      <c r="E435" s="7">
        <f t="shared" ref="E435:F435" si="433">C435/C434-1</f>
        <v>0.0213622861</v>
      </c>
      <c r="F435" s="7">
        <f t="shared" si="433"/>
        <v>-0.0008688640447</v>
      </c>
    </row>
    <row r="436">
      <c r="A436" s="3">
        <f>IFERROR(__xludf.DUMMYFUNCTION("""COMPUTED_VALUE"""),42886.66666666667)</f>
        <v>42886.66667</v>
      </c>
      <c r="B436" s="5">
        <f>IFERROR(__xludf.DUMMYFUNCTION("""COMPUTED_VALUE"""),3.61)</f>
        <v>3.61</v>
      </c>
      <c r="C436" s="5">
        <v>3.56355142593383</v>
      </c>
      <c r="D436" s="5">
        <v>211.137298583984</v>
      </c>
      <c r="E436" s="7">
        <f t="shared" ref="E436:F436" si="434">C436/C435-1</f>
        <v>-0.003589755145</v>
      </c>
      <c r="F436" s="7">
        <f t="shared" si="434"/>
        <v>-0.0002485453235</v>
      </c>
    </row>
    <row r="437">
      <c r="A437" s="3">
        <f>IFERROR(__xludf.DUMMYFUNCTION("""COMPUTED_VALUE"""),42887.66666666667)</f>
        <v>42887.66667</v>
      </c>
      <c r="B437" s="5">
        <f>IFERROR(__xludf.DUMMYFUNCTION("""COMPUTED_VALUE"""),3.61)</f>
        <v>3.61</v>
      </c>
      <c r="C437" s="5">
        <v>3.56379890441894</v>
      </c>
      <c r="D437" s="5">
        <v>212.816329956054</v>
      </c>
      <c r="E437" s="7">
        <f t="shared" ref="E437:F437" si="435">C437/C436-1</f>
        <v>0.00006944714851</v>
      </c>
      <c r="F437" s="7">
        <f t="shared" si="435"/>
        <v>0.007952320046</v>
      </c>
    </row>
    <row r="438">
      <c r="A438" s="3">
        <f>IFERROR(__xludf.DUMMYFUNCTION("""COMPUTED_VALUE"""),42888.66666666667)</f>
        <v>42888.66667</v>
      </c>
      <c r="B438" s="5">
        <f>IFERROR(__xludf.DUMMYFUNCTION("""COMPUTED_VALUE"""),3.59)</f>
        <v>3.59</v>
      </c>
      <c r="C438" s="5">
        <v>3.54602336883544</v>
      </c>
      <c r="D438" s="5">
        <v>213.524688720703</v>
      </c>
      <c r="E438" s="7">
        <f t="shared" ref="E438:F438" si="436">C438/C437-1</f>
        <v>-0.004987805446</v>
      </c>
      <c r="F438" s="7">
        <f t="shared" si="436"/>
        <v>0.003328498169</v>
      </c>
    </row>
    <row r="439">
      <c r="A439" s="3">
        <f>IFERROR(__xludf.DUMMYFUNCTION("""COMPUTED_VALUE"""),42891.66666666667)</f>
        <v>42891.66667</v>
      </c>
      <c r="B439" s="5">
        <f>IFERROR(__xludf.DUMMYFUNCTION("""COMPUTED_VALUE"""),3.7)</f>
        <v>3.7</v>
      </c>
      <c r="C439" s="5">
        <v>3.65390610694885</v>
      </c>
      <c r="D439" s="5">
        <v>213.367248535156</v>
      </c>
      <c r="E439" s="7">
        <f t="shared" ref="E439:F439" si="437">C439/C438-1</f>
        <v>0.03042358352</v>
      </c>
      <c r="F439" s="7">
        <f t="shared" si="437"/>
        <v>-0.0007373394922</v>
      </c>
    </row>
    <row r="440">
      <c r="A440" s="3">
        <f>IFERROR(__xludf.DUMMYFUNCTION("""COMPUTED_VALUE"""),42892.66666666667)</f>
        <v>42892.66667</v>
      </c>
      <c r="B440" s="5">
        <f>IFERROR(__xludf.DUMMYFUNCTION("""COMPUTED_VALUE"""),3.68)</f>
        <v>3.68</v>
      </c>
      <c r="C440" s="5">
        <v>3.63736605644226</v>
      </c>
      <c r="D440" s="5">
        <v>212.685195922851</v>
      </c>
      <c r="E440" s="7">
        <f t="shared" ref="E440:F440" si="438">C440/C439-1</f>
        <v>-0.00452667639</v>
      </c>
      <c r="F440" s="7">
        <f t="shared" si="438"/>
        <v>-0.003196613431</v>
      </c>
    </row>
    <row r="441">
      <c r="A441" s="3">
        <f>IFERROR(__xludf.DUMMYFUNCTION("""COMPUTED_VALUE"""),42893.66666666667)</f>
        <v>42893.66667</v>
      </c>
      <c r="B441" s="5">
        <f>IFERROR(__xludf.DUMMYFUNCTION("""COMPUTED_VALUE"""),3.73)</f>
        <v>3.73</v>
      </c>
      <c r="C441" s="5">
        <v>3.68130850791931</v>
      </c>
      <c r="D441" s="5">
        <v>213.078704833984</v>
      </c>
      <c r="E441" s="7">
        <f t="shared" ref="E441:F441" si="439">C441/C440-1</f>
        <v>0.01208084388</v>
      </c>
      <c r="F441" s="7">
        <f t="shared" si="439"/>
        <v>0.001850194177</v>
      </c>
    </row>
    <row r="442">
      <c r="A442" s="3">
        <f>IFERROR(__xludf.DUMMYFUNCTION("""COMPUTED_VALUE"""),42894.66666666667)</f>
        <v>42894.66667</v>
      </c>
      <c r="B442" s="5">
        <f>IFERROR(__xludf.DUMMYFUNCTION("""COMPUTED_VALUE"""),4.0)</f>
        <v>4</v>
      </c>
      <c r="C442" s="5">
        <v>3.94842052459716</v>
      </c>
      <c r="D442" s="5">
        <v>213.183654785156</v>
      </c>
      <c r="E442" s="7">
        <f t="shared" ref="E442:F442" si="440">C442/C441-1</f>
        <v>0.07255898714</v>
      </c>
      <c r="F442" s="7">
        <f t="shared" si="440"/>
        <v>0.0004925407786</v>
      </c>
    </row>
    <row r="443">
      <c r="A443" s="3">
        <f>IFERROR(__xludf.DUMMYFUNCTION("""COMPUTED_VALUE"""),42895.66666666667)</f>
        <v>42895.66667</v>
      </c>
      <c r="B443" s="5">
        <f>IFERROR(__xludf.DUMMYFUNCTION("""COMPUTED_VALUE"""),3.74)</f>
        <v>3.74</v>
      </c>
      <c r="C443" s="5">
        <v>3.69315767288208</v>
      </c>
      <c r="D443" s="5">
        <v>212.860122680664</v>
      </c>
      <c r="E443" s="7">
        <f t="shared" ref="E443:F443" si="441">C443/C442-1</f>
        <v>-0.06464935792</v>
      </c>
      <c r="F443" s="7">
        <f t="shared" si="441"/>
        <v>-0.001517621531</v>
      </c>
    </row>
    <row r="444">
      <c r="A444" s="3">
        <f>IFERROR(__xludf.DUMMYFUNCTION("""COMPUTED_VALUE"""),42898.66666666667)</f>
        <v>42898.66667</v>
      </c>
      <c r="B444" s="5">
        <f>IFERROR(__xludf.DUMMYFUNCTION("""COMPUTED_VALUE"""),3.75)</f>
        <v>3.75</v>
      </c>
      <c r="C444" s="5">
        <v>3.70229172706604</v>
      </c>
      <c r="D444" s="5">
        <v>212.816329956054</v>
      </c>
      <c r="E444" s="7">
        <f t="shared" ref="E444:F444" si="442">C444/C443-1</f>
        <v>0.002473236995</v>
      </c>
      <c r="F444" s="7">
        <f t="shared" si="442"/>
        <v>-0.0002057347523</v>
      </c>
    </row>
    <row r="445">
      <c r="A445" s="3">
        <f>IFERROR(__xludf.DUMMYFUNCTION("""COMPUTED_VALUE"""),42899.66666666667)</f>
        <v>42899.66667</v>
      </c>
      <c r="B445" s="5">
        <f>IFERROR(__xludf.DUMMYFUNCTION("""COMPUTED_VALUE"""),3.79)</f>
        <v>3.79</v>
      </c>
      <c r="C445" s="5">
        <v>3.7375943660736</v>
      </c>
      <c r="D445" s="5">
        <v>213.857009887695</v>
      </c>
      <c r="E445" s="7">
        <f t="shared" ref="E445:F445" si="443">C445/C444-1</f>
        <v>0.009535347728</v>
      </c>
      <c r="F445" s="7">
        <f t="shared" si="443"/>
        <v>0.004890037958</v>
      </c>
    </row>
    <row r="446">
      <c r="A446" s="3">
        <f>IFERROR(__xludf.DUMMYFUNCTION("""COMPUTED_VALUE"""),42900.66666666667)</f>
        <v>42900.66667</v>
      </c>
      <c r="B446" s="5">
        <f>IFERROR(__xludf.DUMMYFUNCTION("""COMPUTED_VALUE"""),3.79)</f>
        <v>3.79</v>
      </c>
      <c r="C446" s="5">
        <v>3.74549460411071</v>
      </c>
      <c r="D446" s="5">
        <v>213.58592224121</v>
      </c>
      <c r="E446" s="7">
        <f t="shared" ref="E446:F446" si="444">C446/C445-1</f>
        <v>0.002113722695</v>
      </c>
      <c r="F446" s="7">
        <f t="shared" si="444"/>
        <v>-0.001267611694</v>
      </c>
    </row>
    <row r="447">
      <c r="A447" s="3">
        <f>IFERROR(__xludf.DUMMYFUNCTION("""COMPUTED_VALUE"""),42901.66666666667)</f>
        <v>42901.66667</v>
      </c>
      <c r="B447" s="5">
        <f>IFERROR(__xludf.DUMMYFUNCTION("""COMPUTED_VALUE"""),3.81)</f>
        <v>3.81</v>
      </c>
      <c r="C447" s="5">
        <v>3.76154041290283</v>
      </c>
      <c r="D447" s="5">
        <v>213.174835205078</v>
      </c>
      <c r="E447" s="7">
        <f t="shared" ref="E447:F447" si="445">C447/C446-1</f>
        <v>0.004284029344</v>
      </c>
      <c r="F447" s="7">
        <f t="shared" si="445"/>
        <v>-0.001924691627</v>
      </c>
    </row>
    <row r="448">
      <c r="A448" s="3">
        <f>IFERROR(__xludf.DUMMYFUNCTION("""COMPUTED_VALUE"""),42902.66666666667)</f>
        <v>42902.66667</v>
      </c>
      <c r="B448" s="5">
        <f>IFERROR(__xludf.DUMMYFUNCTION("""COMPUTED_VALUE"""),3.79)</f>
        <v>3.79</v>
      </c>
      <c r="C448" s="5">
        <v>3.74302554130554</v>
      </c>
      <c r="D448" s="5">
        <v>213.221496582031</v>
      </c>
      <c r="E448" s="7">
        <f t="shared" ref="E448:F448" si="446">C448/C447-1</f>
        <v>-0.00492215145</v>
      </c>
      <c r="F448" s="7">
        <f t="shared" si="446"/>
        <v>0.0002188878294</v>
      </c>
    </row>
    <row r="449">
      <c r="A449" s="3">
        <f>IFERROR(__xludf.DUMMYFUNCTION("""COMPUTED_VALUE"""),42905.66666666667)</f>
        <v>42905.66667</v>
      </c>
      <c r="B449" s="5">
        <f>IFERROR(__xludf.DUMMYFUNCTION("""COMPUTED_VALUE"""),3.93)</f>
        <v>3.93</v>
      </c>
      <c r="C449" s="5">
        <v>3.8837411403656</v>
      </c>
      <c r="D449" s="5">
        <v>214.99658203125</v>
      </c>
      <c r="E449" s="7">
        <f t="shared" ref="E449:F449" si="447">C449/C448-1</f>
        <v>0.03759407931</v>
      </c>
      <c r="F449" s="7">
        <f t="shared" si="447"/>
        <v>0.008325077338</v>
      </c>
    </row>
    <row r="450">
      <c r="A450" s="3">
        <f>IFERROR(__xludf.DUMMYFUNCTION("""COMPUTED_VALUE"""),42906.66666666667)</f>
        <v>42906.66667</v>
      </c>
      <c r="B450" s="5">
        <f>IFERROR(__xludf.DUMMYFUNCTION("""COMPUTED_VALUE"""),3.93)</f>
        <v>3.93</v>
      </c>
      <c r="C450" s="5">
        <v>3.87806248664855</v>
      </c>
      <c r="D450" s="5">
        <v>213.546615600585</v>
      </c>
      <c r="E450" s="7">
        <f t="shared" ref="E450:F450" si="448">C450/C449-1</f>
        <v>-0.001462160714</v>
      </c>
      <c r="F450" s="7">
        <f t="shared" si="448"/>
        <v>-0.006744137125</v>
      </c>
    </row>
    <row r="451">
      <c r="A451" s="3">
        <f>IFERROR(__xludf.DUMMYFUNCTION("""COMPUTED_VALUE"""),42907.66666666667)</f>
        <v>42907.66667</v>
      </c>
      <c r="B451" s="5">
        <f>IFERROR(__xludf.DUMMYFUNCTION("""COMPUTED_VALUE"""),3.99)</f>
        <v>3.99</v>
      </c>
      <c r="C451" s="5">
        <v>3.93681740760803</v>
      </c>
      <c r="D451" s="5">
        <v>213.493896484375</v>
      </c>
      <c r="E451" s="7">
        <f t="shared" ref="E451:F451" si="449">C451/C450-1</f>
        <v>0.01515058645</v>
      </c>
      <c r="F451" s="7">
        <f t="shared" si="449"/>
        <v>-0.0002468740423</v>
      </c>
    </row>
    <row r="452">
      <c r="A452" s="3">
        <f>IFERROR(__xludf.DUMMYFUNCTION("""COMPUTED_VALUE"""),42908.66666666667)</f>
        <v>42908.66667</v>
      </c>
      <c r="B452" s="5">
        <f>IFERROR(__xludf.DUMMYFUNCTION("""COMPUTED_VALUE"""),3.96)</f>
        <v>3.96</v>
      </c>
      <c r="C452" s="5">
        <v>3.90966176986694</v>
      </c>
      <c r="D452" s="5">
        <v>213.397201538085</v>
      </c>
      <c r="E452" s="7">
        <f t="shared" ref="E452:F452" si="450">C452/C451-1</f>
        <v>-0.006897865694</v>
      </c>
      <c r="F452" s="7">
        <f t="shared" si="450"/>
        <v>-0.0004529166776</v>
      </c>
    </row>
    <row r="453">
      <c r="A453" s="3">
        <f>IFERROR(__xludf.DUMMYFUNCTION("""COMPUTED_VALUE"""),42909.66666666667)</f>
        <v>42909.66667</v>
      </c>
      <c r="B453" s="5">
        <f>IFERROR(__xludf.DUMMYFUNCTION("""COMPUTED_VALUE"""),3.85)</f>
        <v>3.85</v>
      </c>
      <c r="C453" s="5">
        <v>3.79758429527282</v>
      </c>
      <c r="D453" s="5">
        <v>213.652069091796</v>
      </c>
      <c r="E453" s="7">
        <f t="shared" ref="E453:F453" si="451">C453/C452-1</f>
        <v>-0.02866679554</v>
      </c>
      <c r="F453" s="7">
        <f t="shared" si="451"/>
        <v>0.001194334096</v>
      </c>
    </row>
    <row r="454">
      <c r="A454" s="3">
        <f>IFERROR(__xludf.DUMMYFUNCTION("""COMPUTED_VALUE"""),42912.66666666667)</f>
        <v>42912.66667</v>
      </c>
      <c r="B454" s="5">
        <f>IFERROR(__xludf.DUMMYFUNCTION("""COMPUTED_VALUE"""),3.8)</f>
        <v>3.8</v>
      </c>
      <c r="C454" s="5">
        <v>3.75610923767089</v>
      </c>
      <c r="D454" s="5">
        <v>213.792648315429</v>
      </c>
      <c r="E454" s="7">
        <f t="shared" ref="E454:F454" si="452">C454/C453-1</f>
        <v>-0.01092143173</v>
      </c>
      <c r="F454" s="7">
        <f t="shared" si="452"/>
        <v>0.000657982037</v>
      </c>
    </row>
    <row r="455">
      <c r="A455" s="3">
        <f>IFERROR(__xludf.DUMMYFUNCTION("""COMPUTED_VALUE"""),42913.66666666667)</f>
        <v>42913.66667</v>
      </c>
      <c r="B455" s="5">
        <f>IFERROR(__xludf.DUMMYFUNCTION("""COMPUTED_VALUE"""),3.66)</f>
        <v>3.66</v>
      </c>
      <c r="C455" s="5">
        <v>3.61860370635986</v>
      </c>
      <c r="D455" s="5">
        <v>212.07029724121</v>
      </c>
      <c r="E455" s="7">
        <f t="shared" ref="E455:F455" si="453">C455/C454-1</f>
        <v>-0.03660850167</v>
      </c>
      <c r="F455" s="7">
        <f t="shared" si="453"/>
        <v>-0.008056175401</v>
      </c>
    </row>
    <row r="456">
      <c r="A456" s="3">
        <f>IFERROR(__xludf.DUMMYFUNCTION("""COMPUTED_VALUE"""),42914.66666666667)</f>
        <v>42914.66667</v>
      </c>
      <c r="B456" s="5">
        <f>IFERROR(__xludf.DUMMYFUNCTION("""COMPUTED_VALUE"""),3.79)</f>
        <v>3.79</v>
      </c>
      <c r="C456" s="5">
        <v>3.74623537063598</v>
      </c>
      <c r="D456" s="5">
        <v>213.968444824218</v>
      </c>
      <c r="E456" s="7">
        <f t="shared" ref="E456:F456" si="454">C456/C455-1</f>
        <v>0.03527097042</v>
      </c>
      <c r="F456" s="7">
        <f t="shared" si="454"/>
        <v>0.008950558412</v>
      </c>
    </row>
    <row r="457">
      <c r="A457" s="3">
        <f>IFERROR(__xludf.DUMMYFUNCTION("""COMPUTED_VALUE"""),42915.66666666667)</f>
        <v>42915.66667</v>
      </c>
      <c r="B457" s="5">
        <f>IFERROR(__xludf.DUMMYFUNCTION("""COMPUTED_VALUE"""),3.67)</f>
        <v>3.67</v>
      </c>
      <c r="C457" s="5">
        <v>3.62107276916503</v>
      </c>
      <c r="D457" s="5">
        <v>212.087905883789</v>
      </c>
      <c r="E457" s="7">
        <f t="shared" ref="E457:F457" si="455">C457/C456-1</f>
        <v>-0.0334102343</v>
      </c>
      <c r="F457" s="7">
        <f t="shared" si="455"/>
        <v>-0.008788861096</v>
      </c>
    </row>
    <row r="458">
      <c r="A458" s="3">
        <f>IFERROR(__xludf.DUMMYFUNCTION("""COMPUTED_VALUE"""),42916.66666666667)</f>
        <v>42916.66667</v>
      </c>
      <c r="B458" s="5">
        <f>IFERROR(__xludf.DUMMYFUNCTION("""COMPUTED_VALUE"""),3.61)</f>
        <v>3.61</v>
      </c>
      <c r="C458" s="5">
        <v>3.56873607635498</v>
      </c>
      <c r="D458" s="5">
        <v>212.483322143554</v>
      </c>
      <c r="E458" s="7">
        <f t="shared" ref="E458:F458" si="456">C458/C457-1</f>
        <v>-0.01445336676</v>
      </c>
      <c r="F458" s="7">
        <f t="shared" si="456"/>
        <v>0.001864397963</v>
      </c>
    </row>
    <row r="459">
      <c r="A459" s="3">
        <f>IFERROR(__xludf.DUMMYFUNCTION("""COMPUTED_VALUE"""),42919.66666666667)</f>
        <v>42919.66667</v>
      </c>
      <c r="B459" s="5">
        <f>IFERROR(__xludf.DUMMYFUNCTION("""COMPUTED_VALUE"""),3.48)</f>
        <v>3.48</v>
      </c>
      <c r="C459" s="5">
        <v>3.43962359428405</v>
      </c>
      <c r="D459" s="5">
        <v>212.843597412109</v>
      </c>
      <c r="E459" s="7">
        <f t="shared" ref="E459:F459" si="457">C459/C458-1</f>
        <v>-0.0361787701</v>
      </c>
      <c r="F459" s="7">
        <f t="shared" si="457"/>
        <v>0.001695546102</v>
      </c>
    </row>
    <row r="460">
      <c r="A460" s="3">
        <f>IFERROR(__xludf.DUMMYFUNCTION("""COMPUTED_VALUE"""),42921.66666666667)</f>
        <v>42921.66667</v>
      </c>
      <c r="B460" s="5">
        <f>IFERROR(__xludf.DUMMYFUNCTION("""COMPUTED_VALUE"""),3.58)</f>
        <v>3.58</v>
      </c>
      <c r="C460" s="5">
        <v>3.53145861625671</v>
      </c>
      <c r="D460" s="5">
        <v>213.335723876953</v>
      </c>
      <c r="E460" s="7">
        <f t="shared" ref="E460:F460" si="458">C460/C459-1</f>
        <v>0.02669914875</v>
      </c>
      <c r="F460" s="7">
        <f t="shared" si="458"/>
        <v>0.002312150663</v>
      </c>
    </row>
    <row r="461">
      <c r="A461" s="3">
        <f>IFERROR(__xludf.DUMMYFUNCTION("""COMPUTED_VALUE"""),42922.66666666667)</f>
        <v>42922.66667</v>
      </c>
      <c r="B461" s="5">
        <f>IFERROR(__xludf.DUMMYFUNCTION("""COMPUTED_VALUE"""),3.59)</f>
        <v>3.59</v>
      </c>
      <c r="C461" s="5">
        <v>3.54207444190979</v>
      </c>
      <c r="D461" s="5">
        <v>211.384857177734</v>
      </c>
      <c r="E461" s="7">
        <f t="shared" ref="E461:F461" si="459">C461/C460-1</f>
        <v>0.003006073922</v>
      </c>
      <c r="F461" s="7">
        <f t="shared" si="459"/>
        <v>-0.009144585181</v>
      </c>
    </row>
    <row r="462">
      <c r="A462" s="3">
        <f>IFERROR(__xludf.DUMMYFUNCTION("""COMPUTED_VALUE"""),42923.66666666667)</f>
        <v>42923.66667</v>
      </c>
      <c r="B462" s="5">
        <f>IFERROR(__xludf.DUMMYFUNCTION("""COMPUTED_VALUE"""),3.67)</f>
        <v>3.67</v>
      </c>
      <c r="C462" s="5">
        <v>3.62304711341857</v>
      </c>
      <c r="D462" s="5">
        <v>212.755752563476</v>
      </c>
      <c r="E462" s="7">
        <f t="shared" ref="E462:F462" si="460">C462/C461-1</f>
        <v>0.02286023991</v>
      </c>
      <c r="F462" s="7">
        <f t="shared" si="460"/>
        <v>0.006485305542</v>
      </c>
    </row>
    <row r="463">
      <c r="A463" s="3">
        <f>IFERROR(__xludf.DUMMYFUNCTION("""COMPUTED_VALUE"""),42926.66666666667)</f>
        <v>42926.66667</v>
      </c>
      <c r="B463" s="5">
        <f>IFERROR(__xludf.DUMMYFUNCTION("""COMPUTED_VALUE"""),3.84)</f>
        <v>3.84</v>
      </c>
      <c r="C463" s="5">
        <v>3.79437494277954</v>
      </c>
      <c r="D463" s="5">
        <v>212.984222412109</v>
      </c>
      <c r="E463" s="7">
        <f t="shared" ref="E463:F463" si="461">C463/C462-1</f>
        <v>0.04728832499</v>
      </c>
      <c r="F463" s="7">
        <f t="shared" si="461"/>
        <v>0.001073859794</v>
      </c>
    </row>
    <row r="464">
      <c r="A464" s="3">
        <f>IFERROR(__xludf.DUMMYFUNCTION("""COMPUTED_VALUE"""),42927.66666666667)</f>
        <v>42927.66667</v>
      </c>
      <c r="B464" s="5">
        <f>IFERROR(__xludf.DUMMYFUNCTION("""COMPUTED_VALUE"""),3.9)</f>
        <v>3.9</v>
      </c>
      <c r="C464" s="5">
        <v>3.84819102287292</v>
      </c>
      <c r="D464" s="5">
        <v>212.826034545898</v>
      </c>
      <c r="E464" s="7">
        <f t="shared" ref="E464:F464" si="462">C464/C463-1</f>
        <v>0.01418312131</v>
      </c>
      <c r="F464" s="7">
        <f t="shared" si="462"/>
        <v>-0.0007427210543</v>
      </c>
    </row>
    <row r="465">
      <c r="A465" s="3">
        <f>IFERROR(__xludf.DUMMYFUNCTION("""COMPUTED_VALUE"""),42928.66666666667)</f>
        <v>42928.66667</v>
      </c>
      <c r="B465" s="5">
        <f>IFERROR(__xludf.DUMMYFUNCTION("""COMPUTED_VALUE"""),4.06)</f>
        <v>4.06</v>
      </c>
      <c r="C465" s="5">
        <v>4.01186609268188</v>
      </c>
      <c r="D465" s="5">
        <v>214.425369262695</v>
      </c>
      <c r="E465" s="7">
        <f t="shared" ref="E465:F465" si="463">C465/C464-1</f>
        <v>0.04253298987</v>
      </c>
      <c r="F465" s="7">
        <f t="shared" si="463"/>
        <v>0.007514751286</v>
      </c>
    </row>
    <row r="466">
      <c r="A466" s="3">
        <f>IFERROR(__xludf.DUMMYFUNCTION("""COMPUTED_VALUE"""),42929.66666666667)</f>
        <v>42929.66667</v>
      </c>
      <c r="B466" s="5">
        <f>IFERROR(__xludf.DUMMYFUNCTION("""COMPUTED_VALUE"""),4.02)</f>
        <v>4.02</v>
      </c>
      <c r="C466" s="5">
        <v>3.9654541015625</v>
      </c>
      <c r="D466" s="5">
        <v>214.785675048828</v>
      </c>
      <c r="E466" s="7">
        <f t="shared" ref="E466:F466" si="464">C466/C465-1</f>
        <v>-0.01156867903</v>
      </c>
      <c r="F466" s="7">
        <f t="shared" si="464"/>
        <v>0.001680331891</v>
      </c>
    </row>
    <row r="467">
      <c r="A467" s="3">
        <f>IFERROR(__xludf.DUMMYFUNCTION("""COMPUTED_VALUE"""),42930.66666666667)</f>
        <v>42930.66667</v>
      </c>
      <c r="B467" s="5">
        <f>IFERROR(__xludf.DUMMYFUNCTION("""COMPUTED_VALUE"""),4.12)</f>
        <v>4.12</v>
      </c>
      <c r="C467" s="5">
        <v>4.07210159301757</v>
      </c>
      <c r="D467" s="5">
        <v>215.78742980957</v>
      </c>
      <c r="E467" s="7">
        <f t="shared" ref="E467:F467" si="465">C467/C466-1</f>
        <v>0.02689414345</v>
      </c>
      <c r="F467" s="7">
        <f t="shared" si="465"/>
        <v>0.004663973799</v>
      </c>
    </row>
    <row r="468">
      <c r="A468" s="3">
        <f>IFERROR(__xludf.DUMMYFUNCTION("""COMPUTED_VALUE"""),42933.66666666667)</f>
        <v>42933.66667</v>
      </c>
      <c r="B468" s="5">
        <f>IFERROR(__xludf.DUMMYFUNCTION("""COMPUTED_VALUE"""),4.11)</f>
        <v>4.11</v>
      </c>
      <c r="C468" s="5">
        <v>4.05482053756713</v>
      </c>
      <c r="D468" s="5">
        <v>215.761093139648</v>
      </c>
      <c r="E468" s="7">
        <f t="shared" ref="E468:F468" si="466">C468/C467-1</f>
        <v>-0.00424376825</v>
      </c>
      <c r="F468" s="7">
        <f t="shared" si="466"/>
        <v>-0.0001220491386</v>
      </c>
    </row>
    <row r="469">
      <c r="A469" s="3">
        <f>IFERROR(__xludf.DUMMYFUNCTION("""COMPUTED_VALUE"""),42934.66666666667)</f>
        <v>42934.66667</v>
      </c>
      <c r="B469" s="5">
        <f>IFERROR(__xludf.DUMMYFUNCTION("""COMPUTED_VALUE"""),4.15)</f>
        <v>4.15</v>
      </c>
      <c r="C469" s="5">
        <v>4.09703588485717</v>
      </c>
      <c r="D469" s="5">
        <v>215.875335693359</v>
      </c>
      <c r="E469" s="7">
        <f t="shared" ref="E469:F469" si="467">C469/C468-1</f>
        <v>0.0104111506</v>
      </c>
      <c r="F469" s="7">
        <f t="shared" si="467"/>
        <v>0.0005294863502</v>
      </c>
    </row>
    <row r="470">
      <c r="A470" s="3">
        <f>IFERROR(__xludf.DUMMYFUNCTION("""COMPUTED_VALUE"""),42935.66666666667)</f>
        <v>42935.66667</v>
      </c>
      <c r="B470" s="5">
        <f>IFERROR(__xludf.DUMMYFUNCTION("""COMPUTED_VALUE"""),4.13)</f>
        <v>4.13</v>
      </c>
      <c r="C470" s="5">
        <v>4.07580518722534</v>
      </c>
      <c r="D470" s="5">
        <v>217.04409790039</v>
      </c>
      <c r="E470" s="7">
        <f t="shared" ref="E470:F470" si="468">C470/C469-1</f>
        <v>-0.005181965262</v>
      </c>
      <c r="F470" s="7">
        <f t="shared" si="468"/>
        <v>0.005414060867</v>
      </c>
    </row>
    <row r="471">
      <c r="A471" s="3">
        <f>IFERROR(__xludf.DUMMYFUNCTION("""COMPUTED_VALUE"""),42936.66666666667)</f>
        <v>42936.66667</v>
      </c>
      <c r="B471" s="5">
        <f>IFERROR(__xludf.DUMMYFUNCTION("""COMPUTED_VALUE"""),4.19)</f>
        <v>4.19</v>
      </c>
      <c r="C471" s="5">
        <v>4.13505315780639</v>
      </c>
      <c r="D471" s="5">
        <v>217.140731811523</v>
      </c>
      <c r="E471" s="7">
        <f t="shared" ref="E471:F471" si="469">C471/C470-1</f>
        <v>0.01453650699</v>
      </c>
      <c r="F471" s="7">
        <f t="shared" si="469"/>
        <v>0.0004452270855</v>
      </c>
    </row>
    <row r="472">
      <c r="A472" s="3">
        <f>IFERROR(__xludf.DUMMYFUNCTION("""COMPUTED_VALUE"""),42937.66666666667)</f>
        <v>42937.66667</v>
      </c>
      <c r="B472" s="5">
        <f>IFERROR(__xludf.DUMMYFUNCTION("""COMPUTED_VALUE"""),4.2)</f>
        <v>4.2</v>
      </c>
      <c r="C472" s="5">
        <v>4.14986610412597</v>
      </c>
      <c r="D472" s="5">
        <v>216.947387695312</v>
      </c>
      <c r="E472" s="7">
        <f t="shared" ref="E472:F472" si="470">C472/C471-1</f>
        <v>0.003582286794</v>
      </c>
      <c r="F472" s="7">
        <f t="shared" si="470"/>
        <v>-0.0008904092502</v>
      </c>
    </row>
    <row r="473">
      <c r="A473" s="3">
        <f>IFERROR(__xludf.DUMMYFUNCTION("""COMPUTED_VALUE"""),42940.66666666667)</f>
        <v>42940.66667</v>
      </c>
      <c r="B473" s="5">
        <f>IFERROR(__xludf.DUMMYFUNCTION("""COMPUTED_VALUE"""),4.15)</f>
        <v>4.15</v>
      </c>
      <c r="C473" s="5">
        <v>4.10172605514526</v>
      </c>
      <c r="D473" s="5">
        <v>216.894699096679</v>
      </c>
      <c r="E473" s="7">
        <f t="shared" ref="E473:F473" si="471">C473/C472-1</f>
        <v>-0.01160038608</v>
      </c>
      <c r="F473" s="7">
        <f t="shared" si="471"/>
        <v>-0.000242863485</v>
      </c>
    </row>
    <row r="474">
      <c r="A474" s="3">
        <f>IFERROR(__xludf.DUMMYFUNCTION("""COMPUTED_VALUE"""),42941.66666666667)</f>
        <v>42941.66667</v>
      </c>
      <c r="B474" s="5">
        <f>IFERROR(__xludf.DUMMYFUNCTION("""COMPUTED_VALUE"""),4.13)</f>
        <v>4.13</v>
      </c>
      <c r="C474" s="5">
        <v>4.0819764137268</v>
      </c>
      <c r="D474" s="5">
        <v>217.421951293945</v>
      </c>
      <c r="E474" s="7">
        <f t="shared" ref="E474:F474" si="472">C474/C473-1</f>
        <v>-0.004814958667</v>
      </c>
      <c r="F474" s="7">
        <f t="shared" si="472"/>
        <v>0.002430913247</v>
      </c>
    </row>
    <row r="475">
      <c r="A475" s="3">
        <f>IFERROR(__xludf.DUMMYFUNCTION("""COMPUTED_VALUE"""),42942.66666666667)</f>
        <v>42942.66667</v>
      </c>
      <c r="B475" s="5">
        <f>IFERROR(__xludf.DUMMYFUNCTION("""COMPUTED_VALUE"""),4.18)</f>
        <v>4.18</v>
      </c>
      <c r="C475" s="5">
        <v>4.12912940979003</v>
      </c>
      <c r="D475" s="5">
        <v>217.430740356445</v>
      </c>
      <c r="E475" s="7">
        <f t="shared" ref="E475:F475" si="473">C475/C474-1</f>
        <v>0.01155151115</v>
      </c>
      <c r="F475" s="7">
        <f t="shared" si="473"/>
        <v>0.00004042398869</v>
      </c>
    </row>
    <row r="476">
      <c r="A476" s="3">
        <f>IFERROR(__xludf.DUMMYFUNCTION("""COMPUTED_VALUE"""),42943.66666666667)</f>
        <v>42943.66667</v>
      </c>
      <c r="B476" s="5">
        <f>IFERROR(__xludf.DUMMYFUNCTION("""COMPUTED_VALUE"""),4.04)</f>
        <v>4.04</v>
      </c>
      <c r="C476" s="5">
        <v>3.9928560256958</v>
      </c>
      <c r="D476" s="5">
        <v>217.228622436523</v>
      </c>
      <c r="E476" s="7">
        <f t="shared" ref="E476:F476" si="474">C476/C475-1</f>
        <v>-0.03300293369</v>
      </c>
      <c r="F476" s="7">
        <f t="shared" si="474"/>
        <v>-0.0009295738017</v>
      </c>
    </row>
    <row r="477">
      <c r="A477" s="3">
        <f>IFERROR(__xludf.DUMMYFUNCTION("""COMPUTED_VALUE"""),42944.66666666667)</f>
        <v>42944.66667</v>
      </c>
      <c r="B477" s="5">
        <f>IFERROR(__xludf.DUMMYFUNCTION("""COMPUTED_VALUE"""),4.11)</f>
        <v>4.11</v>
      </c>
      <c r="C477" s="5">
        <v>4.05827713012695</v>
      </c>
      <c r="D477" s="5">
        <v>216.97378540039</v>
      </c>
      <c r="E477" s="7">
        <f t="shared" ref="E477:F477" si="475">C477/C476-1</f>
        <v>0.01638453879</v>
      </c>
      <c r="F477" s="7">
        <f t="shared" si="475"/>
        <v>-0.001173128261</v>
      </c>
    </row>
    <row r="478">
      <c r="A478" s="3">
        <f>IFERROR(__xludf.DUMMYFUNCTION("""COMPUTED_VALUE"""),42947.66666666667)</f>
        <v>42947.66667</v>
      </c>
      <c r="B478" s="5">
        <f>IFERROR(__xludf.DUMMYFUNCTION("""COMPUTED_VALUE"""),4.06)</f>
        <v>4.06</v>
      </c>
      <c r="C478" s="5">
        <v>4.01186609268188</v>
      </c>
      <c r="D478" s="5">
        <v>216.850753784179</v>
      </c>
      <c r="E478" s="7">
        <f t="shared" ref="E478:F478" si="476">C478/C477-1</f>
        <v>-0.01143614296</v>
      </c>
      <c r="F478" s="7">
        <f t="shared" si="476"/>
        <v>-0.0005670344737</v>
      </c>
    </row>
    <row r="479">
      <c r="A479" s="3">
        <f>IFERROR(__xludf.DUMMYFUNCTION("""COMPUTED_VALUE"""),42948.66666666667)</f>
        <v>42948.66667</v>
      </c>
      <c r="B479" s="5">
        <f>IFERROR(__xludf.DUMMYFUNCTION("""COMPUTED_VALUE"""),4.11)</f>
        <v>4.11</v>
      </c>
      <c r="C479" s="5">
        <v>4.06074476242065</v>
      </c>
      <c r="D479" s="5">
        <v>217.334075927734</v>
      </c>
      <c r="E479" s="7">
        <f t="shared" ref="E479:F479" si="477">C479/C478-1</f>
        <v>0.01218352473</v>
      </c>
      <c r="F479" s="7">
        <f t="shared" si="477"/>
        <v>0.002228823904</v>
      </c>
    </row>
    <row r="480">
      <c r="A480" s="3">
        <f>IFERROR(__xludf.DUMMYFUNCTION("""COMPUTED_VALUE"""),42949.66666666667)</f>
        <v>42949.66667</v>
      </c>
      <c r="B480" s="5">
        <f>IFERROR(__xludf.DUMMYFUNCTION("""COMPUTED_VALUE"""),4.11)</f>
        <v>4.11</v>
      </c>
      <c r="C480" s="5">
        <v>4.05827713012695</v>
      </c>
      <c r="D480" s="5">
        <v>217.439529418945</v>
      </c>
      <c r="E480" s="7">
        <f t="shared" ref="E480:F480" si="478">C480/C479-1</f>
        <v>-0.0006076797332</v>
      </c>
      <c r="F480" s="7">
        <f t="shared" si="478"/>
        <v>0.0004852137925</v>
      </c>
    </row>
    <row r="481">
      <c r="A481" s="3">
        <f>IFERROR(__xludf.DUMMYFUNCTION("""COMPUTED_VALUE"""),42950.66666666667)</f>
        <v>42950.66667</v>
      </c>
      <c r="B481" s="5">
        <f>IFERROR(__xludf.DUMMYFUNCTION("""COMPUTED_VALUE"""),4.16)</f>
        <v>4.16</v>
      </c>
      <c r="C481" s="5">
        <v>4.109872341156</v>
      </c>
      <c r="D481" s="5">
        <v>217.017684936523</v>
      </c>
      <c r="E481" s="7">
        <f t="shared" ref="E481:F481" si="479">C481/C480-1</f>
        <v>0.01271357509</v>
      </c>
      <c r="F481" s="7">
        <f t="shared" si="479"/>
        <v>-0.001940054247</v>
      </c>
    </row>
    <row r="482">
      <c r="A482" s="3">
        <f>IFERROR(__xludf.DUMMYFUNCTION("""COMPUTED_VALUE"""),42951.66666666667)</f>
        <v>42951.66667</v>
      </c>
      <c r="B482" s="5">
        <f>IFERROR(__xludf.DUMMYFUNCTION("""COMPUTED_VALUE"""),4.18)</f>
        <v>4.18</v>
      </c>
      <c r="C482" s="5">
        <v>4.12789297103881</v>
      </c>
      <c r="D482" s="5">
        <v>217.413177490234</v>
      </c>
      <c r="E482" s="7">
        <f t="shared" ref="E482:F482" si="480">C482/C481-1</f>
        <v>0.004384717672</v>
      </c>
      <c r="F482" s="7">
        <f t="shared" si="480"/>
        <v>0.00182239781</v>
      </c>
    </row>
    <row r="483">
      <c r="A483" s="3">
        <f>IFERROR(__xludf.DUMMYFUNCTION("""COMPUTED_VALUE"""),42954.66666666667)</f>
        <v>42954.66667</v>
      </c>
      <c r="B483" s="5">
        <f>IFERROR(__xludf.DUMMYFUNCTION("""COMPUTED_VALUE"""),4.31)</f>
        <v>4.31</v>
      </c>
      <c r="C483" s="5">
        <v>4.25478458404541</v>
      </c>
      <c r="D483" s="5">
        <v>217.817352294921</v>
      </c>
      <c r="E483" s="7">
        <f t="shared" ref="E483:F483" si="481">C483/C482-1</f>
        <v>0.03074004435</v>
      </c>
      <c r="F483" s="7">
        <f t="shared" si="481"/>
        <v>0.001859017054</v>
      </c>
    </row>
    <row r="484">
      <c r="A484" s="3">
        <f>IFERROR(__xludf.DUMMYFUNCTION("""COMPUTED_VALUE"""),42955.66666666667)</f>
        <v>42955.66667</v>
      </c>
      <c r="B484" s="5">
        <f>IFERROR(__xludf.DUMMYFUNCTION("""COMPUTED_VALUE"""),4.26)</f>
        <v>4.26</v>
      </c>
      <c r="C484" s="5">
        <v>4.20417737960815</v>
      </c>
      <c r="D484" s="5">
        <v>217.281295776367</v>
      </c>
      <c r="E484" s="7">
        <f t="shared" ref="E484:F484" si="482">C484/C483-1</f>
        <v>-0.01189418722</v>
      </c>
      <c r="F484" s="7">
        <f t="shared" si="482"/>
        <v>-0.002461036795</v>
      </c>
    </row>
    <row r="485">
      <c r="A485" s="3">
        <f>IFERROR(__xludf.DUMMYFUNCTION("""COMPUTED_VALUE"""),42956.66666666667)</f>
        <v>42956.66667</v>
      </c>
      <c r="B485" s="5">
        <f>IFERROR(__xludf.DUMMYFUNCTION("""COMPUTED_VALUE"""),4.3)</f>
        <v>4.3</v>
      </c>
      <c r="C485" s="5">
        <v>4.24886083602905</v>
      </c>
      <c r="D485" s="5">
        <v>217.272567749023</v>
      </c>
      <c r="E485" s="7">
        <f t="shared" ref="E485:F485" si="483">C485/C484-1</f>
        <v>0.01062834709</v>
      </c>
      <c r="F485" s="7">
        <f t="shared" si="483"/>
        <v>-0.00004016925301</v>
      </c>
    </row>
    <row r="486">
      <c r="A486" s="3">
        <f>IFERROR(__xludf.DUMMYFUNCTION("""COMPUTED_VALUE"""),42957.66666666667)</f>
        <v>42957.66667</v>
      </c>
      <c r="B486" s="5">
        <f>IFERROR(__xludf.DUMMYFUNCTION("""COMPUTED_VALUE"""),4.12)</f>
        <v>4.12</v>
      </c>
      <c r="C486" s="5">
        <v>4.06691598892211</v>
      </c>
      <c r="D486" s="5">
        <v>214.205688476562</v>
      </c>
      <c r="E486" s="7">
        <f t="shared" ref="E486:F486" si="484">C486/C485-1</f>
        <v>-0.04282203022</v>
      </c>
      <c r="F486" s="7">
        <f t="shared" si="484"/>
        <v>-0.0141153543</v>
      </c>
    </row>
    <row r="487">
      <c r="A487" s="3">
        <f>IFERROR(__xludf.DUMMYFUNCTION("""COMPUTED_VALUE"""),42958.66666666667)</f>
        <v>42958.66667</v>
      </c>
      <c r="B487" s="5">
        <f>IFERROR(__xludf.DUMMYFUNCTION("""COMPUTED_VALUE"""),3.9)</f>
        <v>3.9</v>
      </c>
      <c r="C487" s="5">
        <v>3.85016655921936</v>
      </c>
      <c r="D487" s="5">
        <v>214.522033691406</v>
      </c>
      <c r="E487" s="7">
        <f t="shared" ref="E487:F487" si="485">C487/C486-1</f>
        <v>-0.05329577259</v>
      </c>
      <c r="F487" s="7">
        <f t="shared" si="485"/>
        <v>0.001476829197</v>
      </c>
    </row>
    <row r="488">
      <c r="A488" s="3">
        <f>IFERROR(__xludf.DUMMYFUNCTION("""COMPUTED_VALUE"""),42961.66666666667)</f>
        <v>42961.66667</v>
      </c>
      <c r="B488" s="5">
        <f>IFERROR(__xludf.DUMMYFUNCTION("""COMPUTED_VALUE"""),4.21)</f>
        <v>4.21</v>
      </c>
      <c r="C488" s="5">
        <v>4.15727233886718</v>
      </c>
      <c r="D488" s="5">
        <v>216.64859008789</v>
      </c>
      <c r="E488" s="7">
        <f t="shared" ref="E488:F488" si="486">C488/C487-1</f>
        <v>0.0797642842</v>
      </c>
      <c r="F488" s="7">
        <f t="shared" si="486"/>
        <v>0.00991299756</v>
      </c>
    </row>
    <row r="489">
      <c r="A489" s="3">
        <f>IFERROR(__xludf.DUMMYFUNCTION("""COMPUTED_VALUE"""),42962.66666666667)</f>
        <v>42962.66667</v>
      </c>
      <c r="B489" s="5">
        <f>IFERROR(__xludf.DUMMYFUNCTION("""COMPUTED_VALUE"""),4.17)</f>
        <v>4.17</v>
      </c>
      <c r="C489" s="5">
        <v>4.12221574783325</v>
      </c>
      <c r="D489" s="5">
        <v>216.622253417968</v>
      </c>
      <c r="E489" s="7">
        <f t="shared" ref="E489:F489" si="487">C489/C488-1</f>
        <v>-0.008432594301</v>
      </c>
      <c r="F489" s="7">
        <f t="shared" si="487"/>
        <v>-0.0001215640033</v>
      </c>
    </row>
    <row r="490">
      <c r="A490" s="3">
        <f>IFERROR(__xludf.DUMMYFUNCTION("""COMPUTED_VALUE"""),42963.66666666667)</f>
        <v>42963.66667</v>
      </c>
      <c r="B490" s="5">
        <f>IFERROR(__xludf.DUMMYFUNCTION("""COMPUTED_VALUE"""),4.13)</f>
        <v>4.13</v>
      </c>
      <c r="C490" s="5">
        <v>4.07703971862793</v>
      </c>
      <c r="D490" s="5">
        <v>217.000183105468</v>
      </c>
      <c r="E490" s="7">
        <f t="shared" ref="E490:F490" si="488">C490/C489-1</f>
        <v>-0.01095916176</v>
      </c>
      <c r="F490" s="7">
        <f t="shared" si="488"/>
        <v>0.001744648491</v>
      </c>
    </row>
    <row r="491">
      <c r="A491" s="3">
        <f>IFERROR(__xludf.DUMMYFUNCTION("""COMPUTED_VALUE"""),42964.66666666667)</f>
        <v>42964.66667</v>
      </c>
      <c r="B491" s="5">
        <f>IFERROR(__xludf.DUMMYFUNCTION("""COMPUTED_VALUE"""),4.04)</f>
        <v>4.04</v>
      </c>
      <c r="C491" s="5">
        <v>3.98619127273559</v>
      </c>
      <c r="D491" s="5">
        <v>213.616897583007</v>
      </c>
      <c r="E491" s="7">
        <f t="shared" ref="E491:F491" si="489">C491/C490-1</f>
        <v>-0.02228294355</v>
      </c>
      <c r="F491" s="7">
        <f t="shared" si="489"/>
        <v>-0.01559116437</v>
      </c>
    </row>
    <row r="492">
      <c r="A492" s="3">
        <f>IFERROR(__xludf.DUMMYFUNCTION("""COMPUTED_VALUE"""),42965.66666666667)</f>
        <v>42965.66667</v>
      </c>
      <c r="B492" s="5">
        <f>IFERROR(__xludf.DUMMYFUNCTION("""COMPUTED_VALUE"""),4.04)</f>
        <v>4.04</v>
      </c>
      <c r="C492" s="5">
        <v>3.98693203926086</v>
      </c>
      <c r="D492" s="5">
        <v>213.282974243164</v>
      </c>
      <c r="E492" s="7">
        <f t="shared" ref="E492:F492" si="490">C492/C491-1</f>
        <v>0.0001858331612</v>
      </c>
      <c r="F492" s="7">
        <f t="shared" si="490"/>
        <v>-0.001563187855</v>
      </c>
    </row>
    <row r="493">
      <c r="A493" s="3">
        <f>IFERROR(__xludf.DUMMYFUNCTION("""COMPUTED_VALUE"""),42968.66666666667)</f>
        <v>42968.66667</v>
      </c>
      <c r="B493" s="5">
        <f>IFERROR(__xludf.DUMMYFUNCTION("""COMPUTED_VALUE"""),3.98)</f>
        <v>3.98</v>
      </c>
      <c r="C493" s="5">
        <v>3.92891788482666</v>
      </c>
      <c r="D493" s="5">
        <v>213.449966430664</v>
      </c>
      <c r="E493" s="7">
        <f t="shared" ref="E493:F493" si="491">C493/C492-1</f>
        <v>-0.01455107683</v>
      </c>
      <c r="F493" s="7">
        <f t="shared" si="491"/>
        <v>0.0007829607032</v>
      </c>
    </row>
    <row r="494">
      <c r="A494" s="3">
        <f>IFERROR(__xludf.DUMMYFUNCTION("""COMPUTED_VALUE"""),42969.66666666667)</f>
        <v>42969.66667</v>
      </c>
      <c r="B494" s="5">
        <f>IFERROR(__xludf.DUMMYFUNCTION("""COMPUTED_VALUE"""),4.06)</f>
        <v>4.06</v>
      </c>
      <c r="C494" s="5">
        <v>4.01638460159301</v>
      </c>
      <c r="D494" s="5">
        <v>215.681976318359</v>
      </c>
      <c r="E494" s="7">
        <f t="shared" ref="E494:F494" si="492">C494/C493-1</f>
        <v>0.02226229189</v>
      </c>
      <c r="F494" s="7">
        <f t="shared" si="492"/>
        <v>0.01045682942</v>
      </c>
    </row>
    <row r="495">
      <c r="A495" s="3">
        <f>IFERROR(__xludf.DUMMYFUNCTION("""COMPUTED_VALUE"""),42970.66666666667)</f>
        <v>42970.66667</v>
      </c>
      <c r="B495" s="5">
        <f>IFERROR(__xludf.DUMMYFUNCTION("""COMPUTED_VALUE"""),4.14)</f>
        <v>4.14</v>
      </c>
      <c r="C495" s="5">
        <v>4.09668922424316</v>
      </c>
      <c r="D495" s="5">
        <v>214.908706665039</v>
      </c>
      <c r="E495" s="7">
        <f t="shared" ref="E495:F495" si="493">C495/C494-1</f>
        <v>0.01999425618</v>
      </c>
      <c r="F495" s="7">
        <f t="shared" si="493"/>
        <v>-0.003585230748</v>
      </c>
    </row>
    <row r="496">
      <c r="A496" s="3">
        <f>IFERROR(__xludf.DUMMYFUNCTION("""COMPUTED_VALUE"""),42971.66666666667)</f>
        <v>42971.66667</v>
      </c>
      <c r="B496" s="5">
        <f>IFERROR(__xludf.DUMMYFUNCTION("""COMPUTED_VALUE"""),4.13)</f>
        <v>4.13</v>
      </c>
      <c r="C496" s="5">
        <v>4.08161783218383</v>
      </c>
      <c r="D496" s="5">
        <v>214.407791137695</v>
      </c>
      <c r="E496" s="7">
        <f t="shared" ref="E496:F496" si="494">C496/C495-1</f>
        <v>-0.003678920034</v>
      </c>
      <c r="F496" s="7">
        <f t="shared" si="494"/>
        <v>-0.002330829379</v>
      </c>
    </row>
    <row r="497">
      <c r="A497" s="3">
        <f>IFERROR(__xludf.DUMMYFUNCTION("""COMPUTED_VALUE"""),42972.66666666667)</f>
        <v>42972.66667</v>
      </c>
      <c r="B497" s="5">
        <f>IFERROR(__xludf.DUMMYFUNCTION("""COMPUTED_VALUE"""),4.1)</f>
        <v>4.1</v>
      </c>
      <c r="C497" s="5">
        <v>4.04751873016357</v>
      </c>
      <c r="D497" s="5">
        <v>214.908706665039</v>
      </c>
      <c r="E497" s="7">
        <f t="shared" ref="E497:F497" si="495">C497/C496-1</f>
        <v>-0.00835431033</v>
      </c>
      <c r="F497" s="7">
        <f t="shared" si="495"/>
        <v>0.002336274837</v>
      </c>
    </row>
    <row r="498">
      <c r="A498" s="3">
        <f>IFERROR(__xludf.DUMMYFUNCTION("""COMPUTED_VALUE"""),42975.66666666667)</f>
        <v>42975.66667</v>
      </c>
      <c r="B498" s="5">
        <f>IFERROR(__xludf.DUMMYFUNCTION("""COMPUTED_VALUE"""),4.12)</f>
        <v>4.12</v>
      </c>
      <c r="C498" s="5">
        <v>4.076180934906</v>
      </c>
      <c r="D498" s="5">
        <v>214.917495727539</v>
      </c>
      <c r="E498" s="7">
        <f t="shared" ref="E498:F498" si="496">C498/C497-1</f>
        <v>0.007081426092</v>
      </c>
      <c r="F498" s="7">
        <f t="shared" si="496"/>
        <v>0.00004089672604</v>
      </c>
    </row>
    <row r="499">
      <c r="A499" s="3">
        <f>IFERROR(__xludf.DUMMYFUNCTION("""COMPUTED_VALUE"""),42976.66666666667)</f>
        <v>42976.66667</v>
      </c>
      <c r="B499" s="5">
        <f>IFERROR(__xludf.DUMMYFUNCTION("""COMPUTED_VALUE"""),4.12)</f>
        <v>4.12</v>
      </c>
      <c r="C499" s="5">
        <v>4.06950807571411</v>
      </c>
      <c r="D499" s="5">
        <v>215.16355895996</v>
      </c>
      <c r="E499" s="7">
        <f t="shared" ref="E499:F499" si="497">C499/C498-1</f>
        <v>-0.001637037045</v>
      </c>
      <c r="F499" s="7">
        <f t="shared" si="497"/>
        <v>0.001144919503</v>
      </c>
    </row>
    <row r="500">
      <c r="A500" s="3">
        <f>IFERROR(__xludf.DUMMYFUNCTION("""COMPUTED_VALUE"""),42977.66666666667)</f>
        <v>42977.66667</v>
      </c>
      <c r="B500" s="5">
        <f>IFERROR(__xludf.DUMMYFUNCTION("""COMPUTED_VALUE"""),4.14)</f>
        <v>4.14</v>
      </c>
      <c r="C500" s="5">
        <v>4.09372472763061</v>
      </c>
      <c r="D500" s="5">
        <v>216.182861328125</v>
      </c>
      <c r="E500" s="7">
        <f t="shared" ref="E500:F500" si="498">C500/C499-1</f>
        <v>0.00595075657</v>
      </c>
      <c r="F500" s="7">
        <f t="shared" si="498"/>
        <v>0.004737337368</v>
      </c>
    </row>
    <row r="501">
      <c r="A501" s="3">
        <f>IFERROR(__xludf.DUMMYFUNCTION("""COMPUTED_VALUE"""),42978.66666666667)</f>
        <v>42978.66667</v>
      </c>
      <c r="B501" s="5">
        <f>IFERROR(__xludf.DUMMYFUNCTION("""COMPUTED_VALUE"""),4.24)</f>
        <v>4.24</v>
      </c>
      <c r="C501" s="5">
        <v>4.18662881851196</v>
      </c>
      <c r="D501" s="5">
        <v>217.483459472656</v>
      </c>
      <c r="E501" s="7">
        <f t="shared" ref="E501:F501" si="499">C501/C500-1</f>
        <v>0.02269426917</v>
      </c>
      <c r="F501" s="7">
        <f t="shared" si="499"/>
        <v>0.006016194515</v>
      </c>
    </row>
    <row r="502">
      <c r="A502" s="3">
        <f>IFERROR(__xludf.DUMMYFUNCTION("""COMPUTED_VALUE"""),42979.66666666667)</f>
        <v>42979.66667</v>
      </c>
      <c r="B502" s="5">
        <f>IFERROR(__xludf.DUMMYFUNCTION("""COMPUTED_VALUE"""),4.26)</f>
        <v>4.26</v>
      </c>
      <c r="C502" s="5">
        <v>4.21183109283447</v>
      </c>
      <c r="D502" s="5">
        <v>217.790954589843</v>
      </c>
      <c r="E502" s="7">
        <f t="shared" ref="E502:F502" si="500">C502/C501-1</f>
        <v>0.006019705929</v>
      </c>
      <c r="F502" s="7">
        <f t="shared" si="500"/>
        <v>0.001413878177</v>
      </c>
    </row>
    <row r="503">
      <c r="A503" s="3">
        <f>IFERROR(__xludf.DUMMYFUNCTION("""COMPUTED_VALUE"""),42983.66666666667)</f>
        <v>42983.66667</v>
      </c>
      <c r="B503" s="5">
        <f>IFERROR(__xludf.DUMMYFUNCTION("""COMPUTED_VALUE"""),4.15)</f>
        <v>4.15</v>
      </c>
      <c r="C503" s="5">
        <v>4.09940767288208</v>
      </c>
      <c r="D503" s="5">
        <v>216.226837158203</v>
      </c>
      <c r="E503" s="7">
        <f t="shared" ref="E503:F503" si="501">C503/C502-1</f>
        <v>-0.02669229071</v>
      </c>
      <c r="F503" s="7">
        <f t="shared" si="501"/>
        <v>-0.007181737343</v>
      </c>
    </row>
    <row r="504">
      <c r="A504" s="3">
        <f>IFERROR(__xludf.DUMMYFUNCTION("""COMPUTED_VALUE"""),42984.66666666667)</f>
        <v>42984.66667</v>
      </c>
      <c r="B504" s="5">
        <f>IFERROR(__xludf.DUMMYFUNCTION("""COMPUTED_VALUE"""),4.15)</f>
        <v>4.15</v>
      </c>
      <c r="C504" s="5">
        <v>4.09693479537963</v>
      </c>
      <c r="D504" s="5">
        <v>216.964981079101</v>
      </c>
      <c r="E504" s="7">
        <f t="shared" ref="E504:F504" si="502">C504/C503-1</f>
        <v>-0.0006032280026</v>
      </c>
      <c r="F504" s="7">
        <f t="shared" si="502"/>
        <v>0.003413747945</v>
      </c>
    </row>
    <row r="505">
      <c r="A505" s="3">
        <f>IFERROR(__xludf.DUMMYFUNCTION("""COMPUTED_VALUE"""),42985.66666666667)</f>
        <v>42985.66667</v>
      </c>
      <c r="B505" s="5">
        <f>IFERROR(__xludf.DUMMYFUNCTION("""COMPUTED_VALUE"""),4.16)</f>
        <v>4.16</v>
      </c>
      <c r="C505" s="5">
        <v>4.11596155166626</v>
      </c>
      <c r="D505" s="5">
        <v>216.938613891601</v>
      </c>
      <c r="E505" s="7">
        <f t="shared" ref="E505:F505" si="503">C505/C504-1</f>
        <v>0.004644144278</v>
      </c>
      <c r="F505" s="7">
        <f t="shared" si="503"/>
        <v>-0.0001215273883</v>
      </c>
    </row>
    <row r="506">
      <c r="A506" s="3">
        <f>IFERROR(__xludf.DUMMYFUNCTION("""COMPUTED_VALUE"""),42986.66666666667)</f>
        <v>42986.66667</v>
      </c>
      <c r="B506" s="5">
        <f>IFERROR(__xludf.DUMMYFUNCTION("""COMPUTED_VALUE"""),4.09)</f>
        <v>4.09</v>
      </c>
      <c r="C506" s="5">
        <v>4.04455280303955</v>
      </c>
      <c r="D506" s="5">
        <v>216.683792114257</v>
      </c>
      <c r="E506" s="7">
        <f t="shared" ref="E506:F506" si="504">C506/C505-1</f>
        <v>-0.01734922635</v>
      </c>
      <c r="F506" s="7">
        <f t="shared" si="504"/>
        <v>-0.001174626189</v>
      </c>
    </row>
    <row r="507">
      <c r="A507" s="3">
        <f>IFERROR(__xludf.DUMMYFUNCTION("""COMPUTED_VALUE"""),42989.66666666667)</f>
        <v>42989.66667</v>
      </c>
      <c r="B507" s="5">
        <f>IFERROR(__xludf.DUMMYFUNCTION("""COMPUTED_VALUE"""),4.22)</f>
        <v>4.22</v>
      </c>
      <c r="C507" s="5">
        <v>4.17575693130493</v>
      </c>
      <c r="D507" s="5">
        <v>218.994934082031</v>
      </c>
      <c r="E507" s="7">
        <f t="shared" ref="E507:F507" si="505">C507/C506-1</f>
        <v>0.03243971204</v>
      </c>
      <c r="F507" s="7">
        <f t="shared" si="505"/>
        <v>0.01066596604</v>
      </c>
    </row>
    <row r="508">
      <c r="A508" s="3">
        <f>IFERROR(__xludf.DUMMYFUNCTION("""COMPUTED_VALUE"""),42990.66666666667)</f>
        <v>42990.66667</v>
      </c>
      <c r="B508" s="5">
        <f>IFERROR(__xludf.DUMMYFUNCTION("""COMPUTED_VALUE"""),4.24)</f>
        <v>4.24</v>
      </c>
      <c r="C508" s="5">
        <v>4.19082880020141</v>
      </c>
      <c r="D508" s="5">
        <v>219.733032226562</v>
      </c>
      <c r="E508" s="7">
        <f t="shared" ref="E508:F508" si="506">C508/C507-1</f>
        <v>0.003609374095</v>
      </c>
      <c r="F508" s="7">
        <f t="shared" si="506"/>
        <v>0.003370389126</v>
      </c>
    </row>
    <row r="509">
      <c r="A509" s="3">
        <f>IFERROR(__xludf.DUMMYFUNCTION("""COMPUTED_VALUE"""),42991.66666666667)</f>
        <v>42991.66667</v>
      </c>
      <c r="B509" s="5">
        <f>IFERROR(__xludf.DUMMYFUNCTION("""COMPUTED_VALUE"""),4.26)</f>
        <v>4.26</v>
      </c>
      <c r="C509" s="5">
        <v>4.20960807800293</v>
      </c>
      <c r="D509" s="5">
        <v>219.838500976562</v>
      </c>
      <c r="E509" s="7">
        <f t="shared" ref="E509:F509" si="507">C509/C508-1</f>
        <v>0.004481041507</v>
      </c>
      <c r="F509" s="7">
        <f t="shared" si="507"/>
        <v>0.0004799858671</v>
      </c>
    </row>
    <row r="510">
      <c r="A510" s="3">
        <f>IFERROR(__xludf.DUMMYFUNCTION("""COMPUTED_VALUE"""),42992.66666666667)</f>
        <v>42992.66667</v>
      </c>
      <c r="B510" s="5">
        <f>IFERROR(__xludf.DUMMYFUNCTION("""COMPUTED_VALUE"""),4.24)</f>
        <v>4.24</v>
      </c>
      <c r="C510" s="5">
        <v>4.18564081192016</v>
      </c>
      <c r="D510" s="5">
        <v>219.768203735351</v>
      </c>
      <c r="E510" s="7">
        <f t="shared" ref="E510:F510" si="508">C510/C509-1</f>
        <v>-0.005693467334</v>
      </c>
      <c r="F510" s="7">
        <f t="shared" si="508"/>
        <v>-0.0003197676517</v>
      </c>
    </row>
    <row r="511">
      <c r="A511" s="3">
        <f>IFERROR(__xludf.DUMMYFUNCTION("""COMPUTED_VALUE"""),42993.66666666667)</f>
        <v>42993.66667</v>
      </c>
      <c r="B511" s="5">
        <f>IFERROR(__xludf.DUMMYFUNCTION("""COMPUTED_VALUE"""),4.5)</f>
        <v>4.5</v>
      </c>
      <c r="C511" s="5">
        <v>4.45026922225952</v>
      </c>
      <c r="D511" s="5">
        <v>220.064102172851</v>
      </c>
      <c r="E511" s="7">
        <f t="shared" ref="E511:F511" si="509">C511/C510-1</f>
        <v>0.0632229143</v>
      </c>
      <c r="F511" s="7">
        <f t="shared" si="509"/>
        <v>0.001346411503</v>
      </c>
    </row>
    <row r="512">
      <c r="A512" s="3">
        <f>IFERROR(__xludf.DUMMYFUNCTION("""COMPUTED_VALUE"""),42996.66666666667)</f>
        <v>42996.66667</v>
      </c>
      <c r="B512" s="5">
        <f>IFERROR(__xludf.DUMMYFUNCTION("""COMPUTED_VALUE"""),4.69)</f>
        <v>4.69</v>
      </c>
      <c r="C512" s="5">
        <v>4.63410139083862</v>
      </c>
      <c r="D512" s="5">
        <v>220.53205871582</v>
      </c>
      <c r="E512" s="7">
        <f t="shared" ref="E512:F512" si="510">C512/C511-1</f>
        <v>0.04130810057</v>
      </c>
      <c r="F512" s="7">
        <f t="shared" si="510"/>
        <v>0.002126455602</v>
      </c>
    </row>
    <row r="513">
      <c r="A513" s="3">
        <f>IFERROR(__xludf.DUMMYFUNCTION("""COMPUTED_VALUE"""),42997.66666666667)</f>
        <v>42997.66667</v>
      </c>
      <c r="B513" s="5">
        <f>IFERROR(__xludf.DUMMYFUNCTION("""COMPUTED_VALUE"""),4.68)</f>
        <v>4.68</v>
      </c>
      <c r="C513" s="5">
        <v>4.62915992736816</v>
      </c>
      <c r="D513" s="5">
        <v>220.752883911132</v>
      </c>
      <c r="E513" s="7">
        <f t="shared" ref="E513:F513" si="511">C513/C512-1</f>
        <v>-0.001066326145</v>
      </c>
      <c r="F513" s="7">
        <f t="shared" si="511"/>
        <v>0.001001329224</v>
      </c>
    </row>
    <row r="514">
      <c r="A514" s="3">
        <f>IFERROR(__xludf.DUMMYFUNCTION("""COMPUTED_VALUE"""),42998.66666666667)</f>
        <v>42998.66667</v>
      </c>
      <c r="B514" s="5">
        <f>IFERROR(__xludf.DUMMYFUNCTION("""COMPUTED_VALUE"""),4.65)</f>
        <v>4.65</v>
      </c>
      <c r="C514" s="5">
        <v>4.59185075759887</v>
      </c>
      <c r="D514" s="5">
        <v>220.832382202148</v>
      </c>
      <c r="E514" s="7">
        <f t="shared" ref="E514:F514" si="512">C514/C513-1</f>
        <v>-0.008059598362</v>
      </c>
      <c r="F514" s="7">
        <f t="shared" si="512"/>
        <v>0.0003601234539</v>
      </c>
    </row>
    <row r="515">
      <c r="A515" s="3">
        <f>IFERROR(__xludf.DUMMYFUNCTION("""COMPUTED_VALUE"""),42999.66666666667)</f>
        <v>42999.66667</v>
      </c>
      <c r="B515" s="5">
        <f>IFERROR(__xludf.DUMMYFUNCTION("""COMPUTED_VALUE"""),4.52)</f>
        <v>4.52</v>
      </c>
      <c r="C515" s="5">
        <v>4.46633052825927</v>
      </c>
      <c r="D515" s="5">
        <v>220.240737915039</v>
      </c>
      <c r="E515" s="7">
        <f t="shared" ref="E515:F515" si="513">C515/C514-1</f>
        <v>-0.02733543313</v>
      </c>
      <c r="F515" s="7">
        <f t="shared" si="513"/>
        <v>-0.002679155481</v>
      </c>
    </row>
    <row r="516">
      <c r="A516" s="3">
        <f>IFERROR(__xludf.DUMMYFUNCTION("""COMPUTED_VALUE"""),43000.66666666667)</f>
        <v>43000.66667</v>
      </c>
      <c r="B516" s="5">
        <f>IFERROR(__xludf.DUMMYFUNCTION("""COMPUTED_VALUE"""),4.47)</f>
        <v>4.47</v>
      </c>
      <c r="C516" s="5">
        <v>4.42284393310546</v>
      </c>
      <c r="D516" s="5">
        <v>220.284835815429</v>
      </c>
      <c r="E516" s="7">
        <f t="shared" ref="E516:F516" si="514">C516/C515-1</f>
        <v>-0.009736537607</v>
      </c>
      <c r="F516" s="7">
        <f t="shared" si="514"/>
        <v>0.0002002259019</v>
      </c>
    </row>
    <row r="517">
      <c r="A517" s="3">
        <f>IFERROR(__xludf.DUMMYFUNCTION("""COMPUTED_VALUE"""),43003.66666666667)</f>
        <v>43003.66667</v>
      </c>
      <c r="B517" s="5">
        <f>IFERROR(__xludf.DUMMYFUNCTION("""COMPUTED_VALUE"""),4.28)</f>
        <v>4.28</v>
      </c>
      <c r="C517" s="5">
        <v>4.22517347335815</v>
      </c>
      <c r="D517" s="5">
        <v>219.834426879882</v>
      </c>
      <c r="E517" s="7">
        <f t="shared" ref="E517:F517" si="515">C517/C516-1</f>
        <v>-0.04469306689</v>
      </c>
      <c r="F517" s="7">
        <f t="shared" si="515"/>
        <v>-0.002044666097</v>
      </c>
    </row>
    <row r="518">
      <c r="A518" s="3">
        <f>IFERROR(__xludf.DUMMYFUNCTION("""COMPUTED_VALUE"""),43004.66666666667)</f>
        <v>43004.66667</v>
      </c>
      <c r="B518" s="5">
        <f>IFERROR(__xludf.DUMMYFUNCTION("""COMPUTED_VALUE"""),4.3)</f>
        <v>4.3</v>
      </c>
      <c r="C518" s="5">
        <v>4.24889230728149</v>
      </c>
      <c r="D518" s="5">
        <v>219.966888427734</v>
      </c>
      <c r="E518" s="7">
        <f t="shared" ref="E518:F518" si="516">C518/C517-1</f>
        <v>0.005613694697</v>
      </c>
      <c r="F518" s="7">
        <f t="shared" si="516"/>
        <v>0.0006025514281</v>
      </c>
    </row>
    <row r="519">
      <c r="A519" s="3">
        <f>IFERROR(__xludf.DUMMYFUNCTION("""COMPUTED_VALUE"""),43005.66666666667)</f>
        <v>43005.66667</v>
      </c>
      <c r="B519" s="5">
        <f>IFERROR(__xludf.DUMMYFUNCTION("""COMPUTED_VALUE"""),4.39)</f>
        <v>4.39</v>
      </c>
      <c r="C519" s="5">
        <v>4.34204483032226</v>
      </c>
      <c r="D519" s="5">
        <v>220.823532104492</v>
      </c>
      <c r="E519" s="7">
        <f t="shared" ref="E519:F519" si="517">C519/C518-1</f>
        <v>0.02192395483</v>
      </c>
      <c r="F519" s="7">
        <f t="shared" si="517"/>
        <v>0.003894421033</v>
      </c>
    </row>
    <row r="520">
      <c r="A520" s="3">
        <f>IFERROR(__xludf.DUMMYFUNCTION("""COMPUTED_VALUE"""),43006.66666666667)</f>
        <v>43006.66667</v>
      </c>
      <c r="B520" s="5">
        <f>IFERROR(__xludf.DUMMYFUNCTION("""COMPUTED_VALUE"""),4.39)</f>
        <v>4.39</v>
      </c>
      <c r="C520" s="5">
        <v>4.34081029891967</v>
      </c>
      <c r="D520" s="5">
        <v>221.088485717773</v>
      </c>
      <c r="E520" s="7">
        <f t="shared" ref="E520:F520" si="518">C520/C519-1</f>
        <v>-0.0002843202802</v>
      </c>
      <c r="F520" s="7">
        <f t="shared" si="518"/>
        <v>0.001199843199</v>
      </c>
    </row>
    <row r="521">
      <c r="A521" s="3">
        <f>IFERROR(__xludf.DUMMYFUNCTION("""COMPUTED_VALUE"""),43007.66666666667)</f>
        <v>43007.66667</v>
      </c>
      <c r="B521" s="5">
        <f>IFERROR(__xludf.DUMMYFUNCTION("""COMPUTED_VALUE"""),4.47)</f>
        <v>4.47</v>
      </c>
      <c r="C521" s="5">
        <v>4.41716051101684</v>
      </c>
      <c r="D521" s="5">
        <v>221.865631103515</v>
      </c>
      <c r="E521" s="7">
        <f t="shared" ref="E521:F521" si="519">C521/C520-1</f>
        <v>0.01758893083</v>
      </c>
      <c r="F521" s="7">
        <f t="shared" si="519"/>
        <v>0.00351508756</v>
      </c>
    </row>
    <row r="522">
      <c r="A522" s="3">
        <f>IFERROR(__xludf.DUMMYFUNCTION("""COMPUTED_VALUE"""),43010.66666666667)</f>
        <v>43010.66667</v>
      </c>
      <c r="B522" s="5">
        <f>IFERROR(__xludf.DUMMYFUNCTION("""COMPUTED_VALUE"""),4.47)</f>
        <v>4.47</v>
      </c>
      <c r="C522" s="5">
        <v>4.42284393310546</v>
      </c>
      <c r="D522" s="5">
        <v>222.828247070312</v>
      </c>
      <c r="E522" s="7">
        <f t="shared" ref="E522:F522" si="520">C522/C521-1</f>
        <v>0.001286668681</v>
      </c>
      <c r="F522" s="7">
        <f t="shared" si="520"/>
        <v>0.004338734044</v>
      </c>
    </row>
    <row r="523">
      <c r="A523" s="3">
        <f>IFERROR(__xludf.DUMMYFUNCTION("""COMPUTED_VALUE"""),43011.66666666667)</f>
        <v>43011.66667</v>
      </c>
      <c r="B523" s="5">
        <f>IFERROR(__xludf.DUMMYFUNCTION("""COMPUTED_VALUE"""),4.48)</f>
        <v>4.48</v>
      </c>
      <c r="C523" s="5">
        <v>4.43198251724243</v>
      </c>
      <c r="D523" s="5">
        <v>223.305114746093</v>
      </c>
      <c r="E523" s="7">
        <f t="shared" ref="E523:F523" si="521">C523/C522-1</f>
        <v>0.002066223515</v>
      </c>
      <c r="F523" s="7">
        <f t="shared" si="521"/>
        <v>0.002140068335</v>
      </c>
    </row>
    <row r="524">
      <c r="A524" s="3">
        <f>IFERROR(__xludf.DUMMYFUNCTION("""COMPUTED_VALUE"""),43012.66666666667)</f>
        <v>43012.66667</v>
      </c>
      <c r="B524" s="5">
        <f>IFERROR(__xludf.DUMMYFUNCTION("""COMPUTED_VALUE"""),4.52)</f>
        <v>4.52</v>
      </c>
      <c r="C524" s="5">
        <v>4.46904706954956</v>
      </c>
      <c r="D524" s="5">
        <v>223.570053100585</v>
      </c>
      <c r="E524" s="7">
        <f t="shared" ref="E524:F524" si="522">C524/C523-1</f>
        <v>0.008362973492</v>
      </c>
      <c r="F524" s="7">
        <f t="shared" si="522"/>
        <v>0.001186441049</v>
      </c>
    </row>
    <row r="525">
      <c r="A525" s="3">
        <f>IFERROR(__xludf.DUMMYFUNCTION("""COMPUTED_VALUE"""),43013.66666666667)</f>
        <v>43013.66667</v>
      </c>
      <c r="B525" s="5">
        <f>IFERROR(__xludf.DUMMYFUNCTION("""COMPUTED_VALUE"""),4.52)</f>
        <v>4.52</v>
      </c>
      <c r="C525" s="5">
        <v>4.46657705307006</v>
      </c>
      <c r="D525" s="5">
        <v>224.894729614257</v>
      </c>
      <c r="E525" s="7">
        <f t="shared" ref="E525:F525" si="523">C525/C524-1</f>
        <v>-0.0005526942189</v>
      </c>
      <c r="F525" s="7">
        <f t="shared" si="523"/>
        <v>0.005925107121</v>
      </c>
    </row>
    <row r="526">
      <c r="A526" s="3">
        <f>IFERROR(__xludf.DUMMYFUNCTION("""COMPUTED_VALUE"""),43014.66666666667)</f>
        <v>43014.66667</v>
      </c>
      <c r="B526" s="5">
        <f>IFERROR(__xludf.DUMMYFUNCTION("""COMPUTED_VALUE"""),4.53)</f>
        <v>4.53</v>
      </c>
      <c r="C526" s="5">
        <v>4.47967338562011</v>
      </c>
      <c r="D526" s="5">
        <v>224.638626098632</v>
      </c>
      <c r="E526" s="7">
        <f t="shared" ref="E526:F526" si="524">C526/C525-1</f>
        <v>0.002932073575</v>
      </c>
      <c r="F526" s="7">
        <f t="shared" si="524"/>
        <v>-0.001138770642</v>
      </c>
    </row>
    <row r="527">
      <c r="A527" s="3">
        <f>IFERROR(__xludf.DUMMYFUNCTION("""COMPUTED_VALUE"""),43017.66666666667)</f>
        <v>43017.66667</v>
      </c>
      <c r="B527" s="5">
        <f>IFERROR(__xludf.DUMMYFUNCTION("""COMPUTED_VALUE"""),4.63)</f>
        <v>4.63</v>
      </c>
      <c r="C527" s="5">
        <v>4.58073186874389</v>
      </c>
      <c r="D527" s="5">
        <v>224.267700195312</v>
      </c>
      <c r="E527" s="7">
        <f t="shared" ref="E527:F527" si="525">C527/C526-1</f>
        <v>0.02255934181</v>
      </c>
      <c r="F527" s="7">
        <f t="shared" si="525"/>
        <v>-0.001651211592</v>
      </c>
    </row>
    <row r="528">
      <c r="A528" s="3">
        <f>IFERROR(__xludf.DUMMYFUNCTION("""COMPUTED_VALUE"""),43018.66666666667)</f>
        <v>43018.66667</v>
      </c>
      <c r="B528" s="5">
        <f>IFERROR(__xludf.DUMMYFUNCTION("""COMPUTED_VALUE"""),4.72)</f>
        <v>4.72</v>
      </c>
      <c r="C528" s="5">
        <v>4.66820096969604</v>
      </c>
      <c r="D528" s="5">
        <v>224.859375</v>
      </c>
      <c r="E528" s="7">
        <f t="shared" ref="E528:F528" si="526">C528/C527-1</f>
        <v>0.01909500566</v>
      </c>
      <c r="F528" s="7">
        <f t="shared" si="526"/>
        <v>0.002638252429</v>
      </c>
    </row>
    <row r="529">
      <c r="A529" s="3">
        <f>IFERROR(__xludf.DUMMYFUNCTION("""COMPUTED_VALUE"""),43019.66666666667)</f>
        <v>43019.66667</v>
      </c>
      <c r="B529" s="5">
        <f>IFERROR(__xludf.DUMMYFUNCTION("""COMPUTED_VALUE"""),4.77)</f>
        <v>4.77</v>
      </c>
      <c r="C529" s="5">
        <v>4.71786308288574</v>
      </c>
      <c r="D529" s="5">
        <v>225.212631225585</v>
      </c>
      <c r="E529" s="7">
        <f t="shared" ref="E529:F529" si="527">C529/C528-1</f>
        <v>0.01063838372</v>
      </c>
      <c r="F529" s="7">
        <f t="shared" si="527"/>
        <v>0.00157100955</v>
      </c>
    </row>
    <row r="530">
      <c r="A530" s="3">
        <f>IFERROR(__xludf.DUMMYFUNCTION("""COMPUTED_VALUE"""),43020.66666666667)</f>
        <v>43020.66667</v>
      </c>
      <c r="B530" s="5">
        <f>IFERROR(__xludf.DUMMYFUNCTION("""COMPUTED_VALUE"""),4.78)</f>
        <v>4.78</v>
      </c>
      <c r="C530" s="5">
        <v>4.72008895874023</v>
      </c>
      <c r="D530" s="5">
        <v>224.877059936523</v>
      </c>
      <c r="E530" s="7">
        <f t="shared" ref="E530:F530" si="528">C530/C529-1</f>
        <v>0.0004717974675</v>
      </c>
      <c r="F530" s="7">
        <f t="shared" si="528"/>
        <v>-0.001490019841</v>
      </c>
    </row>
    <row r="531">
      <c r="A531" s="3">
        <f>IFERROR(__xludf.DUMMYFUNCTION("""COMPUTED_VALUE"""),43021.66666666667)</f>
        <v>43021.66667</v>
      </c>
      <c r="B531" s="5">
        <f>IFERROR(__xludf.DUMMYFUNCTION("""COMPUTED_VALUE"""),4.86)</f>
        <v>4.86</v>
      </c>
      <c r="C531" s="5">
        <v>4.80805110931396</v>
      </c>
      <c r="D531" s="5">
        <v>225.150787353515</v>
      </c>
      <c r="E531" s="7">
        <f t="shared" ref="E531:F531" si="529">C531/C530-1</f>
        <v>0.01863569762</v>
      </c>
      <c r="F531" s="7">
        <f t="shared" si="529"/>
        <v>0.001217231393</v>
      </c>
    </row>
    <row r="532">
      <c r="A532" s="3">
        <f>IFERROR(__xludf.DUMMYFUNCTION("""COMPUTED_VALUE"""),43024.66666666667)</f>
        <v>43024.66667</v>
      </c>
      <c r="B532" s="5">
        <f>IFERROR(__xludf.DUMMYFUNCTION("""COMPUTED_VALUE"""),4.95)</f>
        <v>4.95</v>
      </c>
      <c r="C532" s="5">
        <v>4.89057683944702</v>
      </c>
      <c r="D532" s="5">
        <v>225.451065063476</v>
      </c>
      <c r="E532" s="7">
        <f t="shared" ref="E532:F532" si="530">C532/C531-1</f>
        <v>0.0171640709</v>
      </c>
      <c r="F532" s="7">
        <f t="shared" si="530"/>
        <v>0.001333673817</v>
      </c>
    </row>
    <row r="533">
      <c r="A533" s="3">
        <f>IFERROR(__xludf.DUMMYFUNCTION("""COMPUTED_VALUE"""),43025.66666666667)</f>
        <v>43025.66667</v>
      </c>
      <c r="B533" s="5">
        <f>IFERROR(__xludf.DUMMYFUNCTION("""COMPUTED_VALUE"""),4.94)</f>
        <v>4.94</v>
      </c>
      <c r="C533" s="5">
        <v>4.88612937927246</v>
      </c>
      <c r="D533" s="5">
        <v>225.61001586914</v>
      </c>
      <c r="E533" s="7">
        <f t="shared" ref="E533:F533" si="531">C533/C532-1</f>
        <v>-0.0009093937833</v>
      </c>
      <c r="F533" s="7">
        <f t="shared" si="531"/>
        <v>0.0007050346186</v>
      </c>
    </row>
    <row r="534">
      <c r="A534" s="3">
        <f>IFERROR(__xludf.DUMMYFUNCTION("""COMPUTED_VALUE"""),43026.66666666667)</f>
        <v>43026.66667</v>
      </c>
      <c r="B534" s="5">
        <f>IFERROR(__xludf.DUMMYFUNCTION("""COMPUTED_VALUE"""),4.94)</f>
        <v>4.94</v>
      </c>
      <c r="C534" s="5">
        <v>4.88192844390869</v>
      </c>
      <c r="D534" s="5">
        <v>225.830825805664</v>
      </c>
      <c r="E534" s="7">
        <f t="shared" ref="E534:F534" si="532">C534/C533-1</f>
        <v>-0.0008597675251</v>
      </c>
      <c r="F534" s="7">
        <f t="shared" si="532"/>
        <v>0.0009787239971</v>
      </c>
    </row>
    <row r="535">
      <c r="A535" s="3">
        <f>IFERROR(__xludf.DUMMYFUNCTION("""COMPUTED_VALUE"""),43027.66666666667)</f>
        <v>43027.66667</v>
      </c>
      <c r="B535" s="5">
        <f>IFERROR(__xludf.DUMMYFUNCTION("""COMPUTED_VALUE"""),4.95)</f>
        <v>4.95</v>
      </c>
      <c r="C535" s="5">
        <v>4.88736486434936</v>
      </c>
      <c r="D535" s="5">
        <v>225.892593383789</v>
      </c>
      <c r="E535" s="7">
        <f t="shared" ref="E535:F535" si="533">C535/C534-1</f>
        <v>0.001113580525</v>
      </c>
      <c r="F535" s="7">
        <f t="shared" si="533"/>
        <v>0.000273512608</v>
      </c>
    </row>
    <row r="536">
      <c r="A536" s="3">
        <f>IFERROR(__xludf.DUMMYFUNCTION("""COMPUTED_VALUE"""),43028.66666666667)</f>
        <v>43028.66667</v>
      </c>
      <c r="B536" s="5">
        <f>IFERROR(__xludf.DUMMYFUNCTION("""COMPUTED_VALUE"""),4.92)</f>
        <v>4.92</v>
      </c>
      <c r="C536" s="5">
        <v>4.8651270866394</v>
      </c>
      <c r="D536" s="5">
        <v>227.058380126953</v>
      </c>
      <c r="E536" s="7">
        <f t="shared" ref="E536:F536" si="534">C536/C535-1</f>
        <v>-0.004550054749</v>
      </c>
      <c r="F536" s="7">
        <f t="shared" si="534"/>
        <v>0.005160801094</v>
      </c>
    </row>
    <row r="537">
      <c r="A537" s="3">
        <f>IFERROR(__xludf.DUMMYFUNCTION("""COMPUTED_VALUE"""),43031.66666666667)</f>
        <v>43031.66667</v>
      </c>
      <c r="B537" s="5">
        <f>IFERROR(__xludf.DUMMYFUNCTION("""COMPUTED_VALUE"""),4.92)</f>
        <v>4.92</v>
      </c>
      <c r="C537" s="5">
        <v>4.85820722579956</v>
      </c>
      <c r="D537" s="5">
        <v>226.175231933593</v>
      </c>
      <c r="E537" s="7">
        <f t="shared" ref="E537:F537" si="535">C537/C536-1</f>
        <v>-0.001422339174</v>
      </c>
      <c r="F537" s="7">
        <f t="shared" si="535"/>
        <v>-0.003889520364</v>
      </c>
    </row>
    <row r="538">
      <c r="A538" s="3">
        <f>IFERROR(__xludf.DUMMYFUNCTION("""COMPUTED_VALUE"""),43032.66666666667)</f>
        <v>43032.66667</v>
      </c>
      <c r="B538" s="5">
        <f>IFERROR(__xludf.DUMMYFUNCTION("""COMPUTED_VALUE"""),4.97)</f>
        <v>4.97</v>
      </c>
      <c r="C538" s="5">
        <v>4.90910816192626</v>
      </c>
      <c r="D538" s="5">
        <v>226.57258605957</v>
      </c>
      <c r="E538" s="7">
        <f t="shared" ref="E538:F538" si="536">C538/C537-1</f>
        <v>0.01047730855</v>
      </c>
      <c r="F538" s="7">
        <f t="shared" si="536"/>
        <v>0.001756841908</v>
      </c>
    </row>
    <row r="539">
      <c r="A539" s="3">
        <f>IFERROR(__xludf.DUMMYFUNCTION("""COMPUTED_VALUE"""),43033.66666666667)</f>
        <v>43033.66667</v>
      </c>
      <c r="B539" s="5">
        <f>IFERROR(__xludf.DUMMYFUNCTION("""COMPUTED_VALUE"""),4.84)</f>
        <v>4.84</v>
      </c>
      <c r="C539" s="5">
        <v>4.78507089614868</v>
      </c>
      <c r="D539" s="5">
        <v>225.451065063476</v>
      </c>
      <c r="E539" s="7">
        <f t="shared" ref="E539:F539" si="537">C539/C538-1</f>
        <v>-0.02526676164</v>
      </c>
      <c r="F539" s="7">
        <f t="shared" si="537"/>
        <v>-0.004949941278</v>
      </c>
    </row>
    <row r="540">
      <c r="A540" s="3">
        <f>IFERROR(__xludf.DUMMYFUNCTION("""COMPUTED_VALUE"""),43034.66666666667)</f>
        <v>43034.66667</v>
      </c>
      <c r="B540" s="5">
        <f>IFERROR(__xludf.DUMMYFUNCTION("""COMPUTED_VALUE"""),4.89)</f>
        <v>4.89</v>
      </c>
      <c r="C540" s="5">
        <v>4.83522844314575</v>
      </c>
      <c r="D540" s="5">
        <v>225.74250793457</v>
      </c>
      <c r="E540" s="7">
        <f t="shared" ref="E540:F540" si="538">C540/C539-1</f>
        <v>0.01048209067</v>
      </c>
      <c r="F540" s="7">
        <f t="shared" si="538"/>
        <v>0.00129271011</v>
      </c>
    </row>
    <row r="541">
      <c r="A541" s="3">
        <f>IFERROR(__xludf.DUMMYFUNCTION("""COMPUTED_VALUE"""),43035.66666666667)</f>
        <v>43035.66667</v>
      </c>
      <c r="B541" s="5">
        <f>IFERROR(__xludf.DUMMYFUNCTION("""COMPUTED_VALUE"""),5.05)</f>
        <v>5.05</v>
      </c>
      <c r="C541" s="5">
        <v>4.98768138885498</v>
      </c>
      <c r="D541" s="5">
        <v>227.58821105957</v>
      </c>
      <c r="E541" s="7">
        <f t="shared" ref="E541:F541" si="539">C541/C540-1</f>
        <v>0.03152962626</v>
      </c>
      <c r="F541" s="7">
        <f t="shared" si="539"/>
        <v>0.008176143438</v>
      </c>
    </row>
    <row r="542">
      <c r="A542" s="3">
        <f>IFERROR(__xludf.DUMMYFUNCTION("""COMPUTED_VALUE"""),43038.66666666667)</f>
        <v>43038.66667</v>
      </c>
      <c r="B542" s="5">
        <f>IFERROR(__xludf.DUMMYFUNCTION("""COMPUTED_VALUE"""),5.1)</f>
        <v>5.1</v>
      </c>
      <c r="C542" s="5">
        <v>5.0366039276123</v>
      </c>
      <c r="D542" s="5">
        <v>226.740432739257</v>
      </c>
      <c r="E542" s="7">
        <f t="shared" ref="E542:F542" si="540">C542/C541-1</f>
        <v>0.009808673599</v>
      </c>
      <c r="F542" s="7">
        <f t="shared" si="540"/>
        <v>-0.003725053755</v>
      </c>
    </row>
    <row r="543">
      <c r="A543" s="3">
        <f>IFERROR(__xludf.DUMMYFUNCTION("""COMPUTED_VALUE"""),43039.66666666667)</f>
        <v>43039.66667</v>
      </c>
      <c r="B543" s="5">
        <f>IFERROR(__xludf.DUMMYFUNCTION("""COMPUTED_VALUE"""),5.17)</f>
        <v>5.17</v>
      </c>
      <c r="C543" s="5">
        <v>5.10999155044555</v>
      </c>
      <c r="D543" s="5">
        <v>227.093597412109</v>
      </c>
      <c r="E543" s="7">
        <f t="shared" ref="E543:F543" si="541">C543/C542-1</f>
        <v>0.01457085447</v>
      </c>
      <c r="F543" s="7">
        <f t="shared" si="541"/>
        <v>0.001557572545</v>
      </c>
    </row>
    <row r="544">
      <c r="A544" s="3">
        <f>IFERROR(__xludf.DUMMYFUNCTION("""COMPUTED_VALUE"""),43040.66666666667)</f>
        <v>43040.66667</v>
      </c>
      <c r="B544" s="5">
        <f>IFERROR(__xludf.DUMMYFUNCTION("""COMPUTED_VALUE"""),5.18)</f>
        <v>5.18</v>
      </c>
      <c r="C544" s="5">
        <v>5.11962604522705</v>
      </c>
      <c r="D544" s="5">
        <v>227.393936157226</v>
      </c>
      <c r="E544" s="7">
        <f t="shared" ref="E544:F544" si="542">C544/C543-1</f>
        <v>0.00188542284</v>
      </c>
      <c r="F544" s="7">
        <f t="shared" si="542"/>
        <v>0.001322532861</v>
      </c>
    </row>
    <row r="545">
      <c r="A545" s="3">
        <f>IFERROR(__xludf.DUMMYFUNCTION("""COMPUTED_VALUE"""),43041.66666666667)</f>
        <v>43041.66667</v>
      </c>
      <c r="B545" s="5">
        <f>IFERROR(__xludf.DUMMYFUNCTION("""COMPUTED_VALUE"""),5.15)</f>
        <v>5.15</v>
      </c>
      <c r="C545" s="5">
        <v>5.08849287033081</v>
      </c>
      <c r="D545" s="5">
        <v>227.482238769531</v>
      </c>
      <c r="E545" s="7">
        <f t="shared" ref="E545:F545" si="543">C545/C544-1</f>
        <v>-0.006081142377</v>
      </c>
      <c r="F545" s="7">
        <f t="shared" si="543"/>
        <v>0.0003883243933</v>
      </c>
    </row>
    <row r="546">
      <c r="A546" s="3">
        <f>IFERROR(__xludf.DUMMYFUNCTION("""COMPUTED_VALUE"""),43042.66666666667)</f>
        <v>43042.66667</v>
      </c>
      <c r="B546" s="5">
        <f>IFERROR(__xludf.DUMMYFUNCTION("""COMPUTED_VALUE"""),5.22)</f>
        <v>5.22</v>
      </c>
      <c r="C546" s="5">
        <v>5.15644264221191</v>
      </c>
      <c r="D546" s="5">
        <v>228.241760253906</v>
      </c>
      <c r="E546" s="7">
        <f t="shared" ref="E546:F546" si="544">C546/C545-1</f>
        <v>0.01335361444</v>
      </c>
      <c r="F546" s="7">
        <f t="shared" si="544"/>
        <v>0.003338816641</v>
      </c>
    </row>
    <row r="547">
      <c r="A547" s="3">
        <f>IFERROR(__xludf.DUMMYFUNCTION("""COMPUTED_VALUE"""),43045.66666666667)</f>
        <v>43045.66667</v>
      </c>
      <c r="B547" s="5">
        <f>IFERROR(__xludf.DUMMYFUNCTION("""COMPUTED_VALUE"""),5.24)</f>
        <v>5.24</v>
      </c>
      <c r="C547" s="5">
        <v>5.17966890335083</v>
      </c>
      <c r="D547" s="5">
        <v>228.594985961914</v>
      </c>
      <c r="E547" s="7">
        <f t="shared" ref="E547:F547" si="545">C547/C546-1</f>
        <v>0.004504318723</v>
      </c>
      <c r="F547" s="7">
        <f t="shared" si="545"/>
        <v>0.001547594566</v>
      </c>
    </row>
    <row r="548">
      <c r="A548" s="3">
        <f>IFERROR(__xludf.DUMMYFUNCTION("""COMPUTED_VALUE"""),43046.66666666667)</f>
        <v>43046.66667</v>
      </c>
      <c r="B548" s="5">
        <f>IFERROR(__xludf.DUMMYFUNCTION("""COMPUTED_VALUE"""),5.3)</f>
        <v>5.3</v>
      </c>
      <c r="C548" s="5">
        <v>5.23896789550781</v>
      </c>
      <c r="D548" s="5">
        <v>228.436080932617</v>
      </c>
      <c r="E548" s="7">
        <f t="shared" ref="E548:F548" si="546">C548/C547-1</f>
        <v>0.01144841365</v>
      </c>
      <c r="F548" s="7">
        <f t="shared" si="546"/>
        <v>-0.0006951378598</v>
      </c>
    </row>
    <row r="549">
      <c r="A549" s="3">
        <f>IFERROR(__xludf.DUMMYFUNCTION("""COMPUTED_VALUE"""),43047.66666666667)</f>
        <v>43047.66667</v>
      </c>
      <c r="B549" s="5">
        <f>IFERROR(__xludf.DUMMYFUNCTION("""COMPUTED_VALUE"""),5.23)</f>
        <v>5.23</v>
      </c>
      <c r="C549" s="5">
        <v>5.16805410385131</v>
      </c>
      <c r="D549" s="5">
        <v>228.824569702148</v>
      </c>
      <c r="E549" s="7">
        <f t="shared" ref="E549:F549" si="547">C549/C548-1</f>
        <v>-0.01353583245</v>
      </c>
      <c r="F549" s="7">
        <f t="shared" si="547"/>
        <v>0.001700645397</v>
      </c>
    </row>
    <row r="550">
      <c r="A550" s="3">
        <f>IFERROR(__xludf.DUMMYFUNCTION("""COMPUTED_VALUE"""),43048.66666666667)</f>
        <v>43048.66667</v>
      </c>
      <c r="B550" s="5">
        <f>IFERROR(__xludf.DUMMYFUNCTION("""COMPUTED_VALUE"""),5.13)</f>
        <v>5.13</v>
      </c>
      <c r="C550" s="5">
        <v>5.07317304611206</v>
      </c>
      <c r="D550" s="5">
        <v>227.994476318359</v>
      </c>
      <c r="E550" s="7">
        <f t="shared" ref="E550:F550" si="548">C550/C549-1</f>
        <v>-0.0183591456</v>
      </c>
      <c r="F550" s="7">
        <f t="shared" si="548"/>
        <v>-0.003627640969</v>
      </c>
    </row>
    <row r="551">
      <c r="A551" s="3">
        <f>IFERROR(__xludf.DUMMYFUNCTION("""COMPUTED_VALUE"""),43049.66666666667)</f>
        <v>43049.66667</v>
      </c>
      <c r="B551" s="5">
        <f>IFERROR(__xludf.DUMMYFUNCTION("""COMPUTED_VALUE"""),5.4)</f>
        <v>5.4</v>
      </c>
      <c r="C551" s="5">
        <v>5.34052276611328</v>
      </c>
      <c r="D551" s="5">
        <v>227.923782348632</v>
      </c>
      <c r="E551" s="7">
        <f t="shared" ref="E551:F551" si="549">C551/C550-1</f>
        <v>0.05269871884</v>
      </c>
      <c r="F551" s="7">
        <f t="shared" si="549"/>
        <v>-0.0003100687827</v>
      </c>
    </row>
    <row r="552">
      <c r="A552" s="3">
        <f>IFERROR(__xludf.DUMMYFUNCTION("""COMPUTED_VALUE"""),43052.66666666667)</f>
        <v>43052.66667</v>
      </c>
      <c r="B552" s="5">
        <f>IFERROR(__xludf.DUMMYFUNCTION("""COMPUTED_VALUE"""),5.32)</f>
        <v>5.32</v>
      </c>
      <c r="C552" s="5">
        <v>5.25379514694213</v>
      </c>
      <c r="D552" s="5">
        <v>228.135757446289</v>
      </c>
      <c r="E552" s="7">
        <f t="shared" ref="E552:F552" si="550">C552/C551-1</f>
        <v>-0.0162395374</v>
      </c>
      <c r="F552" s="7">
        <f t="shared" si="550"/>
        <v>0.0009300262372</v>
      </c>
    </row>
    <row r="553">
      <c r="A553" s="3">
        <f>IFERROR(__xludf.DUMMYFUNCTION("""COMPUTED_VALUE"""),43053.66666666667)</f>
        <v>43053.66667</v>
      </c>
      <c r="B553" s="5">
        <f>IFERROR(__xludf.DUMMYFUNCTION("""COMPUTED_VALUE"""),5.35)</f>
        <v>5.35</v>
      </c>
      <c r="C553" s="5">
        <v>5.29209327697753</v>
      </c>
      <c r="D553" s="5">
        <v>227.605880737304</v>
      </c>
      <c r="E553" s="7">
        <f t="shared" ref="E553:F553" si="551">C553/C552-1</f>
        <v>0.007289612359</v>
      </c>
      <c r="F553" s="7">
        <f t="shared" si="551"/>
        <v>-0.002322637691</v>
      </c>
    </row>
    <row r="554">
      <c r="A554" s="3">
        <f>IFERROR(__xludf.DUMMYFUNCTION("""COMPUTED_VALUE"""),43054.66666666667)</f>
        <v>43054.66667</v>
      </c>
      <c r="B554" s="5">
        <f>IFERROR(__xludf.DUMMYFUNCTION("""COMPUTED_VALUE"""),5.25)</f>
        <v>5.25</v>
      </c>
      <c r="C554" s="5">
        <v>5.18831539154052</v>
      </c>
      <c r="D554" s="5">
        <v>226.466720581054</v>
      </c>
      <c r="E554" s="7">
        <f t="shared" ref="E554:F554" si="552">C554/C553-1</f>
        <v>-0.01960998796</v>
      </c>
      <c r="F554" s="7">
        <f t="shared" si="552"/>
        <v>-0.005004968029</v>
      </c>
    </row>
    <row r="555">
      <c r="A555" s="3">
        <f>IFERROR(__xludf.DUMMYFUNCTION("""COMPUTED_VALUE"""),43055.66666666667)</f>
        <v>43055.66667</v>
      </c>
      <c r="B555" s="5">
        <f>IFERROR(__xludf.DUMMYFUNCTION("""COMPUTED_VALUE"""),5.29)</f>
        <v>5.29</v>
      </c>
      <c r="C555" s="5">
        <v>5.22859001159668</v>
      </c>
      <c r="D555" s="5">
        <v>228.391845703125</v>
      </c>
      <c r="E555" s="7">
        <f t="shared" ref="E555:F555" si="553">C555/C554-1</f>
        <v>0.00776256203</v>
      </c>
      <c r="F555" s="7">
        <f t="shared" si="553"/>
        <v>0.008500697662</v>
      </c>
    </row>
    <row r="556">
      <c r="A556" s="3">
        <f>IFERROR(__xludf.DUMMYFUNCTION("""COMPUTED_VALUE"""),43056.66666666667)</f>
        <v>43056.66667</v>
      </c>
      <c r="B556" s="5">
        <f>IFERROR(__xludf.DUMMYFUNCTION("""COMPUTED_VALUE"""),5.28)</f>
        <v>5.28</v>
      </c>
      <c r="C556" s="5">
        <v>5.22241353988647</v>
      </c>
      <c r="D556" s="5">
        <v>227.72068786621</v>
      </c>
      <c r="E556" s="7">
        <f t="shared" ref="E556:F556" si="554">C556/C555-1</f>
        <v>-0.001181288205</v>
      </c>
      <c r="F556" s="7">
        <f t="shared" si="554"/>
        <v>-0.00293862434</v>
      </c>
    </row>
    <row r="557">
      <c r="A557" s="3">
        <f>IFERROR(__xludf.DUMMYFUNCTION("""COMPUTED_VALUE"""),43059.66666666667)</f>
        <v>43059.66667</v>
      </c>
      <c r="B557" s="5">
        <f>IFERROR(__xludf.DUMMYFUNCTION("""COMPUTED_VALUE"""),5.35)</f>
        <v>5.35</v>
      </c>
      <c r="C557" s="5">
        <v>5.28962230682373</v>
      </c>
      <c r="D557" s="5">
        <v>228.109252929687</v>
      </c>
      <c r="E557" s="7">
        <f t="shared" ref="E557:F557" si="555">C557/C556-1</f>
        <v>0.01286929241</v>
      </c>
      <c r="F557" s="7">
        <f t="shared" si="555"/>
        <v>0.001706323071</v>
      </c>
    </row>
    <row r="558">
      <c r="A558" s="3">
        <f>IFERROR(__xludf.DUMMYFUNCTION("""COMPUTED_VALUE"""),43060.66666666667)</f>
        <v>43060.66667</v>
      </c>
      <c r="B558" s="5">
        <f>IFERROR(__xludf.DUMMYFUNCTION("""COMPUTED_VALUE"""),5.4)</f>
        <v>5.4</v>
      </c>
      <c r="C558" s="5">
        <v>5.33829498291015</v>
      </c>
      <c r="D558" s="5">
        <v>229.601699829101</v>
      </c>
      <c r="E558" s="7">
        <f t="shared" ref="E558:F558" si="556">C558/C557-1</f>
        <v>0.009201540916</v>
      </c>
      <c r="F558" s="7">
        <f t="shared" si="556"/>
        <v>0.006542684614</v>
      </c>
    </row>
    <row r="559">
      <c r="A559" s="3">
        <f>IFERROR(__xludf.DUMMYFUNCTION("""COMPUTED_VALUE"""),43061.66666666667)</f>
        <v>43061.66667</v>
      </c>
      <c r="B559" s="5">
        <f>IFERROR(__xludf.DUMMYFUNCTION("""COMPUTED_VALUE"""),5.37)</f>
        <v>5.37</v>
      </c>
      <c r="C559" s="5">
        <v>5.31431341171264</v>
      </c>
      <c r="D559" s="5">
        <v>229.398635864257</v>
      </c>
      <c r="E559" s="7">
        <f t="shared" ref="E559:F559" si="557">C559/C558-1</f>
        <v>-0.00449236531</v>
      </c>
      <c r="F559" s="7">
        <f t="shared" si="557"/>
        <v>-0.0008844183863</v>
      </c>
    </row>
    <row r="560">
      <c r="A560" s="3">
        <f>IFERROR(__xludf.DUMMYFUNCTION("""COMPUTED_VALUE"""),43063.54166666667)</f>
        <v>43063.54167</v>
      </c>
      <c r="B560" s="5">
        <f>IFERROR(__xludf.DUMMYFUNCTION("""COMPUTED_VALUE"""),5.42)</f>
        <v>5.42</v>
      </c>
      <c r="C560" s="5">
        <v>5.36450576782226</v>
      </c>
      <c r="D560" s="5">
        <v>229.928512573242</v>
      </c>
      <c r="E560" s="7">
        <f t="shared" ref="E560:F560" si="558">C560/C559-1</f>
        <v>0.009444748968</v>
      </c>
      <c r="F560" s="7">
        <f t="shared" si="558"/>
        <v>0.002309851177</v>
      </c>
    </row>
    <row r="561">
      <c r="A561" s="3">
        <f>IFERROR(__xludf.DUMMYFUNCTION("""COMPUTED_VALUE"""),43066.66666666667)</f>
        <v>43066.66667</v>
      </c>
      <c r="B561" s="5">
        <f>IFERROR(__xludf.DUMMYFUNCTION("""COMPUTED_VALUE"""),5.35)</f>
        <v>5.35</v>
      </c>
      <c r="C561" s="5">
        <v>5.29477834701538</v>
      </c>
      <c r="D561" s="5">
        <v>229.813705444335</v>
      </c>
      <c r="E561" s="7">
        <f t="shared" ref="E561:F561" si="559">C561/C560-1</f>
        <v>-0.01299792075</v>
      </c>
      <c r="F561" s="7">
        <f t="shared" si="559"/>
        <v>-0.0004993166251</v>
      </c>
    </row>
    <row r="562">
      <c r="A562" s="3">
        <f>IFERROR(__xludf.DUMMYFUNCTION("""COMPUTED_VALUE"""),43067.66666666667)</f>
        <v>43067.66667</v>
      </c>
      <c r="B562" s="5">
        <f>IFERROR(__xludf.DUMMYFUNCTION("""COMPUTED_VALUE"""),5.27)</f>
        <v>5.27</v>
      </c>
      <c r="C562" s="5">
        <v>5.20996952056884</v>
      </c>
      <c r="D562" s="5">
        <v>232.145156860351</v>
      </c>
      <c r="E562" s="7">
        <f t="shared" ref="E562:F562" si="560">C562/C561-1</f>
        <v>-0.01601744604</v>
      </c>
      <c r="F562" s="7">
        <f t="shared" si="560"/>
        <v>0.01014496247</v>
      </c>
    </row>
    <row r="563">
      <c r="A563" s="3">
        <f>IFERROR(__xludf.DUMMYFUNCTION("""COMPUTED_VALUE"""),43068.66666666667)</f>
        <v>43068.66667</v>
      </c>
      <c r="B563" s="5">
        <f>IFERROR(__xludf.DUMMYFUNCTION("""COMPUTED_VALUE"""),4.91)</f>
        <v>4.91</v>
      </c>
      <c r="C563" s="5">
        <v>4.85663747787475</v>
      </c>
      <c r="D563" s="5">
        <v>232.003799438476</v>
      </c>
      <c r="E563" s="7">
        <f t="shared" ref="E563:F563" si="561">C563/C562-1</f>
        <v>-0.06781844717</v>
      </c>
      <c r="F563" s="7">
        <f t="shared" si="561"/>
        <v>-0.0006089182466</v>
      </c>
    </row>
    <row r="564">
      <c r="A564" s="3">
        <f>IFERROR(__xludf.DUMMYFUNCTION("""COMPUTED_VALUE"""),43069.66666666667)</f>
        <v>43069.66667</v>
      </c>
      <c r="B564" s="5">
        <f>IFERROR(__xludf.DUMMYFUNCTION("""COMPUTED_VALUE"""),5.02)</f>
        <v>5.02</v>
      </c>
      <c r="C564" s="5">
        <v>4.96271181106567</v>
      </c>
      <c r="D564" s="5">
        <v>234.035034179687</v>
      </c>
      <c r="E564" s="7">
        <f t="shared" ref="E564:F564" si="562">C564/C563-1</f>
        <v>0.02184110584</v>
      </c>
      <c r="F564" s="7">
        <f t="shared" si="562"/>
        <v>0.008755178778</v>
      </c>
    </row>
    <row r="565">
      <c r="A565" s="3">
        <f>IFERROR(__xludf.DUMMYFUNCTION("""COMPUTED_VALUE"""),43070.66666666667)</f>
        <v>43070.66667</v>
      </c>
      <c r="B565" s="5">
        <f>IFERROR(__xludf.DUMMYFUNCTION("""COMPUTED_VALUE"""),4.94)</f>
        <v>4.94</v>
      </c>
      <c r="C565" s="5">
        <v>4.88779401779174</v>
      </c>
      <c r="D565" s="5">
        <v>233.549240112304</v>
      </c>
      <c r="E565" s="7">
        <f t="shared" ref="E565:F565" si="563">C565/C564-1</f>
        <v>-0.0150961402</v>
      </c>
      <c r="F565" s="7">
        <f t="shared" si="563"/>
        <v>-0.002075732247</v>
      </c>
    </row>
    <row r="566">
      <c r="A566" s="3">
        <f>IFERROR(__xludf.DUMMYFUNCTION("""COMPUTED_VALUE"""),43073.66666666667)</f>
        <v>43073.66667</v>
      </c>
      <c r="B566" s="5">
        <f>IFERROR(__xludf.DUMMYFUNCTION("""COMPUTED_VALUE"""),4.67)</f>
        <v>4.67</v>
      </c>
      <c r="C566" s="5">
        <v>4.61531496047973</v>
      </c>
      <c r="D566" s="5">
        <v>233.266677856445</v>
      </c>
      <c r="E566" s="7">
        <f t="shared" ref="E566:F566" si="564">C566/C565-1</f>
        <v>-0.05574683719</v>
      </c>
      <c r="F566" s="7">
        <f t="shared" si="564"/>
        <v>-0.001209861594</v>
      </c>
    </row>
    <row r="567">
      <c r="A567" s="3">
        <f>IFERROR(__xludf.DUMMYFUNCTION("""COMPUTED_VALUE"""),43074.66666666667)</f>
        <v>43074.66667</v>
      </c>
      <c r="B567" s="5">
        <f>IFERROR(__xludf.DUMMYFUNCTION("""COMPUTED_VALUE"""),4.69)</f>
        <v>4.69</v>
      </c>
      <c r="C567" s="5">
        <v>4.64201974868774</v>
      </c>
      <c r="D567" s="5">
        <v>232.42771911621</v>
      </c>
      <c r="E567" s="7">
        <f t="shared" ref="E567:F567" si="565">C567/C566-1</f>
        <v>0.005786124769</v>
      </c>
      <c r="F567" s="7">
        <f t="shared" si="565"/>
        <v>-0.003596564876</v>
      </c>
    </row>
    <row r="568">
      <c r="A568" s="3">
        <f>IFERROR(__xludf.DUMMYFUNCTION("""COMPUTED_VALUE"""),43075.66666666667)</f>
        <v>43075.66667</v>
      </c>
      <c r="B568" s="5">
        <f>IFERROR(__xludf.DUMMYFUNCTION("""COMPUTED_VALUE"""),4.73)</f>
        <v>4.73</v>
      </c>
      <c r="C568" s="5">
        <v>4.67960214614868</v>
      </c>
      <c r="D568" s="5">
        <v>232.471862792968</v>
      </c>
      <c r="E568" s="7">
        <f t="shared" ref="E568:F568" si="566">C568/C567-1</f>
        <v>0.008096130455</v>
      </c>
      <c r="F568" s="7">
        <f t="shared" si="566"/>
        <v>0.0001899243211</v>
      </c>
    </row>
    <row r="569">
      <c r="A569" s="3">
        <f>IFERROR(__xludf.DUMMYFUNCTION("""COMPUTED_VALUE"""),43076.66666666667)</f>
        <v>43076.66667</v>
      </c>
      <c r="B569" s="5">
        <f>IFERROR(__xludf.DUMMYFUNCTION("""COMPUTED_VALUE"""),4.8)</f>
        <v>4.8</v>
      </c>
      <c r="C569" s="5">
        <v>4.74710369110107</v>
      </c>
      <c r="D569" s="5">
        <v>233.204879760742</v>
      </c>
      <c r="E569" s="7">
        <f t="shared" ref="E569:F569" si="567">C569/C568-1</f>
        <v>0.0144246333</v>
      </c>
      <c r="F569" s="7">
        <f t="shared" si="567"/>
        <v>0.003153142746</v>
      </c>
    </row>
    <row r="570">
      <c r="A570" s="3">
        <f>IFERROR(__xludf.DUMMYFUNCTION("""COMPUTED_VALUE"""),43077.66666666667)</f>
        <v>43077.66667</v>
      </c>
      <c r="B570" s="5">
        <f>IFERROR(__xludf.DUMMYFUNCTION("""COMPUTED_VALUE"""),4.79)</f>
        <v>4.79</v>
      </c>
      <c r="C570" s="5">
        <v>4.73474073410034</v>
      </c>
      <c r="D570" s="5">
        <v>234.47654724121</v>
      </c>
      <c r="E570" s="7">
        <f t="shared" ref="E570:F570" si="568">C570/C569-1</f>
        <v>-0.002604315769</v>
      </c>
      <c r="F570" s="7">
        <f t="shared" si="568"/>
        <v>0.005453005451</v>
      </c>
    </row>
    <row r="571">
      <c r="A571" s="3">
        <f>IFERROR(__xludf.DUMMYFUNCTION("""COMPUTED_VALUE"""),43080.66666666667)</f>
        <v>43080.66667</v>
      </c>
      <c r="B571" s="5">
        <f>IFERROR(__xludf.DUMMYFUNCTION("""COMPUTED_VALUE"""),4.87)</f>
        <v>4.87</v>
      </c>
      <c r="C571" s="5">
        <v>4.81312131881713</v>
      </c>
      <c r="D571" s="5">
        <v>235.183029174804</v>
      </c>
      <c r="E571" s="7">
        <f t="shared" ref="E571:F571" si="569">C571/C570-1</f>
        <v>0.01655435622</v>
      </c>
      <c r="F571" s="7">
        <f t="shared" si="569"/>
        <v>0.003013017472</v>
      </c>
    </row>
    <row r="572">
      <c r="A572" s="3">
        <f>IFERROR(__xludf.DUMMYFUNCTION("""COMPUTED_VALUE"""),43081.66666666667)</f>
        <v>43081.66667</v>
      </c>
      <c r="B572" s="5">
        <f>IFERROR(__xludf.DUMMYFUNCTION("""COMPUTED_VALUE"""),4.77)</f>
        <v>4.77</v>
      </c>
      <c r="C572" s="5">
        <v>4.71866989135742</v>
      </c>
      <c r="D572" s="5">
        <v>235.598098754882</v>
      </c>
      <c r="E572" s="7">
        <f t="shared" ref="E572:F572" si="570">C572/C571-1</f>
        <v>-0.01962373711</v>
      </c>
      <c r="F572" s="7">
        <f t="shared" si="570"/>
        <v>0.001764878961</v>
      </c>
    </row>
    <row r="573">
      <c r="A573" s="3">
        <f>IFERROR(__xludf.DUMMYFUNCTION("""COMPUTED_VALUE"""),43082.66666666667)</f>
        <v>43082.66667</v>
      </c>
      <c r="B573" s="5">
        <f>IFERROR(__xludf.DUMMYFUNCTION("""COMPUTED_VALUE"""),4.65)</f>
        <v>4.65</v>
      </c>
      <c r="C573" s="5">
        <v>4.60344696044921</v>
      </c>
      <c r="D573" s="5">
        <v>235.571548461914</v>
      </c>
      <c r="E573" s="7">
        <f t="shared" ref="E573:F573" si="571">C573/C572-1</f>
        <v>-0.02441851911</v>
      </c>
      <c r="F573" s="7">
        <f t="shared" si="571"/>
        <v>-0.0001126931546</v>
      </c>
    </row>
    <row r="574">
      <c r="A574" s="3">
        <f>IFERROR(__xludf.DUMMYFUNCTION("""COMPUTED_VALUE"""),43083.66666666667)</f>
        <v>43083.66667</v>
      </c>
      <c r="B574" s="5">
        <f>IFERROR(__xludf.DUMMYFUNCTION("""COMPUTED_VALUE"""),4.66)</f>
        <v>4.66</v>
      </c>
      <c r="C574" s="5">
        <v>4.61061811447143</v>
      </c>
      <c r="D574" s="5">
        <v>234.609008789062</v>
      </c>
      <c r="E574" s="7">
        <f t="shared" ref="E574:F574" si="572">C574/C573-1</f>
        <v>0.001557779221</v>
      </c>
      <c r="F574" s="7">
        <f t="shared" si="572"/>
        <v>-0.004085975913</v>
      </c>
    </row>
    <row r="575">
      <c r="A575" s="3">
        <f>IFERROR(__xludf.DUMMYFUNCTION("""COMPUTED_VALUE"""),43084.66666666667)</f>
        <v>43084.66667</v>
      </c>
      <c r="B575" s="5">
        <f>IFERROR(__xludf.DUMMYFUNCTION("""COMPUTED_VALUE"""),4.79)</f>
        <v>4.79</v>
      </c>
      <c r="C575" s="5">
        <v>4.73647165298461</v>
      </c>
      <c r="D575" s="5">
        <v>236.562683105468</v>
      </c>
      <c r="E575" s="7">
        <f t="shared" ref="E575:F575" si="573">C575/C574-1</f>
        <v>0.02729645687</v>
      </c>
      <c r="F575" s="7">
        <f t="shared" si="573"/>
        <v>0.008327362732</v>
      </c>
    </row>
    <row r="576">
      <c r="A576" s="3">
        <f>IFERROR(__xludf.DUMMYFUNCTION("""COMPUTED_VALUE"""),43087.66666666667)</f>
        <v>43087.66667</v>
      </c>
      <c r="B576" s="5">
        <f>IFERROR(__xludf.DUMMYFUNCTION("""COMPUTED_VALUE"""),4.95)</f>
        <v>4.95</v>
      </c>
      <c r="C576" s="5">
        <v>4.89323377609252</v>
      </c>
      <c r="D576" s="5">
        <v>238.062805175781</v>
      </c>
      <c r="E576" s="7">
        <f t="shared" ref="E576:F576" si="574">C576/C575-1</f>
        <v>0.03309681438</v>
      </c>
      <c r="F576" s="7">
        <f t="shared" si="574"/>
        <v>0.006341330131</v>
      </c>
    </row>
    <row r="577">
      <c r="A577" s="3">
        <f>IFERROR(__xludf.DUMMYFUNCTION("""COMPUTED_VALUE"""),43088.66666666667)</f>
        <v>43088.66667</v>
      </c>
      <c r="B577" s="5">
        <f>IFERROR(__xludf.DUMMYFUNCTION("""COMPUTED_VALUE"""),4.9)</f>
        <v>4.9</v>
      </c>
      <c r="C577" s="5">
        <v>4.84897470474243</v>
      </c>
      <c r="D577" s="5">
        <v>237.148559570312</v>
      </c>
      <c r="E577" s="7">
        <f t="shared" ref="E577:F577" si="575">C577/C576-1</f>
        <v>-0.009044953373</v>
      </c>
      <c r="F577" s="7">
        <f t="shared" si="575"/>
        <v>-0.003840354669</v>
      </c>
    </row>
    <row r="578">
      <c r="A578" s="3">
        <f>IFERROR(__xludf.DUMMYFUNCTION("""COMPUTED_VALUE"""),43089.66666666667)</f>
        <v>43089.66667</v>
      </c>
      <c r="B578" s="5">
        <f>IFERROR(__xludf.DUMMYFUNCTION("""COMPUTED_VALUE"""),4.92)</f>
        <v>4.92</v>
      </c>
      <c r="C578" s="5">
        <v>4.8660340309143</v>
      </c>
      <c r="D578" s="5">
        <v>237.024215698242</v>
      </c>
      <c r="E578" s="7">
        <f t="shared" ref="E578:F578" si="576">C578/C577-1</f>
        <v>0.003518130576</v>
      </c>
      <c r="F578" s="7">
        <f t="shared" si="576"/>
        <v>-0.000524329021</v>
      </c>
    </row>
    <row r="579">
      <c r="A579" s="3">
        <f>IFERROR(__xludf.DUMMYFUNCTION("""COMPUTED_VALUE"""),43090.66666666667)</f>
        <v>43090.66667</v>
      </c>
      <c r="B579" s="5">
        <f>IFERROR(__xludf.DUMMYFUNCTION("""COMPUTED_VALUE"""),4.9)</f>
        <v>4.9</v>
      </c>
      <c r="C579" s="5">
        <v>4.84353494644165</v>
      </c>
      <c r="D579" s="5">
        <v>237.512496948242</v>
      </c>
      <c r="E579" s="7">
        <f t="shared" ref="E579:F579" si="577">C579/C578-1</f>
        <v>-0.004623700601</v>
      </c>
      <c r="F579" s="7">
        <f t="shared" si="577"/>
        <v>0.002060047951</v>
      </c>
    </row>
    <row r="580">
      <c r="A580" s="3">
        <f>IFERROR(__xludf.DUMMYFUNCTION("""COMPUTED_VALUE"""),43091.66666666667)</f>
        <v>43091.66667</v>
      </c>
      <c r="B580" s="5">
        <f>IFERROR(__xludf.DUMMYFUNCTION("""COMPUTED_VALUE"""),4.88)</f>
        <v>4.88</v>
      </c>
      <c r="C580" s="5">
        <v>4.8282036781311</v>
      </c>
      <c r="D580" s="5">
        <v>237.450332641601</v>
      </c>
      <c r="E580" s="7">
        <f t="shared" ref="E580:F580" si="578">C580/C579-1</f>
        <v>-0.003165305604</v>
      </c>
      <c r="F580" s="7">
        <f t="shared" si="578"/>
        <v>-0.0002617306771</v>
      </c>
    </row>
    <row r="581">
      <c r="A581" s="3">
        <f>IFERROR(__xludf.DUMMYFUNCTION("""COMPUTED_VALUE"""),43095.66666666667)</f>
        <v>43095.66667</v>
      </c>
      <c r="B581" s="5">
        <f>IFERROR(__xludf.DUMMYFUNCTION("""COMPUTED_VALUE"""),4.94)</f>
        <v>4.94</v>
      </c>
      <c r="C581" s="5">
        <v>4.88185882568359</v>
      </c>
      <c r="D581" s="5">
        <v>237.166290283203</v>
      </c>
      <c r="E581" s="7">
        <f t="shared" ref="E581:F581" si="579">C581/C580-1</f>
        <v>0.01111285918</v>
      </c>
      <c r="F581" s="7">
        <f t="shared" si="579"/>
        <v>-0.001196217985</v>
      </c>
    </row>
    <row r="582">
      <c r="A582" s="3">
        <f>IFERROR(__xludf.DUMMYFUNCTION("""COMPUTED_VALUE"""),43096.66666666667)</f>
        <v>43096.66667</v>
      </c>
      <c r="B582" s="5">
        <f>IFERROR(__xludf.DUMMYFUNCTION("""COMPUTED_VALUE"""),4.93)</f>
        <v>4.93</v>
      </c>
      <c r="C582" s="5">
        <v>4.87518262863159</v>
      </c>
      <c r="D582" s="5">
        <v>237.281692504882</v>
      </c>
      <c r="E582" s="7">
        <f t="shared" ref="E582:F582" si="580">C582/C581-1</f>
        <v>-0.001367552256</v>
      </c>
      <c r="F582" s="7">
        <f t="shared" si="580"/>
        <v>0.0004865877926</v>
      </c>
    </row>
    <row r="583">
      <c r="A583" s="3">
        <f>IFERROR(__xludf.DUMMYFUNCTION("""COMPUTED_VALUE"""),43097.66666666667)</f>
        <v>43097.66667</v>
      </c>
      <c r="B583" s="5">
        <f>IFERROR(__xludf.DUMMYFUNCTION("""COMPUTED_VALUE"""),4.93)</f>
        <v>4.93</v>
      </c>
      <c r="C583" s="5">
        <v>4.88087081909179</v>
      </c>
      <c r="D583" s="5">
        <v>237.76985168457</v>
      </c>
      <c r="E583" s="7">
        <f t="shared" ref="E583:F583" si="581">C583/C582-1</f>
        <v>0.00116676459</v>
      </c>
      <c r="F583" s="7">
        <f t="shared" si="581"/>
        <v>0.002057298119</v>
      </c>
    </row>
    <row r="584">
      <c r="A584" s="3">
        <f>IFERROR(__xludf.DUMMYFUNCTION("""COMPUTED_VALUE"""),43098.66666666667)</f>
        <v>43098.66667</v>
      </c>
      <c r="B584" s="5">
        <f>IFERROR(__xludf.DUMMYFUNCTION("""COMPUTED_VALUE"""),4.84)</f>
        <v>4.84</v>
      </c>
      <c r="C584" s="5">
        <v>4.78444099426269</v>
      </c>
      <c r="D584" s="5">
        <v>236.873306274414</v>
      </c>
      <c r="E584" s="7">
        <f t="shared" ref="E584:F584" si="582">C584/C583-1</f>
        <v>-0.01975668449</v>
      </c>
      <c r="F584" s="7">
        <f t="shared" si="582"/>
        <v>-0.003770643771</v>
      </c>
    </row>
    <row r="585">
      <c r="A585" s="3">
        <f>IFERROR(__xludf.DUMMYFUNCTION("""COMPUTED_VALUE"""),43102.66666666667)</f>
        <v>43102.66667</v>
      </c>
      <c r="B585" s="5">
        <f>IFERROR(__xludf.DUMMYFUNCTION("""COMPUTED_VALUE"""),4.98)</f>
        <v>4.98</v>
      </c>
      <c r="C585" s="5">
        <v>4.92908525466918</v>
      </c>
      <c r="D585" s="5">
        <v>238.568756103515</v>
      </c>
      <c r="E585" s="7">
        <f t="shared" ref="E585:F585" si="583">C585/C584-1</f>
        <v>0.03023221743</v>
      </c>
      <c r="F585" s="7">
        <f t="shared" si="583"/>
        <v>0.007157623017</v>
      </c>
    </row>
    <row r="586">
      <c r="A586" s="3">
        <f>IFERROR(__xludf.DUMMYFUNCTION("""COMPUTED_VALUE"""),43103.66666666667)</f>
        <v>43103.66667</v>
      </c>
      <c r="B586" s="5">
        <f>IFERROR(__xludf.DUMMYFUNCTION("""COMPUTED_VALUE"""),5.31)</f>
        <v>5.31</v>
      </c>
      <c r="C586" s="5">
        <v>5.25348711013793</v>
      </c>
      <c r="D586" s="5">
        <v>240.077758789062</v>
      </c>
      <c r="E586" s="7">
        <f t="shared" ref="E586:F586" si="584">C586/C585-1</f>
        <v>0.06581380494</v>
      </c>
      <c r="F586" s="7">
        <f t="shared" si="584"/>
        <v>0.006325231812</v>
      </c>
    </row>
    <row r="587">
      <c r="A587" s="3">
        <f>IFERROR(__xludf.DUMMYFUNCTION("""COMPUTED_VALUE"""),43104.66666666667)</f>
        <v>43104.66667</v>
      </c>
      <c r="B587" s="5">
        <f>IFERROR(__xludf.DUMMYFUNCTION("""COMPUTED_VALUE"""),5.34)</f>
        <v>5.34</v>
      </c>
      <c r="C587" s="5">
        <v>5.28117990493774</v>
      </c>
      <c r="D587" s="5">
        <v>241.089569091796</v>
      </c>
      <c r="E587" s="7">
        <f t="shared" ref="E587:F587" si="585">C587/C586-1</f>
        <v>0.005271316788</v>
      </c>
      <c r="F587" s="7">
        <f t="shared" si="585"/>
        <v>0.004214510781</v>
      </c>
    </row>
    <row r="588">
      <c r="A588" s="3">
        <f>IFERROR(__xludf.DUMMYFUNCTION("""COMPUTED_VALUE"""),43105.66666666667)</f>
        <v>43105.66667</v>
      </c>
      <c r="B588" s="5">
        <f>IFERROR(__xludf.DUMMYFUNCTION("""COMPUTED_VALUE"""),5.39)</f>
        <v>5.39</v>
      </c>
      <c r="C588" s="5">
        <v>5.32593345642089</v>
      </c>
      <c r="D588" s="5">
        <v>242.696228027343</v>
      </c>
      <c r="E588" s="7">
        <f t="shared" ref="E588:F588" si="586">C588/C587-1</f>
        <v>0.008474157724</v>
      </c>
      <c r="F588" s="7">
        <f t="shared" si="586"/>
        <v>0.006664157813</v>
      </c>
    </row>
    <row r="589">
      <c r="A589" s="3">
        <f>IFERROR(__xludf.DUMMYFUNCTION("""COMPUTED_VALUE"""),43108.66666666667)</f>
        <v>43108.66667</v>
      </c>
      <c r="B589" s="5">
        <f>IFERROR(__xludf.DUMMYFUNCTION("""COMPUTED_VALUE"""),5.55)</f>
        <v>5.55</v>
      </c>
      <c r="C589" s="5">
        <v>5.48912572860717</v>
      </c>
      <c r="D589" s="5">
        <v>243.139984130859</v>
      </c>
      <c r="E589" s="7">
        <f t="shared" ref="E589:F589" si="587">C589/C588-1</f>
        <v>0.03064106481</v>
      </c>
      <c r="F589" s="7">
        <f t="shared" si="587"/>
        <v>0.001828442523</v>
      </c>
    </row>
    <row r="590">
      <c r="A590" s="3">
        <f>IFERROR(__xludf.DUMMYFUNCTION("""COMPUTED_VALUE"""),43109.66666666667)</f>
        <v>43109.66667</v>
      </c>
      <c r="B590" s="5">
        <f>IFERROR(__xludf.DUMMYFUNCTION("""COMPUTED_VALUE"""),5.55)</f>
        <v>5.55</v>
      </c>
      <c r="C590" s="5">
        <v>5.48764133453369</v>
      </c>
      <c r="D590" s="5">
        <v>243.690353393554</v>
      </c>
      <c r="E590" s="7">
        <f t="shared" ref="E590:F590" si="588">C590/C589-1</f>
        <v>-0.0002704244987</v>
      </c>
      <c r="F590" s="7">
        <f t="shared" si="588"/>
        <v>0.002263590107</v>
      </c>
    </row>
    <row r="591">
      <c r="A591" s="3">
        <f>IFERROR(__xludf.DUMMYFUNCTION("""COMPUTED_VALUE"""),43110.66666666667)</f>
        <v>43110.66667</v>
      </c>
      <c r="B591" s="5">
        <f>IFERROR(__xludf.DUMMYFUNCTION("""COMPUTED_VALUE"""),5.59)</f>
        <v>5.59</v>
      </c>
      <c r="C591" s="5">
        <v>5.53066444396972</v>
      </c>
      <c r="D591" s="5">
        <v>243.317565917968</v>
      </c>
      <c r="E591" s="7">
        <f t="shared" ref="E591:F591" si="589">C591/C590-1</f>
        <v>0.00784000025</v>
      </c>
      <c r="F591" s="7">
        <f t="shared" si="589"/>
        <v>-0.001529758853</v>
      </c>
    </row>
    <row r="592">
      <c r="A592" s="3">
        <f>IFERROR(__xludf.DUMMYFUNCTION("""COMPUTED_VALUE"""),43111.66666666667)</f>
        <v>43111.66667</v>
      </c>
      <c r="B592" s="5">
        <f>IFERROR(__xludf.DUMMYFUNCTION("""COMPUTED_VALUE"""),5.6)</f>
        <v>5.6</v>
      </c>
      <c r="C592" s="5">
        <v>5.5405535697937</v>
      </c>
      <c r="D592" s="5">
        <v>245.092834472656</v>
      </c>
      <c r="E592" s="7">
        <f t="shared" ref="E592:F592" si="590">C592/C591-1</f>
        <v>0.001788053845</v>
      </c>
      <c r="F592" s="7">
        <f t="shared" si="590"/>
        <v>0.007296096967</v>
      </c>
    </row>
    <row r="593">
      <c r="A593" s="3">
        <f>IFERROR(__xludf.DUMMYFUNCTION("""COMPUTED_VALUE"""),43112.66666666667)</f>
        <v>43112.66667</v>
      </c>
      <c r="B593" s="5">
        <f>IFERROR(__xludf.DUMMYFUNCTION("""COMPUTED_VALUE"""),5.57)</f>
        <v>5.57</v>
      </c>
      <c r="C593" s="5">
        <v>5.51335477828979</v>
      </c>
      <c r="D593" s="5">
        <v>246.690551757812</v>
      </c>
      <c r="E593" s="7">
        <f t="shared" ref="E593:F593" si="591">C593/C592-1</f>
        <v>-0.00490903863</v>
      </c>
      <c r="F593" s="7">
        <f t="shared" si="591"/>
        <v>0.006518824953</v>
      </c>
    </row>
    <row r="594">
      <c r="A594" s="3">
        <f>IFERROR(__xludf.DUMMYFUNCTION("""COMPUTED_VALUE"""),43116.66666666667)</f>
        <v>43116.66667</v>
      </c>
      <c r="B594" s="5">
        <f>IFERROR(__xludf.DUMMYFUNCTION("""COMPUTED_VALUE"""),5.5)</f>
        <v>5.5</v>
      </c>
      <c r="C594" s="5">
        <v>5.44239282608032</v>
      </c>
      <c r="D594" s="5">
        <v>245.847351074218</v>
      </c>
      <c r="E594" s="7">
        <f t="shared" ref="E594:F594" si="592">C594/C593-1</f>
        <v>-0.01287092071</v>
      </c>
      <c r="F594" s="7">
        <f t="shared" si="592"/>
        <v>-0.003418050175</v>
      </c>
    </row>
    <row r="595">
      <c r="A595" s="3">
        <f>IFERROR(__xludf.DUMMYFUNCTION("""COMPUTED_VALUE"""),43117.66666666667)</f>
        <v>43117.66667</v>
      </c>
      <c r="B595" s="5">
        <f>IFERROR(__xludf.DUMMYFUNCTION("""COMPUTED_VALUE"""),5.62)</f>
        <v>5.62</v>
      </c>
      <c r="C595" s="5">
        <v>5.55637788772583</v>
      </c>
      <c r="D595" s="5">
        <v>248.190704345703</v>
      </c>
      <c r="E595" s="7">
        <f t="shared" ref="E595:F595" si="593">C595/C594-1</f>
        <v>0.02094392398</v>
      </c>
      <c r="F595" s="7">
        <f t="shared" si="593"/>
        <v>0.009531740982</v>
      </c>
    </row>
    <row r="596">
      <c r="A596" s="3">
        <f>IFERROR(__xludf.DUMMYFUNCTION("""COMPUTED_VALUE"""),43118.66666666667)</f>
        <v>43118.66667</v>
      </c>
      <c r="B596" s="5">
        <f>IFERROR(__xludf.DUMMYFUNCTION("""COMPUTED_VALUE"""),5.61)</f>
        <v>5.61</v>
      </c>
      <c r="C596" s="5">
        <v>5.54945659637451</v>
      </c>
      <c r="D596" s="5">
        <v>247.773468017578</v>
      </c>
      <c r="E596" s="7">
        <f t="shared" ref="E596:F596" si="594">C596/C595-1</f>
        <v>-0.001245648063</v>
      </c>
      <c r="F596" s="7">
        <f t="shared" si="594"/>
        <v>-0.001681111826</v>
      </c>
    </row>
    <row r="597">
      <c r="A597" s="3">
        <f>IFERROR(__xludf.DUMMYFUNCTION("""COMPUTED_VALUE"""),43119.66666666667)</f>
        <v>43119.66667</v>
      </c>
      <c r="B597" s="5">
        <f>IFERROR(__xludf.DUMMYFUNCTION("""COMPUTED_VALUE"""),5.75)</f>
        <v>5.75</v>
      </c>
      <c r="C597" s="5">
        <v>5.68965053558349</v>
      </c>
      <c r="D597" s="5">
        <v>248.900833129882</v>
      </c>
      <c r="E597" s="7">
        <f t="shared" ref="E597:F597" si="595">C597/C596-1</f>
        <v>0.02526264271</v>
      </c>
      <c r="F597" s="7">
        <f t="shared" si="595"/>
        <v>0.004549983182</v>
      </c>
    </row>
    <row r="598">
      <c r="A598" s="3">
        <f>IFERROR(__xludf.DUMMYFUNCTION("""COMPUTED_VALUE"""),43122.66666666667)</f>
        <v>43122.66667</v>
      </c>
      <c r="B598" s="5">
        <f>IFERROR(__xludf.DUMMYFUNCTION("""COMPUTED_VALUE"""),5.84)</f>
        <v>5.84</v>
      </c>
      <c r="C598" s="5">
        <v>5.77816867828369</v>
      </c>
      <c r="D598" s="5">
        <v>250.924591064453</v>
      </c>
      <c r="E598" s="7">
        <f t="shared" ref="E598:F598" si="596">C598/C597-1</f>
        <v>0.01555774685</v>
      </c>
      <c r="F598" s="7">
        <f t="shared" si="596"/>
        <v>0.008130780075</v>
      </c>
    </row>
    <row r="599">
      <c r="A599" s="3">
        <f>IFERROR(__xludf.DUMMYFUNCTION("""COMPUTED_VALUE"""),43123.66666666667)</f>
        <v>43123.66667</v>
      </c>
      <c r="B599" s="5">
        <f>IFERROR(__xludf.DUMMYFUNCTION("""COMPUTED_VALUE"""),5.97)</f>
        <v>5.97</v>
      </c>
      <c r="C599" s="5">
        <v>5.90723657608032</v>
      </c>
      <c r="D599" s="5">
        <v>251.457168579101</v>
      </c>
      <c r="E599" s="7">
        <f t="shared" ref="E599:F599" si="597">C599/C598-1</f>
        <v>0.02233716338</v>
      </c>
      <c r="F599" s="7">
        <f t="shared" si="597"/>
        <v>0.002122460427</v>
      </c>
    </row>
    <row r="600">
      <c r="A600" s="3">
        <f>IFERROR(__xludf.DUMMYFUNCTION("""COMPUTED_VALUE"""),43124.66666666667)</f>
        <v>43124.66667</v>
      </c>
      <c r="B600" s="5">
        <f>IFERROR(__xludf.DUMMYFUNCTION("""COMPUTED_VALUE"""),5.9)</f>
        <v>5.9</v>
      </c>
      <c r="C600" s="5">
        <v>5.83034133911132</v>
      </c>
      <c r="D600" s="5">
        <v>251.359466552734</v>
      </c>
      <c r="E600" s="7">
        <f t="shared" ref="E600:F600" si="598">C600/C599-1</f>
        <v>-0.01301712501</v>
      </c>
      <c r="F600" s="7">
        <f t="shared" si="598"/>
        <v>-0.0003885434125</v>
      </c>
    </row>
    <row r="601">
      <c r="A601" s="3">
        <f>IFERROR(__xludf.DUMMYFUNCTION("""COMPUTED_VALUE"""),43125.66666666667)</f>
        <v>43125.66667</v>
      </c>
      <c r="B601" s="5">
        <f>IFERROR(__xludf.DUMMYFUNCTION("""COMPUTED_VALUE"""),5.91)</f>
        <v>5.91</v>
      </c>
      <c r="C601" s="5">
        <v>5.8439393043518</v>
      </c>
      <c r="D601" s="5">
        <v>251.466018676757</v>
      </c>
      <c r="E601" s="7">
        <f t="shared" ref="E601:F601" si="599">C601/C600-1</f>
        <v>0.002332276011</v>
      </c>
      <c r="F601" s="7">
        <f t="shared" si="599"/>
        <v>0.0004239033663</v>
      </c>
    </row>
    <row r="602">
      <c r="A602" s="3">
        <f>IFERROR(__xludf.DUMMYFUNCTION("""COMPUTED_VALUE"""),43126.66666666667)</f>
        <v>43126.66667</v>
      </c>
      <c r="B602" s="5">
        <f>IFERROR(__xludf.DUMMYFUNCTION("""COMPUTED_VALUE"""),6.08)</f>
        <v>6.08</v>
      </c>
      <c r="C602" s="5">
        <v>6.01652431488037</v>
      </c>
      <c r="D602" s="5">
        <v>254.377456665039</v>
      </c>
      <c r="E602" s="7">
        <f t="shared" ref="E602:F602" si="600">C602/C601-1</f>
        <v>0.02953230715</v>
      </c>
      <c r="F602" s="7">
        <f t="shared" si="600"/>
        <v>0.01157785853</v>
      </c>
    </row>
    <row r="603">
      <c r="A603" s="3">
        <f>IFERROR(__xludf.DUMMYFUNCTION("""COMPUTED_VALUE"""),43129.66666666667)</f>
        <v>43129.66667</v>
      </c>
      <c r="B603" s="5">
        <f>IFERROR(__xludf.DUMMYFUNCTION("""COMPUTED_VALUE"""),6.17)</f>
        <v>6.17</v>
      </c>
      <c r="C603" s="5">
        <v>6.10355997085571</v>
      </c>
      <c r="D603" s="5">
        <v>252.690948486328</v>
      </c>
      <c r="E603" s="7">
        <f t="shared" ref="E603:F603" si="601">C603/C602-1</f>
        <v>0.01446610226</v>
      </c>
      <c r="F603" s="7">
        <f t="shared" si="601"/>
        <v>-0.006629943552</v>
      </c>
    </row>
    <row r="604">
      <c r="A604" s="3">
        <f>IFERROR(__xludf.DUMMYFUNCTION("""COMPUTED_VALUE"""),43130.66666666667)</f>
        <v>43130.66667</v>
      </c>
      <c r="B604" s="5">
        <f>IFERROR(__xludf.DUMMYFUNCTION("""COMPUTED_VALUE"""),6.07)</f>
        <v>6.07</v>
      </c>
      <c r="C604" s="5">
        <v>6.00144338607788</v>
      </c>
      <c r="D604" s="5">
        <v>250.098968505859</v>
      </c>
      <c r="E604" s="7">
        <f t="shared" ref="E604:F604" si="602">C604/C603-1</f>
        <v>-0.01673065969</v>
      </c>
      <c r="F604" s="7">
        <f t="shared" si="602"/>
        <v>-0.0102575102</v>
      </c>
    </row>
    <row r="605">
      <c r="A605" s="3">
        <f>IFERROR(__xludf.DUMMYFUNCTION("""COMPUTED_VALUE"""),43131.66666666667)</f>
        <v>43131.66667</v>
      </c>
      <c r="B605" s="5">
        <f>IFERROR(__xludf.DUMMYFUNCTION("""COMPUTED_VALUE"""),6.15)</f>
        <v>6.15</v>
      </c>
      <c r="C605" s="5">
        <v>6.07759714126586</v>
      </c>
      <c r="D605" s="5">
        <v>250.223312377929</v>
      </c>
      <c r="E605" s="7">
        <f t="shared" ref="E605:F605" si="603">C605/C604-1</f>
        <v>0.01268923995</v>
      </c>
      <c r="F605" s="7">
        <f t="shared" si="603"/>
        <v>0.0004971786682</v>
      </c>
    </row>
    <row r="606">
      <c r="A606" s="3">
        <f>IFERROR(__xludf.DUMMYFUNCTION("""COMPUTED_VALUE"""),43132.66666666667)</f>
        <v>43132.66667</v>
      </c>
      <c r="B606" s="5">
        <f>IFERROR(__xludf.DUMMYFUNCTION("""COMPUTED_VALUE"""),6.01)</f>
        <v>6.01</v>
      </c>
      <c r="C606" s="5">
        <v>5.94654989242553</v>
      </c>
      <c r="D606" s="5">
        <v>249.939270019531</v>
      </c>
      <c r="E606" s="7">
        <f t="shared" ref="E606:F606" si="604">C606/C605-1</f>
        <v>-0.02156234541</v>
      </c>
      <c r="F606" s="7">
        <f t="shared" si="604"/>
        <v>-0.001135155457</v>
      </c>
    </row>
    <row r="607">
      <c r="A607" s="3">
        <f>IFERROR(__xludf.DUMMYFUNCTION("""COMPUTED_VALUE"""),43133.66666666667)</f>
        <v>43133.66667</v>
      </c>
      <c r="B607" s="5">
        <f>IFERROR(__xludf.DUMMYFUNCTION("""COMPUTED_VALUE"""),5.84)</f>
        <v>5.84</v>
      </c>
      <c r="C607" s="5">
        <v>5.77396583557128</v>
      </c>
      <c r="D607" s="5">
        <v>244.498214721679</v>
      </c>
      <c r="E607" s="7">
        <f t="shared" ref="E607:F607" si="605">C607/C606-1</f>
        <v>-0.02902255257</v>
      </c>
      <c r="F607" s="7">
        <f t="shared" si="605"/>
        <v>-0.02176950944</v>
      </c>
    </row>
    <row r="608">
      <c r="A608" s="3">
        <f>IFERROR(__xludf.DUMMYFUNCTION("""COMPUTED_VALUE"""),43136.66666666667)</f>
        <v>43136.66667</v>
      </c>
      <c r="B608" s="5">
        <f>IFERROR(__xludf.DUMMYFUNCTION("""COMPUTED_VALUE"""),5.34)</f>
        <v>5.34</v>
      </c>
      <c r="C608" s="5">
        <v>5.28390169143676</v>
      </c>
      <c r="D608" s="5">
        <v>234.272628784179</v>
      </c>
      <c r="E608" s="7">
        <f t="shared" ref="E608:F608" si="606">C608/C607-1</f>
        <v>-0.0848747911</v>
      </c>
      <c r="F608" s="7">
        <f t="shared" si="606"/>
        <v>-0.04182274275</v>
      </c>
    </row>
    <row r="609">
      <c r="A609" s="3">
        <f>IFERROR(__xludf.DUMMYFUNCTION("""COMPUTED_VALUE"""),43137.66666666667)</f>
        <v>43137.66667</v>
      </c>
      <c r="B609" s="5">
        <f>IFERROR(__xludf.DUMMYFUNCTION("""COMPUTED_VALUE"""),5.64)</f>
        <v>5.64</v>
      </c>
      <c r="C609" s="5">
        <v>5.57764196395874</v>
      </c>
      <c r="D609" s="5">
        <v>238.88833618164</v>
      </c>
      <c r="E609" s="7">
        <f t="shared" ref="E609:F609" si="607">C609/C608-1</f>
        <v>0.05559154762</v>
      </c>
      <c r="F609" s="7">
        <f t="shared" si="607"/>
        <v>0.01970229054</v>
      </c>
    </row>
    <row r="610">
      <c r="A610" s="3">
        <f>IFERROR(__xludf.DUMMYFUNCTION("""COMPUTED_VALUE"""),43138.66666666667)</f>
        <v>43138.66667</v>
      </c>
      <c r="B610" s="5">
        <f>IFERROR(__xludf.DUMMYFUNCTION("""COMPUTED_VALUE"""),5.72)</f>
        <v>5.72</v>
      </c>
      <c r="C610" s="5">
        <v>5.65725994110107</v>
      </c>
      <c r="D610" s="5">
        <v>237.592346191406</v>
      </c>
      <c r="E610" s="7">
        <f t="shared" ref="E610:F610" si="608">C610/C609-1</f>
        <v>0.0142744869</v>
      </c>
      <c r="F610" s="7">
        <f t="shared" si="608"/>
        <v>-0.00542508693</v>
      </c>
    </row>
    <row r="611">
      <c r="A611" s="3">
        <f>IFERROR(__xludf.DUMMYFUNCTION("""COMPUTED_VALUE"""),43139.66666666667)</f>
        <v>43139.66667</v>
      </c>
      <c r="B611" s="5">
        <f>IFERROR(__xludf.DUMMYFUNCTION("""COMPUTED_VALUE"""),5.44)</f>
        <v>5.44</v>
      </c>
      <c r="C611" s="5">
        <v>5.37835216522216</v>
      </c>
      <c r="D611" s="5">
        <v>228.68049621582</v>
      </c>
      <c r="E611" s="7">
        <f t="shared" ref="E611:F611" si="609">C611/C610-1</f>
        <v>-0.04930085921</v>
      </c>
      <c r="F611" s="7">
        <f t="shared" si="609"/>
        <v>-0.03750899437</v>
      </c>
    </row>
    <row r="612">
      <c r="A612" s="3">
        <f>IFERROR(__xludf.DUMMYFUNCTION("""COMPUTED_VALUE"""),43140.66666666667)</f>
        <v>43140.66667</v>
      </c>
      <c r="B612" s="5">
        <f>IFERROR(__xludf.DUMMYFUNCTION("""COMPUTED_VALUE"""),5.8)</f>
        <v>5.8</v>
      </c>
      <c r="C612" s="5">
        <v>5.73836088180542</v>
      </c>
      <c r="D612" s="5">
        <v>232.115585327148</v>
      </c>
      <c r="E612" s="7">
        <f t="shared" ref="E612:F612" si="610">C612/C611-1</f>
        <v>0.06693662027</v>
      </c>
      <c r="F612" s="7">
        <f t="shared" si="610"/>
        <v>0.01502134711</v>
      </c>
    </row>
    <row r="613">
      <c r="A613" s="3">
        <f>IFERROR(__xludf.DUMMYFUNCTION("""COMPUTED_VALUE"""),43143.66666666667)</f>
        <v>43143.66667</v>
      </c>
      <c r="B613" s="5">
        <f>IFERROR(__xludf.DUMMYFUNCTION("""COMPUTED_VALUE"""),5.7)</f>
        <v>5.7</v>
      </c>
      <c r="C613" s="5">
        <v>5.63822078704834</v>
      </c>
      <c r="D613" s="5">
        <v>235.524154663085</v>
      </c>
      <c r="E613" s="7">
        <f t="shared" ref="E613:F613" si="611">C613/C612-1</f>
        <v>-0.01745099286</v>
      </c>
      <c r="F613" s="7">
        <f t="shared" si="611"/>
        <v>0.01468479306</v>
      </c>
    </row>
    <row r="614">
      <c r="A614" s="3">
        <f>IFERROR(__xludf.DUMMYFUNCTION("""COMPUTED_VALUE"""),43144.66666666667)</f>
        <v>43144.66667</v>
      </c>
      <c r="B614" s="5">
        <f>IFERROR(__xludf.DUMMYFUNCTION("""COMPUTED_VALUE"""),5.82)</f>
        <v>5.82</v>
      </c>
      <c r="C614" s="5">
        <v>5.75195980072021</v>
      </c>
      <c r="D614" s="5">
        <v>236.109985351562</v>
      </c>
      <c r="E614" s="7">
        <f t="shared" ref="E614:F614" si="612">C614/C613-1</f>
        <v>0.02017285558</v>
      </c>
      <c r="F614" s="7">
        <f t="shared" si="612"/>
        <v>0.002487348651</v>
      </c>
    </row>
    <row r="615">
      <c r="A615" s="3">
        <f>IFERROR(__xludf.DUMMYFUNCTION("""COMPUTED_VALUE"""),43145.66666666667)</f>
        <v>43145.66667</v>
      </c>
      <c r="B615" s="5">
        <f>IFERROR(__xludf.DUMMYFUNCTION("""COMPUTED_VALUE"""),6.04)</f>
        <v>6.04</v>
      </c>
      <c r="C615" s="5">
        <v>5.96929883956909</v>
      </c>
      <c r="D615" s="5">
        <v>239.296646118164</v>
      </c>
      <c r="E615" s="7">
        <f t="shared" ref="E615:F615" si="613">C615/C614-1</f>
        <v>0.03778521519</v>
      </c>
      <c r="F615" s="7">
        <f t="shared" si="613"/>
        <v>0.01349650995</v>
      </c>
    </row>
    <row r="616">
      <c r="A616" s="3">
        <f>IFERROR(__xludf.DUMMYFUNCTION("""COMPUTED_VALUE"""),43146.66666666667)</f>
        <v>43146.66667</v>
      </c>
      <c r="B616" s="5">
        <f>IFERROR(__xludf.DUMMYFUNCTION("""COMPUTED_VALUE"""),6.16)</f>
        <v>6.16</v>
      </c>
      <c r="C616" s="5">
        <v>6.09490537643432</v>
      </c>
      <c r="D616" s="5">
        <v>242.350067138671</v>
      </c>
      <c r="E616" s="7">
        <f t="shared" ref="E616:F616" si="614">C616/C615-1</f>
        <v>0.02104209225</v>
      </c>
      <c r="F616" s="7">
        <f t="shared" si="614"/>
        <v>0.01275998252</v>
      </c>
    </row>
    <row r="617">
      <c r="A617" s="3">
        <f>IFERROR(__xludf.DUMMYFUNCTION("""COMPUTED_VALUE"""),43147.66666666667)</f>
        <v>43147.66667</v>
      </c>
      <c r="B617" s="5">
        <f>IFERROR(__xludf.DUMMYFUNCTION("""COMPUTED_VALUE"""),6.1)</f>
        <v>6.1</v>
      </c>
      <c r="C617" s="5">
        <v>6.02913570404052</v>
      </c>
      <c r="D617" s="5">
        <v>242.421035766601</v>
      </c>
      <c r="E617" s="7">
        <f t="shared" ref="E617:F617" si="615">C617/C616-1</f>
        <v>-0.01079092592</v>
      </c>
      <c r="F617" s="7">
        <f t="shared" si="615"/>
        <v>0.0002928351899</v>
      </c>
    </row>
    <row r="618">
      <c r="A618" s="3">
        <f>IFERROR(__xludf.DUMMYFUNCTION("""COMPUTED_VALUE"""),43151.66666666667)</f>
        <v>43151.66667</v>
      </c>
      <c r="B618" s="5">
        <f>IFERROR(__xludf.DUMMYFUNCTION("""COMPUTED_VALUE"""),6.23)</f>
        <v>6.23</v>
      </c>
      <c r="C618" s="5">
        <v>6.15869903564453</v>
      </c>
      <c r="D618" s="5">
        <v>240.903244018554</v>
      </c>
      <c r="E618" s="7">
        <f t="shared" ref="E618:F618" si="616">C618/C617-1</f>
        <v>0.02148953647</v>
      </c>
      <c r="F618" s="7">
        <f t="shared" si="616"/>
        <v>-0.006260973777</v>
      </c>
    </row>
    <row r="619">
      <c r="A619" s="3">
        <f>IFERROR(__xludf.DUMMYFUNCTION("""COMPUTED_VALUE"""),43152.66666666667)</f>
        <v>43152.66667</v>
      </c>
      <c r="B619" s="5">
        <f>IFERROR(__xludf.DUMMYFUNCTION("""COMPUTED_VALUE"""),6.04)</f>
        <v>6.04</v>
      </c>
      <c r="C619" s="5">
        <v>5.97152376174926</v>
      </c>
      <c r="D619" s="5">
        <v>239.704895019531</v>
      </c>
      <c r="E619" s="7">
        <f t="shared" ref="E619:F619" si="617">C619/C618-1</f>
        <v>-0.03039201507</v>
      </c>
      <c r="F619" s="7">
        <f t="shared" si="617"/>
        <v>-0.004974399593</v>
      </c>
    </row>
    <row r="620">
      <c r="A620" s="3">
        <f>IFERROR(__xludf.DUMMYFUNCTION("""COMPUTED_VALUE"""),43153.66666666667)</f>
        <v>43153.66667</v>
      </c>
      <c r="B620" s="5">
        <f>IFERROR(__xludf.DUMMYFUNCTION("""COMPUTED_VALUE"""),6.05)</f>
        <v>6.05</v>
      </c>
      <c r="C620" s="5">
        <v>5.99106979370117</v>
      </c>
      <c r="D620" s="5">
        <v>240.015640258789</v>
      </c>
      <c r="E620" s="7">
        <f t="shared" ref="E620:F620" si="618">C620/C619-1</f>
        <v>0.003273206761</v>
      </c>
      <c r="F620" s="7">
        <f t="shared" si="618"/>
        <v>0.001296365847</v>
      </c>
    </row>
    <row r="621">
      <c r="A621" s="3">
        <f>IFERROR(__xludf.DUMMYFUNCTION("""COMPUTED_VALUE"""),43154.66666666667)</f>
        <v>43154.66667</v>
      </c>
      <c r="B621" s="5">
        <f>IFERROR(__xludf.DUMMYFUNCTION("""COMPUTED_VALUE"""),6.15)</f>
        <v>6.15</v>
      </c>
      <c r="C621" s="5">
        <v>6.08459138870239</v>
      </c>
      <c r="D621" s="5">
        <v>243.841247558593</v>
      </c>
      <c r="E621" s="7">
        <f t="shared" ref="E621:F621" si="619">C621/C620-1</f>
        <v>0.01561016617</v>
      </c>
      <c r="F621" s="7">
        <f t="shared" si="619"/>
        <v>0.01593899171</v>
      </c>
    </row>
    <row r="622">
      <c r="A622" s="3">
        <f>IFERROR(__xludf.DUMMYFUNCTION("""COMPUTED_VALUE"""),43157.66666666667)</f>
        <v>43157.66667</v>
      </c>
      <c r="B622" s="5">
        <f>IFERROR(__xludf.DUMMYFUNCTION("""COMPUTED_VALUE"""),6.16)</f>
        <v>6.16</v>
      </c>
      <c r="C622" s="5">
        <v>6.10067272186279</v>
      </c>
      <c r="D622" s="5">
        <v>246.672760009765</v>
      </c>
      <c r="E622" s="7">
        <f t="shared" ref="E622:F622" si="620">C622/C621-1</f>
        <v>0.002642960247</v>
      </c>
      <c r="F622" s="7">
        <f t="shared" si="620"/>
        <v>0.01161211436</v>
      </c>
    </row>
    <row r="623">
      <c r="A623" s="3">
        <f>IFERROR(__xludf.DUMMYFUNCTION("""COMPUTED_VALUE"""),43158.66666666667)</f>
        <v>43158.66667</v>
      </c>
      <c r="B623" s="5">
        <f>IFERROR(__xludf.DUMMYFUNCTION("""COMPUTED_VALUE"""),6.15)</f>
        <v>6.15</v>
      </c>
      <c r="C623" s="5">
        <v>6.08780813217163</v>
      </c>
      <c r="D623" s="5">
        <v>243.5927734375</v>
      </c>
      <c r="E623" s="7">
        <f t="shared" ref="E623:F623" si="621">C623/C622-1</f>
        <v>-0.002108716576</v>
      </c>
      <c r="F623" s="7">
        <f t="shared" si="621"/>
        <v>-0.01248612361</v>
      </c>
    </row>
    <row r="624">
      <c r="A624" s="3">
        <f>IFERROR(__xludf.DUMMYFUNCTION("""COMPUTED_VALUE"""),43159.66666666667)</f>
        <v>43159.66667</v>
      </c>
      <c r="B624" s="5">
        <f>IFERROR(__xludf.DUMMYFUNCTION("""COMPUTED_VALUE"""),6.05)</f>
        <v>6.05</v>
      </c>
      <c r="C624" s="5">
        <v>5.98735952377319</v>
      </c>
      <c r="D624" s="5">
        <v>241.125106811523</v>
      </c>
      <c r="E624" s="7">
        <f t="shared" ref="E624:F624" si="622">C624/C623-1</f>
        <v>-0.01649996291</v>
      </c>
      <c r="F624" s="7">
        <f t="shared" si="622"/>
        <v>-0.01013029488</v>
      </c>
    </row>
    <row r="625">
      <c r="A625" s="3">
        <f>IFERROR(__xludf.DUMMYFUNCTION("""COMPUTED_VALUE"""),43160.66666666667)</f>
        <v>43160.66667</v>
      </c>
      <c r="B625" s="5">
        <f>IFERROR(__xludf.DUMMYFUNCTION("""COMPUTED_VALUE"""),5.81)</f>
        <v>5.81</v>
      </c>
      <c r="C625" s="5">
        <v>5.74514245986938</v>
      </c>
      <c r="D625" s="5">
        <v>237.619003295898</v>
      </c>
      <c r="E625" s="7">
        <f t="shared" ref="E625:F625" si="623">C625/C624-1</f>
        <v>-0.04045473851</v>
      </c>
      <c r="F625" s="7">
        <f t="shared" si="623"/>
        <v>-0.01454059912</v>
      </c>
    </row>
    <row r="626">
      <c r="A626" s="3">
        <f>IFERROR(__xludf.DUMMYFUNCTION("""COMPUTED_VALUE"""),43161.66666666667)</f>
        <v>43161.66667</v>
      </c>
      <c r="B626" s="5">
        <f>IFERROR(__xludf.DUMMYFUNCTION("""COMPUTED_VALUE"""),5.91)</f>
        <v>5.91</v>
      </c>
      <c r="C626" s="5">
        <v>5.85227108001709</v>
      </c>
      <c r="D626" s="5">
        <v>238.843948364257</v>
      </c>
      <c r="E626" s="7">
        <f t="shared" ref="E626:F626" si="624">C626/C625-1</f>
        <v>0.01864681701</v>
      </c>
      <c r="F626" s="7">
        <f t="shared" si="624"/>
        <v>0.005155080408</v>
      </c>
    </row>
    <row r="627">
      <c r="A627" s="3">
        <f>IFERROR(__xludf.DUMMYFUNCTION("""COMPUTED_VALUE"""),43164.66666666667)</f>
        <v>43164.66667</v>
      </c>
      <c r="B627" s="5">
        <f>IFERROR(__xludf.DUMMYFUNCTION("""COMPUTED_VALUE"""),5.89)</f>
        <v>5.89</v>
      </c>
      <c r="C627" s="5">
        <v>5.8302526473999</v>
      </c>
      <c r="D627" s="5">
        <v>241.6044921875</v>
      </c>
      <c r="E627" s="7">
        <f t="shared" ref="E627:F627" si="625">C627/C626-1</f>
        <v>-0.003762374011</v>
      </c>
      <c r="F627" s="7">
        <f t="shared" si="625"/>
        <v>0.01155793916</v>
      </c>
    </row>
    <row r="628">
      <c r="A628" s="3">
        <f>IFERROR(__xludf.DUMMYFUNCTION("""COMPUTED_VALUE"""),43165.66666666667)</f>
        <v>43165.66667</v>
      </c>
      <c r="B628" s="5">
        <f>IFERROR(__xludf.DUMMYFUNCTION("""COMPUTED_VALUE"""),6.05)</f>
        <v>6.05</v>
      </c>
      <c r="C628" s="5">
        <v>5.9913158416748</v>
      </c>
      <c r="D628" s="5">
        <v>242.216934204101</v>
      </c>
      <c r="E628" s="7">
        <f t="shared" ref="E628:F628" si="626">C628/C627-1</f>
        <v>0.02762542278</v>
      </c>
      <c r="F628" s="7">
        <f t="shared" si="626"/>
        <v>0.002534894989</v>
      </c>
    </row>
    <row r="629">
      <c r="A629" s="3">
        <f>IFERROR(__xludf.DUMMYFUNCTION("""COMPUTED_VALUE"""),43166.66666666667)</f>
        <v>43166.66667</v>
      </c>
      <c r="B629" s="5">
        <f>IFERROR(__xludf.DUMMYFUNCTION("""COMPUTED_VALUE"""),6.05)</f>
        <v>6.05</v>
      </c>
      <c r="C629" s="5">
        <v>5.98340034484863</v>
      </c>
      <c r="D629" s="5">
        <v>242.128112792968</v>
      </c>
      <c r="E629" s="7">
        <f t="shared" ref="E629:F629" si="627">C629/C628-1</f>
        <v>-0.001321161667</v>
      </c>
      <c r="F629" s="7">
        <f t="shared" si="627"/>
        <v>-0.0003667019047</v>
      </c>
    </row>
    <row r="630">
      <c r="A630" s="3">
        <f>IFERROR(__xludf.DUMMYFUNCTION("""COMPUTED_VALUE"""),43167.66666666667)</f>
        <v>43167.66667</v>
      </c>
      <c r="B630" s="5">
        <f>IFERROR(__xludf.DUMMYFUNCTION("""COMPUTED_VALUE"""),6.03)</f>
        <v>6.03</v>
      </c>
      <c r="C630" s="5">
        <v>5.96707153320312</v>
      </c>
      <c r="D630" s="5">
        <v>243.299835205078</v>
      </c>
      <c r="E630" s="7">
        <f t="shared" ref="E630:F630" si="628">C630/C629-1</f>
        <v>-0.002729018736</v>
      </c>
      <c r="F630" s="7">
        <f t="shared" si="628"/>
        <v>0.004839266282</v>
      </c>
    </row>
    <row r="631">
      <c r="A631" s="3">
        <f>IFERROR(__xludf.DUMMYFUNCTION("""COMPUTED_VALUE"""),43168.66666666667)</f>
        <v>43168.66667</v>
      </c>
      <c r="B631" s="5">
        <f>IFERROR(__xludf.DUMMYFUNCTION("""COMPUTED_VALUE"""),6.13)</f>
        <v>6.13</v>
      </c>
      <c r="C631" s="5">
        <v>6.06974697113037</v>
      </c>
      <c r="D631" s="5">
        <v>247.53384399414</v>
      </c>
      <c r="E631" s="7">
        <f t="shared" ref="E631:F631" si="629">C631/C630-1</f>
        <v>0.01720700638</v>
      </c>
      <c r="F631" s="7">
        <f t="shared" si="629"/>
        <v>0.0174024318</v>
      </c>
    </row>
    <row r="632">
      <c r="A632" s="3">
        <f>IFERROR(__xludf.DUMMYFUNCTION("""COMPUTED_VALUE"""),43171.66666666667)</f>
        <v>43171.66667</v>
      </c>
      <c r="B632" s="5">
        <f>IFERROR(__xludf.DUMMYFUNCTION("""COMPUTED_VALUE"""),6.24)</f>
        <v>6.24</v>
      </c>
      <c r="C632" s="5">
        <v>6.17934942245483</v>
      </c>
      <c r="D632" s="5">
        <v>247.22314453125</v>
      </c>
      <c r="E632" s="7">
        <f t="shared" ref="E632:F632" si="630">C632/C631-1</f>
        <v>0.01805716974</v>
      </c>
      <c r="F632" s="7">
        <f t="shared" si="630"/>
        <v>-0.001255179728</v>
      </c>
    </row>
    <row r="633">
      <c r="A633" s="3">
        <f>IFERROR(__xludf.DUMMYFUNCTION("""COMPUTED_VALUE"""),43172.66666666667)</f>
        <v>43172.66667</v>
      </c>
      <c r="B633" s="5">
        <f>IFERROR(__xludf.DUMMYFUNCTION("""COMPUTED_VALUE"""),6.19)</f>
        <v>6.19</v>
      </c>
      <c r="C633" s="5">
        <v>6.12863063812255</v>
      </c>
      <c r="D633" s="5">
        <v>245.625350952148</v>
      </c>
      <c r="E633" s="7">
        <f t="shared" ref="E633:F633" si="631">C633/C632-1</f>
        <v>-0.008207787077</v>
      </c>
      <c r="F633" s="7">
        <f t="shared" si="631"/>
        <v>-0.006462961152</v>
      </c>
    </row>
    <row r="634">
      <c r="A634" s="3">
        <f>IFERROR(__xludf.DUMMYFUNCTION("""COMPUTED_VALUE"""),43173.66666666667)</f>
        <v>43173.66667</v>
      </c>
      <c r="B634" s="5">
        <f>IFERROR(__xludf.DUMMYFUNCTION("""COMPUTED_VALUE"""),6.22)</f>
        <v>6.22</v>
      </c>
      <c r="C634" s="5">
        <v>6.15411329269409</v>
      </c>
      <c r="D634" s="5">
        <v>244.365036010742</v>
      </c>
      <c r="E634" s="7">
        <f t="shared" ref="E634:F634" si="632">C634/C633-1</f>
        <v>0.004157968733</v>
      </c>
      <c r="F634" s="7">
        <f t="shared" si="632"/>
        <v>-0.005131045865</v>
      </c>
    </row>
    <row r="635">
      <c r="A635" s="3">
        <f>IFERROR(__xludf.DUMMYFUNCTION("""COMPUTED_VALUE"""),43174.66666666667)</f>
        <v>43174.66667</v>
      </c>
      <c r="B635" s="5">
        <f>IFERROR(__xludf.DUMMYFUNCTION("""COMPUTED_VALUE"""),6.23)</f>
        <v>6.23</v>
      </c>
      <c r="C635" s="5">
        <v>6.16895866394043</v>
      </c>
      <c r="D635" s="5">
        <v>244.098602294921</v>
      </c>
      <c r="E635" s="7">
        <f t="shared" ref="E635:F635" si="633">C635/C634-1</f>
        <v>0.002412268111</v>
      </c>
      <c r="F635" s="7">
        <f t="shared" si="633"/>
        <v>-0.0010903103</v>
      </c>
    </row>
    <row r="636">
      <c r="A636" s="3">
        <f>IFERROR(__xludf.DUMMYFUNCTION("""COMPUTED_VALUE"""),43175.66666666667)</f>
        <v>43175.66667</v>
      </c>
      <c r="B636" s="5">
        <f>IFERROR(__xludf.DUMMYFUNCTION("""COMPUTED_VALUE"""),6.26)</f>
        <v>6.26</v>
      </c>
      <c r="C636" s="5">
        <v>6.19716167449951</v>
      </c>
      <c r="D636" s="5">
        <v>244.363327026367</v>
      </c>
      <c r="E636" s="7">
        <f t="shared" ref="E636:F636" si="634">C636/C635-1</f>
        <v>0.004571761961</v>
      </c>
      <c r="F636" s="7">
        <f t="shared" si="634"/>
        <v>0.001084499169</v>
      </c>
    </row>
    <row r="637">
      <c r="A637" s="3">
        <f>IFERROR(__xludf.DUMMYFUNCTION("""COMPUTED_VALUE"""),43178.66666666667)</f>
        <v>43178.66667</v>
      </c>
      <c r="B637" s="5">
        <f>IFERROR(__xludf.DUMMYFUNCTION("""COMPUTED_VALUE"""),6.03)</f>
        <v>6.03</v>
      </c>
      <c r="C637" s="5">
        <v>5.96261882781982</v>
      </c>
      <c r="D637" s="5">
        <v>241.057083129882</v>
      </c>
      <c r="E637" s="7">
        <f t="shared" ref="E637:F637" si="635">C637/C636-1</f>
        <v>-0.03784681746</v>
      </c>
      <c r="F637" s="7">
        <f t="shared" si="635"/>
        <v>-0.01353003307</v>
      </c>
    </row>
    <row r="638">
      <c r="A638" s="3">
        <f>IFERROR(__xludf.DUMMYFUNCTION("""COMPUTED_VALUE"""),43179.66666666667)</f>
        <v>43179.66667</v>
      </c>
      <c r="B638" s="5">
        <f>IFERROR(__xludf.DUMMYFUNCTION("""COMPUTED_VALUE"""),6.24)</f>
        <v>6.24</v>
      </c>
      <c r="C638" s="5">
        <v>6.17489624023437</v>
      </c>
      <c r="D638" s="5">
        <v>241.467041015625</v>
      </c>
      <c r="E638" s="7">
        <f t="shared" ref="E638:F638" si="636">C638/C637-1</f>
        <v>0.03560137224</v>
      </c>
      <c r="F638" s="7">
        <f t="shared" si="636"/>
        <v>0.001700667246</v>
      </c>
    </row>
    <row r="639">
      <c r="A639" s="3">
        <f>IFERROR(__xludf.DUMMYFUNCTION("""COMPUTED_VALUE"""),43180.66666666667)</f>
        <v>43180.66667</v>
      </c>
      <c r="B639" s="5">
        <f>IFERROR(__xludf.DUMMYFUNCTION("""COMPUTED_VALUE"""),6.21)</f>
        <v>6.21</v>
      </c>
      <c r="C639" s="5">
        <v>6.14966249465942</v>
      </c>
      <c r="D639" s="5">
        <v>241.003631591796</v>
      </c>
      <c r="E639" s="7">
        <f t="shared" ref="E639:F639" si="637">C639/C638-1</f>
        <v>-0.004086505197</v>
      </c>
      <c r="F639" s="7">
        <f t="shared" si="637"/>
        <v>-0.001919141519</v>
      </c>
    </row>
    <row r="640">
      <c r="A640" s="3">
        <f>IFERROR(__xludf.DUMMYFUNCTION("""COMPUTED_VALUE"""),43181.66666666667)</f>
        <v>43181.66667</v>
      </c>
      <c r="B640" s="5">
        <f>IFERROR(__xludf.DUMMYFUNCTION("""COMPUTED_VALUE"""),6.05)</f>
        <v>6.05</v>
      </c>
      <c r="C640" s="5">
        <v>5.98364734649658</v>
      </c>
      <c r="D640" s="5">
        <v>234.979171752929</v>
      </c>
      <c r="E640" s="7">
        <f t="shared" ref="E640:F640" si="638">C640/C639-1</f>
        <v>-0.02699581454</v>
      </c>
      <c r="F640" s="7">
        <f t="shared" si="638"/>
        <v>-0.02499738199</v>
      </c>
    </row>
    <row r="641">
      <c r="A641" s="3">
        <f>IFERROR(__xludf.DUMMYFUNCTION("""COMPUTED_VALUE"""),43182.66666666667)</f>
        <v>43182.66667</v>
      </c>
      <c r="B641" s="5">
        <f>IFERROR(__xludf.DUMMYFUNCTION("""COMPUTED_VALUE"""),5.82)</f>
        <v>5.82</v>
      </c>
      <c r="C641" s="5">
        <v>5.76394701004028</v>
      </c>
      <c r="D641" s="5">
        <v>229.970703125</v>
      </c>
      <c r="E641" s="7">
        <f t="shared" ref="E641:F641" si="639">C641/C640-1</f>
        <v>-0.03671679224</v>
      </c>
      <c r="F641" s="7">
        <f t="shared" si="639"/>
        <v>-0.02131452158</v>
      </c>
    </row>
    <row r="642">
      <c r="A642" s="3">
        <f>IFERROR(__xludf.DUMMYFUNCTION("""COMPUTED_VALUE"""),43185.66666666667)</f>
        <v>43185.66667</v>
      </c>
      <c r="B642" s="5">
        <f>IFERROR(__xludf.DUMMYFUNCTION("""COMPUTED_VALUE"""),6.11)</f>
        <v>6.11</v>
      </c>
      <c r="C642" s="5">
        <v>6.04871654510498</v>
      </c>
      <c r="D642" s="5">
        <v>236.262466430664</v>
      </c>
      <c r="E642" s="7">
        <f t="shared" ref="E642:F642" si="640">C642/C641-1</f>
        <v>0.04940530067</v>
      </c>
      <c r="F642" s="7">
        <f t="shared" si="640"/>
        <v>0.02735897756</v>
      </c>
    </row>
    <row r="643">
      <c r="A643" s="3">
        <f>IFERROR(__xludf.DUMMYFUNCTION("""COMPUTED_VALUE"""),43186.66666666667)</f>
        <v>43186.66667</v>
      </c>
      <c r="B643" s="5">
        <f>IFERROR(__xludf.DUMMYFUNCTION("""COMPUTED_VALUE"""),5.64)</f>
        <v>5.64</v>
      </c>
      <c r="C643" s="5">
        <v>5.5796251296997</v>
      </c>
      <c r="D643" s="5">
        <v>232.243209838867</v>
      </c>
      <c r="E643" s="7">
        <f t="shared" ref="E643:F643" si="641">C643/C642-1</f>
        <v>-0.07755222317</v>
      </c>
      <c r="F643" s="7">
        <f t="shared" si="641"/>
        <v>-0.01701182863</v>
      </c>
    </row>
    <row r="644">
      <c r="A644" s="3">
        <f>IFERROR(__xludf.DUMMYFUNCTION("""COMPUTED_VALUE"""),43187.66666666667)</f>
        <v>43187.66667</v>
      </c>
      <c r="B644" s="5">
        <f>IFERROR(__xludf.DUMMYFUNCTION("""COMPUTED_VALUE"""),5.53)</f>
        <v>5.53</v>
      </c>
      <c r="C644" s="5">
        <v>5.47645473480224</v>
      </c>
      <c r="D644" s="5">
        <v>231.556991577148</v>
      </c>
      <c r="E644" s="7">
        <f t="shared" ref="E644:F644" si="642">C644/C643-1</f>
        <v>-0.0184905603</v>
      </c>
      <c r="F644" s="7">
        <f t="shared" si="642"/>
        <v>-0.002954739827</v>
      </c>
    </row>
    <row r="645">
      <c r="A645" s="3">
        <f>IFERROR(__xludf.DUMMYFUNCTION("""COMPUTED_VALUE"""),43188.66666666667)</f>
        <v>43188.66667</v>
      </c>
      <c r="B645" s="5">
        <f>IFERROR(__xludf.DUMMYFUNCTION("""COMPUTED_VALUE"""),5.79)</f>
        <v>5.79</v>
      </c>
      <c r="C645" s="5">
        <v>5.72980451583862</v>
      </c>
      <c r="D645" s="5">
        <v>234.515716552734</v>
      </c>
      <c r="E645" s="7">
        <f t="shared" ref="E645:F645" si="643">C645/C644-1</f>
        <v>0.04626164066</v>
      </c>
      <c r="F645" s="7">
        <f t="shared" si="643"/>
        <v>0.01277752382</v>
      </c>
    </row>
    <row r="646">
      <c r="A646" s="3">
        <f>IFERROR(__xludf.DUMMYFUNCTION("""COMPUTED_VALUE"""),43192.66666666667)</f>
        <v>43192.66667</v>
      </c>
      <c r="B646" s="5">
        <f>IFERROR(__xludf.DUMMYFUNCTION("""COMPUTED_VALUE"""),5.53)</f>
        <v>5.53</v>
      </c>
      <c r="C646" s="5">
        <v>5.46903133392334</v>
      </c>
      <c r="D646" s="5">
        <v>229.45376586914</v>
      </c>
      <c r="E646" s="7">
        <f t="shared" ref="E646:F646" si="644">C646/C645-1</f>
        <v>-0.04551170659</v>
      </c>
      <c r="F646" s="7">
        <f t="shared" si="644"/>
        <v>-0.021584697</v>
      </c>
    </row>
    <row r="647">
      <c r="A647" s="3">
        <f>IFERROR(__xludf.DUMMYFUNCTION("""COMPUTED_VALUE"""),43193.66666666667)</f>
        <v>43193.66667</v>
      </c>
      <c r="B647" s="5">
        <f>IFERROR(__xludf.DUMMYFUNCTION("""COMPUTED_VALUE"""),5.63)</f>
        <v>5.63</v>
      </c>
      <c r="C647" s="5">
        <v>5.57541894912719</v>
      </c>
      <c r="D647" s="5">
        <v>232.394790649414</v>
      </c>
      <c r="E647" s="7">
        <f t="shared" ref="E647:F647" si="645">C647/C646-1</f>
        <v>0.01945273463</v>
      </c>
      <c r="F647" s="7">
        <f t="shared" si="645"/>
        <v>0.01281750495</v>
      </c>
    </row>
    <row r="648">
      <c r="A648" s="3">
        <f>IFERROR(__xludf.DUMMYFUNCTION("""COMPUTED_VALUE"""),43194.66666666667)</f>
        <v>43194.66667</v>
      </c>
      <c r="B648" s="5">
        <f>IFERROR(__xludf.DUMMYFUNCTION("""COMPUTED_VALUE"""),5.66)</f>
        <v>5.66</v>
      </c>
      <c r="C648" s="5">
        <v>5.59743785858154</v>
      </c>
      <c r="D648" s="5">
        <v>234.881149291992</v>
      </c>
      <c r="E648" s="7">
        <f t="shared" ref="E648:F648" si="646">C648/C647-1</f>
        <v>0.003949283391</v>
      </c>
      <c r="F648" s="7">
        <f t="shared" si="646"/>
        <v>0.01069885704</v>
      </c>
    </row>
    <row r="649">
      <c r="A649" s="3">
        <f>IFERROR(__xludf.DUMMYFUNCTION("""COMPUTED_VALUE"""),43195.66666666667)</f>
        <v>43195.66667</v>
      </c>
      <c r="B649" s="5">
        <f>IFERROR(__xludf.DUMMYFUNCTION("""COMPUTED_VALUE"""),5.53)</f>
        <v>5.53</v>
      </c>
      <c r="C649" s="5">
        <v>5.47719526290893</v>
      </c>
      <c r="D649" s="5">
        <v>236.73484802246</v>
      </c>
      <c r="E649" s="7">
        <f t="shared" ref="E649:F649" si="647">C649/C648-1</f>
        <v>-0.02148172051</v>
      </c>
      <c r="F649" s="7">
        <f t="shared" si="647"/>
        <v>0.007892071101</v>
      </c>
    </row>
    <row r="650">
      <c r="A650" s="3">
        <f>IFERROR(__xludf.DUMMYFUNCTION("""COMPUTED_VALUE"""),43196.66666666667)</f>
        <v>43196.66667</v>
      </c>
      <c r="B650" s="5">
        <f>IFERROR(__xludf.DUMMYFUNCTION("""COMPUTED_VALUE"""),5.36)</f>
        <v>5.36</v>
      </c>
      <c r="C650" s="5">
        <v>5.30079174041748</v>
      </c>
      <c r="D650" s="5">
        <v>231.459014892578</v>
      </c>
      <c r="E650" s="7">
        <f t="shared" ref="E650:F650" si="648">C650/C649-1</f>
        <v>-0.03220690774</v>
      </c>
      <c r="F650" s="7">
        <f t="shared" si="648"/>
        <v>-0.02228583233</v>
      </c>
    </row>
    <row r="651">
      <c r="A651" s="3">
        <f>IFERROR(__xludf.DUMMYFUNCTION("""COMPUTED_VALUE"""),43199.66666666667)</f>
        <v>43199.66667</v>
      </c>
      <c r="B651" s="5">
        <f>IFERROR(__xludf.DUMMYFUNCTION("""COMPUTED_VALUE"""),5.39)</f>
        <v>5.39</v>
      </c>
      <c r="C651" s="5">
        <v>5.32949209213256</v>
      </c>
      <c r="D651" s="5">
        <v>232.599685668945</v>
      </c>
      <c r="E651" s="7">
        <f t="shared" ref="E651:F651" si="649">C651/C650-1</f>
        <v>0.005414351878</v>
      </c>
      <c r="F651" s="7">
        <f t="shared" si="649"/>
        <v>0.004928176061</v>
      </c>
    </row>
    <row r="652">
      <c r="A652" s="3">
        <f>IFERROR(__xludf.DUMMYFUNCTION("""COMPUTED_VALUE"""),43200.66666666667)</f>
        <v>43200.66667</v>
      </c>
      <c r="B652" s="5">
        <f>IFERROR(__xludf.DUMMYFUNCTION("""COMPUTED_VALUE"""),5.7)</f>
        <v>5.7</v>
      </c>
      <c r="C652" s="5">
        <v>5.638756275177</v>
      </c>
      <c r="D652" s="5">
        <v>236.298141479492</v>
      </c>
      <c r="E652" s="7">
        <f t="shared" ref="E652:F652" si="650">C652/C651-1</f>
        <v>0.05802882858</v>
      </c>
      <c r="F652" s="7">
        <f t="shared" si="650"/>
        <v>0.01590051938</v>
      </c>
    </row>
    <row r="653">
      <c r="A653" s="3">
        <f>IFERROR(__xludf.DUMMYFUNCTION("""COMPUTED_VALUE"""),43201.66666666667)</f>
        <v>43201.66667</v>
      </c>
      <c r="B653" s="5">
        <f>IFERROR(__xludf.DUMMYFUNCTION("""COMPUTED_VALUE"""),5.66)</f>
        <v>5.66</v>
      </c>
      <c r="C653" s="5">
        <v>5.59743785858154</v>
      </c>
      <c r="D653" s="5">
        <v>235.059417724609</v>
      </c>
      <c r="E653" s="7">
        <f t="shared" ref="E653:F653" si="651">C653/C652-1</f>
        <v>-0.007327576256</v>
      </c>
      <c r="F653" s="7">
        <f t="shared" si="651"/>
        <v>-0.00524220693</v>
      </c>
    </row>
    <row r="654">
      <c r="A654" s="3">
        <f>IFERROR(__xludf.DUMMYFUNCTION("""COMPUTED_VALUE"""),43202.66666666667)</f>
        <v>43202.66667</v>
      </c>
      <c r="B654" s="5">
        <f>IFERROR(__xludf.DUMMYFUNCTION("""COMPUTED_VALUE"""),5.87)</f>
        <v>5.87</v>
      </c>
      <c r="C654" s="5">
        <v>5.80427408218383</v>
      </c>
      <c r="D654" s="5">
        <v>236.993286132812</v>
      </c>
      <c r="E654" s="7">
        <f t="shared" ref="E654:F654" si="652">C654/C653-1</f>
        <v>0.03695194638</v>
      </c>
      <c r="F654" s="7">
        <f t="shared" si="652"/>
        <v>0.008227147106</v>
      </c>
    </row>
    <row r="655">
      <c r="A655" s="3">
        <f>IFERROR(__xludf.DUMMYFUNCTION("""COMPUTED_VALUE"""),43203.66666666667)</f>
        <v>43203.66667</v>
      </c>
      <c r="B655" s="5">
        <f>IFERROR(__xludf.DUMMYFUNCTION("""COMPUTED_VALUE"""),5.79)</f>
        <v>5.79</v>
      </c>
      <c r="C655" s="5">
        <v>5.72757625579834</v>
      </c>
      <c r="D655" s="5">
        <v>236.298141479492</v>
      </c>
      <c r="E655" s="7">
        <f t="shared" ref="E655:F655" si="653">C655/C654-1</f>
        <v>-0.01321402561</v>
      </c>
      <c r="F655" s="7">
        <f t="shared" si="653"/>
        <v>-0.002933182896</v>
      </c>
    </row>
    <row r="656">
      <c r="A656" s="3">
        <f>IFERROR(__xludf.DUMMYFUNCTION("""COMPUTED_VALUE"""),43206.66666666667)</f>
        <v>43206.66667</v>
      </c>
      <c r="B656" s="5">
        <f>IFERROR(__xludf.DUMMYFUNCTION("""COMPUTED_VALUE"""),5.79)</f>
        <v>5.79</v>
      </c>
      <c r="C656" s="5">
        <v>5.72732925415039</v>
      </c>
      <c r="D656" s="5">
        <v>238.240936279296</v>
      </c>
      <c r="E656" s="7">
        <f t="shared" ref="E656:F656" si="654">C656/C655-1</f>
        <v>-0.00004312498637</v>
      </c>
      <c r="F656" s="7">
        <f t="shared" si="654"/>
        <v>0.008221794669</v>
      </c>
    </row>
    <row r="657">
      <c r="A657" s="3">
        <f>IFERROR(__xludf.DUMMYFUNCTION("""COMPUTED_VALUE"""),43207.66666666667)</f>
        <v>43207.66667</v>
      </c>
      <c r="B657" s="5">
        <f>IFERROR(__xludf.DUMMYFUNCTION("""COMPUTED_VALUE"""),5.94)</f>
        <v>5.94</v>
      </c>
      <c r="C657" s="5">
        <v>5.87701416015625</v>
      </c>
      <c r="D657" s="5">
        <v>240.789749145507</v>
      </c>
      <c r="E657" s="7">
        <f t="shared" ref="E657:F657" si="655">C657/C656-1</f>
        <v>0.02613520183</v>
      </c>
      <c r="F657" s="7">
        <f t="shared" si="655"/>
        <v>0.0106984673</v>
      </c>
    </row>
    <row r="658">
      <c r="A658" s="3">
        <f>IFERROR(__xludf.DUMMYFUNCTION("""COMPUTED_VALUE"""),43208.66666666667)</f>
        <v>43208.66667</v>
      </c>
      <c r="B658" s="5">
        <f>IFERROR(__xludf.DUMMYFUNCTION("""COMPUTED_VALUE"""),5.91)</f>
        <v>5.91</v>
      </c>
      <c r="C658" s="5">
        <v>5.84806585311889</v>
      </c>
      <c r="D658" s="5">
        <v>240.967987060546</v>
      </c>
      <c r="E658" s="7">
        <f t="shared" ref="E658:F658" si="656">C658/C657-1</f>
        <v>-0.00492568271</v>
      </c>
      <c r="F658" s="7">
        <f t="shared" si="656"/>
        <v>0.0007402221883</v>
      </c>
    </row>
    <row r="659">
      <c r="A659" s="3">
        <f>IFERROR(__xludf.DUMMYFUNCTION("""COMPUTED_VALUE"""),43209.66666666667)</f>
        <v>43209.66667</v>
      </c>
      <c r="B659" s="5">
        <f>IFERROR(__xludf.DUMMYFUNCTION("""COMPUTED_VALUE"""),5.73)</f>
        <v>5.73</v>
      </c>
      <c r="C659" s="5">
        <v>5.66671323776245</v>
      </c>
      <c r="D659" s="5">
        <v>239.631210327148</v>
      </c>
      <c r="E659" s="7">
        <f t="shared" ref="E659:F659" si="657">C659/C658-1</f>
        <v>-0.03101069993</v>
      </c>
      <c r="F659" s="7">
        <f t="shared" si="657"/>
        <v>-0.005547528324</v>
      </c>
    </row>
    <row r="660">
      <c r="A660" s="3">
        <f>IFERROR(__xludf.DUMMYFUNCTION("""COMPUTED_VALUE"""),43210.66666666667)</f>
        <v>43210.66667</v>
      </c>
      <c r="B660" s="5">
        <f>IFERROR(__xludf.DUMMYFUNCTION("""COMPUTED_VALUE"""),5.72)</f>
        <v>5.72</v>
      </c>
      <c r="C660" s="5">
        <v>5.65854883193969</v>
      </c>
      <c r="D660" s="5">
        <v>237.599243164062</v>
      </c>
      <c r="E660" s="7">
        <f t="shared" ref="E660:F660" si="658">C660/C659-1</f>
        <v>-0.001440765657</v>
      </c>
      <c r="F660" s="7">
        <f t="shared" si="658"/>
        <v>-0.008479559738</v>
      </c>
    </row>
    <row r="661">
      <c r="A661" s="3">
        <f>IFERROR(__xludf.DUMMYFUNCTION("""COMPUTED_VALUE"""),43213.66666666667)</f>
        <v>43213.66667</v>
      </c>
      <c r="B661" s="5">
        <f>IFERROR(__xludf.DUMMYFUNCTION("""COMPUTED_VALUE"""),5.6)</f>
        <v>5.6</v>
      </c>
      <c r="C661" s="5">
        <v>5.53905057907104</v>
      </c>
      <c r="D661" s="5">
        <v>237.563644409179</v>
      </c>
      <c r="E661" s="7">
        <f t="shared" ref="E661:F661" si="659">C661/C660-1</f>
        <v>-0.02111818002</v>
      </c>
      <c r="F661" s="7">
        <f t="shared" si="659"/>
        <v>-0.0001498268867</v>
      </c>
    </row>
    <row r="662">
      <c r="A662" s="3">
        <f>IFERROR(__xludf.DUMMYFUNCTION("""COMPUTED_VALUE"""),43214.66666666667)</f>
        <v>43214.66667</v>
      </c>
      <c r="B662" s="5">
        <f>IFERROR(__xludf.DUMMYFUNCTION("""COMPUTED_VALUE"""),5.53)</f>
        <v>5.53</v>
      </c>
      <c r="C662" s="5">
        <v>5.47274446487426</v>
      </c>
      <c r="D662" s="5">
        <v>234.364273071289</v>
      </c>
      <c r="E662" s="7">
        <f t="shared" ref="E662:F662" si="660">C662/C661-1</f>
        <v>-0.01197066415</v>
      </c>
      <c r="F662" s="7">
        <f t="shared" si="660"/>
        <v>-0.01346742826</v>
      </c>
    </row>
    <row r="663">
      <c r="A663" s="3">
        <f>IFERROR(__xludf.DUMMYFUNCTION("""COMPUTED_VALUE"""),43215.66666666667)</f>
        <v>43215.66667</v>
      </c>
      <c r="B663" s="5">
        <f>IFERROR(__xludf.DUMMYFUNCTION("""COMPUTED_VALUE"""),5.42)</f>
        <v>5.42</v>
      </c>
      <c r="C663" s="5">
        <v>5.3604187965393</v>
      </c>
      <c r="D663" s="5">
        <v>234.943572998046</v>
      </c>
      <c r="E663" s="7">
        <f t="shared" ref="E663:F663" si="661">C663/C662-1</f>
        <v>-0.02052455931</v>
      </c>
      <c r="F663" s="7">
        <f t="shared" si="661"/>
        <v>0.002471792817</v>
      </c>
    </row>
    <row r="664">
      <c r="A664" s="3">
        <f>IFERROR(__xludf.DUMMYFUNCTION("""COMPUTED_VALUE"""),43216.66666666667)</f>
        <v>43216.66667</v>
      </c>
      <c r="B664" s="5">
        <f>IFERROR(__xludf.DUMMYFUNCTION("""COMPUTED_VALUE"""),5.63)</f>
        <v>5.63</v>
      </c>
      <c r="C664" s="5">
        <v>5.57220220565795</v>
      </c>
      <c r="D664" s="5">
        <v>237.331909179687</v>
      </c>
      <c r="E664" s="7">
        <f t="shared" ref="E664:F664" si="662">C664/C663-1</f>
        <v>0.0395087431</v>
      </c>
      <c r="F664" s="7">
        <f t="shared" si="662"/>
        <v>0.01016557359</v>
      </c>
    </row>
    <row r="665">
      <c r="A665" s="3">
        <f>IFERROR(__xludf.DUMMYFUNCTION("""COMPUTED_VALUE"""),43217.66666666667)</f>
        <v>43217.66667</v>
      </c>
      <c r="B665" s="5">
        <f>IFERROR(__xludf.DUMMYFUNCTION("""COMPUTED_VALUE"""),5.66)</f>
        <v>5.66</v>
      </c>
      <c r="C665" s="5">
        <v>5.59966468811035</v>
      </c>
      <c r="D665" s="5">
        <v>237.55467224121</v>
      </c>
      <c r="E665" s="7">
        <f t="shared" ref="E665:F665" si="663">C665/C664-1</f>
        <v>0.004928479161</v>
      </c>
      <c r="F665" s="7">
        <f t="shared" si="663"/>
        <v>0.0009386140376</v>
      </c>
    </row>
    <row r="666">
      <c r="A666" s="3">
        <f>IFERROR(__xludf.DUMMYFUNCTION("""COMPUTED_VALUE"""),43220.66666666667)</f>
        <v>43220.66667</v>
      </c>
      <c r="B666" s="5">
        <f>IFERROR(__xludf.DUMMYFUNCTION("""COMPUTED_VALUE"""),5.62)</f>
        <v>5.62</v>
      </c>
      <c r="C666" s="5">
        <v>5.56428623199462</v>
      </c>
      <c r="D666" s="5">
        <v>235.727767944335</v>
      </c>
      <c r="E666" s="7">
        <f t="shared" ref="E666:F666" si="664">C666/C665-1</f>
        <v>-0.00631795975</v>
      </c>
      <c r="F666" s="7">
        <f t="shared" si="664"/>
        <v>-0.007690458283</v>
      </c>
    </row>
    <row r="667">
      <c r="A667" s="3">
        <f>IFERROR(__xludf.DUMMYFUNCTION("""COMPUTED_VALUE"""),43221.66666666667)</f>
        <v>43221.66667</v>
      </c>
      <c r="B667" s="5">
        <f>IFERROR(__xludf.DUMMYFUNCTION("""COMPUTED_VALUE"""),5.68)</f>
        <v>5.68</v>
      </c>
      <c r="C667" s="5">
        <v>5.61970567703247</v>
      </c>
      <c r="D667" s="5">
        <v>236.146621704101</v>
      </c>
      <c r="E667" s="7">
        <f t="shared" ref="E667:F667" si="665">C667/C666-1</f>
        <v>0.009959847989</v>
      </c>
      <c r="F667" s="7">
        <f t="shared" si="665"/>
        <v>0.001776853713</v>
      </c>
    </row>
    <row r="668">
      <c r="A668" s="3">
        <f>IFERROR(__xludf.DUMMYFUNCTION("""COMPUTED_VALUE"""),43222.66666666667)</f>
        <v>43222.66667</v>
      </c>
      <c r="B668" s="5">
        <f>IFERROR(__xludf.DUMMYFUNCTION("""COMPUTED_VALUE"""),5.66)</f>
        <v>5.66</v>
      </c>
      <c r="C668" s="5">
        <v>5.59916973114013</v>
      </c>
      <c r="D668" s="5">
        <v>234.560333251953</v>
      </c>
      <c r="E668" s="7">
        <f t="shared" ref="E668:F668" si="666">C668/C667-1</f>
        <v>-0.003654274276</v>
      </c>
      <c r="F668" s="7">
        <f t="shared" si="666"/>
        <v>-0.00671738787</v>
      </c>
    </row>
    <row r="669">
      <c r="A669" s="3">
        <f>IFERROR(__xludf.DUMMYFUNCTION("""COMPUTED_VALUE"""),43223.66666666667)</f>
        <v>43223.66667</v>
      </c>
      <c r="B669" s="5">
        <f>IFERROR(__xludf.DUMMYFUNCTION("""COMPUTED_VALUE"""),5.82)</f>
        <v>5.82</v>
      </c>
      <c r="C669" s="5">
        <v>5.76444149017334</v>
      </c>
      <c r="D669" s="5">
        <v>234.043426513671</v>
      </c>
      <c r="E669" s="7">
        <f t="shared" ref="E669:F669" si="667">C669/C668-1</f>
        <v>0.0295171904</v>
      </c>
      <c r="F669" s="7">
        <f t="shared" si="667"/>
        <v>-0.002203726142</v>
      </c>
    </row>
    <row r="670">
      <c r="A670" s="3">
        <f>IFERROR(__xludf.DUMMYFUNCTION("""COMPUTED_VALUE"""),43224.66666666667)</f>
        <v>43224.66667</v>
      </c>
      <c r="B670" s="5">
        <f>IFERROR(__xludf.DUMMYFUNCTION("""COMPUTED_VALUE"""),5.98)</f>
        <v>5.98</v>
      </c>
      <c r="C670" s="5">
        <v>5.91461944580078</v>
      </c>
      <c r="D670" s="5">
        <v>237.07339477539</v>
      </c>
      <c r="E670" s="7">
        <f t="shared" ref="E670:F670" si="668">C670/C669-1</f>
        <v>0.02605247289</v>
      </c>
      <c r="F670" s="7">
        <f t="shared" si="668"/>
        <v>0.01294617972</v>
      </c>
    </row>
    <row r="671">
      <c r="A671" s="3">
        <f>IFERROR(__xludf.DUMMYFUNCTION("""COMPUTED_VALUE"""),43227.66666666667)</f>
        <v>43227.66667</v>
      </c>
      <c r="B671" s="5">
        <f>IFERROR(__xludf.DUMMYFUNCTION("""COMPUTED_VALUE"""),6.22)</f>
        <v>6.22</v>
      </c>
      <c r="C671" s="5">
        <v>6.15262937545776</v>
      </c>
      <c r="D671" s="5">
        <v>237.875549316406</v>
      </c>
      <c r="E671" s="7">
        <f t="shared" ref="E671:F671" si="669">C671/C670-1</f>
        <v>0.0402409541</v>
      </c>
      <c r="F671" s="7">
        <f t="shared" si="669"/>
        <v>0.003383570484</v>
      </c>
    </row>
    <row r="672">
      <c r="A672" s="3">
        <f>IFERROR(__xludf.DUMMYFUNCTION("""COMPUTED_VALUE"""),43228.66666666667)</f>
        <v>43228.66667</v>
      </c>
      <c r="B672" s="5">
        <f>IFERROR(__xludf.DUMMYFUNCTION("""COMPUTED_VALUE"""),6.26)</f>
        <v>6.26</v>
      </c>
      <c r="C672" s="5">
        <v>6.19518566131591</v>
      </c>
      <c r="D672" s="5">
        <v>237.875549316406</v>
      </c>
      <c r="E672" s="7">
        <f t="shared" ref="E672:F672" si="670">C672/C671-1</f>
        <v>0.006916764079</v>
      </c>
      <c r="F672" s="7">
        <f t="shared" si="670"/>
        <v>0</v>
      </c>
    </row>
    <row r="673">
      <c r="A673" s="3">
        <f>IFERROR(__xludf.DUMMYFUNCTION("""COMPUTED_VALUE"""),43229.66666666667)</f>
        <v>43229.66667</v>
      </c>
      <c r="B673" s="5">
        <f>IFERROR(__xludf.DUMMYFUNCTION("""COMPUTED_VALUE"""),6.39)</f>
        <v>6.39</v>
      </c>
      <c r="C673" s="5">
        <v>6.32829284667968</v>
      </c>
      <c r="D673" s="5">
        <v>240.1748046875</v>
      </c>
      <c r="E673" s="7">
        <f t="shared" ref="E673:F673" si="671">C673/C672-1</f>
        <v>0.02148558456</v>
      </c>
      <c r="F673" s="7">
        <f t="shared" si="671"/>
        <v>0.009665791115</v>
      </c>
    </row>
    <row r="674">
      <c r="A674" s="3">
        <f>IFERROR(__xludf.DUMMYFUNCTION("""COMPUTED_VALUE"""),43230.66666666667)</f>
        <v>43230.66667</v>
      </c>
      <c r="B674" s="5">
        <f>IFERROR(__xludf.DUMMYFUNCTION("""COMPUTED_VALUE"""),6.5)</f>
        <v>6.5</v>
      </c>
      <c r="C674" s="5">
        <v>6.43591547012329</v>
      </c>
      <c r="D674" s="5">
        <v>242.42056274414</v>
      </c>
      <c r="E674" s="7">
        <f t="shared" ref="E674:F674" si="672">C674/C673-1</f>
        <v>0.01700658077</v>
      </c>
      <c r="F674" s="7">
        <f t="shared" si="672"/>
        <v>0.009350514762</v>
      </c>
    </row>
    <row r="675">
      <c r="A675" s="3">
        <f>IFERROR(__xludf.DUMMYFUNCTION("""COMPUTED_VALUE"""),43231.66666666667)</f>
        <v>43231.66667</v>
      </c>
      <c r="B675" s="5">
        <f>IFERROR(__xludf.DUMMYFUNCTION("""COMPUTED_VALUE"""),6.36)</f>
        <v>6.36</v>
      </c>
      <c r="C675" s="5">
        <v>6.2973666191101</v>
      </c>
      <c r="D675" s="5">
        <v>243.160263061523</v>
      </c>
      <c r="E675" s="7">
        <f t="shared" ref="E675:F675" si="673">C675/C674-1</f>
        <v>-0.02152745039</v>
      </c>
      <c r="F675" s="7">
        <f t="shared" si="673"/>
        <v>0.003051310124</v>
      </c>
    </row>
    <row r="676">
      <c r="A676" s="3">
        <f>IFERROR(__xludf.DUMMYFUNCTION("""COMPUTED_VALUE"""),43234.66666666667)</f>
        <v>43234.66667</v>
      </c>
      <c r="B676" s="5">
        <f>IFERROR(__xludf.DUMMYFUNCTION("""COMPUTED_VALUE"""),6.38)</f>
        <v>6.38</v>
      </c>
      <c r="C676" s="5">
        <v>6.31790113449096</v>
      </c>
      <c r="D676" s="5">
        <v>243.276184082031</v>
      </c>
      <c r="E676" s="7">
        <f t="shared" ref="E676:F676" si="674">C676/C675-1</f>
        <v>0.003260809894</v>
      </c>
      <c r="F676" s="7">
        <f t="shared" si="674"/>
        <v>0.0004767268264</v>
      </c>
    </row>
    <row r="677">
      <c r="A677" s="3">
        <f>IFERROR(__xludf.DUMMYFUNCTION("""COMPUTED_VALUE"""),43235.66666666667)</f>
        <v>43235.66667</v>
      </c>
      <c r="B677" s="5">
        <f>IFERROR(__xludf.DUMMYFUNCTION("""COMPUTED_VALUE"""),6.14)</f>
        <v>6.14</v>
      </c>
      <c r="C677" s="5">
        <v>6.07543754577636</v>
      </c>
      <c r="D677" s="5">
        <v>241.600662231445</v>
      </c>
      <c r="E677" s="7">
        <f t="shared" ref="E677:F677" si="675">C677/C676-1</f>
        <v>-0.03837723693</v>
      </c>
      <c r="F677" s="7">
        <f t="shared" si="675"/>
        <v>-0.006887323792</v>
      </c>
    </row>
    <row r="678">
      <c r="A678" s="3">
        <f>IFERROR(__xludf.DUMMYFUNCTION("""COMPUTED_VALUE"""),43236.66666666667)</f>
        <v>43236.66667</v>
      </c>
      <c r="B678" s="5">
        <f>IFERROR(__xludf.DUMMYFUNCTION("""COMPUTED_VALUE"""),6.15)</f>
        <v>6.15</v>
      </c>
      <c r="C678" s="5">
        <v>6.08657073974609</v>
      </c>
      <c r="D678" s="5">
        <v>242.616638183593</v>
      </c>
      <c r="E678" s="7">
        <f t="shared" ref="E678:F678" si="676">C678/C677-1</f>
        <v>0.001832492538</v>
      </c>
      <c r="F678" s="7">
        <f t="shared" si="676"/>
        <v>0.004205186951</v>
      </c>
    </row>
    <row r="679">
      <c r="A679" s="3">
        <f>IFERROR(__xludf.DUMMYFUNCTION("""COMPUTED_VALUE"""),43237.66666666667)</f>
        <v>43237.66667</v>
      </c>
      <c r="B679" s="5">
        <f>IFERROR(__xludf.DUMMYFUNCTION("""COMPUTED_VALUE"""),6.19)</f>
        <v>6.19</v>
      </c>
      <c r="C679" s="5">
        <v>6.12863063812255</v>
      </c>
      <c r="D679" s="5">
        <v>242.411636352539</v>
      </c>
      <c r="E679" s="7">
        <f t="shared" ref="E679:F679" si="677">C679/C678-1</f>
        <v>0.00691027841</v>
      </c>
      <c r="F679" s="7">
        <f t="shared" si="677"/>
        <v>-0.0008449619638</v>
      </c>
    </row>
    <row r="680">
      <c r="A680" s="3">
        <f>IFERROR(__xludf.DUMMYFUNCTION("""COMPUTED_VALUE"""),43238.66666666667)</f>
        <v>43238.66667</v>
      </c>
      <c r="B680" s="5">
        <f>IFERROR(__xludf.DUMMYFUNCTION("""COMPUTED_VALUE"""),6.15)</f>
        <v>6.15</v>
      </c>
      <c r="C680" s="5">
        <v>6.08483791351318</v>
      </c>
      <c r="D680" s="5">
        <v>241.805694580078</v>
      </c>
      <c r="E680" s="7">
        <f t="shared" ref="E680:F680" si="678">C680/C679-1</f>
        <v>-0.007145596985</v>
      </c>
      <c r="F680" s="7">
        <f t="shared" si="678"/>
        <v>-0.002499639793</v>
      </c>
    </row>
    <row r="681">
      <c r="A681" s="3">
        <f>IFERROR(__xludf.DUMMYFUNCTION("""COMPUTED_VALUE"""),43241.66666666667)</f>
        <v>43241.66667</v>
      </c>
      <c r="B681" s="5">
        <f>IFERROR(__xludf.DUMMYFUNCTION("""COMPUTED_VALUE"""),6.11)</f>
        <v>6.11</v>
      </c>
      <c r="C681" s="5">
        <v>6.04277849197387</v>
      </c>
      <c r="D681" s="5">
        <v>243.623657226562</v>
      </c>
      <c r="E681" s="7">
        <f t="shared" ref="E681:F681" si="679">C681/C680-1</f>
        <v>-0.006912167939</v>
      </c>
      <c r="F681" s="7">
        <f t="shared" si="679"/>
        <v>0.007518278879</v>
      </c>
    </row>
    <row r="682">
      <c r="A682" s="3">
        <f>IFERROR(__xludf.DUMMYFUNCTION("""COMPUTED_VALUE"""),43242.66666666667)</f>
        <v>43242.66667</v>
      </c>
      <c r="B682" s="5">
        <f>IFERROR(__xludf.DUMMYFUNCTION("""COMPUTED_VALUE"""),6.07)</f>
        <v>6.07</v>
      </c>
      <c r="C682" s="5">
        <v>6.00467777252197</v>
      </c>
      <c r="D682" s="5">
        <v>242.9462890625</v>
      </c>
      <c r="E682" s="7">
        <f t="shared" ref="E682:F682" si="680">C682/C681-1</f>
        <v>-0.006305165662</v>
      </c>
      <c r="F682" s="7">
        <f t="shared" si="680"/>
        <v>-0.00278038747</v>
      </c>
    </row>
    <row r="683">
      <c r="A683" s="3">
        <f>IFERROR(__xludf.DUMMYFUNCTION("""COMPUTED_VALUE"""),43243.66666666667)</f>
        <v>43243.66667</v>
      </c>
      <c r="B683" s="5">
        <f>IFERROR(__xludf.DUMMYFUNCTION("""COMPUTED_VALUE"""),6.19)</f>
        <v>6.19</v>
      </c>
      <c r="C683" s="5">
        <v>6.12821245193481</v>
      </c>
      <c r="D683" s="5">
        <v>243.614776611328</v>
      </c>
      <c r="E683" s="7">
        <f t="shared" ref="E683:F683" si="681">C683/C682-1</f>
        <v>0.02057307388</v>
      </c>
      <c r="F683" s="7">
        <f t="shared" si="681"/>
        <v>0.002751585758</v>
      </c>
    </row>
    <row r="684">
      <c r="A684" s="3">
        <f>IFERROR(__xludf.DUMMYFUNCTION("""COMPUTED_VALUE"""),43244.66666666667)</f>
        <v>43244.66667</v>
      </c>
      <c r="B684" s="5">
        <f>IFERROR(__xludf.DUMMYFUNCTION("""COMPUTED_VALUE"""),6.19)</f>
        <v>6.19</v>
      </c>
      <c r="C684" s="5">
        <v>6.13192558288574</v>
      </c>
      <c r="D684" s="5">
        <v>243.115661621093</v>
      </c>
      <c r="E684" s="7">
        <f t="shared" ref="E684:F684" si="682">C684/C683-1</f>
        <v>0.0006059076737</v>
      </c>
      <c r="F684" s="7">
        <f t="shared" si="682"/>
        <v>-0.002048787833</v>
      </c>
    </row>
    <row r="685">
      <c r="A685" s="3">
        <f>IFERROR(__xludf.DUMMYFUNCTION("""COMPUTED_VALUE"""),43245.66666666667)</f>
        <v>43245.66667</v>
      </c>
      <c r="B685" s="5">
        <f>IFERROR(__xludf.DUMMYFUNCTION("""COMPUTED_VALUE"""),6.23)</f>
        <v>6.23</v>
      </c>
      <c r="C685" s="5">
        <v>6.17128944396972</v>
      </c>
      <c r="D685" s="5">
        <v>242.536422729492</v>
      </c>
      <c r="E685" s="7">
        <f t="shared" ref="E685:F685" si="683">C685/C684-1</f>
        <v>0.00641949426</v>
      </c>
      <c r="F685" s="7">
        <f t="shared" si="683"/>
        <v>-0.002382565104</v>
      </c>
    </row>
    <row r="686">
      <c r="A686" s="3">
        <f>IFERROR(__xludf.DUMMYFUNCTION("""COMPUTED_VALUE"""),43249.66666666667)</f>
        <v>43249.66667</v>
      </c>
      <c r="B686" s="5">
        <f>IFERROR(__xludf.DUMMYFUNCTION("""COMPUTED_VALUE"""),6.21)</f>
        <v>6.21</v>
      </c>
      <c r="C686" s="5">
        <v>6.15420627593994</v>
      </c>
      <c r="D686" s="5">
        <v>239.746978759765</v>
      </c>
      <c r="E686" s="7">
        <f t="shared" ref="E686:F686" si="684">C686/C685-1</f>
        <v>-0.002768168336</v>
      </c>
      <c r="F686" s="7">
        <f t="shared" si="684"/>
        <v>-0.0115011343</v>
      </c>
    </row>
    <row r="687">
      <c r="A687" s="3">
        <f>IFERROR(__xludf.DUMMYFUNCTION("""COMPUTED_VALUE"""),43250.66666666667)</f>
        <v>43250.66667</v>
      </c>
      <c r="B687" s="5">
        <f>IFERROR(__xludf.DUMMYFUNCTION("""COMPUTED_VALUE"""),6.32)</f>
        <v>6.32</v>
      </c>
      <c r="C687" s="5">
        <v>6.26313495635986</v>
      </c>
      <c r="D687" s="5">
        <v>242.9462890625</v>
      </c>
      <c r="E687" s="7">
        <f t="shared" ref="E687:F687" si="685">C687/C686-1</f>
        <v>0.01769987477</v>
      </c>
      <c r="F687" s="7">
        <f t="shared" si="685"/>
        <v>0.01334452813</v>
      </c>
    </row>
    <row r="688">
      <c r="A688" s="3">
        <f>IFERROR(__xludf.DUMMYFUNCTION("""COMPUTED_VALUE"""),43251.66666666667)</f>
        <v>43251.66667</v>
      </c>
      <c r="B688" s="5">
        <f>IFERROR(__xludf.DUMMYFUNCTION("""COMPUTED_VALUE"""),6.3)</f>
        <v>6.3</v>
      </c>
      <c r="C688" s="5">
        <v>6.24332952499389</v>
      </c>
      <c r="D688" s="5">
        <v>241.458099365234</v>
      </c>
      <c r="E688" s="7">
        <f t="shared" ref="E688:F688" si="686">C688/C687-1</f>
        <v>-0.003162223312</v>
      </c>
      <c r="F688" s="7">
        <f t="shared" si="686"/>
        <v>-0.006125591393</v>
      </c>
    </row>
    <row r="689">
      <c r="A689" s="3">
        <f>IFERROR(__xludf.DUMMYFUNCTION("""COMPUTED_VALUE"""),43252.66666666667)</f>
        <v>43252.66667</v>
      </c>
      <c r="B689" s="5">
        <f>IFERROR(__xludf.DUMMYFUNCTION("""COMPUTED_VALUE"""),6.44)</f>
        <v>6.44</v>
      </c>
      <c r="C689" s="5">
        <v>6.37775707244873</v>
      </c>
      <c r="D689" s="5">
        <v>243.828659057617</v>
      </c>
      <c r="E689" s="7">
        <f t="shared" ref="E689:F689" si="687">C689/C688-1</f>
        <v>0.02153138753</v>
      </c>
      <c r="F689" s="7">
        <f t="shared" si="687"/>
        <v>0.009817685547</v>
      </c>
    </row>
    <row r="690">
      <c r="A690" s="3">
        <f>IFERROR(__xludf.DUMMYFUNCTION("""COMPUTED_VALUE"""),43255.66666666667)</f>
        <v>43255.66667</v>
      </c>
      <c r="B690" s="5">
        <f>IFERROR(__xludf.DUMMYFUNCTION("""COMPUTED_VALUE"""),6.62)</f>
        <v>6.62</v>
      </c>
      <c r="C690" s="5">
        <v>6.55674600601196</v>
      </c>
      <c r="D690" s="5">
        <v>244.987197875976</v>
      </c>
      <c r="E690" s="7">
        <f t="shared" ref="E690:F690" si="688">C690/C689-1</f>
        <v>0.02806455805</v>
      </c>
      <c r="F690" s="7">
        <f t="shared" si="688"/>
        <v>0.004751446458</v>
      </c>
    </row>
    <row r="691">
      <c r="A691" s="3">
        <f>IFERROR(__xludf.DUMMYFUNCTION("""COMPUTED_VALUE"""),43256.66666666667)</f>
        <v>43256.66667</v>
      </c>
      <c r="B691" s="5">
        <f>IFERROR(__xludf.DUMMYFUNCTION("""COMPUTED_VALUE"""),6.63)</f>
        <v>6.63</v>
      </c>
      <c r="C691" s="5">
        <v>6.56219291687011</v>
      </c>
      <c r="D691" s="5">
        <v>245.165420532226</v>
      </c>
      <c r="E691" s="7">
        <f t="shared" ref="E691:F691" si="689">C691/C690-1</f>
        <v>0.0008307338508</v>
      </c>
      <c r="F691" s="7">
        <f t="shared" si="689"/>
        <v>0.0007274774266</v>
      </c>
    </row>
    <row r="692">
      <c r="A692" s="3">
        <f>IFERROR(__xludf.DUMMYFUNCTION("""COMPUTED_VALUE"""),43257.66666666667)</f>
        <v>43257.66667</v>
      </c>
      <c r="B692" s="5">
        <f>IFERROR(__xludf.DUMMYFUNCTION("""COMPUTED_VALUE"""),6.63)</f>
        <v>6.63</v>
      </c>
      <c r="C692" s="5">
        <v>6.56417322158813</v>
      </c>
      <c r="D692" s="5">
        <v>247.215133666992</v>
      </c>
      <c r="E692" s="7">
        <f t="shared" ref="E692:F692" si="690">C692/C691-1</f>
        <v>0.0003017748401</v>
      </c>
      <c r="F692" s="7">
        <f t="shared" si="690"/>
        <v>0.008360531148</v>
      </c>
    </row>
    <row r="693">
      <c r="A693" s="3">
        <f>IFERROR(__xludf.DUMMYFUNCTION("""COMPUTED_VALUE"""),43258.66666666667)</f>
        <v>43258.66667</v>
      </c>
      <c r="B693" s="5">
        <f>IFERROR(__xludf.DUMMYFUNCTION("""COMPUTED_VALUE"""),6.57)</f>
        <v>6.57</v>
      </c>
      <c r="C693" s="5">
        <v>6.50847053527832</v>
      </c>
      <c r="D693" s="5">
        <v>247.188446044921</v>
      </c>
      <c r="E693" s="7">
        <f t="shared" ref="E693:F693" si="691">C693/C692-1</f>
        <v>-0.008485864774</v>
      </c>
      <c r="F693" s="7">
        <f t="shared" si="691"/>
        <v>-0.0001079530273</v>
      </c>
    </row>
    <row r="694">
      <c r="A694" s="3">
        <f>IFERROR(__xludf.DUMMYFUNCTION("""COMPUTED_VALUE"""),43259.66666666667)</f>
        <v>43259.66667</v>
      </c>
      <c r="B694" s="5">
        <f>IFERROR(__xludf.DUMMYFUNCTION("""COMPUTED_VALUE"""),6.56)</f>
        <v>6.56</v>
      </c>
      <c r="C694" s="5">
        <v>6.49312162399292</v>
      </c>
      <c r="D694" s="5">
        <v>247.919219970703</v>
      </c>
      <c r="E694" s="7">
        <f t="shared" ref="E694:F694" si="692">C694/C693-1</f>
        <v>-0.002358297729</v>
      </c>
      <c r="F694" s="7">
        <f t="shared" si="692"/>
        <v>0.002956343379</v>
      </c>
    </row>
    <row r="695">
      <c r="A695" s="3">
        <f>IFERROR(__xludf.DUMMYFUNCTION("""COMPUTED_VALUE"""),43262.66666666667)</f>
        <v>43262.66667</v>
      </c>
      <c r="B695" s="5">
        <f>IFERROR(__xludf.DUMMYFUNCTION("""COMPUTED_VALUE"""),6.52)</f>
        <v>6.52</v>
      </c>
      <c r="C695" s="5">
        <v>6.45202541351318</v>
      </c>
      <c r="D695" s="5">
        <v>248.248931884765</v>
      </c>
      <c r="E695" s="7">
        <f t="shared" ref="E695:F695" si="693">C695/C694-1</f>
        <v>-0.006329191544</v>
      </c>
      <c r="F695" s="7">
        <f t="shared" si="693"/>
        <v>0.001329916713</v>
      </c>
    </row>
    <row r="696">
      <c r="A696" s="3">
        <f>IFERROR(__xludf.DUMMYFUNCTION("""COMPUTED_VALUE"""),43263.66666666667)</f>
        <v>43263.66667</v>
      </c>
      <c r="B696" s="5">
        <f>IFERROR(__xludf.DUMMYFUNCTION("""COMPUTED_VALUE"""),6.56)</f>
        <v>6.56</v>
      </c>
      <c r="C696" s="5">
        <v>6.5005497932434</v>
      </c>
      <c r="D696" s="5">
        <v>248.569732666015</v>
      </c>
      <c r="E696" s="7">
        <f t="shared" ref="E696:F696" si="694">C696/C695-1</f>
        <v>0.007520797985</v>
      </c>
      <c r="F696" s="7">
        <f t="shared" si="694"/>
        <v>0.001292254427</v>
      </c>
    </row>
    <row r="697">
      <c r="A697" s="3">
        <f>IFERROR(__xludf.DUMMYFUNCTION("""COMPUTED_VALUE"""),43264.66666666667)</f>
        <v>43264.66667</v>
      </c>
      <c r="B697" s="5">
        <f>IFERROR(__xludf.DUMMYFUNCTION("""COMPUTED_VALUE"""),6.56)</f>
        <v>6.56</v>
      </c>
      <c r="C697" s="5">
        <v>6.49609279632568</v>
      </c>
      <c r="D697" s="5">
        <v>247.776611328125</v>
      </c>
      <c r="E697" s="7">
        <f t="shared" ref="E697:F697" si="695">C697/C696-1</f>
        <v>-0.0006856338401</v>
      </c>
      <c r="F697" s="7">
        <f t="shared" si="695"/>
        <v>-0.003190739795</v>
      </c>
    </row>
    <row r="698">
      <c r="A698" s="3">
        <f>IFERROR(__xludf.DUMMYFUNCTION("""COMPUTED_VALUE"""),43265.66666666667)</f>
        <v>43265.66667</v>
      </c>
      <c r="B698" s="5">
        <f>IFERROR(__xludf.DUMMYFUNCTION("""COMPUTED_VALUE"""),6.67)</f>
        <v>6.67</v>
      </c>
      <c r="C698" s="5">
        <v>6.60774564743042</v>
      </c>
      <c r="D698" s="5">
        <v>248.400497436523</v>
      </c>
      <c r="E698" s="7">
        <f t="shared" ref="E698:F698" si="696">C698/C697-1</f>
        <v>0.01718769337</v>
      </c>
      <c r="F698" s="7">
        <f t="shared" si="696"/>
        <v>0.002517937852</v>
      </c>
    </row>
    <row r="699">
      <c r="A699" s="3">
        <f>IFERROR(__xludf.DUMMYFUNCTION("""COMPUTED_VALUE"""),43266.66666666667)</f>
        <v>43266.66667</v>
      </c>
      <c r="B699" s="5">
        <f>IFERROR(__xludf.DUMMYFUNCTION("""COMPUTED_VALUE"""),6.63)</f>
        <v>6.63</v>
      </c>
      <c r="C699" s="5">
        <v>6.56689691543579</v>
      </c>
      <c r="D699" s="5">
        <v>248.083587646484</v>
      </c>
      <c r="E699" s="7">
        <f t="shared" ref="E699:F699" si="697">C699/C698-1</f>
        <v>-0.00618194679</v>
      </c>
      <c r="F699" s="7">
        <f t="shared" si="697"/>
        <v>-0.001275801753</v>
      </c>
    </row>
    <row r="700">
      <c r="A700" s="3">
        <f>IFERROR(__xludf.DUMMYFUNCTION("""COMPUTED_VALUE"""),43269.66666666667)</f>
        <v>43269.66667</v>
      </c>
      <c r="B700" s="5">
        <f>IFERROR(__xludf.DUMMYFUNCTION("""COMPUTED_VALUE"""),6.63)</f>
        <v>6.63</v>
      </c>
      <c r="C700" s="5">
        <v>6.56268882751464</v>
      </c>
      <c r="D700" s="5">
        <v>247.573287963867</v>
      </c>
      <c r="E700" s="7">
        <f t="shared" ref="E700:F700" si="698">C700/C699-1</f>
        <v>-0.0006408031031</v>
      </c>
      <c r="F700" s="7">
        <f t="shared" si="698"/>
        <v>-0.002056966716</v>
      </c>
    </row>
    <row r="701">
      <c r="A701" s="3">
        <f>IFERROR(__xludf.DUMMYFUNCTION("""COMPUTED_VALUE"""),43270.66666666667)</f>
        <v>43270.66667</v>
      </c>
      <c r="B701" s="5">
        <f>IFERROR(__xludf.DUMMYFUNCTION("""COMPUTED_VALUE"""),6.5)</f>
        <v>6.5</v>
      </c>
      <c r="C701" s="5">
        <v>6.4408860206604</v>
      </c>
      <c r="D701" s="5">
        <v>246.624435424804</v>
      </c>
      <c r="E701" s="7">
        <f t="shared" ref="E701:F701" si="699">C701/C700-1</f>
        <v>-0.01855989367</v>
      </c>
      <c r="F701" s="7">
        <f t="shared" si="699"/>
        <v>-0.003832612746</v>
      </c>
    </row>
    <row r="702">
      <c r="A702" s="3">
        <f>IFERROR(__xludf.DUMMYFUNCTION("""COMPUTED_VALUE"""),43271.66666666667)</f>
        <v>43271.66667</v>
      </c>
      <c r="B702" s="5">
        <f>IFERROR(__xludf.DUMMYFUNCTION("""COMPUTED_VALUE"""),6.56)</f>
        <v>6.56</v>
      </c>
      <c r="C702" s="5">
        <v>6.4938645362854</v>
      </c>
      <c r="D702" s="5">
        <v>247.045120239257</v>
      </c>
      <c r="E702" s="7">
        <f t="shared" ref="E702:F702" si="700">C702/C701-1</f>
        <v>0.008225345931</v>
      </c>
      <c r="F702" s="7">
        <f t="shared" si="700"/>
        <v>0.001705771019</v>
      </c>
    </row>
    <row r="703">
      <c r="A703" s="3">
        <f>IFERROR(__xludf.DUMMYFUNCTION("""COMPUTED_VALUE"""),43272.66666666667)</f>
        <v>43272.66667</v>
      </c>
      <c r="B703" s="5">
        <f>IFERROR(__xludf.DUMMYFUNCTION("""COMPUTED_VALUE"""),6.43)</f>
        <v>6.43</v>
      </c>
      <c r="C703" s="5">
        <v>6.36513042449951</v>
      </c>
      <c r="D703" s="5">
        <v>245.496429443359</v>
      </c>
      <c r="E703" s="7">
        <f t="shared" ref="E703:F703" si="701">C703/C702-1</f>
        <v>-0.01982396015</v>
      </c>
      <c r="F703" s="7">
        <f t="shared" si="701"/>
        <v>-0.006268858071</v>
      </c>
    </row>
    <row r="704">
      <c r="A704" s="3">
        <f>IFERROR(__xludf.DUMMYFUNCTION("""COMPUTED_VALUE"""),43273.66666666667)</f>
        <v>43273.66667</v>
      </c>
      <c r="B704" s="5">
        <f>IFERROR(__xludf.DUMMYFUNCTION("""COMPUTED_VALUE"""),6.27)</f>
        <v>6.27</v>
      </c>
      <c r="C704" s="5">
        <v>6.21263122558593</v>
      </c>
      <c r="D704" s="5">
        <v>245.944091796875</v>
      </c>
      <c r="E704" s="7">
        <f t="shared" ref="E704:F704" si="702">C704/C703-1</f>
        <v>-0.02395853482</v>
      </c>
      <c r="F704" s="7">
        <f t="shared" si="702"/>
        <v>0.001823498429</v>
      </c>
    </row>
    <row r="705">
      <c r="A705" s="3">
        <f>IFERROR(__xludf.DUMMYFUNCTION("""COMPUTED_VALUE"""),43276.66666666667)</f>
        <v>43276.66667</v>
      </c>
      <c r="B705" s="5">
        <f>IFERROR(__xludf.DUMMYFUNCTION("""COMPUTED_VALUE"""),5.98)</f>
        <v>5.98</v>
      </c>
      <c r="C705" s="5">
        <v>5.91976165771484</v>
      </c>
      <c r="D705" s="5">
        <v>242.596008300781</v>
      </c>
      <c r="E705" s="7">
        <f t="shared" ref="E705:F705" si="703">C705/C704-1</f>
        <v>-0.047140987</v>
      </c>
      <c r="F705" s="7">
        <f t="shared" si="703"/>
        <v>-0.01361318937</v>
      </c>
    </row>
    <row r="706">
      <c r="A706" s="3">
        <f>IFERROR(__xludf.DUMMYFUNCTION("""COMPUTED_VALUE"""),43277.66666666667)</f>
        <v>43277.66667</v>
      </c>
      <c r="B706" s="5">
        <f>IFERROR(__xludf.DUMMYFUNCTION("""COMPUTED_VALUE"""),6.05)</f>
        <v>6.05</v>
      </c>
      <c r="C706" s="5">
        <v>5.99081373214721</v>
      </c>
      <c r="D706" s="5">
        <v>243.133148193359</v>
      </c>
      <c r="E706" s="7">
        <f t="shared" ref="E706:F706" si="704">C706/C705-1</f>
        <v>0.01200252283</v>
      </c>
      <c r="F706" s="7">
        <f t="shared" si="704"/>
        <v>0.002214133268</v>
      </c>
    </row>
    <row r="707">
      <c r="A707" s="3">
        <f>IFERROR(__xludf.DUMMYFUNCTION("""COMPUTED_VALUE"""),43278.66666666667)</f>
        <v>43278.66667</v>
      </c>
      <c r="B707" s="5">
        <f>IFERROR(__xludf.DUMMYFUNCTION("""COMPUTED_VALUE"""),5.89)</f>
        <v>5.89</v>
      </c>
      <c r="C707" s="5">
        <v>5.83559083938598</v>
      </c>
      <c r="D707" s="5">
        <v>241.118988037109</v>
      </c>
      <c r="E707" s="7">
        <f t="shared" ref="E707:F707" si="705">C707/C706-1</f>
        <v>-0.02591015173</v>
      </c>
      <c r="F707" s="7">
        <f t="shared" si="705"/>
        <v>-0.008284185728</v>
      </c>
    </row>
    <row r="708">
      <c r="A708" s="3">
        <f>IFERROR(__xludf.DUMMYFUNCTION("""COMPUTED_VALUE"""),43279.66666666667)</f>
        <v>43279.66667</v>
      </c>
      <c r="B708" s="5">
        <f>IFERROR(__xludf.DUMMYFUNCTION("""COMPUTED_VALUE"""),6.02)</f>
        <v>6.02</v>
      </c>
      <c r="C708" s="5">
        <v>5.96283960342407</v>
      </c>
      <c r="D708" s="5">
        <v>242.497573852539</v>
      </c>
      <c r="E708" s="7">
        <f t="shared" ref="E708:F708" si="706">C708/C707-1</f>
        <v>0.02180563503</v>
      </c>
      <c r="F708" s="7">
        <f t="shared" si="706"/>
        <v>0.005717450238</v>
      </c>
    </row>
    <row r="709">
      <c r="A709" s="3">
        <f>IFERROR(__xludf.DUMMYFUNCTION("""COMPUTED_VALUE"""),43280.66666666667)</f>
        <v>43280.66667</v>
      </c>
      <c r="B709" s="5">
        <f>IFERROR(__xludf.DUMMYFUNCTION("""COMPUTED_VALUE"""),5.92)</f>
        <v>5.92</v>
      </c>
      <c r="C709" s="5">
        <v>5.86480474472045</v>
      </c>
      <c r="D709" s="5">
        <v>242.8466796875</v>
      </c>
      <c r="E709" s="7">
        <f t="shared" ref="E709:F709" si="707">C709/C708-1</f>
        <v>-0.0164409686</v>
      </c>
      <c r="F709" s="7">
        <f t="shared" si="707"/>
        <v>0.001439626094</v>
      </c>
    </row>
    <row r="710">
      <c r="A710" s="3">
        <f>IFERROR(__xludf.DUMMYFUNCTION("""COMPUTED_VALUE"""),43283.66666666667)</f>
        <v>43283.66667</v>
      </c>
      <c r="B710" s="5">
        <f>IFERROR(__xludf.DUMMYFUNCTION("""COMPUTED_VALUE"""),6.06)</f>
        <v>6.06</v>
      </c>
      <c r="C710" s="5">
        <v>5.99700212478637</v>
      </c>
      <c r="D710" s="5">
        <v>243.365859985351</v>
      </c>
      <c r="E710" s="7">
        <f t="shared" ref="E710:F710" si="708">C710/C709-1</f>
        <v>0.02254079817</v>
      </c>
      <c r="F710" s="7">
        <f t="shared" si="708"/>
        <v>0.002137893335</v>
      </c>
    </row>
    <row r="711">
      <c r="A711" s="3">
        <f>IFERROR(__xludf.DUMMYFUNCTION("""COMPUTED_VALUE"""),43284.54166666667)</f>
        <v>43284.54167</v>
      </c>
      <c r="B711" s="5">
        <f>IFERROR(__xludf.DUMMYFUNCTION("""COMPUTED_VALUE"""),5.92)</f>
        <v>5.92</v>
      </c>
      <c r="C711" s="5">
        <v>5.86331844329834</v>
      </c>
      <c r="D711" s="5">
        <v>242.506561279296</v>
      </c>
      <c r="E711" s="7">
        <f t="shared" ref="E711:F711" si="709">C711/C710-1</f>
        <v>-0.02229175156</v>
      </c>
      <c r="F711" s="7">
        <f t="shared" si="709"/>
        <v>-0.003530892567</v>
      </c>
    </row>
    <row r="712">
      <c r="A712" s="3">
        <f>IFERROR(__xludf.DUMMYFUNCTION("""COMPUTED_VALUE"""),43286.66666666667)</f>
        <v>43286.66667</v>
      </c>
      <c r="B712" s="5">
        <f>IFERROR(__xludf.DUMMYFUNCTION("""COMPUTED_VALUE"""),6.07)</f>
        <v>6.07</v>
      </c>
      <c r="C712" s="5">
        <v>6.00913429260253</v>
      </c>
      <c r="D712" s="5">
        <v>244.484832763671</v>
      </c>
      <c r="E712" s="7">
        <f t="shared" ref="E712:F712" si="710">C712/C711-1</f>
        <v>0.02486916764</v>
      </c>
      <c r="F712" s="7">
        <f t="shared" si="710"/>
        <v>0.008157599835</v>
      </c>
    </row>
    <row r="713">
      <c r="A713" s="3">
        <f>IFERROR(__xludf.DUMMYFUNCTION("""COMPUTED_VALUE"""),43287.66666666667)</f>
        <v>43287.66667</v>
      </c>
      <c r="B713" s="5">
        <f>IFERROR(__xludf.DUMMYFUNCTION("""COMPUTED_VALUE"""),6.18)</f>
        <v>6.18</v>
      </c>
      <c r="C713" s="5">
        <v>6.12301397323608</v>
      </c>
      <c r="D713" s="5">
        <v>246.552795410156</v>
      </c>
      <c r="E713" s="7">
        <f t="shared" ref="E713:F713" si="711">C713/C712-1</f>
        <v>0.01895109596</v>
      </c>
      <c r="F713" s="7">
        <f t="shared" si="711"/>
        <v>0.008458449643</v>
      </c>
    </row>
    <row r="714">
      <c r="A714" s="3">
        <f>IFERROR(__xludf.DUMMYFUNCTION("""COMPUTED_VALUE"""),43290.66666666667)</f>
        <v>43290.66667</v>
      </c>
      <c r="B714" s="5">
        <f>IFERROR(__xludf.DUMMYFUNCTION("""COMPUTED_VALUE"""),6.23)</f>
        <v>6.23</v>
      </c>
      <c r="C714" s="5">
        <v>6.17054605484008</v>
      </c>
      <c r="D714" s="5">
        <v>248.772766113281</v>
      </c>
      <c r="E714" s="7">
        <f t="shared" ref="E714:F714" si="712">C714/C713-1</f>
        <v>0.007762856954</v>
      </c>
      <c r="F714" s="7">
        <f t="shared" si="712"/>
        <v>0.009004037855</v>
      </c>
    </row>
    <row r="715">
      <c r="A715" s="3">
        <f>IFERROR(__xludf.DUMMYFUNCTION("""COMPUTED_VALUE"""),43291.66666666667)</f>
        <v>43291.66667</v>
      </c>
      <c r="B715" s="5">
        <f>IFERROR(__xludf.DUMMYFUNCTION("""COMPUTED_VALUE"""),6.33)</f>
        <v>6.33</v>
      </c>
      <c r="C715" s="5">
        <v>6.26957273483276</v>
      </c>
      <c r="D715" s="5">
        <v>249.668045043945</v>
      </c>
      <c r="E715" s="7">
        <f t="shared" ref="E715:F715" si="713">C715/C714-1</f>
        <v>0.01604828472</v>
      </c>
      <c r="F715" s="7">
        <f t="shared" si="713"/>
        <v>0.003598781911</v>
      </c>
    </row>
    <row r="716">
      <c r="A716" s="3">
        <f>IFERROR(__xludf.DUMMYFUNCTION("""COMPUTED_VALUE"""),43292.66666666667)</f>
        <v>43292.66667</v>
      </c>
      <c r="B716" s="5">
        <f>IFERROR(__xludf.DUMMYFUNCTION("""COMPUTED_VALUE"""),6.19)</f>
        <v>6.19</v>
      </c>
      <c r="C716" s="5">
        <v>6.1279649734497</v>
      </c>
      <c r="D716" s="5">
        <v>247.84178161621</v>
      </c>
      <c r="E716" s="7">
        <f t="shared" ref="E716:F716" si="714">C716/C715-1</f>
        <v>-0.02258650906</v>
      </c>
      <c r="F716" s="7">
        <f t="shared" si="714"/>
        <v>-0.007314766403</v>
      </c>
    </row>
    <row r="717">
      <c r="A717" s="3">
        <f>IFERROR(__xludf.DUMMYFUNCTION("""COMPUTED_VALUE"""),43293.66666666667)</f>
        <v>43293.66667</v>
      </c>
      <c r="B717" s="5">
        <f>IFERROR(__xludf.DUMMYFUNCTION("""COMPUTED_VALUE"""),6.28)</f>
        <v>6.28</v>
      </c>
      <c r="C717" s="5">
        <v>6.21956300735473</v>
      </c>
      <c r="D717" s="5">
        <v>250.088745117187</v>
      </c>
      <c r="E717" s="7">
        <f t="shared" ref="E717:F717" si="715">C717/C716-1</f>
        <v>0.01494754528</v>
      </c>
      <c r="F717" s="7">
        <f t="shared" si="715"/>
        <v>0.009066120677</v>
      </c>
    </row>
    <row r="718">
      <c r="A718" s="3">
        <f>IFERROR(__xludf.DUMMYFUNCTION("""COMPUTED_VALUE"""),43294.66666666667)</f>
        <v>43294.66667</v>
      </c>
      <c r="B718" s="5">
        <f>IFERROR(__xludf.DUMMYFUNCTION("""COMPUTED_VALUE"""),6.23)</f>
        <v>6.23</v>
      </c>
      <c r="C718" s="5">
        <v>6.17227935791015</v>
      </c>
      <c r="D718" s="5">
        <v>250.285736083984</v>
      </c>
      <c r="E718" s="7">
        <f t="shared" ref="E718:F718" si="716">C718/C717-1</f>
        <v>-0.007602407016</v>
      </c>
      <c r="F718" s="7">
        <f t="shared" si="716"/>
        <v>0.0007876842547</v>
      </c>
    </row>
    <row r="719">
      <c r="A719" s="3">
        <f>IFERROR(__xludf.DUMMYFUNCTION("""COMPUTED_VALUE"""),43297.66666666667)</f>
        <v>43297.66667</v>
      </c>
      <c r="B719" s="5">
        <f>IFERROR(__xludf.DUMMYFUNCTION("""COMPUTED_VALUE"""),6.21)</f>
        <v>6.21</v>
      </c>
      <c r="C719" s="5">
        <v>6.1445517539978</v>
      </c>
      <c r="D719" s="5">
        <v>250.061904907226</v>
      </c>
      <c r="E719" s="7">
        <f t="shared" ref="E719:F719" si="717">C719/C718-1</f>
        <v>-0.004492279481</v>
      </c>
      <c r="F719" s="7">
        <f t="shared" si="717"/>
        <v>-0.000894302569</v>
      </c>
    </row>
    <row r="720">
      <c r="A720" s="3">
        <f>IFERROR(__xludf.DUMMYFUNCTION("""COMPUTED_VALUE"""),43298.66666666667)</f>
        <v>43298.66667</v>
      </c>
      <c r="B720" s="5">
        <f>IFERROR(__xludf.DUMMYFUNCTION("""COMPUTED_VALUE"""),6.34)</f>
        <v>6.34</v>
      </c>
      <c r="C720" s="5">
        <v>6.28046560287475</v>
      </c>
      <c r="D720" s="5">
        <v>251.073501586914</v>
      </c>
      <c r="E720" s="7">
        <f t="shared" ref="E720:F720" si="718">C720/C719-1</f>
        <v>0.02211940827</v>
      </c>
      <c r="F720" s="7">
        <f t="shared" si="718"/>
        <v>0.004045385002</v>
      </c>
    </row>
    <row r="721">
      <c r="A721" s="3">
        <f>IFERROR(__xludf.DUMMYFUNCTION("""COMPUTED_VALUE"""),43299.66666666667)</f>
        <v>43299.66667</v>
      </c>
      <c r="B721" s="5">
        <f>IFERROR(__xludf.DUMMYFUNCTION("""COMPUTED_VALUE"""),6.29)</f>
        <v>6.29</v>
      </c>
      <c r="C721" s="5">
        <v>6.2311987876892</v>
      </c>
      <c r="D721" s="5">
        <v>251.601730346679</v>
      </c>
      <c r="E721" s="7">
        <f t="shared" ref="E721:F721" si="719">C721/C720-1</f>
        <v>-0.007844452673</v>
      </c>
      <c r="F721" s="7">
        <f t="shared" si="719"/>
        <v>0.002103880961</v>
      </c>
    </row>
    <row r="722">
      <c r="A722" s="3">
        <f>IFERROR(__xludf.DUMMYFUNCTION("""COMPUTED_VALUE"""),43300.66666666667)</f>
        <v>43300.66667</v>
      </c>
      <c r="B722" s="5">
        <f>IFERROR(__xludf.DUMMYFUNCTION("""COMPUTED_VALUE"""),6.3)</f>
        <v>6.3</v>
      </c>
      <c r="C722" s="5">
        <v>6.2393684387207</v>
      </c>
      <c r="D722" s="5">
        <v>250.652694702148</v>
      </c>
      <c r="E722" s="7">
        <f t="shared" ref="E722:F722" si="720">C722/C721-1</f>
        <v>0.001311088173</v>
      </c>
      <c r="F722" s="7">
        <f t="shared" si="720"/>
        <v>-0.003771975826</v>
      </c>
    </row>
    <row r="723">
      <c r="A723" s="3">
        <f>IFERROR(__xludf.DUMMYFUNCTION("""COMPUTED_VALUE"""),43301.66666666667)</f>
        <v>43301.66667</v>
      </c>
      <c r="B723" s="5">
        <f>IFERROR(__xludf.DUMMYFUNCTION("""COMPUTED_VALUE"""),6.27)</f>
        <v>6.27</v>
      </c>
      <c r="C723" s="5">
        <v>6.2111473083496</v>
      </c>
      <c r="D723" s="5">
        <v>250.366287231445</v>
      </c>
      <c r="E723" s="7">
        <f t="shared" ref="E723:F723" si="721">C723/C722-1</f>
        <v>-0.004523074835</v>
      </c>
      <c r="F723" s="7">
        <f t="shared" si="721"/>
        <v>-0.001142646685</v>
      </c>
    </row>
    <row r="724">
      <c r="A724" s="3">
        <f>IFERROR(__xludf.DUMMYFUNCTION("""COMPUTED_VALUE"""),43304.66666666667)</f>
        <v>43304.66667</v>
      </c>
      <c r="B724" s="5">
        <f>IFERROR(__xludf.DUMMYFUNCTION("""COMPUTED_VALUE"""),6.24)</f>
        <v>6.24</v>
      </c>
      <c r="C724" s="5">
        <v>6.17450523376464</v>
      </c>
      <c r="D724" s="5">
        <v>250.83186340332</v>
      </c>
      <c r="E724" s="7">
        <f t="shared" ref="E724:F724" si="722">C724/C723-1</f>
        <v>-0.005899405177</v>
      </c>
      <c r="F724" s="7">
        <f t="shared" si="722"/>
        <v>0.001859580126</v>
      </c>
    </row>
    <row r="725">
      <c r="A725" s="3">
        <f>IFERROR(__xludf.DUMMYFUNCTION("""COMPUTED_VALUE"""),43305.66666666667)</f>
        <v>43305.66667</v>
      </c>
      <c r="B725" s="5">
        <f>IFERROR(__xludf.DUMMYFUNCTION("""COMPUTED_VALUE"""),6.22)</f>
        <v>6.22</v>
      </c>
      <c r="C725" s="5">
        <v>6.1571774482727</v>
      </c>
      <c r="D725" s="5">
        <v>252.093948364257</v>
      </c>
      <c r="E725" s="7">
        <f t="shared" ref="E725:F725" si="723">C725/C724-1</f>
        <v>-0.002806343964</v>
      </c>
      <c r="F725" s="7">
        <f t="shared" si="723"/>
        <v>0.005031597437</v>
      </c>
    </row>
    <row r="726">
      <c r="A726" s="3">
        <f>IFERROR(__xludf.DUMMYFUNCTION("""COMPUTED_VALUE"""),43306.66666666667)</f>
        <v>43306.66667</v>
      </c>
      <c r="B726" s="5">
        <f>IFERROR(__xludf.DUMMYFUNCTION("""COMPUTED_VALUE"""),6.3)</f>
        <v>6.3</v>
      </c>
      <c r="C726" s="5">
        <v>6.23540830612182</v>
      </c>
      <c r="D726" s="5">
        <v>254.242431640625</v>
      </c>
      <c r="E726" s="7">
        <f t="shared" ref="E726:F726" si="724">C726/C725-1</f>
        <v>0.01270563639</v>
      </c>
      <c r="F726" s="7">
        <f t="shared" si="724"/>
        <v>0.008522549987</v>
      </c>
    </row>
    <row r="727">
      <c r="A727" s="3">
        <f>IFERROR(__xludf.DUMMYFUNCTION("""COMPUTED_VALUE"""),43307.66666666667)</f>
        <v>43307.66667</v>
      </c>
      <c r="B727" s="5">
        <f>IFERROR(__xludf.DUMMYFUNCTION("""COMPUTED_VALUE"""),6.37)</f>
        <v>6.37</v>
      </c>
      <c r="C727" s="5">
        <v>6.30893373489379</v>
      </c>
      <c r="D727" s="5">
        <v>253.642700195312</v>
      </c>
      <c r="E727" s="7">
        <f t="shared" ref="E727:F727" si="725">C727/C726-1</f>
        <v>0.01179159811</v>
      </c>
      <c r="F727" s="7">
        <f t="shared" si="725"/>
        <v>-0.002358895962</v>
      </c>
    </row>
    <row r="728">
      <c r="A728" s="3">
        <f>IFERROR(__xludf.DUMMYFUNCTION("""COMPUTED_VALUE"""),43308.66666666667)</f>
        <v>43308.66667</v>
      </c>
      <c r="B728" s="5">
        <f>IFERROR(__xludf.DUMMYFUNCTION("""COMPUTED_VALUE"""),6.3)</f>
        <v>6.3</v>
      </c>
      <c r="C728" s="5">
        <v>6.23912191390991</v>
      </c>
      <c r="D728" s="5">
        <v>251.923873901367</v>
      </c>
      <c r="E728" s="7">
        <f t="shared" ref="E728:F728" si="726">C728/C727-1</f>
        <v>-0.01106554989</v>
      </c>
      <c r="F728" s="7">
        <f t="shared" si="726"/>
        <v>-0.006776565194</v>
      </c>
    </row>
    <row r="729">
      <c r="A729" s="3">
        <f>IFERROR(__xludf.DUMMYFUNCTION("""COMPUTED_VALUE"""),43311.66666666667)</f>
        <v>43311.66667</v>
      </c>
      <c r="B729" s="5">
        <f>IFERROR(__xludf.DUMMYFUNCTION("""COMPUTED_VALUE"""),6.1)</f>
        <v>6.1</v>
      </c>
      <c r="C729" s="5">
        <v>6.04379272460937</v>
      </c>
      <c r="D729" s="5">
        <v>250.608078002929</v>
      </c>
      <c r="E729" s="7">
        <f t="shared" ref="E729:F729" si="727">C729/C728-1</f>
        <v>-0.03130716021</v>
      </c>
      <c r="F729" s="7">
        <f t="shared" si="727"/>
        <v>-0.005222990096</v>
      </c>
    </row>
    <row r="730">
      <c r="A730" s="3">
        <f>IFERROR(__xludf.DUMMYFUNCTION("""COMPUTED_VALUE"""),43312.66666666667)</f>
        <v>43312.66667</v>
      </c>
      <c r="B730" s="5">
        <f>IFERROR(__xludf.DUMMYFUNCTION("""COMPUTED_VALUE"""),6.12)</f>
        <v>6.12</v>
      </c>
      <c r="C730" s="5">
        <v>6.06186580657959</v>
      </c>
      <c r="D730" s="5">
        <v>251.843338012695</v>
      </c>
      <c r="E730" s="7">
        <f t="shared" ref="E730:F730" si="728">C730/C729-1</f>
        <v>0.002990354367</v>
      </c>
      <c r="F730" s="7">
        <f t="shared" si="728"/>
        <v>0.004929051049</v>
      </c>
    </row>
    <row r="731">
      <c r="A731" s="3">
        <f>IFERROR(__xludf.DUMMYFUNCTION("""COMPUTED_VALUE"""),43313.66666666667)</f>
        <v>43313.66667</v>
      </c>
      <c r="B731" s="5">
        <f>IFERROR(__xludf.DUMMYFUNCTION("""COMPUTED_VALUE"""),6.16)</f>
        <v>6.16</v>
      </c>
      <c r="C731" s="5">
        <v>6.10172271728515</v>
      </c>
      <c r="D731" s="5">
        <v>251.422576904296</v>
      </c>
      <c r="E731" s="7">
        <f t="shared" ref="E731:F731" si="729">C731/C730-1</f>
        <v>0.006575023595</v>
      </c>
      <c r="F731" s="7">
        <f t="shared" si="729"/>
        <v>-0.001670725586</v>
      </c>
    </row>
    <row r="732">
      <c r="A732" s="3">
        <f>IFERROR(__xludf.DUMMYFUNCTION("""COMPUTED_VALUE"""),43314.66666666667)</f>
        <v>43314.66667</v>
      </c>
      <c r="B732" s="5">
        <f>IFERROR(__xludf.DUMMYFUNCTION("""COMPUTED_VALUE"""),6.27)</f>
        <v>6.27</v>
      </c>
      <c r="C732" s="5">
        <v>6.20446252822876</v>
      </c>
      <c r="D732" s="5">
        <v>252.792266845703</v>
      </c>
      <c r="E732" s="7">
        <f t="shared" ref="E732:F732" si="730">C732/C731-1</f>
        <v>0.01683783674</v>
      </c>
      <c r="F732" s="7">
        <f t="shared" si="730"/>
        <v>0.005447760334</v>
      </c>
    </row>
    <row r="733">
      <c r="A733" s="3">
        <f>IFERROR(__xludf.DUMMYFUNCTION("""COMPUTED_VALUE"""),43315.66666666667)</f>
        <v>43315.66667</v>
      </c>
      <c r="B733" s="5">
        <f>IFERROR(__xludf.DUMMYFUNCTION("""COMPUTED_VALUE"""),6.3)</f>
        <v>6.3</v>
      </c>
      <c r="C733" s="5">
        <v>6.24110269546508</v>
      </c>
      <c r="D733" s="5">
        <v>253.87547302246</v>
      </c>
      <c r="E733" s="7">
        <f t="shared" ref="E733:F733" si="731">C733/C732-1</f>
        <v>0.005905453868</v>
      </c>
      <c r="F733" s="7">
        <f t="shared" si="731"/>
        <v>0.004284965637</v>
      </c>
    </row>
    <row r="734">
      <c r="A734" s="3">
        <f>IFERROR(__xludf.DUMMYFUNCTION("""COMPUTED_VALUE"""),43318.66666666667)</f>
        <v>43318.66667</v>
      </c>
      <c r="B734" s="5">
        <f>IFERROR(__xludf.DUMMYFUNCTION("""COMPUTED_VALUE"""),6.35)</f>
        <v>6.35</v>
      </c>
      <c r="C734" s="5">
        <v>6.28888368606567</v>
      </c>
      <c r="D734" s="5">
        <v>254.80647277832</v>
      </c>
      <c r="E734" s="7">
        <f t="shared" ref="E734:F734" si="732">C734/C733-1</f>
        <v>0.007655857135</v>
      </c>
      <c r="F734" s="7">
        <f t="shared" si="732"/>
        <v>0.003667151241</v>
      </c>
    </row>
    <row r="735">
      <c r="A735" s="3">
        <f>IFERROR(__xludf.DUMMYFUNCTION("""COMPUTED_VALUE"""),43319.66666666667)</f>
        <v>43319.66667</v>
      </c>
      <c r="B735" s="5">
        <f>IFERROR(__xludf.DUMMYFUNCTION("""COMPUTED_VALUE"""),6.42)</f>
        <v>6.42</v>
      </c>
      <c r="C735" s="5">
        <v>6.36116981506347</v>
      </c>
      <c r="D735" s="5">
        <v>255.647842407226</v>
      </c>
      <c r="E735" s="7">
        <f t="shared" ref="E735:F735" si="733">C735/C734-1</f>
        <v>0.0114942703</v>
      </c>
      <c r="F735" s="7">
        <f t="shared" si="733"/>
        <v>0.003301994725</v>
      </c>
    </row>
    <row r="736">
      <c r="A736" s="3">
        <f>IFERROR(__xludf.DUMMYFUNCTION("""COMPUTED_VALUE"""),43320.66666666667)</f>
        <v>43320.66667</v>
      </c>
      <c r="B736" s="5">
        <f>IFERROR(__xludf.DUMMYFUNCTION("""COMPUTED_VALUE"""),6.46)</f>
        <v>6.46</v>
      </c>
      <c r="C736" s="5">
        <v>6.39756298065185</v>
      </c>
      <c r="D736" s="5">
        <v>255.540420532226</v>
      </c>
      <c r="E736" s="7">
        <f t="shared" ref="E736:F736" si="734">C736/C735-1</f>
        <v>0.005721143539</v>
      </c>
      <c r="F736" s="7">
        <f t="shared" si="734"/>
        <v>-0.0004201947256</v>
      </c>
    </row>
    <row r="737">
      <c r="A737" s="3">
        <f>IFERROR(__xludf.DUMMYFUNCTION("""COMPUTED_VALUE"""),43321.66666666667)</f>
        <v>43321.66667</v>
      </c>
      <c r="B737" s="5">
        <f>IFERROR(__xludf.DUMMYFUNCTION("""COMPUTED_VALUE"""),6.41)</f>
        <v>6.41</v>
      </c>
      <c r="C737" s="5">
        <v>6.34903955459594</v>
      </c>
      <c r="D737" s="5">
        <v>255.191345214843</v>
      </c>
      <c r="E737" s="7">
        <f t="shared" ref="E737:F737" si="735">C737/C736-1</f>
        <v>-0.007584673446</v>
      </c>
      <c r="F737" s="7">
        <f t="shared" si="735"/>
        <v>-0.001366027796</v>
      </c>
    </row>
    <row r="738">
      <c r="A738" s="3">
        <f>IFERROR(__xludf.DUMMYFUNCTION("""COMPUTED_VALUE"""),43322.66666666667)</f>
        <v>43322.66667</v>
      </c>
      <c r="B738" s="5">
        <f>IFERROR(__xludf.DUMMYFUNCTION("""COMPUTED_VALUE"""),6.37)</f>
        <v>6.37</v>
      </c>
      <c r="C738" s="5">
        <v>6.30769634246826</v>
      </c>
      <c r="D738" s="5">
        <v>253.481582641601</v>
      </c>
      <c r="E738" s="7">
        <f t="shared" ref="E738:F738" si="736">C738/C737-1</f>
        <v>-0.006511726974</v>
      </c>
      <c r="F738" s="7">
        <f t="shared" si="736"/>
        <v>-0.006699923823</v>
      </c>
    </row>
    <row r="739">
      <c r="A739" s="3">
        <f>IFERROR(__xludf.DUMMYFUNCTION("""COMPUTED_VALUE"""),43325.66666666667)</f>
        <v>43325.66667</v>
      </c>
      <c r="B739" s="5">
        <f>IFERROR(__xludf.DUMMYFUNCTION("""COMPUTED_VALUE"""),6.4)</f>
        <v>6.4</v>
      </c>
      <c r="C739" s="5">
        <v>6.34062194824218</v>
      </c>
      <c r="D739" s="5">
        <v>252.532608032226</v>
      </c>
      <c r="E739" s="7">
        <f t="shared" ref="E739:F739" si="737">C739/C738-1</f>
        <v>0.005219909772</v>
      </c>
      <c r="F739" s="7">
        <f t="shared" si="737"/>
        <v>-0.003743761576</v>
      </c>
    </row>
    <row r="740">
      <c r="A740" s="3">
        <f>IFERROR(__xludf.DUMMYFUNCTION("""COMPUTED_VALUE"""),43326.66666666667)</f>
        <v>43326.66667</v>
      </c>
      <c r="B740" s="5">
        <f>IFERROR(__xludf.DUMMYFUNCTION("""COMPUTED_VALUE"""),6.54)</f>
        <v>6.54</v>
      </c>
      <c r="C740" s="5">
        <v>6.47207975387573</v>
      </c>
      <c r="D740" s="5">
        <v>254.143997192382</v>
      </c>
      <c r="E740" s="7">
        <f t="shared" ref="E740:F740" si="738">C740/C739-1</f>
        <v>0.02073263581</v>
      </c>
      <c r="F740" s="7">
        <f t="shared" si="738"/>
        <v>0.006380915212</v>
      </c>
    </row>
    <row r="741">
      <c r="A741" s="3">
        <f>IFERROR(__xludf.DUMMYFUNCTION("""COMPUTED_VALUE"""),43327.66666666667)</f>
        <v>43327.66667</v>
      </c>
      <c r="B741" s="5">
        <f>IFERROR(__xludf.DUMMYFUNCTION("""COMPUTED_VALUE"""),6.48)</f>
        <v>6.48</v>
      </c>
      <c r="C741" s="5">
        <v>6.413902759552</v>
      </c>
      <c r="D741" s="5">
        <v>252.246154785156</v>
      </c>
      <c r="E741" s="7">
        <f t="shared" ref="E741:F741" si="739">C741/C740-1</f>
        <v>-0.00898891802</v>
      </c>
      <c r="F741" s="7">
        <f t="shared" si="739"/>
        <v>-0.007467586991</v>
      </c>
    </row>
    <row r="742">
      <c r="A742" s="3">
        <f>IFERROR(__xludf.DUMMYFUNCTION("""COMPUTED_VALUE"""),43328.66666666667)</f>
        <v>43328.66667</v>
      </c>
      <c r="B742" s="5">
        <f>IFERROR(__xludf.DUMMYFUNCTION("""COMPUTED_VALUE"""),6.44)</f>
        <v>6.44</v>
      </c>
      <c r="C742" s="5">
        <v>6.37330102920532</v>
      </c>
      <c r="D742" s="5">
        <v>254.287200927734</v>
      </c>
      <c r="E742" s="7">
        <f t="shared" ref="E742:F742" si="740">C742/C741-1</f>
        <v>-0.006330269084</v>
      </c>
      <c r="F742" s="7">
        <f t="shared" si="740"/>
        <v>0.008091485653</v>
      </c>
    </row>
    <row r="743">
      <c r="A743" s="3">
        <f>IFERROR(__xludf.DUMMYFUNCTION("""COMPUTED_VALUE"""),43329.66666666667)</f>
        <v>43329.66667</v>
      </c>
      <c r="B743" s="5">
        <f>IFERROR(__xludf.DUMMYFUNCTION("""COMPUTED_VALUE"""),6.12)</f>
        <v>6.12</v>
      </c>
      <c r="C743" s="5">
        <v>6.060875415802</v>
      </c>
      <c r="D743" s="5">
        <v>255.182418823242</v>
      </c>
      <c r="E743" s="7">
        <f t="shared" ref="E743:F743" si="741">C743/C742-1</f>
        <v>-0.04902100371</v>
      </c>
      <c r="F743" s="7">
        <f t="shared" si="741"/>
        <v>0.003520499232</v>
      </c>
    </row>
    <row r="744">
      <c r="A744" s="3">
        <f>IFERROR(__xludf.DUMMYFUNCTION("""COMPUTED_VALUE"""),43332.66666666667)</f>
        <v>43332.66667</v>
      </c>
      <c r="B744" s="5">
        <f>IFERROR(__xludf.DUMMYFUNCTION("""COMPUTED_VALUE"""),6.2)</f>
        <v>6.2</v>
      </c>
      <c r="C744" s="5">
        <v>6.13563871383667</v>
      </c>
      <c r="D744" s="5">
        <v>255.728515625</v>
      </c>
      <c r="E744" s="7">
        <f t="shared" ref="E744:F744" si="742">C744/C743-1</f>
        <v>0.01233539595</v>
      </c>
      <c r="F744" s="7">
        <f t="shared" si="742"/>
        <v>0.00214002518</v>
      </c>
    </row>
    <row r="745">
      <c r="A745" s="3">
        <f>IFERROR(__xludf.DUMMYFUNCTION("""COMPUTED_VALUE"""),43333.66666666667)</f>
        <v>43333.66667</v>
      </c>
      <c r="B745" s="5">
        <f>IFERROR(__xludf.DUMMYFUNCTION("""COMPUTED_VALUE"""),6.33)</f>
        <v>6.33</v>
      </c>
      <c r="C745" s="5">
        <v>6.27130460739135</v>
      </c>
      <c r="D745" s="5">
        <v>256.328216552734</v>
      </c>
      <c r="E745" s="7">
        <f t="shared" ref="E745:F745" si="743">C745/C744-1</f>
        <v>0.0221111281</v>
      </c>
      <c r="F745" s="7">
        <f t="shared" si="743"/>
        <v>0.002345068661</v>
      </c>
    </row>
    <row r="746">
      <c r="A746" s="3">
        <f>IFERROR(__xludf.DUMMYFUNCTION("""COMPUTED_VALUE"""),43334.66666666667)</f>
        <v>43334.66667</v>
      </c>
      <c r="B746" s="5">
        <f>IFERROR(__xludf.DUMMYFUNCTION("""COMPUTED_VALUE"""),6.57)</f>
        <v>6.57</v>
      </c>
      <c r="C746" s="5">
        <v>6.50649070739746</v>
      </c>
      <c r="D746" s="5">
        <v>256.176055908203</v>
      </c>
      <c r="E746" s="7">
        <f t="shared" ref="E746:F746" si="744">C746/C745-1</f>
        <v>0.03750194174</v>
      </c>
      <c r="F746" s="7">
        <f t="shared" si="744"/>
        <v>-0.0005936164445</v>
      </c>
    </row>
    <row r="747">
      <c r="A747" s="3">
        <f>IFERROR(__xludf.DUMMYFUNCTION("""COMPUTED_VALUE"""),43335.66666666667)</f>
        <v>43335.66667</v>
      </c>
      <c r="B747" s="5">
        <f>IFERROR(__xludf.DUMMYFUNCTION("""COMPUTED_VALUE"""),6.67)</f>
        <v>6.67</v>
      </c>
      <c r="C747" s="5">
        <v>6.60601186752319</v>
      </c>
      <c r="D747" s="5">
        <v>255.835906982421</v>
      </c>
      <c r="E747" s="7">
        <f t="shared" ref="E747:F747" si="745">C747/C746-1</f>
        <v>0.0152956739</v>
      </c>
      <c r="F747" s="7">
        <f t="shared" si="745"/>
        <v>-0.001327793593</v>
      </c>
    </row>
    <row r="748">
      <c r="A748" s="3">
        <f>IFERROR(__xludf.DUMMYFUNCTION("""COMPUTED_VALUE"""),43336.66666666667)</f>
        <v>43336.66667</v>
      </c>
      <c r="B748" s="5">
        <f>IFERROR(__xludf.DUMMYFUNCTION("""COMPUTED_VALUE"""),6.81)</f>
        <v>6.81</v>
      </c>
      <c r="C748" s="5">
        <v>6.73920154571533</v>
      </c>
      <c r="D748" s="5">
        <v>257.375549316406</v>
      </c>
      <c r="E748" s="7">
        <f t="shared" ref="E748:F748" si="746">C748/C747-1</f>
        <v>0.02016188903</v>
      </c>
      <c r="F748" s="7">
        <f t="shared" si="746"/>
        <v>0.00601808539</v>
      </c>
    </row>
    <row r="749">
      <c r="A749" s="3">
        <f>IFERROR(__xludf.DUMMYFUNCTION("""COMPUTED_VALUE"""),43339.66666666667)</f>
        <v>43339.66667</v>
      </c>
      <c r="B749" s="5">
        <f>IFERROR(__xludf.DUMMYFUNCTION("""COMPUTED_VALUE"""),6.9)</f>
        <v>6.9</v>
      </c>
      <c r="C749" s="5">
        <v>6.83030557632446</v>
      </c>
      <c r="D749" s="5">
        <v>259.407653808593</v>
      </c>
      <c r="E749" s="7">
        <f t="shared" ref="E749:F749" si="747">C749/C748-1</f>
        <v>0.01351851996</v>
      </c>
      <c r="F749" s="7">
        <f t="shared" si="747"/>
        <v>0.007895483847</v>
      </c>
    </row>
    <row r="750">
      <c r="A750" s="3">
        <f>IFERROR(__xludf.DUMMYFUNCTION("""COMPUTED_VALUE"""),43340.66666666667)</f>
        <v>43340.66667</v>
      </c>
      <c r="B750" s="5">
        <f>IFERROR(__xludf.DUMMYFUNCTION("""COMPUTED_VALUE"""),6.86)</f>
        <v>6.86</v>
      </c>
      <c r="C750" s="5">
        <v>6.79267644882202</v>
      </c>
      <c r="D750" s="5">
        <v>259.533050537109</v>
      </c>
      <c r="E750" s="7">
        <f t="shared" ref="E750:F750" si="748">C750/C749-1</f>
        <v>-0.005509142612</v>
      </c>
      <c r="F750" s="7">
        <f t="shared" si="748"/>
        <v>0.0004833964098</v>
      </c>
    </row>
    <row r="751">
      <c r="A751" s="3">
        <f>IFERROR(__xludf.DUMMYFUNCTION("""COMPUTED_VALUE"""),43341.66666666667)</f>
        <v>43341.66667</v>
      </c>
      <c r="B751" s="5">
        <f>IFERROR(__xludf.DUMMYFUNCTION("""COMPUTED_VALUE"""),6.96)</f>
        <v>6.96</v>
      </c>
      <c r="C751" s="5">
        <v>6.8981966972351</v>
      </c>
      <c r="D751" s="5">
        <v>260.929534912109</v>
      </c>
      <c r="E751" s="7">
        <f t="shared" ref="E751:F751" si="749">C751/C750-1</f>
        <v>0.01553441404</v>
      </c>
      <c r="F751" s="7">
        <f t="shared" si="749"/>
        <v>0.005380757372</v>
      </c>
    </row>
    <row r="752">
      <c r="A752" s="3">
        <f>IFERROR(__xludf.DUMMYFUNCTION("""COMPUTED_VALUE"""),43342.66666666667)</f>
        <v>43342.66667</v>
      </c>
      <c r="B752" s="5">
        <f>IFERROR(__xludf.DUMMYFUNCTION("""COMPUTED_VALUE"""),6.95)</f>
        <v>6.95</v>
      </c>
      <c r="C752" s="5">
        <v>6.88135337829589</v>
      </c>
      <c r="D752" s="5">
        <v>259.87319946289</v>
      </c>
      <c r="E752" s="7">
        <f t="shared" ref="E752:F752" si="750">C752/C751-1</f>
        <v>-0.002441698849</v>
      </c>
      <c r="F752" s="7">
        <f t="shared" si="750"/>
        <v>-0.004048355237</v>
      </c>
    </row>
    <row r="753">
      <c r="A753" s="3">
        <f>IFERROR(__xludf.DUMMYFUNCTION("""COMPUTED_VALUE"""),43343.66666666667)</f>
        <v>43343.66667</v>
      </c>
      <c r="B753" s="5">
        <f>IFERROR(__xludf.DUMMYFUNCTION("""COMPUTED_VALUE"""),7.02)</f>
        <v>7.02</v>
      </c>
      <c r="C753" s="5">
        <v>6.95244216918945</v>
      </c>
      <c r="D753" s="5">
        <v>259.882110595703</v>
      </c>
      <c r="E753" s="7">
        <f t="shared" ref="E753:F753" si="751">C753/C752-1</f>
        <v>0.01033064093</v>
      </c>
      <c r="F753" s="7">
        <f t="shared" si="751"/>
        <v>0.00003429031093</v>
      </c>
    </row>
    <row r="754">
      <c r="A754" s="3">
        <f>IFERROR(__xludf.DUMMYFUNCTION("""COMPUTED_VALUE"""),43347.66666666667)</f>
        <v>43347.66667</v>
      </c>
      <c r="B754" s="5">
        <f>IFERROR(__xludf.DUMMYFUNCTION("""COMPUTED_VALUE"""),7.09)</f>
        <v>7.09</v>
      </c>
      <c r="C754" s="5">
        <v>7.02724599838256</v>
      </c>
      <c r="D754" s="5">
        <v>259.434509277343</v>
      </c>
      <c r="E754" s="7">
        <f t="shared" ref="E754:F754" si="752">C754/C753-1</f>
        <v>0.01075936015</v>
      </c>
      <c r="F754" s="7">
        <f t="shared" si="752"/>
        <v>-0.00172232447</v>
      </c>
    </row>
    <row r="755">
      <c r="A755" s="3">
        <f>IFERROR(__xludf.DUMMYFUNCTION("""COMPUTED_VALUE"""),43348.66666666667)</f>
        <v>43348.66667</v>
      </c>
      <c r="B755" s="5">
        <f>IFERROR(__xludf.DUMMYFUNCTION("""COMPUTED_VALUE"""),6.96)</f>
        <v>6.96</v>
      </c>
      <c r="C755" s="5">
        <v>6.89646100997924</v>
      </c>
      <c r="D755" s="5">
        <v>258.736267089843</v>
      </c>
      <c r="E755" s="7">
        <f t="shared" ref="E755:F755" si="753">C755/C754-1</f>
        <v>-0.01861112994</v>
      </c>
      <c r="F755" s="7">
        <f t="shared" si="753"/>
        <v>-0.002691400575</v>
      </c>
    </row>
    <row r="756">
      <c r="A756" s="3">
        <f>IFERROR(__xludf.DUMMYFUNCTION("""COMPUTED_VALUE"""),43349.66666666667)</f>
        <v>43349.66667</v>
      </c>
      <c r="B756" s="5">
        <f>IFERROR(__xludf.DUMMYFUNCTION("""COMPUTED_VALUE"""),6.82)</f>
        <v>6.82</v>
      </c>
      <c r="C756" s="5">
        <v>6.75527238845825</v>
      </c>
      <c r="D756" s="5">
        <v>257.95751953125</v>
      </c>
      <c r="E756" s="7">
        <f t="shared" ref="E756:F756" si="754">C756/C755-1</f>
        <v>-0.02047261941</v>
      </c>
      <c r="F756" s="7">
        <f t="shared" si="754"/>
        <v>-0.003009812143</v>
      </c>
    </row>
    <row r="757">
      <c r="A757" s="3">
        <f>IFERROR(__xludf.DUMMYFUNCTION("""COMPUTED_VALUE"""),43350.66666666667)</f>
        <v>43350.66667</v>
      </c>
      <c r="B757" s="5">
        <f>IFERROR(__xludf.DUMMYFUNCTION("""COMPUTED_VALUE"""),6.8)</f>
        <v>6.8</v>
      </c>
      <c r="C757" s="5">
        <v>6.73397064208984</v>
      </c>
      <c r="D757" s="5">
        <v>257.456176757812</v>
      </c>
      <c r="E757" s="7">
        <f t="shared" ref="E757:F757" si="755">C757/C756-1</f>
        <v>-0.003153351211</v>
      </c>
      <c r="F757" s="7">
        <f t="shared" si="755"/>
        <v>-0.001943509049</v>
      </c>
    </row>
    <row r="758">
      <c r="A758" s="3">
        <f>IFERROR(__xludf.DUMMYFUNCTION("""COMPUTED_VALUE"""),43353.66666666667)</f>
        <v>43353.66667</v>
      </c>
      <c r="B758" s="5">
        <f>IFERROR(__xludf.DUMMYFUNCTION("""COMPUTED_VALUE"""),6.87)</f>
        <v>6.87</v>
      </c>
      <c r="C758" s="5">
        <v>6.80505895614624</v>
      </c>
      <c r="D758" s="5">
        <v>257.90380859375</v>
      </c>
      <c r="E758" s="7">
        <f t="shared" ref="E758:F758" si="756">C758/C757-1</f>
        <v>0.01055667122</v>
      </c>
      <c r="F758" s="7">
        <f t="shared" si="756"/>
        <v>0.001738671962</v>
      </c>
    </row>
    <row r="759">
      <c r="A759" s="3">
        <f>IFERROR(__xludf.DUMMYFUNCTION("""COMPUTED_VALUE"""),43354.66666666667)</f>
        <v>43354.66667</v>
      </c>
      <c r="B759" s="5">
        <f>IFERROR(__xludf.DUMMYFUNCTION("""COMPUTED_VALUE"""),6.82)</f>
        <v>6.82</v>
      </c>
      <c r="C759" s="5">
        <v>6.7572546005249</v>
      </c>
      <c r="D759" s="5">
        <v>258.754272460937</v>
      </c>
      <c r="E759" s="7">
        <f t="shared" ref="E759:F759" si="757">C759/C758-1</f>
        <v>-0.007024826079</v>
      </c>
      <c r="F759" s="7">
        <f t="shared" si="757"/>
        <v>0.003297601039</v>
      </c>
    </row>
    <row r="760">
      <c r="A760" s="3">
        <f>IFERROR(__xludf.DUMMYFUNCTION("""COMPUTED_VALUE"""),43355.66666666667)</f>
        <v>43355.66667</v>
      </c>
      <c r="B760" s="5">
        <f>IFERROR(__xludf.DUMMYFUNCTION("""COMPUTED_VALUE"""),6.71)</f>
        <v>6.71</v>
      </c>
      <c r="C760" s="5">
        <v>6.64331102371215</v>
      </c>
      <c r="D760" s="5">
        <v>258.816864013671</v>
      </c>
      <c r="E760" s="7">
        <f t="shared" ref="E760:F760" si="758">C760/C759-1</f>
        <v>-0.01686240693</v>
      </c>
      <c r="F760" s="7">
        <f t="shared" si="758"/>
        <v>0.0002418957265</v>
      </c>
    </row>
    <row r="761">
      <c r="A761" s="3">
        <f>IFERROR(__xludf.DUMMYFUNCTION("""COMPUTED_VALUE"""),43356.66666666667)</f>
        <v>43356.66667</v>
      </c>
      <c r="B761" s="5">
        <f>IFERROR(__xludf.DUMMYFUNCTION("""COMPUTED_VALUE"""),6.78)</f>
        <v>6.78</v>
      </c>
      <c r="C761" s="5">
        <v>6.7210898399353</v>
      </c>
      <c r="D761" s="5">
        <v>260.347595214843</v>
      </c>
      <c r="E761" s="7">
        <f t="shared" ref="E761:F761" si="759">C761/C760-1</f>
        <v>0.01170783905</v>
      </c>
      <c r="F761" s="7">
        <f t="shared" si="759"/>
        <v>0.005914341042</v>
      </c>
    </row>
    <row r="762">
      <c r="A762" s="3">
        <f>IFERROR(__xludf.DUMMYFUNCTION("""COMPUTED_VALUE"""),43357.66666666667)</f>
        <v>43357.66667</v>
      </c>
      <c r="B762" s="5">
        <f>IFERROR(__xludf.DUMMYFUNCTION("""COMPUTED_VALUE"""),6.91)</f>
        <v>6.91</v>
      </c>
      <c r="C762" s="5">
        <v>6.84717082977294</v>
      </c>
      <c r="D762" s="5">
        <v>260.392395019531</v>
      </c>
      <c r="E762" s="7">
        <f t="shared" ref="E762:F762" si="760">C762/C761-1</f>
        <v>0.01875900975</v>
      </c>
      <c r="F762" s="7">
        <f t="shared" si="760"/>
        <v>0.0001720768907</v>
      </c>
    </row>
    <row r="763">
      <c r="A763" s="3">
        <f>IFERROR(__xludf.DUMMYFUNCTION("""COMPUTED_VALUE"""),43360.66666666667)</f>
        <v>43360.66667</v>
      </c>
      <c r="B763" s="5">
        <f>IFERROR(__xludf.DUMMYFUNCTION("""COMPUTED_VALUE"""),6.85)</f>
        <v>6.85</v>
      </c>
      <c r="C763" s="5">
        <v>6.78524446487426</v>
      </c>
      <c r="D763" s="5">
        <v>259.01382446289</v>
      </c>
      <c r="E763" s="7">
        <f t="shared" ref="E763:F763" si="761">C763/C762-1</f>
        <v>-0.009044080605</v>
      </c>
      <c r="F763" s="7">
        <f t="shared" si="761"/>
        <v>-0.005294204374</v>
      </c>
    </row>
    <row r="764">
      <c r="A764" s="3">
        <f>IFERROR(__xludf.DUMMYFUNCTION("""COMPUTED_VALUE"""),43361.66666666667)</f>
        <v>43361.66667</v>
      </c>
      <c r="B764" s="5">
        <f>IFERROR(__xludf.DUMMYFUNCTION("""COMPUTED_VALUE"""),6.78)</f>
        <v>6.78</v>
      </c>
      <c r="C764" s="5">
        <v>6.71316242218017</v>
      </c>
      <c r="D764" s="5">
        <v>260.419219970703</v>
      </c>
      <c r="E764" s="7">
        <f t="shared" ref="E764:F764" si="762">C764/C763-1</f>
        <v>-0.01062335234</v>
      </c>
      <c r="F764" s="7">
        <f t="shared" si="762"/>
        <v>0.005425947865</v>
      </c>
    </row>
    <row r="765">
      <c r="A765" s="3">
        <f>IFERROR(__xludf.DUMMYFUNCTION("""COMPUTED_VALUE"""),43362.66666666667)</f>
        <v>43362.66667</v>
      </c>
      <c r="B765" s="5">
        <f>IFERROR(__xludf.DUMMYFUNCTION("""COMPUTED_VALUE"""),6.8)</f>
        <v>6.8</v>
      </c>
      <c r="C765" s="5">
        <v>6.73694324493408</v>
      </c>
      <c r="D765" s="5">
        <v>260.696716308593</v>
      </c>
      <c r="E765" s="7">
        <f t="shared" ref="E765:F765" si="763">C765/C764-1</f>
        <v>0.003542417308</v>
      </c>
      <c r="F765" s="7">
        <f t="shared" si="763"/>
        <v>0.00106557549</v>
      </c>
    </row>
    <row r="766">
      <c r="A766" s="3">
        <f>IFERROR(__xludf.DUMMYFUNCTION("""COMPUTED_VALUE"""),43363.66666666667)</f>
        <v>43363.66667</v>
      </c>
      <c r="B766" s="5">
        <f>IFERROR(__xludf.DUMMYFUNCTION("""COMPUTED_VALUE"""),6.66)</f>
        <v>6.66</v>
      </c>
      <c r="C766" s="5">
        <v>6.59575462341308</v>
      </c>
      <c r="D766" s="5">
        <v>262.809417724609</v>
      </c>
      <c r="E766" s="7">
        <f t="shared" ref="E766:F766" si="764">C766/C765-1</f>
        <v>-0.02095737138</v>
      </c>
      <c r="F766" s="7">
        <f t="shared" si="764"/>
        <v>0.008104058409</v>
      </c>
    </row>
    <row r="767">
      <c r="A767" s="3">
        <f>IFERROR(__xludf.DUMMYFUNCTION("""COMPUTED_VALUE"""),43364.66666666667)</f>
        <v>43364.66667</v>
      </c>
      <c r="B767" s="5">
        <f>IFERROR(__xludf.DUMMYFUNCTION("""COMPUTED_VALUE"""),6.59)</f>
        <v>6.59</v>
      </c>
      <c r="C767" s="5">
        <v>6.5256552696228</v>
      </c>
      <c r="D767" s="5">
        <v>262.569305419921</v>
      </c>
      <c r="E767" s="7">
        <f t="shared" ref="E767:F767" si="765">C767/C766-1</f>
        <v>-0.01062795052</v>
      </c>
      <c r="F767" s="7">
        <f t="shared" si="765"/>
        <v>-0.000913636607</v>
      </c>
    </row>
    <row r="768">
      <c r="A768" s="3">
        <f>IFERROR(__xludf.DUMMYFUNCTION("""COMPUTED_VALUE"""),43367.66666666667)</f>
        <v>43367.66667</v>
      </c>
      <c r="B768" s="5">
        <f>IFERROR(__xludf.DUMMYFUNCTION("""COMPUTED_VALUE"""),6.64)</f>
        <v>6.64</v>
      </c>
      <c r="C768" s="5">
        <v>6.58138704299926</v>
      </c>
      <c r="D768" s="5">
        <v>261.696990966796</v>
      </c>
      <c r="E768" s="7">
        <f t="shared" ref="E768:F768" si="766">C768/C767-1</f>
        <v>0.008540410284</v>
      </c>
      <c r="F768" s="7">
        <f t="shared" si="766"/>
        <v>-0.003322225542</v>
      </c>
    </row>
    <row r="769">
      <c r="A769" s="3">
        <f>IFERROR(__xludf.DUMMYFUNCTION("""COMPUTED_VALUE"""),43368.66666666667)</f>
        <v>43368.66667</v>
      </c>
      <c r="B769" s="5">
        <f>IFERROR(__xludf.DUMMYFUNCTION("""COMPUTED_VALUE"""),6.71)</f>
        <v>6.71</v>
      </c>
      <c r="C769" s="5">
        <v>6.64851474761962</v>
      </c>
      <c r="D769" s="5">
        <v>261.45425415039</v>
      </c>
      <c r="E769" s="7">
        <f t="shared" ref="E769:F769" si="767">C769/C768-1</f>
        <v>0.01019962877</v>
      </c>
      <c r="F769" s="7">
        <f t="shared" si="767"/>
        <v>-0.0009275491304</v>
      </c>
    </row>
    <row r="770">
      <c r="A770" s="3">
        <f>IFERROR(__xludf.DUMMYFUNCTION("""COMPUTED_VALUE"""),43369.66666666667)</f>
        <v>43369.66667</v>
      </c>
      <c r="B770" s="5">
        <f>IFERROR(__xludf.DUMMYFUNCTION("""COMPUTED_VALUE"""),6.67)</f>
        <v>6.67</v>
      </c>
      <c r="C770" s="5">
        <v>6.61160707473754</v>
      </c>
      <c r="D770" s="5">
        <v>260.671844482421</v>
      </c>
      <c r="E770" s="7">
        <f t="shared" ref="E770:F770" si="768">C770/C769-1</f>
        <v>-0.005551265852</v>
      </c>
      <c r="F770" s="7">
        <f t="shared" si="768"/>
        <v>-0.002992529881</v>
      </c>
    </row>
    <row r="771">
      <c r="A771" s="3">
        <f>IFERROR(__xludf.DUMMYFUNCTION("""COMPUTED_VALUE"""),43370.66666666667)</f>
        <v>43370.66667</v>
      </c>
      <c r="B771" s="5">
        <f>IFERROR(__xludf.DUMMYFUNCTION("""COMPUTED_VALUE"""),6.69)</f>
        <v>6.69</v>
      </c>
      <c r="C771" s="5">
        <v>6.62349510192871</v>
      </c>
      <c r="D771" s="5">
        <v>261.400329589843</v>
      </c>
      <c r="E771" s="7">
        <f t="shared" ref="E771:F771" si="769">C771/C770-1</f>
        <v>0.001798054097</v>
      </c>
      <c r="F771" s="7">
        <f t="shared" si="769"/>
        <v>0.002794644388</v>
      </c>
    </row>
    <row r="772">
      <c r="A772" s="3">
        <f>IFERROR(__xludf.DUMMYFUNCTION("""COMPUTED_VALUE"""),43371.66666666667)</f>
        <v>43371.66667</v>
      </c>
      <c r="B772" s="5">
        <f>IFERROR(__xludf.DUMMYFUNCTION("""COMPUTED_VALUE"""),7.03)</f>
        <v>7.03</v>
      </c>
      <c r="C772" s="5">
        <v>6.96086359024047</v>
      </c>
      <c r="D772" s="5">
        <v>261.427276611328</v>
      </c>
      <c r="E772" s="7">
        <f t="shared" ref="E772:F772" si="770">C772/C771-1</f>
        <v>0.05093511554</v>
      </c>
      <c r="F772" s="7">
        <f t="shared" si="770"/>
        <v>0.0001030871749</v>
      </c>
    </row>
    <row r="773">
      <c r="A773" s="3">
        <f>IFERROR(__xludf.DUMMYFUNCTION("""COMPUTED_VALUE"""),43374.66666666667)</f>
        <v>43374.66667</v>
      </c>
      <c r="B773" s="5">
        <f>IFERROR(__xludf.DUMMYFUNCTION("""COMPUTED_VALUE"""),7.23)</f>
        <v>7.23</v>
      </c>
      <c r="C773" s="5">
        <v>7.1674461364746</v>
      </c>
      <c r="D773" s="5">
        <v>262.335510253906</v>
      </c>
      <c r="E773" s="7">
        <f t="shared" ref="E773:F773" si="771">C773/C772-1</f>
        <v>0.02967771794</v>
      </c>
      <c r="F773" s="7">
        <f t="shared" si="771"/>
        <v>0.003474134965</v>
      </c>
    </row>
    <row r="774">
      <c r="A774" s="3">
        <f>IFERROR(__xludf.DUMMYFUNCTION("""COMPUTED_VALUE"""),43375.66666666667)</f>
        <v>43375.66667</v>
      </c>
      <c r="B774" s="5">
        <f>IFERROR(__xludf.DUMMYFUNCTION("""COMPUTED_VALUE"""),7.16)</f>
        <v>7.16</v>
      </c>
      <c r="C774" s="5">
        <v>7.09610795974731</v>
      </c>
      <c r="D774" s="5">
        <v>262.182586669921</v>
      </c>
      <c r="E774" s="7">
        <f t="shared" ref="E774:F774" si="772">C774/C773-1</f>
        <v>-0.009953081665</v>
      </c>
      <c r="F774" s="7">
        <f t="shared" si="772"/>
        <v>-0.0005829313151</v>
      </c>
    </row>
    <row r="775">
      <c r="A775" s="3">
        <f>IFERROR(__xludf.DUMMYFUNCTION("""COMPUTED_VALUE"""),43376.66666666667)</f>
        <v>43376.66667</v>
      </c>
      <c r="B775" s="5">
        <f>IFERROR(__xludf.DUMMYFUNCTION("""COMPUTED_VALUE"""),7.17)</f>
        <v>7.17</v>
      </c>
      <c r="C775" s="5">
        <v>7.10230016708374</v>
      </c>
      <c r="D775" s="5">
        <v>262.326507568359</v>
      </c>
      <c r="E775" s="7">
        <f t="shared" ref="E775:F775" si="773">C775/C774-1</f>
        <v>0.0008726202267</v>
      </c>
      <c r="F775" s="7">
        <f t="shared" si="773"/>
        <v>0.0005489338566</v>
      </c>
    </row>
    <row r="776">
      <c r="A776" s="3">
        <f>IFERROR(__xludf.DUMMYFUNCTION("""COMPUTED_VALUE"""),43377.66666666667)</f>
        <v>43377.66667</v>
      </c>
      <c r="B776" s="5">
        <f>IFERROR(__xludf.DUMMYFUNCTION("""COMPUTED_VALUE"""),6.98)</f>
        <v>6.98</v>
      </c>
      <c r="C776" s="5">
        <v>6.91801071166992</v>
      </c>
      <c r="D776" s="5">
        <v>260.276184082031</v>
      </c>
      <c r="E776" s="7">
        <f t="shared" ref="E776:F776" si="774">C776/C775-1</f>
        <v>-0.02594785507</v>
      </c>
      <c r="F776" s="7">
        <f t="shared" si="774"/>
        <v>-0.007815921865</v>
      </c>
    </row>
    <row r="777">
      <c r="A777" s="3">
        <f>IFERROR(__xludf.DUMMYFUNCTION("""COMPUTED_VALUE"""),43378.66666666667)</f>
        <v>43378.66667</v>
      </c>
      <c r="B777" s="5">
        <f>IFERROR(__xludf.DUMMYFUNCTION("""COMPUTED_VALUE"""),6.75)</f>
        <v>6.75</v>
      </c>
      <c r="C777" s="5">
        <v>6.68443059921264</v>
      </c>
      <c r="D777" s="5">
        <v>258.81948852539</v>
      </c>
      <c r="E777" s="7">
        <f t="shared" ref="E777:F777" si="775">C777/C776-1</f>
        <v>-0.03376405764</v>
      </c>
      <c r="F777" s="7">
        <f t="shared" si="775"/>
        <v>-0.005596730111</v>
      </c>
    </row>
    <row r="778">
      <c r="A778" s="3">
        <f>IFERROR(__xludf.DUMMYFUNCTION("""COMPUTED_VALUE"""),43381.66666666667)</f>
        <v>43381.66667</v>
      </c>
      <c r="B778" s="5">
        <f>IFERROR(__xludf.DUMMYFUNCTION("""COMPUTED_VALUE"""),6.64)</f>
        <v>6.64</v>
      </c>
      <c r="C778" s="5">
        <v>6.58312129974365</v>
      </c>
      <c r="D778" s="5">
        <v>258.81948852539</v>
      </c>
      <c r="E778" s="7">
        <f t="shared" ref="E778:F778" si="776">C778/C777-1</f>
        <v>-0.01515601037</v>
      </c>
      <c r="F778" s="7">
        <f t="shared" si="776"/>
        <v>0</v>
      </c>
    </row>
    <row r="779">
      <c r="A779" s="3">
        <f>IFERROR(__xludf.DUMMYFUNCTION("""COMPUTED_VALUE"""),43382.66666666667)</f>
        <v>43382.66667</v>
      </c>
      <c r="B779" s="5">
        <f>IFERROR(__xludf.DUMMYFUNCTION("""COMPUTED_VALUE"""),6.64)</f>
        <v>6.64</v>
      </c>
      <c r="C779" s="5">
        <v>6.57742309570312</v>
      </c>
      <c r="D779" s="5">
        <v>258.441741943359</v>
      </c>
      <c r="E779" s="7">
        <f t="shared" ref="E779:F779" si="777">C779/C778-1</f>
        <v>-0.0008655778591</v>
      </c>
      <c r="F779" s="7">
        <f t="shared" si="777"/>
        <v>-0.001459498217</v>
      </c>
    </row>
    <row r="780">
      <c r="A780" s="3">
        <f>IFERROR(__xludf.DUMMYFUNCTION("""COMPUTED_VALUE"""),43383.66666666667)</f>
        <v>43383.66667</v>
      </c>
      <c r="B780" s="5">
        <f>IFERROR(__xludf.DUMMYFUNCTION("""COMPUTED_VALUE"""),6.14)</f>
        <v>6.14</v>
      </c>
      <c r="C780" s="5">
        <v>6.0857400894165</v>
      </c>
      <c r="D780" s="5">
        <v>250.258666992187</v>
      </c>
      <c r="E780" s="7">
        <f t="shared" ref="E780:F780" si="778">C780/C779-1</f>
        <v>-0.07475313647</v>
      </c>
      <c r="F780" s="7">
        <f t="shared" si="778"/>
        <v>-0.03166313185</v>
      </c>
    </row>
    <row r="781">
      <c r="A781" s="3">
        <f>IFERROR(__xludf.DUMMYFUNCTION("""COMPUTED_VALUE"""),43384.66666666667)</f>
        <v>43384.66667</v>
      </c>
      <c r="B781" s="5">
        <f>IFERROR(__xludf.DUMMYFUNCTION("""COMPUTED_VALUE"""),5.88)</f>
        <v>5.88</v>
      </c>
      <c r="C781" s="5">
        <v>5.82416868209838</v>
      </c>
      <c r="D781" s="5">
        <v>244.746368408203</v>
      </c>
      <c r="E781" s="7">
        <f t="shared" ref="E781:F781" si="779">C781/C780-1</f>
        <v>-0.04298103492</v>
      </c>
      <c r="F781" s="7">
        <f t="shared" si="779"/>
        <v>-0.02202640432</v>
      </c>
    </row>
    <row r="782">
      <c r="A782" s="3">
        <f>IFERROR(__xludf.DUMMYFUNCTION("""COMPUTED_VALUE"""),43385.66666666667)</f>
        <v>43385.66667</v>
      </c>
      <c r="B782" s="5">
        <f>IFERROR(__xludf.DUMMYFUNCTION("""COMPUTED_VALUE"""),6.16)</f>
        <v>6.16</v>
      </c>
      <c r="C782" s="5">
        <v>6.1067943572998</v>
      </c>
      <c r="D782" s="5">
        <v>248.145401000976</v>
      </c>
      <c r="E782" s="7">
        <f t="shared" ref="E782:F782" si="780">C782/C781-1</f>
        <v>0.04852635468</v>
      </c>
      <c r="F782" s="7">
        <f t="shared" si="780"/>
        <v>0.01388797969</v>
      </c>
    </row>
    <row r="783">
      <c r="A783" s="3">
        <f>IFERROR(__xludf.DUMMYFUNCTION("""COMPUTED_VALUE"""),43388.66666666667)</f>
        <v>43388.66667</v>
      </c>
      <c r="B783" s="5">
        <f>IFERROR(__xludf.DUMMYFUNCTION("""COMPUTED_VALUE"""),5.88)</f>
        <v>5.88</v>
      </c>
      <c r="C783" s="5">
        <v>5.83036136627197</v>
      </c>
      <c r="D783" s="5">
        <v>246.751647949218</v>
      </c>
      <c r="E783" s="7">
        <f t="shared" ref="E783:F783" si="781">C783/C782-1</f>
        <v>-0.04526646467</v>
      </c>
      <c r="F783" s="7">
        <f t="shared" si="781"/>
        <v>-0.005616678956</v>
      </c>
    </row>
    <row r="784">
      <c r="A784" s="3">
        <f>IFERROR(__xludf.DUMMYFUNCTION("""COMPUTED_VALUE"""),43389.66666666667)</f>
        <v>43389.66667</v>
      </c>
      <c r="B784" s="5">
        <f>IFERROR(__xludf.DUMMYFUNCTION("""COMPUTED_VALUE"""),6.15)</f>
        <v>6.15</v>
      </c>
      <c r="C784" s="5">
        <v>6.08920907974243</v>
      </c>
      <c r="D784" s="5">
        <v>252.14712524414</v>
      </c>
      <c r="E784" s="7">
        <f t="shared" ref="E784:F784" si="782">C784/C783-1</f>
        <v>0.04439651288</v>
      </c>
      <c r="F784" s="7">
        <f t="shared" si="782"/>
        <v>0.02186602335</v>
      </c>
    </row>
    <row r="785">
      <c r="A785" s="3">
        <f>IFERROR(__xludf.DUMMYFUNCTION("""COMPUTED_VALUE"""),43390.66666666667)</f>
        <v>43390.66667</v>
      </c>
      <c r="B785" s="5">
        <f>IFERROR(__xludf.DUMMYFUNCTION("""COMPUTED_VALUE"""),6.08)</f>
        <v>6.08</v>
      </c>
      <c r="C785" s="5">
        <v>6.0205955505371</v>
      </c>
      <c r="D785" s="5">
        <v>252.192108154296</v>
      </c>
      <c r="E785" s="7">
        <f t="shared" ref="E785:F785" si="783">C785/C784-1</f>
        <v>-0.01126805276</v>
      </c>
      <c r="F785" s="7">
        <f t="shared" si="783"/>
        <v>0.0001783994567</v>
      </c>
    </row>
    <row r="786">
      <c r="A786" s="3">
        <f>IFERROR(__xludf.DUMMYFUNCTION("""COMPUTED_VALUE"""),43391.66666666667)</f>
        <v>43391.66667</v>
      </c>
      <c r="B786" s="5">
        <f>IFERROR(__xludf.DUMMYFUNCTION("""COMPUTED_VALUE"""),5.99)</f>
        <v>5.99</v>
      </c>
      <c r="C786" s="5">
        <v>5.93315744400024</v>
      </c>
      <c r="D786" s="5">
        <v>248.550094604492</v>
      </c>
      <c r="E786" s="7">
        <f t="shared" ref="E786:F786" si="784">C786/C785-1</f>
        <v>-0.01452316566</v>
      </c>
      <c r="F786" s="7">
        <f t="shared" si="784"/>
        <v>-0.01444142553</v>
      </c>
    </row>
    <row r="787">
      <c r="A787" s="3">
        <f>IFERROR(__xludf.DUMMYFUNCTION("""COMPUTED_VALUE"""),43392.66666666667)</f>
        <v>43392.66667</v>
      </c>
      <c r="B787" s="5">
        <f>IFERROR(__xludf.DUMMYFUNCTION("""COMPUTED_VALUE"""),5.73)</f>
        <v>5.73</v>
      </c>
      <c r="C787" s="5">
        <v>5.67653894424438</v>
      </c>
      <c r="D787" s="5">
        <v>248.415252685546</v>
      </c>
      <c r="E787" s="7">
        <f t="shared" ref="E787:F787" si="785">C787/C786-1</f>
        <v>-0.04325159111</v>
      </c>
      <c r="F787" s="7">
        <f t="shared" si="785"/>
        <v>-0.000542514052</v>
      </c>
    </row>
    <row r="788">
      <c r="A788" s="3">
        <f>IFERROR(__xludf.DUMMYFUNCTION("""COMPUTED_VALUE"""),43395.66666666667)</f>
        <v>43395.66667</v>
      </c>
      <c r="B788" s="5">
        <f>IFERROR(__xludf.DUMMYFUNCTION("""COMPUTED_VALUE"""),5.78)</f>
        <v>5.78</v>
      </c>
      <c r="C788" s="5">
        <v>5.72731828689575</v>
      </c>
      <c r="D788" s="5">
        <v>247.300216674804</v>
      </c>
      <c r="E788" s="7">
        <f t="shared" ref="E788:F788" si="786">C788/C787-1</f>
        <v>0.008945475958</v>
      </c>
      <c r="F788" s="7">
        <f t="shared" si="786"/>
        <v>-0.004488597212</v>
      </c>
    </row>
    <row r="789">
      <c r="A789" s="3">
        <f>IFERROR(__xludf.DUMMYFUNCTION("""COMPUTED_VALUE"""),43396.66666666667)</f>
        <v>43396.66667</v>
      </c>
      <c r="B789" s="5">
        <f>IFERROR(__xludf.DUMMYFUNCTION("""COMPUTED_VALUE"""),5.53)</f>
        <v>5.53</v>
      </c>
      <c r="C789" s="5">
        <v>5.47565650939941</v>
      </c>
      <c r="D789" s="5">
        <v>246.041244506835</v>
      </c>
      <c r="E789" s="7">
        <f t="shared" ref="E789:F789" si="787">C789/C788-1</f>
        <v>-0.04394059574</v>
      </c>
      <c r="F789" s="7">
        <f t="shared" si="787"/>
        <v>-0.005090865608</v>
      </c>
    </row>
    <row r="790">
      <c r="A790" s="3">
        <f>IFERROR(__xludf.DUMMYFUNCTION("""COMPUTED_VALUE"""),43397.66666666667)</f>
        <v>43397.66667</v>
      </c>
      <c r="B790" s="5">
        <f>IFERROR(__xludf.DUMMYFUNCTION("""COMPUTED_VALUE"""),4.99)</f>
        <v>4.99</v>
      </c>
      <c r="C790" s="5">
        <v>4.93938541412353</v>
      </c>
      <c r="D790" s="5">
        <v>238.586517333984</v>
      </c>
      <c r="E790" s="7">
        <f t="shared" ref="E790:F790" si="788">C790/C789-1</f>
        <v>-0.0979373148</v>
      </c>
      <c r="F790" s="7">
        <f t="shared" si="788"/>
        <v>-0.0302986891</v>
      </c>
    </row>
    <row r="791">
      <c r="A791" s="3">
        <f>IFERROR(__xludf.DUMMYFUNCTION("""COMPUTED_VALUE"""),43398.66666666667)</f>
        <v>43398.66667</v>
      </c>
      <c r="B791" s="5">
        <f>IFERROR(__xludf.DUMMYFUNCTION("""COMPUTED_VALUE"""),5.2)</f>
        <v>5.2</v>
      </c>
      <c r="C791" s="5">
        <v>5.14819574356079</v>
      </c>
      <c r="D791" s="5">
        <v>242.866928100585</v>
      </c>
      <c r="E791" s="7">
        <f t="shared" ref="E791:F791" si="789">C791/C790-1</f>
        <v>0.04227455684</v>
      </c>
      <c r="F791" s="7">
        <f t="shared" si="789"/>
        <v>0.01794070685</v>
      </c>
    </row>
    <row r="792">
      <c r="A792" s="3">
        <f>IFERROR(__xludf.DUMMYFUNCTION("""COMPUTED_VALUE"""),43399.66666666667)</f>
        <v>43399.66667</v>
      </c>
      <c r="B792" s="5">
        <f>IFERROR(__xludf.DUMMYFUNCTION("""COMPUTED_VALUE"""),4.96)</f>
        <v>4.96</v>
      </c>
      <c r="C792" s="5">
        <v>4.9116415977478</v>
      </c>
      <c r="D792" s="5">
        <v>238.595504760742</v>
      </c>
      <c r="E792" s="7">
        <f t="shared" ref="E792:F792" si="790">C792/C791-1</f>
        <v>-0.04594894165</v>
      </c>
      <c r="F792" s="7">
        <f t="shared" si="790"/>
        <v>-0.01758750511</v>
      </c>
    </row>
    <row r="793">
      <c r="A793" s="3">
        <f>IFERROR(__xludf.DUMMYFUNCTION("""COMPUTED_VALUE"""),43402.66666666667)</f>
        <v>43402.66667</v>
      </c>
      <c r="B793" s="5">
        <f>IFERROR(__xludf.DUMMYFUNCTION("""COMPUTED_VALUE"""),4.64)</f>
        <v>4.64</v>
      </c>
      <c r="C793" s="5">
        <v>4.59780645370483</v>
      </c>
      <c r="D793" s="5">
        <v>237.273651123046</v>
      </c>
      <c r="E793" s="7">
        <f t="shared" ref="E793:F793" si="791">C793/C792-1</f>
        <v>-0.06389618171</v>
      </c>
      <c r="F793" s="7">
        <f t="shared" si="791"/>
        <v>-0.005540144769</v>
      </c>
    </row>
    <row r="794">
      <c r="A794" s="3">
        <f>IFERROR(__xludf.DUMMYFUNCTION("""COMPUTED_VALUE"""),43403.66666666667)</f>
        <v>43403.66667</v>
      </c>
      <c r="B794" s="5">
        <f>IFERROR(__xludf.DUMMYFUNCTION("""COMPUTED_VALUE"""),5.08)</f>
        <v>5.08</v>
      </c>
      <c r="C794" s="5">
        <v>5.0283088684082</v>
      </c>
      <c r="D794" s="5">
        <v>240.789749145507</v>
      </c>
      <c r="E794" s="7">
        <f t="shared" ref="E794:F794" si="792">C794/C793-1</f>
        <v>0.09363213068</v>
      </c>
      <c r="F794" s="7">
        <f t="shared" si="792"/>
        <v>0.01481874623</v>
      </c>
    </row>
    <row r="795">
      <c r="A795" s="3">
        <f>IFERROR(__xludf.DUMMYFUNCTION("""COMPUTED_VALUE"""),43404.66666666667)</f>
        <v>43404.66667</v>
      </c>
      <c r="B795" s="5">
        <f>IFERROR(__xludf.DUMMYFUNCTION("""COMPUTED_VALUE"""),5.27)</f>
        <v>5.27</v>
      </c>
      <c r="C795" s="5">
        <v>5.22225904464721</v>
      </c>
      <c r="D795" s="5">
        <v>243.361526489257</v>
      </c>
      <c r="E795" s="7">
        <f t="shared" ref="E795:F795" si="793">C795/C794-1</f>
        <v>0.03857165129</v>
      </c>
      <c r="F795" s="7">
        <f t="shared" si="793"/>
        <v>0.01068059314</v>
      </c>
    </row>
    <row r="796">
      <c r="A796" s="3">
        <f>IFERROR(__xludf.DUMMYFUNCTION("""COMPUTED_VALUE"""),43405.66666666667)</f>
        <v>43405.66667</v>
      </c>
      <c r="B796" s="5">
        <f>IFERROR(__xludf.DUMMYFUNCTION("""COMPUTED_VALUE"""),5.45)</f>
        <v>5.45</v>
      </c>
      <c r="C796" s="5">
        <v>5.40258359909057</v>
      </c>
      <c r="D796" s="5">
        <v>245.951400756835</v>
      </c>
      <c r="E796" s="7">
        <f t="shared" ref="E796:F796" si="794">C796/C795-1</f>
        <v>0.03452999036</v>
      </c>
      <c r="F796" s="7">
        <f t="shared" si="794"/>
        <v>0.01064208589</v>
      </c>
    </row>
    <row r="797">
      <c r="A797" s="3">
        <f>IFERROR(__xludf.DUMMYFUNCTION("""COMPUTED_VALUE"""),43406.66666666667)</f>
        <v>43406.66667</v>
      </c>
      <c r="B797" s="5">
        <f>IFERROR(__xludf.DUMMYFUNCTION("""COMPUTED_VALUE"""),5.37)</f>
        <v>5.37</v>
      </c>
      <c r="C797" s="5">
        <v>5.32356691360473</v>
      </c>
      <c r="D797" s="5">
        <v>244.494552612304</v>
      </c>
      <c r="E797" s="7">
        <f t="shared" ref="E797:F797" si="795">C797/C796-1</f>
        <v>-0.01462572194</v>
      </c>
      <c r="F797" s="7">
        <f t="shared" si="795"/>
        <v>-0.005923317127</v>
      </c>
    </row>
    <row r="798">
      <c r="A798" s="3">
        <f>IFERROR(__xludf.DUMMYFUNCTION("""COMPUTED_VALUE"""),43409.66666666667)</f>
        <v>43409.66667</v>
      </c>
      <c r="B798" s="5">
        <f>IFERROR(__xludf.DUMMYFUNCTION("""COMPUTED_VALUE"""),5.29)</f>
        <v>5.29</v>
      </c>
      <c r="C798" s="5">
        <v>5.24554061889648</v>
      </c>
      <c r="D798" s="5">
        <v>245.84341430664</v>
      </c>
      <c r="E798" s="7">
        <f t="shared" ref="E798:F798" si="796">C798/C797-1</f>
        <v>-0.01465676979</v>
      </c>
      <c r="F798" s="7">
        <f t="shared" si="796"/>
        <v>0.005516939662</v>
      </c>
    </row>
    <row r="799">
      <c r="A799" s="3">
        <f>IFERROR(__xludf.DUMMYFUNCTION("""COMPUTED_VALUE"""),43410.66666666667)</f>
        <v>43410.66667</v>
      </c>
      <c r="B799" s="5">
        <f>IFERROR(__xludf.DUMMYFUNCTION("""COMPUTED_VALUE"""),5.28)</f>
        <v>5.28</v>
      </c>
      <c r="C799" s="5">
        <v>5.22795295715332</v>
      </c>
      <c r="D799" s="5">
        <v>247.399093627929</v>
      </c>
      <c r="E799" s="7">
        <f t="shared" ref="E799:F799" si="797">C799/C798-1</f>
        <v>-0.003352878763</v>
      </c>
      <c r="F799" s="7">
        <f t="shared" si="797"/>
        <v>0.006327927578</v>
      </c>
    </row>
    <row r="800">
      <c r="A800" s="3">
        <f>IFERROR(__xludf.DUMMYFUNCTION("""COMPUTED_VALUE"""),43411.66666666667)</f>
        <v>43411.66667</v>
      </c>
      <c r="B800" s="5">
        <f>IFERROR(__xludf.DUMMYFUNCTION("""COMPUTED_VALUE"""),5.34)</f>
        <v>5.34</v>
      </c>
      <c r="C800" s="5">
        <v>5.29557704925537</v>
      </c>
      <c r="D800" s="5">
        <v>252.695648193359</v>
      </c>
      <c r="E800" s="7">
        <f t="shared" ref="E800:F800" si="798">C800/C799-1</f>
        <v>0.01293509958</v>
      </c>
      <c r="F800" s="7">
        <f t="shared" si="798"/>
        <v>0.02140894895</v>
      </c>
    </row>
    <row r="801">
      <c r="A801" s="3">
        <f>IFERROR(__xludf.DUMMYFUNCTION("""COMPUTED_VALUE"""),43412.66666666667)</f>
        <v>43412.66667</v>
      </c>
      <c r="B801" s="5">
        <f>IFERROR(__xludf.DUMMYFUNCTION("""COMPUTED_VALUE"""),5.15)</f>
        <v>5.15</v>
      </c>
      <c r="C801" s="5">
        <v>5.10237216949462</v>
      </c>
      <c r="D801" s="5">
        <v>252.236984252929</v>
      </c>
      <c r="E801" s="7">
        <f t="shared" ref="E801:F801" si="799">C801/C800-1</f>
        <v>-0.03648419765</v>
      </c>
      <c r="F801" s="7">
        <f t="shared" si="799"/>
        <v>-0.001815084445</v>
      </c>
    </row>
    <row r="802">
      <c r="A802" s="3">
        <f>IFERROR(__xludf.DUMMYFUNCTION("""COMPUTED_VALUE"""),43413.66666666667)</f>
        <v>43413.66667</v>
      </c>
      <c r="B802" s="5">
        <f>IFERROR(__xludf.DUMMYFUNCTION("""COMPUTED_VALUE"""),5.14)</f>
        <v>5.14</v>
      </c>
      <c r="C802" s="5">
        <v>5.09444379806518</v>
      </c>
      <c r="D802" s="5">
        <v>249.773086547851</v>
      </c>
      <c r="E802" s="7">
        <f t="shared" ref="E802:F802" si="800">C802/C801-1</f>
        <v>-0.001553859884</v>
      </c>
      <c r="F802" s="7">
        <f t="shared" si="800"/>
        <v>-0.00976818571</v>
      </c>
    </row>
    <row r="803">
      <c r="A803" s="3">
        <f>IFERROR(__xludf.DUMMYFUNCTION("""COMPUTED_VALUE"""),43416.66666666667)</f>
        <v>43416.66667</v>
      </c>
      <c r="B803" s="5">
        <f>IFERROR(__xludf.DUMMYFUNCTION("""COMPUTED_VALUE"""),4.74)</f>
        <v>4.74</v>
      </c>
      <c r="C803" s="5">
        <v>4.69490480422973</v>
      </c>
      <c r="D803" s="5">
        <v>245.106033325195</v>
      </c>
      <c r="E803" s="7">
        <f t="shared" ref="E803:F803" si="801">C803/C802-1</f>
        <v>-0.07842642095</v>
      </c>
      <c r="F803" s="7">
        <f t="shared" si="801"/>
        <v>-0.01868517256</v>
      </c>
    </row>
    <row r="804">
      <c r="A804" s="3">
        <f>IFERROR(__xludf.DUMMYFUNCTION("""COMPUTED_VALUE"""),43417.66666666667)</f>
        <v>43417.66667</v>
      </c>
      <c r="B804" s="5">
        <f>IFERROR(__xludf.DUMMYFUNCTION("""COMPUTED_VALUE"""),4.98)</f>
        <v>4.98</v>
      </c>
      <c r="C804" s="5">
        <v>4.93690633773803</v>
      </c>
      <c r="D804" s="5">
        <v>244.64744567871</v>
      </c>
      <c r="E804" s="7">
        <f t="shared" ref="E804:F804" si="802">C804/C803-1</f>
        <v>0.05154556772</v>
      </c>
      <c r="F804" s="7">
        <f t="shared" si="802"/>
        <v>-0.001870976574</v>
      </c>
    </row>
    <row r="805">
      <c r="A805" s="3">
        <f>IFERROR(__xludf.DUMMYFUNCTION("""COMPUTED_VALUE"""),43418.66666666667)</f>
        <v>43418.66667</v>
      </c>
      <c r="B805" s="5">
        <f>IFERROR(__xludf.DUMMYFUNCTION("""COMPUTED_VALUE"""),4.93)</f>
        <v>4.93</v>
      </c>
      <c r="C805" s="5">
        <v>4.88439559936523</v>
      </c>
      <c r="D805" s="5">
        <v>242.974868774414</v>
      </c>
      <c r="E805" s="7">
        <f t="shared" ref="E805:F805" si="803">C805/C804-1</f>
        <v>-0.01063636512</v>
      </c>
      <c r="F805" s="7">
        <f t="shared" si="803"/>
        <v>-0.006836682474</v>
      </c>
    </row>
    <row r="806">
      <c r="A806" s="3">
        <f>IFERROR(__xludf.DUMMYFUNCTION("""COMPUTED_VALUE"""),43419.66666666667)</f>
        <v>43419.66667</v>
      </c>
      <c r="B806" s="5">
        <f>IFERROR(__xludf.DUMMYFUNCTION("""COMPUTED_VALUE"""),5.06)</f>
        <v>5.06</v>
      </c>
      <c r="C806" s="5">
        <v>5.01319789886474</v>
      </c>
      <c r="D806" s="5">
        <v>245.510635375976</v>
      </c>
      <c r="E806" s="7">
        <f t="shared" ref="E806:F806" si="804">C806/C805-1</f>
        <v>0.02637016124</v>
      </c>
      <c r="F806" s="7">
        <f t="shared" si="804"/>
        <v>0.01043633284</v>
      </c>
    </row>
    <row r="807">
      <c r="A807" s="3">
        <f>IFERROR(__xludf.DUMMYFUNCTION("""COMPUTED_VALUE"""),43420.66666666667)</f>
        <v>43420.66667</v>
      </c>
      <c r="B807" s="5">
        <f>IFERROR(__xludf.DUMMYFUNCTION("""COMPUTED_VALUE"""),4.11)</f>
        <v>4.11</v>
      </c>
      <c r="C807" s="5">
        <v>4.07293081283569</v>
      </c>
      <c r="D807" s="5">
        <v>246.149215698242</v>
      </c>
      <c r="E807" s="7">
        <f t="shared" ref="E807:F807" si="805">C807/C806-1</f>
        <v>-0.187558342</v>
      </c>
      <c r="F807" s="7">
        <f t="shared" si="805"/>
        <v>0.002601029162</v>
      </c>
    </row>
    <row r="808">
      <c r="A808" s="3">
        <f>IFERROR(__xludf.DUMMYFUNCTION("""COMPUTED_VALUE"""),43423.66666666667)</f>
        <v>43423.66667</v>
      </c>
      <c r="B808" s="5">
        <f>IFERROR(__xludf.DUMMYFUNCTION("""COMPUTED_VALUE"""),3.62)</f>
        <v>3.62</v>
      </c>
      <c r="C808" s="5">
        <v>3.58421802520751</v>
      </c>
      <c r="D808" s="5">
        <v>241.98567199707</v>
      </c>
      <c r="E808" s="7">
        <f t="shared" ref="E808:F808" si="806">C808/C807-1</f>
        <v>-0.1199904467</v>
      </c>
      <c r="F808" s="7">
        <f t="shared" si="806"/>
        <v>-0.01691471447</v>
      </c>
    </row>
    <row r="809">
      <c r="A809" s="3">
        <f>IFERROR(__xludf.DUMMYFUNCTION("""COMPUTED_VALUE"""),43424.66666666667)</f>
        <v>43424.66667</v>
      </c>
      <c r="B809" s="5">
        <f>IFERROR(__xludf.DUMMYFUNCTION("""COMPUTED_VALUE"""),3.73)</f>
        <v>3.73</v>
      </c>
      <c r="C809" s="5">
        <v>3.69271063804626</v>
      </c>
      <c r="D809" s="5">
        <v>237.50747680664</v>
      </c>
      <c r="E809" s="7">
        <f t="shared" ref="E809:F809" si="807">C809/C808-1</f>
        <v>0.03026953497</v>
      </c>
      <c r="F809" s="7">
        <f t="shared" si="807"/>
        <v>-0.01850603448</v>
      </c>
    </row>
    <row r="810">
      <c r="A810" s="3">
        <f>IFERROR(__xludf.DUMMYFUNCTION("""COMPUTED_VALUE"""),43425.66666666667)</f>
        <v>43425.66667</v>
      </c>
      <c r="B810" s="5">
        <f>IFERROR(__xludf.DUMMYFUNCTION("""COMPUTED_VALUE"""),3.62)</f>
        <v>3.62</v>
      </c>
      <c r="C810" s="5">
        <v>3.5844657421112</v>
      </c>
      <c r="D810" s="5">
        <v>238.31672668457</v>
      </c>
      <c r="E810" s="7">
        <f t="shared" ref="E810:F810" si="808">C810/C809-1</f>
        <v>-0.02931312701</v>
      </c>
      <c r="F810" s="7">
        <f t="shared" si="808"/>
        <v>0.003407260642</v>
      </c>
    </row>
    <row r="811">
      <c r="A811" s="3">
        <f>IFERROR(__xludf.DUMMYFUNCTION("""COMPUTED_VALUE"""),43427.54166666667)</f>
        <v>43427.54167</v>
      </c>
      <c r="B811" s="5">
        <f>IFERROR(__xludf.DUMMYFUNCTION("""COMPUTED_VALUE"""),3.63)</f>
        <v>3.63</v>
      </c>
      <c r="C811" s="5">
        <v>3.59164905548095</v>
      </c>
      <c r="D811" s="5">
        <v>236.725143432617</v>
      </c>
      <c r="E811" s="7">
        <f t="shared" ref="E811:F811" si="809">C811/C810-1</f>
        <v>0.002004012281</v>
      </c>
      <c r="F811" s="7">
        <f t="shared" si="809"/>
        <v>-0.006678437028</v>
      </c>
    </row>
    <row r="812">
      <c r="A812" s="3">
        <f>IFERROR(__xludf.DUMMYFUNCTION("""COMPUTED_VALUE"""),43430.66666666667)</f>
        <v>43430.66667</v>
      </c>
      <c r="B812" s="5">
        <f>IFERROR(__xludf.DUMMYFUNCTION("""COMPUTED_VALUE"""),3.83)</f>
        <v>3.83</v>
      </c>
      <c r="C812" s="5">
        <v>3.79104804992675</v>
      </c>
      <c r="D812" s="5">
        <v>240.546920776367</v>
      </c>
      <c r="E812" s="7">
        <f t="shared" ref="E812:F812" si="810">C812/C811-1</f>
        <v>0.05551739364</v>
      </c>
      <c r="F812" s="7">
        <f t="shared" si="810"/>
        <v>0.01614436594</v>
      </c>
    </row>
    <row r="813">
      <c r="A813" s="3">
        <f>IFERROR(__xludf.DUMMYFUNCTION("""COMPUTED_VALUE"""),43431.66666666667)</f>
        <v>43431.66667</v>
      </c>
      <c r="B813" s="5">
        <f>IFERROR(__xludf.DUMMYFUNCTION("""COMPUTED_VALUE"""),3.84)</f>
        <v>3.84</v>
      </c>
      <c r="C813" s="5">
        <v>3.80789160728454</v>
      </c>
      <c r="D813" s="5">
        <v>241.356155395507</v>
      </c>
      <c r="E813" s="7">
        <f t="shared" ref="E813:F813" si="811">C813/C812-1</f>
        <v>0.004442981765</v>
      </c>
      <c r="F813" s="7">
        <f t="shared" si="811"/>
        <v>0.003364144577</v>
      </c>
    </row>
    <row r="814">
      <c r="A814" s="3">
        <f>IFERROR(__xludf.DUMMYFUNCTION("""COMPUTED_VALUE"""),43432.66666666667)</f>
        <v>43432.66667</v>
      </c>
      <c r="B814" s="5">
        <f>IFERROR(__xludf.DUMMYFUNCTION("""COMPUTED_VALUE"""),4.0)</f>
        <v>4</v>
      </c>
      <c r="C814" s="5">
        <v>3.96493268013</v>
      </c>
      <c r="D814" s="5">
        <v>246.913482666015</v>
      </c>
      <c r="E814" s="7">
        <f t="shared" ref="E814:F814" si="812">C814/C813-1</f>
        <v>0.04124095143</v>
      </c>
      <c r="F814" s="7">
        <f t="shared" si="812"/>
        <v>0.02302542175</v>
      </c>
    </row>
    <row r="815">
      <c r="A815" s="3">
        <f>IFERROR(__xludf.DUMMYFUNCTION("""COMPUTED_VALUE"""),43433.66666666667)</f>
        <v>43433.66667</v>
      </c>
      <c r="B815" s="5">
        <f>IFERROR(__xludf.DUMMYFUNCTION("""COMPUTED_VALUE"""),3.93)</f>
        <v>3.93</v>
      </c>
      <c r="C815" s="5">
        <v>3.90170645713806</v>
      </c>
      <c r="D815" s="5">
        <v>246.373977661132</v>
      </c>
      <c r="E815" s="7">
        <f t="shared" ref="E815:F815" si="813">C815/C814-1</f>
        <v>-0.01594635473</v>
      </c>
      <c r="F815" s="7">
        <f t="shared" si="813"/>
        <v>-0.002184996133</v>
      </c>
    </row>
    <row r="816">
      <c r="A816" s="3">
        <f>IFERROR(__xludf.DUMMYFUNCTION("""COMPUTED_VALUE"""),43434.66666666667)</f>
        <v>43434.66667</v>
      </c>
      <c r="B816" s="5">
        <f>IFERROR(__xludf.DUMMYFUNCTION("""COMPUTED_VALUE"""),4.09)</f>
        <v>4.09</v>
      </c>
      <c r="C816" s="5">
        <v>4.05221128463745</v>
      </c>
      <c r="D816" s="5">
        <v>247.875671386718</v>
      </c>
      <c r="E816" s="7">
        <f t="shared" ref="E816:F816" si="814">C816/C815-1</f>
        <v>0.03857410319</v>
      </c>
      <c r="F816" s="7">
        <f t="shared" si="814"/>
        <v>0.006095179937</v>
      </c>
    </row>
    <row r="817">
      <c r="A817" s="3">
        <f>IFERROR(__xludf.DUMMYFUNCTION("""COMPUTED_VALUE"""),43437.66666666667)</f>
        <v>43437.66667</v>
      </c>
      <c r="B817" s="5">
        <f>IFERROR(__xludf.DUMMYFUNCTION("""COMPUTED_VALUE"""),4.25)</f>
        <v>4.25</v>
      </c>
      <c r="C817" s="5">
        <v>4.21610450744628</v>
      </c>
      <c r="D817" s="5">
        <v>251.157989501953</v>
      </c>
      <c r="E817" s="7">
        <f t="shared" ref="E817:F817" si="815">C817/C816-1</f>
        <v>0.0404453794</v>
      </c>
      <c r="F817" s="7">
        <f t="shared" si="815"/>
        <v>0.01324179213</v>
      </c>
    </row>
    <row r="818">
      <c r="A818" s="3">
        <f>IFERROR(__xludf.DUMMYFUNCTION("""COMPUTED_VALUE"""),43438.66666666667)</f>
        <v>43438.66667</v>
      </c>
      <c r="B818" s="5">
        <f>IFERROR(__xludf.DUMMYFUNCTION("""COMPUTED_VALUE"""),3.93)</f>
        <v>3.93</v>
      </c>
      <c r="C818" s="5">
        <v>3.89550733566284</v>
      </c>
      <c r="D818" s="5">
        <v>243.019805908203</v>
      </c>
      <c r="E818" s="7">
        <f t="shared" ref="E818:F818" si="816">C818/C817-1</f>
        <v>-0.07604108751</v>
      </c>
      <c r="F818" s="7">
        <f t="shared" si="816"/>
        <v>-0.03240264668</v>
      </c>
    </row>
    <row r="819">
      <c r="A819" s="3">
        <f>IFERROR(__xludf.DUMMYFUNCTION("""COMPUTED_VALUE"""),43440.66666666667)</f>
        <v>43440.66667</v>
      </c>
      <c r="B819" s="5">
        <f>IFERROR(__xludf.DUMMYFUNCTION("""COMPUTED_VALUE"""),3.96)</f>
        <v>3.96</v>
      </c>
      <c r="C819" s="5">
        <v>3.9247658252716</v>
      </c>
      <c r="D819" s="5">
        <v>242.651138305664</v>
      </c>
      <c r="E819" s="7">
        <f t="shared" ref="E819:F819" si="817">C819/C818-1</f>
        <v>0.007510829037</v>
      </c>
      <c r="F819" s="7">
        <f t="shared" si="817"/>
        <v>-0.001517026981</v>
      </c>
    </row>
    <row r="820">
      <c r="A820" s="3">
        <f>IFERROR(__xludf.DUMMYFUNCTION("""COMPUTED_VALUE"""),43441.66666666667)</f>
        <v>43441.66667</v>
      </c>
      <c r="B820" s="5">
        <f>IFERROR(__xludf.DUMMYFUNCTION("""COMPUTED_VALUE"""),3.69)</f>
        <v>3.69</v>
      </c>
      <c r="C820" s="5">
        <v>3.65995645523071</v>
      </c>
      <c r="D820" s="5">
        <v>237.012878417968</v>
      </c>
      <c r="E820" s="7">
        <f t="shared" ref="E820:F820" si="818">C820/C819-1</f>
        <v>-0.06747138093</v>
      </c>
      <c r="F820" s="7">
        <f t="shared" si="818"/>
        <v>-0.02323607434</v>
      </c>
    </row>
    <row r="821">
      <c r="A821" s="3">
        <f>IFERROR(__xludf.DUMMYFUNCTION("""COMPUTED_VALUE"""),43444.66666666667)</f>
        <v>43444.66667</v>
      </c>
      <c r="B821" s="5">
        <f>IFERROR(__xludf.DUMMYFUNCTION("""COMPUTED_VALUE"""),3.8)</f>
        <v>3.8</v>
      </c>
      <c r="C821" s="5">
        <v>3.76533508300781</v>
      </c>
      <c r="D821" s="5">
        <v>237.462524414062</v>
      </c>
      <c r="E821" s="7">
        <f t="shared" ref="E821:F821" si="819">C821/C820-1</f>
        <v>0.02879231736</v>
      </c>
      <c r="F821" s="7">
        <f t="shared" si="819"/>
        <v>0.001897137401</v>
      </c>
    </row>
    <row r="822">
      <c r="A822" s="3">
        <f>IFERROR(__xludf.DUMMYFUNCTION("""COMPUTED_VALUE"""),43445.66666666667)</f>
        <v>43445.66667</v>
      </c>
      <c r="B822" s="5">
        <f>IFERROR(__xludf.DUMMYFUNCTION("""COMPUTED_VALUE"""),3.7)</f>
        <v>3.7</v>
      </c>
      <c r="C822" s="5">
        <v>3.67433834075927</v>
      </c>
      <c r="D822" s="5">
        <v>237.516387939453</v>
      </c>
      <c r="E822" s="7">
        <f t="shared" ref="E822:F822" si="820">C822/C821-1</f>
        <v>-0.0241669706</v>
      </c>
      <c r="F822" s="7">
        <f t="shared" si="820"/>
        <v>0.000226829583</v>
      </c>
    </row>
    <row r="823">
      <c r="A823" s="3">
        <f>IFERROR(__xludf.DUMMYFUNCTION("""COMPUTED_VALUE"""),43446.66666666667)</f>
        <v>43446.66667</v>
      </c>
      <c r="B823" s="5">
        <f>IFERROR(__xludf.DUMMYFUNCTION("""COMPUTED_VALUE"""),3.72)</f>
        <v>3.72</v>
      </c>
      <c r="C823" s="5">
        <v>3.69194221496582</v>
      </c>
      <c r="D823" s="5">
        <v>238.712432861328</v>
      </c>
      <c r="E823" s="7">
        <f t="shared" ref="E823:F823" si="821">C823/C822-1</f>
        <v>0.004791032446</v>
      </c>
      <c r="F823" s="7">
        <f t="shared" si="821"/>
        <v>0.005035631151</v>
      </c>
    </row>
    <row r="824">
      <c r="A824" s="3">
        <f>IFERROR(__xludf.DUMMYFUNCTION("""COMPUTED_VALUE"""),43447.66666666667)</f>
        <v>43447.66667</v>
      </c>
      <c r="B824" s="5">
        <f>IFERROR(__xludf.DUMMYFUNCTION("""COMPUTED_VALUE"""),3.72)</f>
        <v>3.72</v>
      </c>
      <c r="C824" s="5">
        <v>3.69169473648071</v>
      </c>
      <c r="D824" s="5">
        <v>238.631484985351</v>
      </c>
      <c r="E824" s="7">
        <f t="shared" ref="E824:F824" si="822">C824/C823-1</f>
        <v>-0.00006703205811</v>
      </c>
      <c r="F824" s="7">
        <f t="shared" si="822"/>
        <v>-0.0003391020527</v>
      </c>
    </row>
    <row r="825">
      <c r="A825" s="3">
        <f>IFERROR(__xludf.DUMMYFUNCTION("""COMPUTED_VALUE"""),43448.66666666667)</f>
        <v>43448.66667</v>
      </c>
      <c r="B825" s="5">
        <f>IFERROR(__xludf.DUMMYFUNCTION("""COMPUTED_VALUE"""),3.66)</f>
        <v>3.66</v>
      </c>
      <c r="C825" s="5">
        <v>3.63119602203369</v>
      </c>
      <c r="D825" s="5">
        <v>234.225219726562</v>
      </c>
      <c r="E825" s="7">
        <f t="shared" ref="E825:F825" si="823">C825/C824-1</f>
        <v>-0.01638778901</v>
      </c>
      <c r="F825" s="7">
        <f t="shared" si="823"/>
        <v>-0.01846472715</v>
      </c>
    </row>
    <row r="826">
      <c r="A826" s="3">
        <f>IFERROR(__xludf.DUMMYFUNCTION("""COMPUTED_VALUE"""),43451.66666666667)</f>
        <v>43451.66667</v>
      </c>
      <c r="B826" s="5">
        <f>IFERROR(__xludf.DUMMYFUNCTION("""COMPUTED_VALUE"""),3.59)</f>
        <v>3.59</v>
      </c>
      <c r="C826" s="5">
        <v>3.56003451347351</v>
      </c>
      <c r="D826" s="5">
        <v>229.630126953125</v>
      </c>
      <c r="E826" s="7">
        <f t="shared" ref="E826:F826" si="824">C826/C825-1</f>
        <v>-0.01959726441</v>
      </c>
      <c r="F826" s="7">
        <f t="shared" si="824"/>
        <v>-0.01961826647</v>
      </c>
    </row>
    <row r="827">
      <c r="A827" s="3">
        <f>IFERROR(__xludf.DUMMYFUNCTION("""COMPUTED_VALUE"""),43452.66666666667)</f>
        <v>43452.66667</v>
      </c>
      <c r="B827" s="5">
        <f>IFERROR(__xludf.DUMMYFUNCTION("""COMPUTED_VALUE"""),3.67)</f>
        <v>3.67</v>
      </c>
      <c r="C827" s="5">
        <v>3.64334464073181</v>
      </c>
      <c r="D827" s="5">
        <v>229.378295898437</v>
      </c>
      <c r="E827" s="7">
        <f t="shared" ref="E827:F827" si="825">C827/C826-1</f>
        <v>0.02340149427</v>
      </c>
      <c r="F827" s="7">
        <f t="shared" si="825"/>
        <v>-0.00109668125</v>
      </c>
    </row>
    <row r="828">
      <c r="A828" s="3">
        <f>IFERROR(__xludf.DUMMYFUNCTION("""COMPUTED_VALUE"""),43453.66666666667)</f>
        <v>43453.66667</v>
      </c>
      <c r="B828" s="5">
        <f>IFERROR(__xludf.DUMMYFUNCTION("""COMPUTED_VALUE"""),3.46)</f>
        <v>3.46</v>
      </c>
      <c r="C828" s="5">
        <v>3.43432450294494</v>
      </c>
      <c r="D828" s="5">
        <v>225.943206787109</v>
      </c>
      <c r="E828" s="7">
        <f t="shared" ref="E828:F828" si="826">C828/C827-1</f>
        <v>-0.05737039956</v>
      </c>
      <c r="F828" s="7">
        <f t="shared" si="826"/>
        <v>-0.01497565015</v>
      </c>
    </row>
    <row r="829">
      <c r="A829" s="3">
        <f>IFERROR(__xludf.DUMMYFUNCTION("""COMPUTED_VALUE"""),43454.66666666667)</f>
        <v>43454.66667</v>
      </c>
      <c r="B829" s="5">
        <f>IFERROR(__xludf.DUMMYFUNCTION("""COMPUTED_VALUE"""),3.38)</f>
        <v>3.38</v>
      </c>
      <c r="C829" s="5">
        <v>3.34977436065673</v>
      </c>
      <c r="D829" s="5">
        <v>222.265319824218</v>
      </c>
      <c r="E829" s="7">
        <f t="shared" ref="E829:F829" si="827">C829/C828-1</f>
        <v>-0.02461914773</v>
      </c>
      <c r="F829" s="7">
        <f t="shared" si="827"/>
        <v>-0.01627792672</v>
      </c>
    </row>
    <row r="830">
      <c r="A830" s="3">
        <f>IFERROR(__xludf.DUMMYFUNCTION("""COMPUTED_VALUE"""),43455.66666666667)</f>
        <v>43455.66667</v>
      </c>
      <c r="B830" s="5">
        <f>IFERROR(__xludf.DUMMYFUNCTION("""COMPUTED_VALUE"""),3.24)</f>
        <v>3.24</v>
      </c>
      <c r="C830" s="5">
        <v>3.21265959739685</v>
      </c>
      <c r="D830" s="5">
        <v>217.711196899414</v>
      </c>
      <c r="E830" s="7">
        <f t="shared" ref="E830:F830" si="828">C830/C829-1</f>
        <v>-0.04093253709</v>
      </c>
      <c r="F830" s="7">
        <f t="shared" si="828"/>
        <v>-0.02048957943</v>
      </c>
    </row>
    <row r="831">
      <c r="A831" s="3">
        <f>IFERROR(__xludf.DUMMYFUNCTION("""COMPUTED_VALUE"""),43458.54166666667)</f>
        <v>43458.54167</v>
      </c>
      <c r="B831" s="5">
        <f>IFERROR(__xludf.DUMMYFUNCTION("""COMPUTED_VALUE"""),3.18)</f>
        <v>3.18</v>
      </c>
      <c r="C831" s="5">
        <v>3.15092086791992</v>
      </c>
      <c r="D831" s="5">
        <v>211.958633422851</v>
      </c>
      <c r="E831" s="7">
        <f t="shared" ref="E831:F831" si="829">C831/C830-1</f>
        <v>-0.01921732683</v>
      </c>
      <c r="F831" s="7">
        <f t="shared" si="829"/>
        <v>-0.02642291053</v>
      </c>
    </row>
    <row r="832">
      <c r="A832" s="3">
        <f>IFERROR(__xludf.DUMMYFUNCTION("""COMPUTED_VALUE"""),43460.66666666667)</f>
        <v>43460.66667</v>
      </c>
      <c r="B832" s="5">
        <f>IFERROR(__xludf.DUMMYFUNCTION("""COMPUTED_VALUE"""),3.33)</f>
        <v>3.33</v>
      </c>
      <c r="C832" s="5">
        <v>3.30018496513366</v>
      </c>
      <c r="D832" s="5">
        <v>222.667816162109</v>
      </c>
      <c r="E832" s="7">
        <f t="shared" ref="E832:F832" si="830">C832/C831-1</f>
        <v>0.04737157913</v>
      </c>
      <c r="F832" s="7">
        <f t="shared" si="830"/>
        <v>0.0505248716</v>
      </c>
    </row>
    <row r="833">
      <c r="A833" s="3">
        <f>IFERROR(__xludf.DUMMYFUNCTION("""COMPUTED_VALUE"""),43461.66666666667)</f>
        <v>43461.66667</v>
      </c>
      <c r="B833" s="5">
        <f>IFERROR(__xludf.DUMMYFUNCTION("""COMPUTED_VALUE"""),3.28)</f>
        <v>3.28</v>
      </c>
      <c r="C833" s="5">
        <v>3.25233078002929</v>
      </c>
      <c r="D833" s="5">
        <v>224.377319335937</v>
      </c>
      <c r="E833" s="7">
        <f t="shared" ref="E833:F833" si="831">C833/C832-1</f>
        <v>-0.01450045546</v>
      </c>
      <c r="F833" s="7">
        <f t="shared" si="831"/>
        <v>0.00767736983</v>
      </c>
    </row>
    <row r="834">
      <c r="A834" s="3">
        <f>IFERROR(__xludf.DUMMYFUNCTION("""COMPUTED_VALUE"""),43462.66666666667)</f>
        <v>43462.66667</v>
      </c>
      <c r="B834" s="5">
        <f>IFERROR(__xludf.DUMMYFUNCTION("""COMPUTED_VALUE"""),3.34)</f>
        <v>3.34</v>
      </c>
      <c r="C834" s="5">
        <v>3.31382155418396</v>
      </c>
      <c r="D834" s="5">
        <v>224.087829589843</v>
      </c>
      <c r="E834" s="7">
        <f t="shared" ref="E834:F834" si="832">C834/C833-1</f>
        <v>0.01890667903</v>
      </c>
      <c r="F834" s="7">
        <f t="shared" si="832"/>
        <v>-0.00129019166</v>
      </c>
    </row>
    <row r="835">
      <c r="A835" s="3">
        <f>IFERROR(__xludf.DUMMYFUNCTION("""COMPUTED_VALUE"""),43465.66666666667)</f>
        <v>43465.66667</v>
      </c>
      <c r="B835" s="5">
        <f>IFERROR(__xludf.DUMMYFUNCTION("""COMPUTED_VALUE"""),3.34)</f>
        <v>3.34</v>
      </c>
      <c r="C835" s="5">
        <v>3.31010317802429</v>
      </c>
      <c r="D835" s="5">
        <v>226.05061340332</v>
      </c>
      <c r="E835" s="7">
        <f t="shared" ref="E835:F835" si="833">C835/C834-1</f>
        <v>-0.001122080987</v>
      </c>
      <c r="F835" s="7">
        <f t="shared" si="833"/>
        <v>0.008758993369</v>
      </c>
    </row>
    <row r="836">
      <c r="A836" s="3">
        <f>IFERROR(__xludf.DUMMYFUNCTION("""COMPUTED_VALUE"""),43467.66666666667)</f>
        <v>43467.66667</v>
      </c>
      <c r="B836" s="5">
        <f>IFERROR(__xludf.DUMMYFUNCTION("""COMPUTED_VALUE"""),3.41)</f>
        <v>3.41</v>
      </c>
      <c r="C836" s="5">
        <v>3.37754440307617</v>
      </c>
      <c r="D836" s="5">
        <v>226.285781860351</v>
      </c>
      <c r="E836" s="7">
        <f t="shared" ref="E836:F836" si="834">C836/C835-1</f>
        <v>0.02037435736</v>
      </c>
      <c r="F836" s="7">
        <f t="shared" si="834"/>
        <v>0.001040335408</v>
      </c>
    </row>
    <row r="837">
      <c r="A837" s="3">
        <f>IFERROR(__xludf.DUMMYFUNCTION("""COMPUTED_VALUE"""),43468.66666666667)</f>
        <v>43468.66667</v>
      </c>
      <c r="B837" s="5">
        <f>IFERROR(__xludf.DUMMYFUNCTION("""COMPUTED_VALUE"""),3.2)</f>
        <v>3.2</v>
      </c>
      <c r="C837" s="5">
        <v>3.17348384857177</v>
      </c>
      <c r="D837" s="5">
        <v>220.885986328125</v>
      </c>
      <c r="E837" s="7">
        <f t="shared" ref="E837:F837" si="835">C837/C836-1</f>
        <v>-0.06041683843</v>
      </c>
      <c r="F837" s="7">
        <f t="shared" si="835"/>
        <v>-0.02386272566</v>
      </c>
    </row>
    <row r="838">
      <c r="A838" s="3">
        <f>IFERROR(__xludf.DUMMYFUNCTION("""COMPUTED_VALUE"""),43469.66666666667)</f>
        <v>43469.66667</v>
      </c>
      <c r="B838" s="5">
        <f>IFERROR(__xludf.DUMMYFUNCTION("""COMPUTED_VALUE"""),3.4)</f>
        <v>3.4</v>
      </c>
      <c r="C838" s="5">
        <v>3.37680125236511</v>
      </c>
      <c r="D838" s="5">
        <v>228.284759521484</v>
      </c>
      <c r="E838" s="7">
        <f t="shared" ref="E838:F838" si="836">C838/C837-1</f>
        <v>0.06406757163</v>
      </c>
      <c r="F838" s="7">
        <f t="shared" si="836"/>
        <v>0.03349589223</v>
      </c>
    </row>
    <row r="839">
      <c r="A839" s="3">
        <f>IFERROR(__xludf.DUMMYFUNCTION("""COMPUTED_VALUE"""),43472.66666666667)</f>
        <v>43472.66667</v>
      </c>
      <c r="B839" s="5">
        <f>IFERROR(__xludf.DUMMYFUNCTION("""COMPUTED_VALUE"""),3.59)</f>
        <v>3.59</v>
      </c>
      <c r="C839" s="5">
        <v>3.55557131767272</v>
      </c>
      <c r="D839" s="5">
        <v>230.084686279296</v>
      </c>
      <c r="E839" s="7">
        <f t="shared" ref="E839:F839" si="837">C839/C838-1</f>
        <v>0.05294065358</v>
      </c>
      <c r="F839" s="7">
        <f t="shared" si="837"/>
        <v>0.00788456821</v>
      </c>
    </row>
    <row r="840">
      <c r="A840" s="3">
        <f>IFERROR(__xludf.DUMMYFUNCTION("""COMPUTED_VALUE"""),43473.66666666667)</f>
        <v>43473.66667</v>
      </c>
      <c r="B840" s="5">
        <f>IFERROR(__xludf.DUMMYFUNCTION("""COMPUTED_VALUE"""),3.5)</f>
        <v>3.5</v>
      </c>
      <c r="C840" s="5">
        <v>3.46705389022827</v>
      </c>
      <c r="D840" s="5">
        <v>232.246368408203</v>
      </c>
      <c r="E840" s="7">
        <f t="shared" ref="E840:F840" si="838">C840/C839-1</f>
        <v>-0.0248954161</v>
      </c>
      <c r="F840" s="7">
        <f t="shared" si="838"/>
        <v>0.009395158643</v>
      </c>
    </row>
    <row r="841">
      <c r="A841" s="3">
        <f>IFERROR(__xludf.DUMMYFUNCTION("""COMPUTED_VALUE"""),43474.66666666667)</f>
        <v>43474.66667</v>
      </c>
      <c r="B841" s="5">
        <f>IFERROR(__xludf.DUMMYFUNCTION("""COMPUTED_VALUE"""),3.56)</f>
        <v>3.56</v>
      </c>
      <c r="C841" s="5">
        <v>3.5352394580841</v>
      </c>
      <c r="D841" s="5">
        <v>233.331771850585</v>
      </c>
      <c r="E841" s="7">
        <f t="shared" ref="E841:F841" si="839">C841/C840-1</f>
        <v>0.01966671705</v>
      </c>
      <c r="F841" s="7">
        <f t="shared" si="839"/>
        <v>0.004673500171</v>
      </c>
    </row>
    <row r="842">
      <c r="A842" s="3">
        <f>IFERROR(__xludf.DUMMYFUNCTION("""COMPUTED_VALUE"""),43475.66666666667)</f>
        <v>43475.66667</v>
      </c>
      <c r="B842" s="5">
        <f>IFERROR(__xludf.DUMMYFUNCTION("""COMPUTED_VALUE"""),3.63)</f>
        <v>3.63</v>
      </c>
      <c r="C842" s="5">
        <v>3.60094571113586</v>
      </c>
      <c r="D842" s="5">
        <v>234.154861450195</v>
      </c>
      <c r="E842" s="7">
        <f t="shared" ref="E842:F842" si="840">C842/C841-1</f>
        <v>0.01858608273</v>
      </c>
      <c r="F842" s="7">
        <f t="shared" si="840"/>
        <v>0.003527550462</v>
      </c>
    </row>
    <row r="843">
      <c r="A843" s="3">
        <f>IFERROR(__xludf.DUMMYFUNCTION("""COMPUTED_VALUE"""),43476.66666666667)</f>
        <v>43476.66667</v>
      </c>
      <c r="B843" s="5">
        <f>IFERROR(__xludf.DUMMYFUNCTION("""COMPUTED_VALUE"""),3.72)</f>
        <v>3.72</v>
      </c>
      <c r="C843" s="5">
        <v>3.69020771980285</v>
      </c>
      <c r="D843" s="5">
        <v>234.245346069335</v>
      </c>
      <c r="E843" s="7">
        <f t="shared" ref="E843:F843" si="841">C843/C842-1</f>
        <v>0.02478849053</v>
      </c>
      <c r="F843" s="7">
        <f t="shared" si="841"/>
        <v>0.0003864306664</v>
      </c>
    </row>
    <row r="844">
      <c r="A844" s="3">
        <f>IFERROR(__xludf.DUMMYFUNCTION("""COMPUTED_VALUE"""),43479.66666666667)</f>
        <v>43479.66667</v>
      </c>
      <c r="B844" s="5">
        <f>IFERROR(__xludf.DUMMYFUNCTION("""COMPUTED_VALUE"""),3.76)</f>
        <v>3.76</v>
      </c>
      <c r="C844" s="5">
        <v>3.73012709617614</v>
      </c>
      <c r="D844" s="5">
        <v>232.816192626953</v>
      </c>
      <c r="E844" s="7">
        <f t="shared" ref="E844:F844" si="842">C844/C843-1</f>
        <v>0.01081765023</v>
      </c>
      <c r="F844" s="7">
        <f t="shared" si="842"/>
        <v>-0.00610109642</v>
      </c>
    </row>
    <row r="845">
      <c r="A845" s="3">
        <f>IFERROR(__xludf.DUMMYFUNCTION("""COMPUTED_VALUE"""),43480.66666666667)</f>
        <v>43480.66667</v>
      </c>
      <c r="B845" s="5">
        <f>IFERROR(__xludf.DUMMYFUNCTION("""COMPUTED_VALUE"""),3.75)</f>
        <v>3.75</v>
      </c>
      <c r="C845" s="5">
        <v>3.71599388122558</v>
      </c>
      <c r="D845" s="5">
        <v>235.484481811523</v>
      </c>
      <c r="E845" s="7">
        <f t="shared" ref="E845:F845" si="843">C845/C844-1</f>
        <v>-0.003788936566</v>
      </c>
      <c r="F845" s="7">
        <f t="shared" si="843"/>
        <v>0.01146092613</v>
      </c>
    </row>
    <row r="846">
      <c r="A846" s="3">
        <f>IFERROR(__xludf.DUMMYFUNCTION("""COMPUTED_VALUE"""),43481.66666666667)</f>
        <v>43481.66667</v>
      </c>
      <c r="B846" s="5">
        <f>IFERROR(__xludf.DUMMYFUNCTION("""COMPUTED_VALUE"""),3.72)</f>
        <v>3.72</v>
      </c>
      <c r="C846" s="5">
        <v>3.69045448303222</v>
      </c>
      <c r="D846" s="5">
        <v>236.054321289062</v>
      </c>
      <c r="E846" s="7">
        <f t="shared" ref="E846:F846" si="844">C846/C845-1</f>
        <v>-0.006872831067</v>
      </c>
      <c r="F846" s="7">
        <f t="shared" si="844"/>
        <v>0.002419859997</v>
      </c>
    </row>
    <row r="847">
      <c r="A847" s="3">
        <f>IFERROR(__xludf.DUMMYFUNCTION("""COMPUTED_VALUE"""),43482.66666666667)</f>
        <v>43482.66667</v>
      </c>
      <c r="B847" s="5">
        <f>IFERROR(__xludf.DUMMYFUNCTION("""COMPUTED_VALUE"""),3.79)</f>
        <v>3.79</v>
      </c>
      <c r="C847" s="5">
        <v>3.76186370849609</v>
      </c>
      <c r="D847" s="5">
        <v>237.845169067382</v>
      </c>
      <c r="E847" s="7">
        <f t="shared" ref="E847:F847" si="845">C847/C846-1</f>
        <v>0.01934971039</v>
      </c>
      <c r="F847" s="7">
        <f t="shared" si="845"/>
        <v>0.0075865918</v>
      </c>
    </row>
    <row r="848">
      <c r="A848" s="3">
        <f>IFERROR(__xludf.DUMMYFUNCTION("""COMPUTED_VALUE"""),43483.66666666667)</f>
        <v>43483.66667</v>
      </c>
      <c r="B848" s="5">
        <f>IFERROR(__xludf.DUMMYFUNCTION("""COMPUTED_VALUE"""),3.92)</f>
        <v>3.92</v>
      </c>
      <c r="C848" s="5">
        <v>3.89104461669921</v>
      </c>
      <c r="D848" s="5">
        <v>241.01089477539</v>
      </c>
      <c r="E848" s="7">
        <f t="shared" ref="E848:F848" si="846">C848/C847-1</f>
        <v>0.03433960351</v>
      </c>
      <c r="F848" s="7">
        <f t="shared" si="846"/>
        <v>0.01331002736</v>
      </c>
    </row>
    <row r="849">
      <c r="A849" s="3">
        <f>IFERROR(__xludf.DUMMYFUNCTION("""COMPUTED_VALUE"""),43487.66666666667)</f>
        <v>43487.66667</v>
      </c>
      <c r="B849" s="5">
        <f>IFERROR(__xludf.DUMMYFUNCTION("""COMPUTED_VALUE"""),3.72)</f>
        <v>3.72</v>
      </c>
      <c r="C849" s="5">
        <v>3.68871879577636</v>
      </c>
      <c r="D849" s="5">
        <v>237.75471496582</v>
      </c>
      <c r="E849" s="7">
        <f t="shared" ref="E849:F849" si="847">C849/C848-1</f>
        <v>-0.05199781572</v>
      </c>
      <c r="F849" s="7">
        <f t="shared" si="847"/>
        <v>-0.01351050878</v>
      </c>
    </row>
    <row r="850">
      <c r="A850" s="3">
        <f>IFERROR(__xludf.DUMMYFUNCTION("""COMPUTED_VALUE"""),43488.66666666667)</f>
        <v>43488.66667</v>
      </c>
      <c r="B850" s="5">
        <f>IFERROR(__xludf.DUMMYFUNCTION("""COMPUTED_VALUE"""),3.73)</f>
        <v>3.73</v>
      </c>
      <c r="C850" s="5">
        <v>3.70161247253417</v>
      </c>
      <c r="D850" s="5">
        <v>238.252243041992</v>
      </c>
      <c r="E850" s="7">
        <f t="shared" ref="E850:F850" si="848">C850/C849-1</f>
        <v>0.003495434993</v>
      </c>
      <c r="F850" s="7">
        <f t="shared" si="848"/>
        <v>0.002092610766</v>
      </c>
    </row>
    <row r="851">
      <c r="A851" s="3">
        <f>IFERROR(__xludf.DUMMYFUNCTION("""COMPUTED_VALUE"""),43489.66666666667)</f>
        <v>43489.66667</v>
      </c>
      <c r="B851" s="5">
        <f>IFERROR(__xludf.DUMMYFUNCTION("""COMPUTED_VALUE"""),3.95)</f>
        <v>3.95</v>
      </c>
      <c r="C851" s="5">
        <v>3.91360807418823</v>
      </c>
      <c r="D851" s="5">
        <v>238.378845214843</v>
      </c>
      <c r="E851" s="7">
        <f t="shared" ref="E851:F851" si="849">C851/C850-1</f>
        <v>0.05727114959</v>
      </c>
      <c r="F851" s="7">
        <f t="shared" si="849"/>
        <v>0.0005313787238</v>
      </c>
    </row>
    <row r="852">
      <c r="A852" s="3">
        <f>IFERROR(__xludf.DUMMYFUNCTION("""COMPUTED_VALUE"""),43490.66666666667)</f>
        <v>43490.66667</v>
      </c>
      <c r="B852" s="5">
        <f>IFERROR(__xludf.DUMMYFUNCTION("""COMPUTED_VALUE"""),4.0)</f>
        <v>4</v>
      </c>
      <c r="C852" s="5">
        <v>3.9708833694458</v>
      </c>
      <c r="D852" s="5">
        <v>240.395904541015</v>
      </c>
      <c r="E852" s="7">
        <f t="shared" ref="E852:F852" si="850">C852/C851-1</f>
        <v>0.01463490829</v>
      </c>
      <c r="F852" s="7">
        <f t="shared" si="850"/>
        <v>0.008461570171</v>
      </c>
    </row>
    <row r="853">
      <c r="A853" s="3">
        <f>IFERROR(__xludf.DUMMYFUNCTION("""COMPUTED_VALUE"""),43493.66666666667)</f>
        <v>43493.66667</v>
      </c>
      <c r="B853" s="5">
        <f>IFERROR(__xludf.DUMMYFUNCTION("""COMPUTED_VALUE"""),3.45)</f>
        <v>3.45</v>
      </c>
      <c r="C853" s="5">
        <v>3.42192721366882</v>
      </c>
      <c r="D853" s="5">
        <v>238.568756103515</v>
      </c>
      <c r="E853" s="7">
        <f t="shared" ref="E853:F853" si="851">C853/C852-1</f>
        <v>-0.1382453486</v>
      </c>
      <c r="F853" s="7">
        <f t="shared" si="851"/>
        <v>-0.007600580555</v>
      </c>
    </row>
    <row r="854">
      <c r="A854" s="3">
        <f>IFERROR(__xludf.DUMMYFUNCTION("""COMPUTED_VALUE"""),43494.66666666667)</f>
        <v>43494.66667</v>
      </c>
      <c r="B854" s="5">
        <f>IFERROR(__xludf.DUMMYFUNCTION("""COMPUTED_VALUE"""),3.29)</f>
        <v>3.29</v>
      </c>
      <c r="C854" s="5">
        <v>3.26299285888671</v>
      </c>
      <c r="D854" s="5">
        <v>238.252243041992</v>
      </c>
      <c r="E854" s="7">
        <f t="shared" ref="E854:F854" si="852">C854/C853-1</f>
        <v>-0.04644586073</v>
      </c>
      <c r="F854" s="7">
        <f t="shared" si="852"/>
        <v>-0.001326716317</v>
      </c>
    </row>
    <row r="855">
      <c r="A855" s="3">
        <f>IFERROR(__xludf.DUMMYFUNCTION("""COMPUTED_VALUE"""),43495.66666666667)</f>
        <v>43495.66667</v>
      </c>
      <c r="B855" s="5">
        <f>IFERROR(__xludf.DUMMYFUNCTION("""COMPUTED_VALUE"""),3.43)</f>
        <v>3.43</v>
      </c>
      <c r="C855" s="5">
        <v>3.40655517578125</v>
      </c>
      <c r="D855" s="5">
        <v>242.02392578125</v>
      </c>
      <c r="E855" s="7">
        <f t="shared" ref="E855:F855" si="853">C855/C854-1</f>
        <v>0.04399712874</v>
      </c>
      <c r="F855" s="7">
        <f t="shared" si="853"/>
        <v>0.01583062846</v>
      </c>
    </row>
    <row r="856">
      <c r="A856" s="3">
        <f>IFERROR(__xludf.DUMMYFUNCTION("""COMPUTED_VALUE"""),43496.66666666667)</f>
        <v>43496.66667</v>
      </c>
      <c r="B856" s="5">
        <f>IFERROR(__xludf.DUMMYFUNCTION("""COMPUTED_VALUE"""),3.59)</f>
        <v>3.59</v>
      </c>
      <c r="C856" s="5">
        <v>3.56424927711486</v>
      </c>
      <c r="D856" s="5">
        <v>244.149444580078</v>
      </c>
      <c r="E856" s="7">
        <f t="shared" ref="E856:F856" si="854">C856/C855-1</f>
        <v>0.04629136861</v>
      </c>
      <c r="F856" s="7">
        <f t="shared" si="854"/>
        <v>0.008782267257</v>
      </c>
    </row>
    <row r="857">
      <c r="A857" s="3">
        <f>IFERROR(__xludf.DUMMYFUNCTION("""COMPUTED_VALUE"""),43497.66666666667)</f>
        <v>43497.66667</v>
      </c>
      <c r="B857" s="5">
        <f>IFERROR(__xludf.DUMMYFUNCTION("""COMPUTED_VALUE"""),3.62)</f>
        <v>3.62</v>
      </c>
      <c r="C857" s="5">
        <v>3.58854866027832</v>
      </c>
      <c r="D857" s="5">
        <v>244.26707458496</v>
      </c>
      <c r="E857" s="7">
        <f t="shared" ref="E857:F857" si="855">C857/C856-1</f>
        <v>0.006817531905</v>
      </c>
      <c r="F857" s="7">
        <f t="shared" si="855"/>
        <v>0.0004817950951</v>
      </c>
    </row>
    <row r="858">
      <c r="A858" s="3">
        <f>IFERROR(__xludf.DUMMYFUNCTION("""COMPUTED_VALUE"""),43500.66666666667)</f>
        <v>43500.66667</v>
      </c>
      <c r="B858" s="5">
        <f>IFERROR(__xludf.DUMMYFUNCTION("""COMPUTED_VALUE"""),3.73)</f>
        <v>3.73</v>
      </c>
      <c r="C858" s="5">
        <v>3.69888567924499</v>
      </c>
      <c r="D858" s="5">
        <v>245.985580444335</v>
      </c>
      <c r="E858" s="7">
        <f t="shared" ref="E858:F858" si="856">C858/C857-1</f>
        <v>0.03074697584</v>
      </c>
      <c r="F858" s="7">
        <f t="shared" si="856"/>
        <v>0.007035356125</v>
      </c>
    </row>
    <row r="859">
      <c r="A859" s="3">
        <f>IFERROR(__xludf.DUMMYFUNCTION("""COMPUTED_VALUE"""),43501.66666666667)</f>
        <v>43501.66667</v>
      </c>
      <c r="B859" s="5">
        <f>IFERROR(__xludf.DUMMYFUNCTION("""COMPUTED_VALUE"""),3.75)</f>
        <v>3.75</v>
      </c>
      <c r="C859" s="5">
        <v>3.71797657012939</v>
      </c>
      <c r="D859" s="5">
        <v>247.016738891601</v>
      </c>
      <c r="E859" s="7">
        <f t="shared" ref="E859:F859" si="857">C859/C858-1</f>
        <v>0.005161254643</v>
      </c>
      <c r="F859" s="7">
        <f t="shared" si="857"/>
        <v>0.004191946721</v>
      </c>
    </row>
    <row r="860">
      <c r="A860" s="3">
        <f>IFERROR(__xludf.DUMMYFUNCTION("""COMPUTED_VALUE"""),43502.66666666667)</f>
        <v>43502.66667</v>
      </c>
      <c r="B860" s="5">
        <f>IFERROR(__xludf.DUMMYFUNCTION("""COMPUTED_VALUE"""),3.83)</f>
        <v>3.83</v>
      </c>
      <c r="C860" s="5">
        <v>3.79360055923461</v>
      </c>
      <c r="D860" s="5">
        <v>246.691116333007</v>
      </c>
      <c r="E860" s="7">
        <f t="shared" ref="E860:F860" si="858">C860/C859-1</f>
        <v>0.02034009297</v>
      </c>
      <c r="F860" s="7">
        <f t="shared" si="858"/>
        <v>-0.00131822062</v>
      </c>
    </row>
    <row r="861">
      <c r="A861" s="3">
        <f>IFERROR(__xludf.DUMMYFUNCTION("""COMPUTED_VALUE"""),43503.66666666667)</f>
        <v>43503.66667</v>
      </c>
      <c r="B861" s="5">
        <f>IFERROR(__xludf.DUMMYFUNCTION("""COMPUTED_VALUE"""),3.69)</f>
        <v>3.69</v>
      </c>
      <c r="C861" s="5">
        <v>3.65524649620056</v>
      </c>
      <c r="D861" s="5">
        <v>244.339447021484</v>
      </c>
      <c r="E861" s="7">
        <f t="shared" ref="E861:F861" si="859">C861/C860-1</f>
        <v>-0.03647038239</v>
      </c>
      <c r="F861" s="7">
        <f t="shared" si="859"/>
        <v>-0.009532849608</v>
      </c>
    </row>
    <row r="862">
      <c r="A862" s="3">
        <f>IFERROR(__xludf.DUMMYFUNCTION("""COMPUTED_VALUE"""),43504.66666666667)</f>
        <v>43504.66667</v>
      </c>
      <c r="B862" s="5">
        <f>IFERROR(__xludf.DUMMYFUNCTION("""COMPUTED_VALUE"""),3.7)</f>
        <v>3.7</v>
      </c>
      <c r="C862" s="5">
        <v>3.67384266853332</v>
      </c>
      <c r="D862" s="5">
        <v>244.637969970703</v>
      </c>
      <c r="E862" s="7">
        <f t="shared" ref="E862:F862" si="860">C862/C861-1</f>
        <v>0.00508752894</v>
      </c>
      <c r="F862" s="7">
        <f t="shared" si="860"/>
        <v>0.001221755033</v>
      </c>
    </row>
    <row r="863">
      <c r="A863" s="3">
        <f>IFERROR(__xludf.DUMMYFUNCTION("""COMPUTED_VALUE"""),43507.66666666667)</f>
        <v>43507.66667</v>
      </c>
      <c r="B863" s="5">
        <f>IFERROR(__xludf.DUMMYFUNCTION("""COMPUTED_VALUE"""),3.66)</f>
        <v>3.66</v>
      </c>
      <c r="C863" s="5">
        <v>3.63119602203369</v>
      </c>
      <c r="D863" s="5">
        <v>244.773605346679</v>
      </c>
      <c r="E863" s="7">
        <f t="shared" ref="E863:F863" si="861">C863/C862-1</f>
        <v>-0.01160818531</v>
      </c>
      <c r="F863" s="7">
        <f t="shared" si="861"/>
        <v>0.0005544330506</v>
      </c>
    </row>
    <row r="864">
      <c r="A864" s="3">
        <f>IFERROR(__xludf.DUMMYFUNCTION("""COMPUTED_VALUE"""),43508.66666666667)</f>
        <v>43508.66667</v>
      </c>
      <c r="B864" s="5">
        <f>IFERROR(__xludf.DUMMYFUNCTION("""COMPUTED_VALUE"""),3.78)</f>
        <v>3.78</v>
      </c>
      <c r="C864" s="5">
        <v>3.74822664260864</v>
      </c>
      <c r="D864" s="5">
        <v>247.921234130859</v>
      </c>
      <c r="E864" s="7">
        <f t="shared" ref="E864:F864" si="862">C864/C863-1</f>
        <v>0.03222922141</v>
      </c>
      <c r="F864" s="7">
        <f t="shared" si="862"/>
        <v>0.01285934723</v>
      </c>
    </row>
    <row r="865">
      <c r="A865" s="3">
        <f>IFERROR(__xludf.DUMMYFUNCTION("""COMPUTED_VALUE"""),43509.66666666667)</f>
        <v>43509.66667</v>
      </c>
      <c r="B865" s="5">
        <f>IFERROR(__xludf.DUMMYFUNCTION("""COMPUTED_VALUE"""),3.82)</f>
        <v>3.82</v>
      </c>
      <c r="C865" s="5">
        <v>3.79062604904174</v>
      </c>
      <c r="D865" s="5">
        <v>248.726196289062</v>
      </c>
      <c r="E865" s="7">
        <f t="shared" ref="E865:F865" si="863">C865/C864-1</f>
        <v>0.01131185771</v>
      </c>
      <c r="F865" s="7">
        <f t="shared" si="863"/>
        <v>0.003246846366</v>
      </c>
    </row>
    <row r="866">
      <c r="A866" s="3">
        <f>IFERROR(__xludf.DUMMYFUNCTION("""COMPUTED_VALUE"""),43510.66666666667)</f>
        <v>43510.66667</v>
      </c>
      <c r="B866" s="5">
        <f>IFERROR(__xludf.DUMMYFUNCTION("""COMPUTED_VALUE"""),3.86)</f>
        <v>3.86</v>
      </c>
      <c r="C866" s="5">
        <v>3.83153700828552</v>
      </c>
      <c r="D866" s="5">
        <v>248.174484252929</v>
      </c>
      <c r="E866" s="7">
        <f t="shared" ref="E866:F866" si="864">C866/C865-1</f>
        <v>0.01079266557</v>
      </c>
      <c r="F866" s="7">
        <f t="shared" si="864"/>
        <v>-0.002218150096</v>
      </c>
    </row>
    <row r="867">
      <c r="A867" s="3">
        <f>IFERROR(__xludf.DUMMYFUNCTION("""COMPUTED_VALUE"""),43511.66666666667)</f>
        <v>43511.66667</v>
      </c>
      <c r="B867" s="5">
        <f>IFERROR(__xludf.DUMMYFUNCTION("""COMPUTED_VALUE"""),3.93)</f>
        <v>3.93</v>
      </c>
      <c r="C867" s="5">
        <v>3.90121102333068</v>
      </c>
      <c r="D867" s="5">
        <v>250.878967285156</v>
      </c>
      <c r="E867" s="7">
        <f t="shared" ref="E867:F867" si="865">C867/C866-1</f>
        <v>0.01818435132</v>
      </c>
      <c r="F867" s="7">
        <f t="shared" si="865"/>
        <v>0.01089750641</v>
      </c>
    </row>
    <row r="868">
      <c r="A868" s="3">
        <f>IFERROR(__xludf.DUMMYFUNCTION("""COMPUTED_VALUE"""),43515.66666666667)</f>
        <v>43515.66667</v>
      </c>
      <c r="B868" s="5">
        <f>IFERROR(__xludf.DUMMYFUNCTION("""COMPUTED_VALUE"""),3.92)</f>
        <v>3.92</v>
      </c>
      <c r="C868" s="5">
        <v>3.88385462760925</v>
      </c>
      <c r="D868" s="5">
        <v>251.313095092773</v>
      </c>
      <c r="E868" s="7">
        <f t="shared" ref="E868:F868" si="866">C868/C867-1</f>
        <v>-0.004448976386</v>
      </c>
      <c r="F868" s="7">
        <f t="shared" si="866"/>
        <v>0.001730427275</v>
      </c>
    </row>
    <row r="869">
      <c r="A869" s="3">
        <f>IFERROR(__xludf.DUMMYFUNCTION("""COMPUTED_VALUE"""),43516.66666666667)</f>
        <v>43516.66667</v>
      </c>
      <c r="B869" s="5">
        <f>IFERROR(__xludf.DUMMYFUNCTION("""COMPUTED_VALUE"""),3.96)</f>
        <v>3.96</v>
      </c>
      <c r="C869" s="5">
        <v>3.93121218681335</v>
      </c>
      <c r="D869" s="5">
        <v>251.819610595703</v>
      </c>
      <c r="E869" s="7">
        <f t="shared" ref="E869:F869" si="867">C869/C868-1</f>
        <v>0.01219344279</v>
      </c>
      <c r="F869" s="7">
        <f t="shared" si="867"/>
        <v>0.002015475965</v>
      </c>
    </row>
    <row r="870">
      <c r="A870" s="3">
        <f>IFERROR(__xludf.DUMMYFUNCTION("""COMPUTED_VALUE"""),43517.66666666667)</f>
        <v>43517.66667</v>
      </c>
      <c r="B870" s="5">
        <f>IFERROR(__xludf.DUMMYFUNCTION("""COMPUTED_VALUE"""),3.89)</f>
        <v>3.89</v>
      </c>
      <c r="C870" s="5">
        <v>3.86228227615356</v>
      </c>
      <c r="D870" s="5">
        <v>250.924163818359</v>
      </c>
      <c r="E870" s="7">
        <f t="shared" ref="E870:F870" si="868">C870/C869-1</f>
        <v>-0.0175340092</v>
      </c>
      <c r="F870" s="7">
        <f t="shared" si="868"/>
        <v>-0.003555905655</v>
      </c>
    </row>
    <row r="871">
      <c r="A871" s="3">
        <f>IFERROR(__xludf.DUMMYFUNCTION("""COMPUTED_VALUE"""),43518.66666666667)</f>
        <v>43518.66667</v>
      </c>
      <c r="B871" s="5">
        <f>IFERROR(__xludf.DUMMYFUNCTION("""COMPUTED_VALUE"""),3.98)</f>
        <v>3.98</v>
      </c>
      <c r="C871" s="5">
        <v>3.94708156585693</v>
      </c>
      <c r="D871" s="5">
        <v>252.479904174804</v>
      </c>
      <c r="E871" s="7">
        <f t="shared" ref="E871:F871" si="869">C871/C870-1</f>
        <v>0.02195574628</v>
      </c>
      <c r="F871" s="7">
        <f t="shared" si="869"/>
        <v>0.006200042008</v>
      </c>
    </row>
    <row r="872">
      <c r="A872" s="3">
        <f>IFERROR(__xludf.DUMMYFUNCTION("""COMPUTED_VALUE"""),43521.66666666667)</f>
        <v>43521.66667</v>
      </c>
      <c r="B872" s="5">
        <f>IFERROR(__xludf.DUMMYFUNCTION("""COMPUTED_VALUE"""),3.97)</f>
        <v>3.97</v>
      </c>
      <c r="C872" s="5">
        <v>3.93468308448791</v>
      </c>
      <c r="D872" s="5">
        <v>252.823623657226</v>
      </c>
      <c r="E872" s="7">
        <f t="shared" ref="E872:F872" si="870">C872/C871-1</f>
        <v>-0.003141176883</v>
      </c>
      <c r="F872" s="7">
        <f t="shared" si="870"/>
        <v>0.001361373625</v>
      </c>
    </row>
    <row r="873">
      <c r="A873" s="3">
        <f>IFERROR(__xludf.DUMMYFUNCTION("""COMPUTED_VALUE"""),43522.66666666667)</f>
        <v>43522.66667</v>
      </c>
      <c r="B873" s="5">
        <f>IFERROR(__xludf.DUMMYFUNCTION("""COMPUTED_VALUE"""),3.93)</f>
        <v>3.93</v>
      </c>
      <c r="C873" s="5">
        <v>3.89525938034057</v>
      </c>
      <c r="D873" s="5">
        <v>252.642639160156</v>
      </c>
      <c r="E873" s="7">
        <f t="shared" ref="E873:F873" si="871">C873/C872-1</f>
        <v>-0.01001953736</v>
      </c>
      <c r="F873" s="7">
        <f t="shared" si="871"/>
        <v>-0.0007158527928</v>
      </c>
    </row>
    <row r="874">
      <c r="A874" s="3">
        <f>IFERROR(__xludf.DUMMYFUNCTION("""COMPUTED_VALUE"""),43523.66666666667)</f>
        <v>43523.66667</v>
      </c>
      <c r="B874" s="5">
        <f>IFERROR(__xludf.DUMMYFUNCTION("""COMPUTED_VALUE"""),3.89)</f>
        <v>3.89</v>
      </c>
      <c r="C874" s="5">
        <v>3.85335659980773</v>
      </c>
      <c r="D874" s="5">
        <v>252.534133911132</v>
      </c>
      <c r="E874" s="7">
        <f t="shared" ref="E874:F874" si="872">C874/C873-1</f>
        <v>-0.01075737876</v>
      </c>
      <c r="F874" s="7">
        <f t="shared" si="872"/>
        <v>-0.0004294811414</v>
      </c>
    </row>
    <row r="875">
      <c r="A875" s="3">
        <f>IFERROR(__xludf.DUMMYFUNCTION("""COMPUTED_VALUE"""),43524.66666666667)</f>
        <v>43524.66667</v>
      </c>
      <c r="B875" s="5">
        <f>IFERROR(__xludf.DUMMYFUNCTION("""COMPUTED_VALUE"""),3.86)</f>
        <v>3.86</v>
      </c>
      <c r="C875" s="5">
        <v>3.82878470420837</v>
      </c>
      <c r="D875" s="5">
        <v>252.063720703125</v>
      </c>
      <c r="E875" s="7">
        <f t="shared" ref="E875:F875" si="873">C875/C874-1</f>
        <v>-0.006376751013</v>
      </c>
      <c r="F875" s="7">
        <f t="shared" si="873"/>
        <v>-0.00186277079</v>
      </c>
    </row>
    <row r="876">
      <c r="A876" s="3">
        <f>IFERROR(__xludf.DUMMYFUNCTION("""COMPUTED_VALUE"""),43525.66666666667)</f>
        <v>43525.66667</v>
      </c>
      <c r="B876" s="5">
        <f>IFERROR(__xludf.DUMMYFUNCTION("""COMPUTED_VALUE"""),3.91)</f>
        <v>3.91</v>
      </c>
      <c r="C876" s="5">
        <v>3.883141040802</v>
      </c>
      <c r="D876" s="5">
        <v>253.637664794921</v>
      </c>
      <c r="E876" s="7">
        <f t="shared" ref="E876:F876" si="874">C876/C875-1</f>
        <v>0.01419675975</v>
      </c>
      <c r="F876" s="7">
        <f t="shared" si="874"/>
        <v>0.006244230972</v>
      </c>
    </row>
    <row r="877">
      <c r="A877" s="3">
        <f>IFERROR(__xludf.DUMMYFUNCTION("""COMPUTED_VALUE"""),43528.66666666667)</f>
        <v>43528.66667</v>
      </c>
      <c r="B877" s="5">
        <f>IFERROR(__xludf.DUMMYFUNCTION("""COMPUTED_VALUE"""),3.92)</f>
        <v>3.92</v>
      </c>
      <c r="C877" s="5">
        <v>3.89133167266845</v>
      </c>
      <c r="D877" s="5">
        <v>252.715026855468</v>
      </c>
      <c r="E877" s="7">
        <f t="shared" ref="E877:F877" si="875">C877/C876-1</f>
        <v>0.002109280034</v>
      </c>
      <c r="F877" s="7">
        <f t="shared" si="875"/>
        <v>-0.00363762196</v>
      </c>
    </row>
    <row r="878">
      <c r="A878" s="3">
        <f>IFERROR(__xludf.DUMMYFUNCTION("""COMPUTED_VALUE"""),43529.66666666667)</f>
        <v>43529.66667</v>
      </c>
      <c r="B878" s="5">
        <f>IFERROR(__xludf.DUMMYFUNCTION("""COMPUTED_VALUE"""),3.91)</f>
        <v>3.91</v>
      </c>
      <c r="C878" s="5">
        <v>3.88487839698791</v>
      </c>
      <c r="D878" s="5">
        <v>252.371276855468</v>
      </c>
      <c r="E878" s="7">
        <f t="shared" ref="E878:F878" si="876">C878/C877-1</f>
        <v>-0.001658372049</v>
      </c>
      <c r="F878" s="7">
        <f t="shared" si="876"/>
        <v>-0.00136022778</v>
      </c>
    </row>
    <row r="879">
      <c r="A879" s="3">
        <f>IFERROR(__xludf.DUMMYFUNCTION("""COMPUTED_VALUE"""),43530.66666666667)</f>
        <v>43530.66667</v>
      </c>
      <c r="B879" s="5">
        <f>IFERROR(__xludf.DUMMYFUNCTION("""COMPUTED_VALUE"""),3.8)</f>
        <v>3.8</v>
      </c>
      <c r="C879" s="5">
        <v>3.77393150329589</v>
      </c>
      <c r="D879" s="5">
        <v>250.842742919921</v>
      </c>
      <c r="E879" s="7">
        <f t="shared" ref="E879:F879" si="877">C879/C878-1</f>
        <v>-0.0285586529</v>
      </c>
      <c r="F879" s="7">
        <f t="shared" si="877"/>
        <v>-0.006056687411</v>
      </c>
    </row>
    <row r="880">
      <c r="A880" s="3">
        <f>IFERROR(__xludf.DUMMYFUNCTION("""COMPUTED_VALUE"""),43531.66666666667)</f>
        <v>43531.66667</v>
      </c>
      <c r="B880" s="5">
        <f>IFERROR(__xludf.DUMMYFUNCTION("""COMPUTED_VALUE"""),3.73)</f>
        <v>3.73</v>
      </c>
      <c r="C880" s="5">
        <v>3.70468235015869</v>
      </c>
      <c r="D880" s="5">
        <v>248.744445800781</v>
      </c>
      <c r="E880" s="7">
        <f t="shared" ref="E880:F880" si="878">C880/C879-1</f>
        <v>-0.01834934022</v>
      </c>
      <c r="F880" s="7">
        <f t="shared" si="878"/>
        <v>-0.008364990331</v>
      </c>
    </row>
    <row r="881">
      <c r="A881" s="3">
        <f>IFERROR(__xludf.DUMMYFUNCTION("""COMPUTED_VALUE"""),43532.66666666667)</f>
        <v>43532.66667</v>
      </c>
      <c r="B881" s="5">
        <f>IFERROR(__xludf.DUMMYFUNCTION("""COMPUTED_VALUE"""),3.77)</f>
        <v>3.77</v>
      </c>
      <c r="C881" s="5">
        <v>3.73893499374389</v>
      </c>
      <c r="D881" s="5">
        <v>248.246841430664</v>
      </c>
      <c r="E881" s="7">
        <f t="shared" ref="E881:F881" si="879">C881/C880-1</f>
        <v>0.009245770716</v>
      </c>
      <c r="F881" s="7">
        <f t="shared" si="879"/>
        <v>-0.002000464246</v>
      </c>
    </row>
    <row r="882">
      <c r="A882" s="3">
        <f>IFERROR(__xludf.DUMMYFUNCTION("""COMPUTED_VALUE"""),43535.66666666667)</f>
        <v>43535.66667</v>
      </c>
      <c r="B882" s="5">
        <f>IFERROR(__xludf.DUMMYFUNCTION("""COMPUTED_VALUE"""),4.03)</f>
        <v>4.03</v>
      </c>
      <c r="C882" s="5">
        <v>3.9995481967926</v>
      </c>
      <c r="D882" s="5">
        <v>251.846694946289</v>
      </c>
      <c r="E882" s="7">
        <f t="shared" ref="E882:F882" si="880">C882/C881-1</f>
        <v>0.06970252317</v>
      </c>
      <c r="F882" s="7">
        <f t="shared" si="880"/>
        <v>0.01450110501</v>
      </c>
    </row>
    <row r="883">
      <c r="A883" s="3">
        <f>IFERROR(__xludf.DUMMYFUNCTION("""COMPUTED_VALUE"""),43536.66666666667)</f>
        <v>43536.66667</v>
      </c>
      <c r="B883" s="5">
        <f>IFERROR(__xludf.DUMMYFUNCTION("""COMPUTED_VALUE"""),4.06)</f>
        <v>4.06</v>
      </c>
      <c r="C883" s="5">
        <v>4.03380107879638</v>
      </c>
      <c r="D883" s="5">
        <v>252.796432495117</v>
      </c>
      <c r="E883" s="7">
        <f t="shared" ref="E883:F883" si="881">C883/C882-1</f>
        <v>0.008564187833</v>
      </c>
      <c r="F883" s="7">
        <f t="shared" si="881"/>
        <v>0.003771093955</v>
      </c>
    </row>
    <row r="884">
      <c r="A884" s="3">
        <f>IFERROR(__xludf.DUMMYFUNCTION("""COMPUTED_VALUE"""),43537.66666666667)</f>
        <v>43537.66667</v>
      </c>
      <c r="B884" s="5">
        <f>IFERROR(__xludf.DUMMYFUNCTION("""COMPUTED_VALUE"""),4.22)</f>
        <v>4.22</v>
      </c>
      <c r="C884" s="5">
        <v>4.18520402908325</v>
      </c>
      <c r="D884" s="5">
        <v>254.469787597656</v>
      </c>
      <c r="E884" s="7">
        <f t="shared" ref="E884:F884" si="882">C884/C883-1</f>
        <v>0.03753356879</v>
      </c>
      <c r="F884" s="7">
        <f t="shared" si="882"/>
        <v>0.006619377837</v>
      </c>
    </row>
    <row r="885">
      <c r="A885" s="3">
        <f>IFERROR(__xludf.DUMMYFUNCTION("""COMPUTED_VALUE"""),43538.66666666667)</f>
        <v>43538.66667</v>
      </c>
      <c r="B885" s="5">
        <f>IFERROR(__xludf.DUMMYFUNCTION("""COMPUTED_VALUE"""),4.14)</f>
        <v>4.14</v>
      </c>
      <c r="C885" s="5">
        <v>4.10925436019897</v>
      </c>
      <c r="D885" s="5">
        <v>254.306930541992</v>
      </c>
      <c r="E885" s="7">
        <f t="shared" ref="E885:F885" si="883">C885/C884-1</f>
        <v>-0.01814718431</v>
      </c>
      <c r="F885" s="7">
        <f t="shared" si="883"/>
        <v>-0.0006399858199</v>
      </c>
    </row>
    <row r="886">
      <c r="A886" s="3">
        <f>IFERROR(__xludf.DUMMYFUNCTION("""COMPUTED_VALUE"""),43539.66666666667)</f>
        <v>43539.66667</v>
      </c>
      <c r="B886" s="5">
        <f>IFERROR(__xludf.DUMMYFUNCTION("""COMPUTED_VALUE"""),4.25)</f>
        <v>4.25</v>
      </c>
      <c r="C886" s="5">
        <v>4.21474170684814</v>
      </c>
      <c r="D886" s="5">
        <v>255.563385009765</v>
      </c>
      <c r="E886" s="7">
        <f t="shared" ref="E886:F886" si="884">C886/C885-1</f>
        <v>0.02567067828</v>
      </c>
      <c r="F886" s="7">
        <f t="shared" si="884"/>
        <v>0.00494070085</v>
      </c>
    </row>
    <row r="887">
      <c r="A887" s="3">
        <f>IFERROR(__xludf.DUMMYFUNCTION("""COMPUTED_VALUE"""),43542.66666666667)</f>
        <v>43542.66667</v>
      </c>
      <c r="B887" s="5">
        <f>IFERROR(__xludf.DUMMYFUNCTION("""COMPUTED_VALUE"""),4.22)</f>
        <v>4.22</v>
      </c>
      <c r="C887" s="5">
        <v>4.19339513778686</v>
      </c>
      <c r="D887" s="5">
        <v>256.489990234375</v>
      </c>
      <c r="E887" s="7">
        <f t="shared" ref="E887:F887" si="885">C887/C886-1</f>
        <v>-0.005064739561</v>
      </c>
      <c r="F887" s="7">
        <f t="shared" si="885"/>
        <v>0.003625735449</v>
      </c>
    </row>
    <row r="888">
      <c r="A888" s="3">
        <f>IFERROR(__xludf.DUMMYFUNCTION("""COMPUTED_VALUE"""),43543.66666666667)</f>
        <v>43543.66667</v>
      </c>
      <c r="B888" s="5">
        <f>IFERROR(__xludf.DUMMYFUNCTION("""COMPUTED_VALUE"""),4.39)</f>
        <v>4.39</v>
      </c>
      <c r="C888" s="5">
        <v>4.36118030548095</v>
      </c>
      <c r="D888" s="5">
        <v>256.553558349609</v>
      </c>
      <c r="E888" s="7">
        <f t="shared" ref="E888:F888" si="886">C888/C887-1</f>
        <v>0.04001177141</v>
      </c>
      <c r="F888" s="7">
        <f t="shared" si="886"/>
        <v>0.0002478385811</v>
      </c>
    </row>
    <row r="889">
      <c r="A889" s="3">
        <f>IFERROR(__xludf.DUMMYFUNCTION("""COMPUTED_VALUE"""),43544.66666666667)</f>
        <v>43544.66667</v>
      </c>
      <c r="B889" s="5">
        <f>IFERROR(__xludf.DUMMYFUNCTION("""COMPUTED_VALUE"""),4.36)</f>
        <v>4.36</v>
      </c>
      <c r="C889" s="5">
        <v>4.32866621017456</v>
      </c>
      <c r="D889" s="5">
        <v>255.78140258789</v>
      </c>
      <c r="E889" s="7">
        <f t="shared" ref="E889:F889" si="887">C889/C888-1</f>
        <v>-0.007455343056</v>
      </c>
      <c r="F889" s="7">
        <f t="shared" si="887"/>
        <v>-0.003009725403</v>
      </c>
    </row>
    <row r="890">
      <c r="A890" s="3">
        <f>IFERROR(__xludf.DUMMYFUNCTION("""COMPUTED_VALUE"""),43545.66666666667)</f>
        <v>43545.66667</v>
      </c>
      <c r="B890" s="5">
        <f>IFERROR(__xludf.DUMMYFUNCTION("""COMPUTED_VALUE"""),4.6)</f>
        <v>4.6</v>
      </c>
      <c r="C890" s="5">
        <v>4.56545209884643</v>
      </c>
      <c r="D890" s="5">
        <v>258.670349121093</v>
      </c>
      <c r="E890" s="7">
        <f t="shared" ref="E890:F890" si="888">C890/C889-1</f>
        <v>0.05470181279</v>
      </c>
      <c r="F890" s="7">
        <f t="shared" si="888"/>
        <v>0.0112945918</v>
      </c>
    </row>
    <row r="891">
      <c r="A891" s="3">
        <f>IFERROR(__xludf.DUMMYFUNCTION("""COMPUTED_VALUE"""),43546.66666666667)</f>
        <v>43546.66667</v>
      </c>
      <c r="B891" s="5">
        <f>IFERROR(__xludf.DUMMYFUNCTION("""COMPUTED_VALUE"""),4.44)</f>
        <v>4.44</v>
      </c>
      <c r="C891" s="5">
        <v>4.40561008453369</v>
      </c>
      <c r="D891" s="5">
        <v>253.691970825195</v>
      </c>
      <c r="E891" s="7">
        <f t="shared" ref="E891:F891" si="889">C891/C890-1</f>
        <v>-0.03501121266</v>
      </c>
      <c r="F891" s="7">
        <f t="shared" si="889"/>
        <v>-0.01924603385</v>
      </c>
    </row>
    <row r="892">
      <c r="A892" s="3">
        <f>IFERROR(__xludf.DUMMYFUNCTION("""COMPUTED_VALUE"""),43549.66666666667)</f>
        <v>43549.66667</v>
      </c>
      <c r="B892" s="5">
        <f>IFERROR(__xludf.DUMMYFUNCTION("""COMPUTED_VALUE"""),4.34)</f>
        <v>4.34</v>
      </c>
      <c r="C892" s="5">
        <v>4.31327724456787</v>
      </c>
      <c r="D892" s="5">
        <v>253.501174926757</v>
      </c>
      <c r="E892" s="7">
        <f t="shared" ref="E892:F892" si="890">C892/C891-1</f>
        <v>-0.02095801448</v>
      </c>
      <c r="F892" s="7">
        <f t="shared" si="890"/>
        <v>-0.0007520770083</v>
      </c>
    </row>
    <row r="893">
      <c r="A893" s="3">
        <f>IFERROR(__xludf.DUMMYFUNCTION("""COMPUTED_VALUE"""),43550.66666666667)</f>
        <v>43550.66667</v>
      </c>
      <c r="B893" s="5">
        <f>IFERROR(__xludf.DUMMYFUNCTION("""COMPUTED_VALUE"""),4.42)</f>
        <v>4.42</v>
      </c>
      <c r="C893" s="5">
        <v>4.38997268676757</v>
      </c>
      <c r="D893" s="5">
        <v>255.390701293945</v>
      </c>
      <c r="E893" s="7">
        <f t="shared" ref="E893:F893" si="891">C893/C892-1</f>
        <v>0.01778124564</v>
      </c>
      <c r="F893" s="7">
        <f t="shared" si="891"/>
        <v>0.007453718381</v>
      </c>
    </row>
    <row r="894">
      <c r="A894" s="3">
        <f>IFERROR(__xludf.DUMMYFUNCTION("""COMPUTED_VALUE"""),43551.66666666667)</f>
        <v>43551.66667</v>
      </c>
      <c r="B894" s="5">
        <f>IFERROR(__xludf.DUMMYFUNCTION("""COMPUTED_VALUE"""),4.41)</f>
        <v>4.41</v>
      </c>
      <c r="C894" s="5">
        <v>4.38078832626342</v>
      </c>
      <c r="D894" s="5">
        <v>254.055358886718</v>
      </c>
      <c r="E894" s="7">
        <f t="shared" ref="E894:F894" si="892">C894/C893-1</f>
        <v>-0.002092122471</v>
      </c>
      <c r="F894" s="7">
        <f t="shared" si="892"/>
        <v>-0.00522862579</v>
      </c>
    </row>
    <row r="895">
      <c r="A895" s="3">
        <f>IFERROR(__xludf.DUMMYFUNCTION("""COMPUTED_VALUE"""),43552.66666666667)</f>
        <v>43552.66667</v>
      </c>
      <c r="B895" s="5">
        <f>IFERROR(__xludf.DUMMYFUNCTION("""COMPUTED_VALUE"""),4.43)</f>
        <v>4.43</v>
      </c>
      <c r="C895" s="5">
        <v>4.39940404891967</v>
      </c>
      <c r="D895" s="5">
        <v>255.018264770507</v>
      </c>
      <c r="E895" s="7">
        <f t="shared" ref="E895:F895" si="893">C895/C894-1</f>
        <v>0.00424940017</v>
      </c>
      <c r="F895" s="7">
        <f t="shared" si="893"/>
        <v>0.003790141991</v>
      </c>
    </row>
    <row r="896">
      <c r="A896" s="3">
        <f>IFERROR(__xludf.DUMMYFUNCTION("""COMPUTED_VALUE"""),43553.66666666667)</f>
        <v>43553.66667</v>
      </c>
      <c r="B896" s="5">
        <f>IFERROR(__xludf.DUMMYFUNCTION("""COMPUTED_VALUE"""),4.49)</f>
        <v>4.49</v>
      </c>
      <c r="C896" s="5">
        <v>4.4567379951477</v>
      </c>
      <c r="D896" s="5">
        <v>256.626251220703</v>
      </c>
      <c r="E896" s="7">
        <f t="shared" ref="E896:F896" si="894">C896/C895-1</f>
        <v>0.01303220745</v>
      </c>
      <c r="F896" s="7">
        <f t="shared" si="894"/>
        <v>0.006305377584</v>
      </c>
    </row>
    <row r="897">
      <c r="A897" s="3">
        <f>IFERROR(__xludf.DUMMYFUNCTION("""COMPUTED_VALUE"""),43556.66666666667)</f>
        <v>43556.66667</v>
      </c>
      <c r="B897" s="5">
        <f>IFERROR(__xludf.DUMMYFUNCTION("""COMPUTED_VALUE"""),4.56)</f>
        <v>4.56</v>
      </c>
      <c r="C897" s="5">
        <v>4.52425050735473</v>
      </c>
      <c r="D897" s="5">
        <v>259.669677734375</v>
      </c>
      <c r="E897" s="7">
        <f t="shared" ref="E897:F897" si="895">C897/C896-1</f>
        <v>0.01514841399</v>
      </c>
      <c r="F897" s="7">
        <f t="shared" si="895"/>
        <v>0.01185937331</v>
      </c>
    </row>
    <row r="898">
      <c r="A898" s="3">
        <f>IFERROR(__xludf.DUMMYFUNCTION("""COMPUTED_VALUE"""),43557.66666666667)</f>
        <v>43557.66667</v>
      </c>
      <c r="B898" s="5">
        <f>IFERROR(__xludf.DUMMYFUNCTION("""COMPUTED_VALUE"""),4.58)</f>
        <v>4.58</v>
      </c>
      <c r="C898" s="5">
        <v>4.54211950302124</v>
      </c>
      <c r="D898" s="5">
        <v>259.796844482421</v>
      </c>
      <c r="E898" s="7">
        <f t="shared" ref="E898:F898" si="896">C898/C897-1</f>
        <v>0.003949603506</v>
      </c>
      <c r="F898" s="7">
        <f t="shared" si="896"/>
        <v>0.0004897250582</v>
      </c>
    </row>
    <row r="899">
      <c r="A899" s="3">
        <f>IFERROR(__xludf.DUMMYFUNCTION("""COMPUTED_VALUE"""),43558.66666666667)</f>
        <v>43558.66667</v>
      </c>
      <c r="B899" s="5">
        <f>IFERROR(__xludf.DUMMYFUNCTION("""COMPUTED_VALUE"""),4.72)</f>
        <v>4.72</v>
      </c>
      <c r="C899" s="5">
        <v>4.68161153793335</v>
      </c>
      <c r="D899" s="5">
        <v>260.205749511718</v>
      </c>
      <c r="E899" s="7">
        <f t="shared" ref="E899:F899" si="897">C899/C898-1</f>
        <v>0.03071078047</v>
      </c>
      <c r="F899" s="7">
        <f t="shared" si="897"/>
        <v>0.001573941478</v>
      </c>
    </row>
    <row r="900">
      <c r="A900" s="3">
        <f>IFERROR(__xludf.DUMMYFUNCTION("""COMPUTED_VALUE"""),43559.66666666667)</f>
        <v>43559.66667</v>
      </c>
      <c r="B900" s="5">
        <f>IFERROR(__xludf.DUMMYFUNCTION("""COMPUTED_VALUE"""),4.71)</f>
        <v>4.71</v>
      </c>
      <c r="C900" s="5">
        <v>4.67267608642578</v>
      </c>
      <c r="D900" s="5">
        <v>260.896087646484</v>
      </c>
      <c r="E900" s="7">
        <f t="shared" ref="E900:F900" si="898">C900/C899-1</f>
        <v>-0.001908627283</v>
      </c>
      <c r="F900" s="7">
        <f t="shared" si="898"/>
        <v>0.002653047198</v>
      </c>
    </row>
    <row r="901">
      <c r="A901" s="3">
        <f>IFERROR(__xludf.DUMMYFUNCTION("""COMPUTED_VALUE"""),43560.66666666667)</f>
        <v>43560.66667</v>
      </c>
      <c r="B901" s="5">
        <f>IFERROR(__xludf.DUMMYFUNCTION("""COMPUTED_VALUE"""),4.77)</f>
        <v>4.77</v>
      </c>
      <c r="C901" s="5">
        <v>4.73944234848022</v>
      </c>
      <c r="D901" s="5">
        <v>262.158935546875</v>
      </c>
      <c r="E901" s="7">
        <f t="shared" ref="E901:F901" si="899">C901/C900-1</f>
        <v>0.01428865618</v>
      </c>
      <c r="F901" s="7">
        <f t="shared" si="899"/>
        <v>0.004840424829</v>
      </c>
    </row>
    <row r="902">
      <c r="A902" s="3">
        <f>IFERROR(__xludf.DUMMYFUNCTION("""COMPUTED_VALUE"""),43563.66666666667)</f>
        <v>43563.66667</v>
      </c>
      <c r="B902" s="5">
        <f>IFERROR(__xludf.DUMMYFUNCTION("""COMPUTED_VALUE"""),4.79)</f>
        <v>4.79</v>
      </c>
      <c r="C902" s="5">
        <v>4.76029062271118</v>
      </c>
      <c r="D902" s="5">
        <v>262.358703613281</v>
      </c>
      <c r="E902" s="7">
        <f t="shared" ref="E902:F902" si="900">C902/C901-1</f>
        <v>0.004398887611</v>
      </c>
      <c r="F902" s="7">
        <f t="shared" si="900"/>
        <v>0.0007620112814</v>
      </c>
    </row>
    <row r="903">
      <c r="A903" s="3">
        <f>IFERROR(__xludf.DUMMYFUNCTION("""COMPUTED_VALUE"""),43564.66666666667)</f>
        <v>43564.66667</v>
      </c>
      <c r="B903" s="5">
        <f>IFERROR(__xludf.DUMMYFUNCTION("""COMPUTED_VALUE"""),4.73)</f>
        <v>4.73</v>
      </c>
      <c r="C903" s="5">
        <v>4.69749689102172</v>
      </c>
      <c r="D903" s="5">
        <v>261.014221191406</v>
      </c>
      <c r="E903" s="7">
        <f t="shared" ref="E903:F903" si="901">C903/C902-1</f>
        <v>-0.01319115505</v>
      </c>
      <c r="F903" s="7">
        <f t="shared" si="901"/>
        <v>-0.005124596224</v>
      </c>
    </row>
    <row r="904">
      <c r="A904" s="3">
        <f>IFERROR(__xludf.DUMMYFUNCTION("""COMPUTED_VALUE"""),43565.66666666667)</f>
        <v>43565.66667</v>
      </c>
      <c r="B904" s="5">
        <f>IFERROR(__xludf.DUMMYFUNCTION("""COMPUTED_VALUE"""),4.8)</f>
        <v>4.8</v>
      </c>
      <c r="C904" s="5">
        <v>4.76798629760742</v>
      </c>
      <c r="D904" s="5">
        <v>261.904541015625</v>
      </c>
      <c r="E904" s="7">
        <f t="shared" ref="E904:F904" si="902">C904/C903-1</f>
        <v>0.01500573778</v>
      </c>
      <c r="F904" s="7">
        <f t="shared" si="902"/>
        <v>0.00341100121</v>
      </c>
    </row>
    <row r="905">
      <c r="A905" s="3">
        <f>IFERROR(__xludf.DUMMYFUNCTION("""COMPUTED_VALUE"""),43566.66666666667)</f>
        <v>43566.66667</v>
      </c>
      <c r="B905" s="5">
        <f>IFERROR(__xludf.DUMMYFUNCTION("""COMPUTED_VALUE"""),4.79)</f>
        <v>4.79</v>
      </c>
      <c r="C905" s="5">
        <v>4.7540864944458</v>
      </c>
      <c r="D905" s="5">
        <v>261.831970214843</v>
      </c>
      <c r="E905" s="7">
        <f t="shared" ref="E905:F905" si="903">C905/C904-1</f>
        <v>-0.002915235551</v>
      </c>
      <c r="F905" s="7">
        <f t="shared" si="903"/>
        <v>-0.0002770887458</v>
      </c>
    </row>
    <row r="906">
      <c r="A906" s="3">
        <f>IFERROR(__xludf.DUMMYFUNCTION("""COMPUTED_VALUE"""),43567.66666666667)</f>
        <v>43567.66667</v>
      </c>
      <c r="B906" s="5">
        <f>IFERROR(__xludf.DUMMYFUNCTION("""COMPUTED_VALUE"""),4.75)</f>
        <v>4.75</v>
      </c>
      <c r="C906" s="5">
        <v>4.71611166000366</v>
      </c>
      <c r="D906" s="5">
        <v>263.603302001953</v>
      </c>
      <c r="E906" s="7">
        <f t="shared" ref="E906:F906" si="904">C906/C905-1</f>
        <v>-0.007987829941</v>
      </c>
      <c r="F906" s="7">
        <f t="shared" si="904"/>
        <v>0.006765147074</v>
      </c>
    </row>
    <row r="907">
      <c r="A907" s="3">
        <f>IFERROR(__xludf.DUMMYFUNCTION("""COMPUTED_VALUE"""),43570.66666666667)</f>
        <v>43570.66667</v>
      </c>
      <c r="B907" s="5">
        <f>IFERROR(__xludf.DUMMYFUNCTION("""COMPUTED_VALUE"""),4.62)</f>
        <v>4.62</v>
      </c>
      <c r="C907" s="5">
        <v>4.58431577682495</v>
      </c>
      <c r="D907" s="5">
        <v>263.430786132812</v>
      </c>
      <c r="E907" s="7">
        <f t="shared" ref="E907:F907" si="905">C907/C906-1</f>
        <v>-0.02794587844</v>
      </c>
      <c r="F907" s="7">
        <f t="shared" si="905"/>
        <v>-0.0006544526105</v>
      </c>
    </row>
    <row r="908">
      <c r="A908" s="3">
        <f>IFERROR(__xludf.DUMMYFUNCTION("""COMPUTED_VALUE"""),43571.66666666667)</f>
        <v>43571.66667</v>
      </c>
      <c r="B908" s="5">
        <f>IFERROR(__xludf.DUMMYFUNCTION("""COMPUTED_VALUE"""),4.71)</f>
        <v>4.71</v>
      </c>
      <c r="C908" s="5">
        <v>4.67143440246582</v>
      </c>
      <c r="D908" s="5">
        <v>263.603302001953</v>
      </c>
      <c r="E908" s="7">
        <f t="shared" ref="E908:F908" si="906">C908/C907-1</f>
        <v>0.01900362669</v>
      </c>
      <c r="F908" s="7">
        <f t="shared" si="906"/>
        <v>0.0006548811992</v>
      </c>
    </row>
    <row r="909">
      <c r="A909" s="3">
        <f>IFERROR(__xludf.DUMMYFUNCTION("""COMPUTED_VALUE"""),43572.66666666667)</f>
        <v>43572.66667</v>
      </c>
      <c r="B909" s="5">
        <f>IFERROR(__xludf.DUMMYFUNCTION("""COMPUTED_VALUE"""),4.68)</f>
        <v>4.68</v>
      </c>
      <c r="C909" s="5">
        <v>4.64860010147094</v>
      </c>
      <c r="D909" s="5">
        <v>262.958465576171</v>
      </c>
      <c r="E909" s="7">
        <f t="shared" ref="E909:F909" si="907">C909/C908-1</f>
        <v>-0.004888070564</v>
      </c>
      <c r="F909" s="7">
        <f t="shared" si="907"/>
        <v>-0.002446238044</v>
      </c>
    </row>
    <row r="910">
      <c r="A910" s="3">
        <f>IFERROR(__xludf.DUMMYFUNCTION("""COMPUTED_VALUE"""),43573.66666666667)</f>
        <v>43573.66667</v>
      </c>
      <c r="B910" s="5">
        <f>IFERROR(__xludf.DUMMYFUNCTION("""COMPUTED_VALUE"""),4.66)</f>
        <v>4.66</v>
      </c>
      <c r="C910" s="5">
        <v>4.62402629852294</v>
      </c>
      <c r="D910" s="5">
        <v>263.476196289062</v>
      </c>
      <c r="E910" s="7">
        <f t="shared" ref="E910:F910" si="908">C910/C909-1</f>
        <v>-0.005286280259</v>
      </c>
      <c r="F910" s="7">
        <f t="shared" si="908"/>
        <v>0.001968868778</v>
      </c>
    </row>
    <row r="911">
      <c r="A911" s="3">
        <f>IFERROR(__xludf.DUMMYFUNCTION("""COMPUTED_VALUE"""),43577.66666666667)</f>
        <v>43577.66667</v>
      </c>
      <c r="B911" s="5">
        <f>IFERROR(__xludf.DUMMYFUNCTION("""COMPUTED_VALUE"""),4.71)</f>
        <v>4.71</v>
      </c>
      <c r="C911" s="5">
        <v>4.67788696289062</v>
      </c>
      <c r="D911" s="5">
        <v>263.70327758789</v>
      </c>
      <c r="E911" s="7">
        <f t="shared" ref="E911:F911" si="909">C911/C910-1</f>
        <v>0.01164800131</v>
      </c>
      <c r="F911" s="7">
        <f t="shared" si="909"/>
        <v>0.0008618664685</v>
      </c>
    </row>
    <row r="912">
      <c r="A912" s="3">
        <f>IFERROR(__xludf.DUMMYFUNCTION("""COMPUTED_VALUE"""),43578.66666666667)</f>
        <v>43578.66667</v>
      </c>
      <c r="B912" s="5">
        <f>IFERROR(__xludf.DUMMYFUNCTION("""COMPUTED_VALUE"""),4.77)</f>
        <v>4.77</v>
      </c>
      <c r="C912" s="5">
        <v>4.73249292373657</v>
      </c>
      <c r="D912" s="5">
        <v>266.07437133789</v>
      </c>
      <c r="E912" s="7">
        <f t="shared" ref="E912:F912" si="910">C912/C911-1</f>
        <v>0.01167321085</v>
      </c>
      <c r="F912" s="7">
        <f t="shared" si="910"/>
        <v>0.008991521727</v>
      </c>
    </row>
    <row r="913">
      <c r="A913" s="3">
        <f>IFERROR(__xludf.DUMMYFUNCTION("""COMPUTED_VALUE"""),43579.66666666667)</f>
        <v>43579.66667</v>
      </c>
      <c r="B913" s="5">
        <f>IFERROR(__xludf.DUMMYFUNCTION("""COMPUTED_VALUE"""),4.78)</f>
        <v>4.78</v>
      </c>
      <c r="C913" s="5">
        <v>4.7449026107788</v>
      </c>
      <c r="D913" s="5">
        <v>265.483917236328</v>
      </c>
      <c r="E913" s="7">
        <f t="shared" ref="E913:F913" si="911">C913/C912-1</f>
        <v>0.002622230449</v>
      </c>
      <c r="F913" s="7">
        <f t="shared" si="911"/>
        <v>-0.002219131811</v>
      </c>
    </row>
    <row r="914">
      <c r="A914" s="3">
        <f>IFERROR(__xludf.DUMMYFUNCTION("""COMPUTED_VALUE"""),43580.66666666667)</f>
        <v>43580.66667</v>
      </c>
      <c r="B914" s="5">
        <f>IFERROR(__xludf.DUMMYFUNCTION("""COMPUTED_VALUE"""),4.67)</f>
        <v>4.67</v>
      </c>
      <c r="C914" s="5">
        <v>4.63916873931884</v>
      </c>
      <c r="D914" s="5">
        <v>265.320404052734</v>
      </c>
      <c r="E914" s="7">
        <f t="shared" ref="E914:F914" si="912">C914/C913-1</f>
        <v>-0.0222836758</v>
      </c>
      <c r="F914" s="7">
        <f t="shared" si="912"/>
        <v>-0.0006159061735</v>
      </c>
    </row>
    <row r="915">
      <c r="A915" s="3">
        <f>IFERROR(__xludf.DUMMYFUNCTION("""COMPUTED_VALUE"""),43581.66666666667)</f>
        <v>43581.66667</v>
      </c>
      <c r="B915" s="5">
        <f>IFERROR(__xludf.DUMMYFUNCTION("""COMPUTED_VALUE"""),4.45)</f>
        <v>4.45</v>
      </c>
      <c r="C915" s="5">
        <v>4.4202537536621</v>
      </c>
      <c r="D915" s="5">
        <v>266.555938720703</v>
      </c>
      <c r="E915" s="7">
        <f t="shared" ref="E915:F915" si="913">C915/C914-1</f>
        <v>-0.04718840766</v>
      </c>
      <c r="F915" s="7">
        <f t="shared" si="913"/>
        <v>0.00465676461</v>
      </c>
    </row>
    <row r="916">
      <c r="A916" s="3">
        <f>IFERROR(__xludf.DUMMYFUNCTION("""COMPUTED_VALUE"""),43584.66666666667)</f>
        <v>43584.66667</v>
      </c>
      <c r="B916" s="5">
        <f>IFERROR(__xludf.DUMMYFUNCTION("""COMPUTED_VALUE"""),4.48)</f>
        <v>4.48</v>
      </c>
      <c r="C916" s="5">
        <v>4.45103025436401</v>
      </c>
      <c r="D916" s="5">
        <v>266.973907470703</v>
      </c>
      <c r="E916" s="7">
        <f t="shared" ref="E916:F916" si="914">C916/C915-1</f>
        <v>0.006962609483</v>
      </c>
      <c r="F916" s="7">
        <f t="shared" si="914"/>
        <v>0.001568033907</v>
      </c>
    </row>
    <row r="917">
      <c r="A917" s="3">
        <f>IFERROR(__xludf.DUMMYFUNCTION("""COMPUTED_VALUE"""),43585.66666666667)</f>
        <v>43585.66667</v>
      </c>
      <c r="B917" s="5">
        <f>IFERROR(__xludf.DUMMYFUNCTION("""COMPUTED_VALUE"""),4.53)</f>
        <v>4.53</v>
      </c>
      <c r="C917" s="5">
        <v>4.49247980117797</v>
      </c>
      <c r="D917" s="5">
        <v>267.110046386718</v>
      </c>
      <c r="E917" s="7">
        <f t="shared" ref="E917:F917" si="915">C917/C916-1</f>
        <v>0.009312348927</v>
      </c>
      <c r="F917" s="7">
        <f t="shared" si="915"/>
        <v>0.0005099334137</v>
      </c>
    </row>
    <row r="918">
      <c r="A918" s="3">
        <f>IFERROR(__xludf.DUMMYFUNCTION("""COMPUTED_VALUE"""),43586.66666666667)</f>
        <v>43586.66667</v>
      </c>
      <c r="B918" s="5">
        <f>IFERROR(__xludf.DUMMYFUNCTION("""COMPUTED_VALUE"""),4.51)</f>
        <v>4.51</v>
      </c>
      <c r="C918" s="5">
        <v>4.47932577133178</v>
      </c>
      <c r="D918" s="5">
        <v>265.102325439453</v>
      </c>
      <c r="E918" s="7">
        <f t="shared" ref="E918:F918" si="916">C918/C917-1</f>
        <v>-0.002928010905</v>
      </c>
      <c r="F918" s="7">
        <f t="shared" si="916"/>
        <v>-0.007516456136</v>
      </c>
    </row>
    <row r="919">
      <c r="A919" s="3">
        <f>IFERROR(__xludf.DUMMYFUNCTION("""COMPUTED_VALUE"""),43587.66666666667)</f>
        <v>43587.66667</v>
      </c>
      <c r="B919" s="5">
        <f>IFERROR(__xludf.DUMMYFUNCTION("""COMPUTED_VALUE"""),4.58)</f>
        <v>4.58</v>
      </c>
      <c r="C919" s="5">
        <v>4.54683637619018</v>
      </c>
      <c r="D919" s="5">
        <v>264.529968261718</v>
      </c>
      <c r="E919" s="7">
        <f t="shared" ref="E919:F919" si="917">C919/C918-1</f>
        <v>0.01507159968</v>
      </c>
      <c r="F919" s="7">
        <f t="shared" si="917"/>
        <v>-0.002159004742</v>
      </c>
    </row>
    <row r="920">
      <c r="A920" s="3">
        <f>IFERROR(__xludf.DUMMYFUNCTION("""COMPUTED_VALUE"""),43588.66666666667)</f>
        <v>43588.66667</v>
      </c>
      <c r="B920" s="5">
        <f>IFERROR(__xludf.DUMMYFUNCTION("""COMPUTED_VALUE"""),4.58)</f>
        <v>4.58</v>
      </c>
      <c r="C920" s="5">
        <v>4.54236841201782</v>
      </c>
      <c r="D920" s="5">
        <v>267.119140625</v>
      </c>
      <c r="E920" s="7">
        <f t="shared" ref="E920:F920" si="918">C920/C919-1</f>
        <v>-0.0009826533886</v>
      </c>
      <c r="F920" s="7">
        <f t="shared" si="918"/>
        <v>0.009787822455</v>
      </c>
    </row>
    <row r="921">
      <c r="A921" s="3">
        <f>IFERROR(__xludf.DUMMYFUNCTION("""COMPUTED_VALUE"""),43591.66666666667)</f>
        <v>43591.66667</v>
      </c>
      <c r="B921" s="5">
        <f>IFERROR(__xludf.DUMMYFUNCTION("""COMPUTED_VALUE"""),4.5)</f>
        <v>4.5</v>
      </c>
      <c r="C921" s="5">
        <v>4.46393775939941</v>
      </c>
      <c r="D921" s="5">
        <v>266.019989013671</v>
      </c>
      <c r="E921" s="7">
        <f t="shared" ref="E921:F921" si="919">C921/C920-1</f>
        <v>-0.01726646663</v>
      </c>
      <c r="F921" s="7">
        <f t="shared" si="919"/>
        <v>-0.004114836581</v>
      </c>
    </row>
    <row r="922">
      <c r="A922" s="3">
        <f>IFERROR(__xludf.DUMMYFUNCTION("""COMPUTED_VALUE"""),43592.66666666667)</f>
        <v>43592.66667</v>
      </c>
      <c r="B922" s="5">
        <f>IFERROR(__xludf.DUMMYFUNCTION("""COMPUTED_VALUE"""),4.33)</f>
        <v>4.33</v>
      </c>
      <c r="C922" s="5">
        <v>4.29664897918701</v>
      </c>
      <c r="D922" s="5">
        <v>261.577423095703</v>
      </c>
      <c r="E922" s="7">
        <f t="shared" ref="E922:F922" si="920">C922/C921-1</f>
        <v>-0.03747560769</v>
      </c>
      <c r="F922" s="7">
        <f t="shared" si="920"/>
        <v>-0.01670012067</v>
      </c>
    </row>
    <row r="923">
      <c r="A923" s="3">
        <f>IFERROR(__xludf.DUMMYFUNCTION("""COMPUTED_VALUE"""),43593.66666666667)</f>
        <v>43593.66667</v>
      </c>
      <c r="B923" s="5">
        <f>IFERROR(__xludf.DUMMYFUNCTION("""COMPUTED_VALUE"""),4.35)</f>
        <v>4.35</v>
      </c>
      <c r="C923" s="5">
        <v>4.31675291061401</v>
      </c>
      <c r="D923" s="5">
        <v>261.214050292968</v>
      </c>
      <c r="E923" s="7">
        <f t="shared" ref="E923:F923" si="921">C923/C922-1</f>
        <v>0.004678979252</v>
      </c>
      <c r="F923" s="7">
        <f t="shared" si="921"/>
        <v>-0.001389159655</v>
      </c>
    </row>
    <row r="924">
      <c r="A924" s="3">
        <f>IFERROR(__xludf.DUMMYFUNCTION("""COMPUTED_VALUE"""),43594.66666666667)</f>
        <v>43594.66667</v>
      </c>
      <c r="B924" s="5">
        <f>IFERROR(__xludf.DUMMYFUNCTION("""COMPUTED_VALUE"""),4.25)</f>
        <v>4.25</v>
      </c>
      <c r="C924" s="5">
        <v>4.22417163848876</v>
      </c>
      <c r="D924" s="5">
        <v>260.423736572265</v>
      </c>
      <c r="E924" s="7">
        <f t="shared" ref="E924:F924" si="922">C924/C923-1</f>
        <v>-0.02144697045</v>
      </c>
      <c r="F924" s="7">
        <f t="shared" si="922"/>
        <v>-0.003025540624</v>
      </c>
    </row>
    <row r="925">
      <c r="A925" s="3">
        <f>IFERROR(__xludf.DUMMYFUNCTION("""COMPUTED_VALUE"""),43595.66666666667)</f>
        <v>43595.66667</v>
      </c>
      <c r="B925" s="5">
        <f>IFERROR(__xludf.DUMMYFUNCTION("""COMPUTED_VALUE"""),4.22)</f>
        <v>4.22</v>
      </c>
      <c r="C925" s="5">
        <v>4.1901683807373</v>
      </c>
      <c r="D925" s="5">
        <v>261.731964111328</v>
      </c>
      <c r="E925" s="7">
        <f t="shared" ref="E925:F925" si="923">C925/C924-1</f>
        <v>-0.00804968658</v>
      </c>
      <c r="F925" s="7">
        <f t="shared" si="923"/>
        <v>0.005023457371</v>
      </c>
    </row>
    <row r="926">
      <c r="A926" s="3">
        <f>IFERROR(__xludf.DUMMYFUNCTION("""COMPUTED_VALUE"""),43598.66666666667)</f>
        <v>43598.66667</v>
      </c>
      <c r="B926" s="5">
        <f>IFERROR(__xludf.DUMMYFUNCTION("""COMPUTED_VALUE"""),3.96)</f>
        <v>3.96</v>
      </c>
      <c r="C926" s="5">
        <v>3.93278169631958</v>
      </c>
      <c r="D926" s="5">
        <v>255.154556274414</v>
      </c>
      <c r="E926" s="7">
        <f t="shared" ref="E926:F926" si="924">C926/C925-1</f>
        <v>-0.06142633446</v>
      </c>
      <c r="F926" s="7">
        <f t="shared" si="924"/>
        <v>-0.02513031933</v>
      </c>
    </row>
    <row r="927">
      <c r="A927" s="3">
        <f>IFERROR(__xludf.DUMMYFUNCTION("""COMPUTED_VALUE"""),43599.66666666667)</f>
        <v>43599.66667</v>
      </c>
      <c r="B927" s="5">
        <f>IFERROR(__xludf.DUMMYFUNCTION("""COMPUTED_VALUE"""),4.05)</f>
        <v>4.05</v>
      </c>
      <c r="C927" s="5">
        <v>4.02188730239868</v>
      </c>
      <c r="D927" s="5">
        <v>257.46206665039</v>
      </c>
      <c r="E927" s="7">
        <f t="shared" ref="E927:F927" si="925">C927/C926-1</f>
        <v>0.02265714524</v>
      </c>
      <c r="F927" s="7">
        <f t="shared" si="925"/>
        <v>0.009043578957</v>
      </c>
    </row>
    <row r="928">
      <c r="A928" s="3">
        <f>IFERROR(__xludf.DUMMYFUNCTION("""COMPUTED_VALUE"""),43600.66666666667)</f>
        <v>43600.66667</v>
      </c>
      <c r="B928" s="5">
        <f>IFERROR(__xludf.DUMMYFUNCTION("""COMPUTED_VALUE"""),3.99)</f>
        <v>3.99</v>
      </c>
      <c r="C928" s="5">
        <v>3.96082830429077</v>
      </c>
      <c r="D928" s="5">
        <v>258.970245361328</v>
      </c>
      <c r="E928" s="7">
        <f t="shared" ref="E928:F928" si="926">C928/C927-1</f>
        <v>-0.01518167803</v>
      </c>
      <c r="F928" s="7">
        <f t="shared" si="926"/>
        <v>0.005857867648</v>
      </c>
    </row>
    <row r="929">
      <c r="A929" s="3">
        <f>IFERROR(__xludf.DUMMYFUNCTION("""COMPUTED_VALUE"""),43601.66666666667)</f>
        <v>43601.66667</v>
      </c>
      <c r="B929" s="5">
        <f>IFERROR(__xludf.DUMMYFUNCTION("""COMPUTED_VALUE"""),4.0)</f>
        <v>4</v>
      </c>
      <c r="C929" s="5">
        <v>3.9759681224823</v>
      </c>
      <c r="D929" s="5">
        <v>261.368530273437</v>
      </c>
      <c r="E929" s="7">
        <f t="shared" ref="E929:F929" si="927">C929/C928-1</f>
        <v>0.003822386892</v>
      </c>
      <c r="F929" s="7">
        <f t="shared" si="927"/>
        <v>0.009260851218</v>
      </c>
    </row>
    <row r="930">
      <c r="A930" s="3">
        <f>IFERROR(__xludf.DUMMYFUNCTION("""COMPUTED_VALUE"""),43602.66666666667)</f>
        <v>43602.66667</v>
      </c>
      <c r="B930" s="5">
        <f>IFERROR(__xludf.DUMMYFUNCTION("""COMPUTED_VALUE"""),3.91)</f>
        <v>3.91</v>
      </c>
      <c r="C930" s="5">
        <v>3.8851261138916</v>
      </c>
      <c r="D930" s="5">
        <v>259.678833007812</v>
      </c>
      <c r="E930" s="7">
        <f t="shared" ref="E930:F930" si="928">C930/C929-1</f>
        <v>-0.02284777086</v>
      </c>
      <c r="F930" s="7">
        <f t="shared" si="928"/>
        <v>-0.006464807618</v>
      </c>
    </row>
    <row r="931">
      <c r="A931" s="3">
        <f>IFERROR(__xludf.DUMMYFUNCTION("""COMPUTED_VALUE"""),43605.66666666667)</f>
        <v>43605.66667</v>
      </c>
      <c r="B931" s="5">
        <f>IFERROR(__xludf.DUMMYFUNCTION("""COMPUTED_VALUE"""),3.79)</f>
        <v>3.79</v>
      </c>
      <c r="C931" s="5">
        <v>3.76648592948913</v>
      </c>
      <c r="D931" s="5">
        <v>257.961791992187</v>
      </c>
      <c r="E931" s="7">
        <f t="shared" ref="E931:F931" si="929">C931/C930-1</f>
        <v>-0.03053702272</v>
      </c>
      <c r="F931" s="7">
        <f t="shared" si="929"/>
        <v>-0.006612171642</v>
      </c>
    </row>
    <row r="932">
      <c r="A932" s="3">
        <f>IFERROR(__xludf.DUMMYFUNCTION("""COMPUTED_VALUE"""),43606.66666666667)</f>
        <v>43606.66667</v>
      </c>
      <c r="B932" s="5">
        <f>IFERROR(__xludf.DUMMYFUNCTION("""COMPUTED_VALUE"""),3.88)</f>
        <v>3.88</v>
      </c>
      <c r="C932" s="5">
        <v>3.84863972663879</v>
      </c>
      <c r="D932" s="5">
        <v>260.287445068359</v>
      </c>
      <c r="E932" s="7">
        <f t="shared" ref="E932:F932" si="930">C932/C931-1</f>
        <v>0.02181178921</v>
      </c>
      <c r="F932" s="7">
        <f t="shared" si="930"/>
        <v>0.009015494342</v>
      </c>
    </row>
    <row r="933">
      <c r="A933" s="3">
        <f>IFERROR(__xludf.DUMMYFUNCTION("""COMPUTED_VALUE"""),43607.66666666667)</f>
        <v>43607.66667</v>
      </c>
      <c r="B933" s="5">
        <f>IFERROR(__xludf.DUMMYFUNCTION("""COMPUTED_VALUE"""),3.81)</f>
        <v>3.81</v>
      </c>
      <c r="C933" s="5">
        <v>3.77765464782714</v>
      </c>
      <c r="D933" s="5">
        <v>259.487976074218</v>
      </c>
      <c r="E933" s="7">
        <f t="shared" ref="E933:F933" si="931">C933/C932-1</f>
        <v>-0.01844419947</v>
      </c>
      <c r="F933" s="7">
        <f t="shared" si="931"/>
        <v>-0.003071485042</v>
      </c>
    </row>
    <row r="934">
      <c r="A934" s="3">
        <f>IFERROR(__xludf.DUMMYFUNCTION("""COMPUTED_VALUE"""),43608.66666666667)</f>
        <v>43608.66667</v>
      </c>
      <c r="B934" s="5">
        <f>IFERROR(__xludf.DUMMYFUNCTION("""COMPUTED_VALUE"""),3.68)</f>
        <v>3.68</v>
      </c>
      <c r="C934" s="5">
        <v>3.65653133392334</v>
      </c>
      <c r="D934" s="5">
        <v>256.317443847656</v>
      </c>
      <c r="E934" s="7">
        <f t="shared" ref="E934:F934" si="932">C934/C933-1</f>
        <v>-0.03206309872</v>
      </c>
      <c r="F934" s="7">
        <f t="shared" si="932"/>
        <v>-0.01221841672</v>
      </c>
    </row>
    <row r="935">
      <c r="A935" s="3">
        <f>IFERROR(__xludf.DUMMYFUNCTION("""COMPUTED_VALUE"""),43609.66666666667)</f>
        <v>43609.66667</v>
      </c>
      <c r="B935" s="5">
        <f>IFERROR(__xludf.DUMMYFUNCTION("""COMPUTED_VALUE"""),3.63)</f>
        <v>3.63</v>
      </c>
      <c r="C935" s="5">
        <v>3.60267090797424</v>
      </c>
      <c r="D935" s="5">
        <v>256.898895263671</v>
      </c>
      <c r="E935" s="7">
        <f t="shared" ref="E935:F935" si="933">C935/C934-1</f>
        <v>-0.01472992326</v>
      </c>
      <c r="F935" s="7">
        <f t="shared" si="933"/>
        <v>0.002268481642</v>
      </c>
    </row>
    <row r="936">
      <c r="A936" s="3">
        <f>IFERROR(__xludf.DUMMYFUNCTION("""COMPUTED_VALUE"""),43613.66666666667)</f>
        <v>43613.66667</v>
      </c>
      <c r="B936" s="5">
        <f>IFERROR(__xludf.DUMMYFUNCTION("""COMPUTED_VALUE"""),3.58)</f>
        <v>3.58</v>
      </c>
      <c r="C936" s="5">
        <v>3.55749797821044</v>
      </c>
      <c r="D936" s="5">
        <v>254.509613037109</v>
      </c>
      <c r="E936" s="7">
        <f t="shared" ref="E936:F936" si="934">C936/C935-1</f>
        <v>-0.01253873332</v>
      </c>
      <c r="F936" s="7">
        <f t="shared" si="934"/>
        <v>-0.009300476844</v>
      </c>
    </row>
    <row r="937">
      <c r="A937" s="3">
        <f>IFERROR(__xludf.DUMMYFUNCTION("""COMPUTED_VALUE"""),43614.66666666667)</f>
        <v>43614.66667</v>
      </c>
      <c r="B937" s="5">
        <f>IFERROR(__xludf.DUMMYFUNCTION("""COMPUTED_VALUE"""),3.51)</f>
        <v>3.51</v>
      </c>
      <c r="C937" s="5">
        <v>3.48328566551208</v>
      </c>
      <c r="D937" s="5">
        <v>252.801605224609</v>
      </c>
      <c r="E937" s="7">
        <f t="shared" ref="E937:F937" si="935">C937/C936-1</f>
        <v>-0.02086081655</v>
      </c>
      <c r="F937" s="7">
        <f t="shared" si="935"/>
        <v>-0.006710975637</v>
      </c>
    </row>
    <row r="938">
      <c r="A938" s="3">
        <f>IFERROR(__xludf.DUMMYFUNCTION("""COMPUTED_VALUE"""),43615.66666666667)</f>
        <v>43615.66667</v>
      </c>
      <c r="B938" s="5">
        <f>IFERROR(__xludf.DUMMYFUNCTION("""COMPUTED_VALUE"""),3.48)</f>
        <v>3.48</v>
      </c>
      <c r="C938" s="5">
        <v>3.45669746398925</v>
      </c>
      <c r="D938" s="5">
        <v>253.492095947265</v>
      </c>
      <c r="E938" s="7">
        <f t="shared" ref="E938:F938" si="936">C938/C937-1</f>
        <v>-0.007633080969</v>
      </c>
      <c r="F938" s="7">
        <f t="shared" si="936"/>
        <v>0.002731354186</v>
      </c>
    </row>
    <row r="939">
      <c r="A939" s="3">
        <f>IFERROR(__xludf.DUMMYFUNCTION("""COMPUTED_VALUE"""),43616.66666666667)</f>
        <v>43616.66667</v>
      </c>
      <c r="B939" s="5">
        <f>IFERROR(__xludf.DUMMYFUNCTION("""COMPUTED_VALUE"""),3.39)</f>
        <v>3.39</v>
      </c>
      <c r="C939" s="5">
        <v>3.36599922180175</v>
      </c>
      <c r="D939" s="5">
        <v>250.076171875</v>
      </c>
      <c r="E939" s="7">
        <f t="shared" ref="E939:F939" si="937">C939/C938-1</f>
        <v>-0.0262384091</v>
      </c>
      <c r="F939" s="7">
        <f t="shared" si="937"/>
        <v>-0.01347546581</v>
      </c>
    </row>
    <row r="940">
      <c r="A940" s="3">
        <f>IFERROR(__xludf.DUMMYFUNCTION("""COMPUTED_VALUE"""),43619.66666666667)</f>
        <v>43619.66667</v>
      </c>
      <c r="B940" s="5">
        <f>IFERROR(__xludf.DUMMYFUNCTION("""COMPUTED_VALUE"""),3.34)</f>
        <v>3.34</v>
      </c>
      <c r="C940" s="5">
        <v>3.32425451278686</v>
      </c>
      <c r="D940" s="5">
        <v>249.440246582031</v>
      </c>
      <c r="E940" s="7">
        <f t="shared" ref="E940:F940" si="938">C940/C939-1</f>
        <v>-0.0124018772</v>
      </c>
      <c r="F940" s="7">
        <f t="shared" si="938"/>
        <v>-0.002542926374</v>
      </c>
    </row>
    <row r="941">
      <c r="A941" s="3">
        <f>IFERROR(__xludf.DUMMYFUNCTION("""COMPUTED_VALUE"""),43620.66666666667)</f>
        <v>43620.66667</v>
      </c>
      <c r="B941" s="5">
        <f>IFERROR(__xludf.DUMMYFUNCTION("""COMPUTED_VALUE"""),3.58)</f>
        <v>3.58</v>
      </c>
      <c r="C941" s="5">
        <v>3.55335879325866</v>
      </c>
      <c r="D941" s="5">
        <v>254.854736328125</v>
      </c>
      <c r="E941" s="7">
        <f t="shared" ref="E941:F941" si="939">C941/C940-1</f>
        <v>0.0689189951</v>
      </c>
      <c r="F941" s="7">
        <f t="shared" si="939"/>
        <v>0.02170656027</v>
      </c>
    </row>
    <row r="942">
      <c r="A942" s="3">
        <f>IFERROR(__xludf.DUMMYFUNCTION("""COMPUTED_VALUE"""),43621.66666666667)</f>
        <v>43621.66667</v>
      </c>
      <c r="B942" s="5">
        <f>IFERROR(__xludf.DUMMYFUNCTION("""COMPUTED_VALUE"""),3.53)</f>
        <v>3.53</v>
      </c>
      <c r="C942" s="5">
        <v>3.51061916351318</v>
      </c>
      <c r="D942" s="5">
        <v>257.062438964843</v>
      </c>
      <c r="E942" s="7">
        <f t="shared" ref="E942:F942" si="940">C942/C941-1</f>
        <v>-0.01202795221</v>
      </c>
      <c r="F942" s="7">
        <f t="shared" si="940"/>
        <v>0.008662592144</v>
      </c>
    </row>
    <row r="943">
      <c r="A943" s="3">
        <f>IFERROR(__xludf.DUMMYFUNCTION("""COMPUTED_VALUE"""),43622.66666666667)</f>
        <v>43622.66667</v>
      </c>
      <c r="B943" s="5">
        <f>IFERROR(__xludf.DUMMYFUNCTION("""COMPUTED_VALUE"""),3.59)</f>
        <v>3.59</v>
      </c>
      <c r="C943" s="5">
        <v>3.57274079322814</v>
      </c>
      <c r="D943" s="5">
        <v>258.733978271484</v>
      </c>
      <c r="E943" s="7">
        <f t="shared" ref="E943:F943" si="941">C943/C942-1</f>
        <v>0.01769534855</v>
      </c>
      <c r="F943" s="7">
        <f t="shared" si="941"/>
        <v>0.0065024642</v>
      </c>
    </row>
    <row r="944">
      <c r="A944" s="3">
        <f>IFERROR(__xludf.DUMMYFUNCTION("""COMPUTED_VALUE"""),43623.66666666667)</f>
        <v>43623.66667</v>
      </c>
      <c r="B944" s="5">
        <f>IFERROR(__xludf.DUMMYFUNCTION("""COMPUTED_VALUE"""),3.64)</f>
        <v>3.64</v>
      </c>
      <c r="C944" s="5">
        <v>3.61548042297363</v>
      </c>
      <c r="D944" s="5">
        <v>261.323150634765</v>
      </c>
      <c r="E944" s="7">
        <f t="shared" ref="E944:F944" si="942">C944/C943-1</f>
        <v>0.01196270097</v>
      </c>
      <c r="F944" s="7">
        <f t="shared" si="942"/>
        <v>0.01000708288</v>
      </c>
    </row>
    <row r="945">
      <c r="A945" s="3">
        <f>IFERROR(__xludf.DUMMYFUNCTION("""COMPUTED_VALUE"""),43626.66666666667)</f>
        <v>43626.66667</v>
      </c>
      <c r="B945" s="5">
        <f>IFERROR(__xludf.DUMMYFUNCTION("""COMPUTED_VALUE"""),3.71)</f>
        <v>3.71</v>
      </c>
      <c r="C945" s="5">
        <v>3.68828797340393</v>
      </c>
      <c r="D945" s="5">
        <v>262.522369384765</v>
      </c>
      <c r="E945" s="7">
        <f t="shared" ref="E945:F945" si="943">C945/C944-1</f>
        <v>0.02013772498</v>
      </c>
      <c r="F945" s="7">
        <f t="shared" si="943"/>
        <v>0.004589026066</v>
      </c>
    </row>
    <row r="946">
      <c r="A946" s="3">
        <f>IFERROR(__xludf.DUMMYFUNCTION("""COMPUTED_VALUE"""),43627.66666666667)</f>
        <v>43627.66667</v>
      </c>
      <c r="B946" s="5">
        <f>IFERROR(__xludf.DUMMYFUNCTION("""COMPUTED_VALUE"""),3.77)</f>
        <v>3.77</v>
      </c>
      <c r="C946" s="5">
        <v>3.74593591690063</v>
      </c>
      <c r="D946" s="5">
        <v>262.458709716796</v>
      </c>
      <c r="E946" s="7">
        <f t="shared" ref="E946:F946" si="944">C946/C945-1</f>
        <v>0.01563000067</v>
      </c>
      <c r="F946" s="7">
        <f t="shared" si="944"/>
        <v>-0.0002424923564</v>
      </c>
    </row>
    <row r="947">
      <c r="A947" s="3">
        <f>IFERROR(__xludf.DUMMYFUNCTION("""COMPUTED_VALUE"""),43628.66666666667)</f>
        <v>43628.66667</v>
      </c>
      <c r="B947" s="5">
        <f>IFERROR(__xludf.DUMMYFUNCTION("""COMPUTED_VALUE"""),3.66)</f>
        <v>3.66</v>
      </c>
      <c r="C947" s="5">
        <v>3.6328740119934</v>
      </c>
      <c r="D947" s="5">
        <v>261.995483398437</v>
      </c>
      <c r="E947" s="7">
        <f t="shared" ref="E947:F947" si="945">C947/C946-1</f>
        <v>-0.03018255181</v>
      </c>
      <c r="F947" s="7">
        <f t="shared" si="945"/>
        <v>-0.001764949309</v>
      </c>
    </row>
    <row r="948">
      <c r="A948" s="3">
        <f>IFERROR(__xludf.DUMMYFUNCTION("""COMPUTED_VALUE"""),43629.66666666667)</f>
        <v>43629.66667</v>
      </c>
      <c r="B948" s="5">
        <f>IFERROR(__xludf.DUMMYFUNCTION("""COMPUTED_VALUE"""),3.71)</f>
        <v>3.71</v>
      </c>
      <c r="C948" s="5">
        <v>3.68406271934509</v>
      </c>
      <c r="D948" s="5">
        <v>263.076538085937</v>
      </c>
      <c r="E948" s="7">
        <f t="shared" ref="E948:F948" si="946">C948/C947-1</f>
        <v>0.01409041634</v>
      </c>
      <c r="F948" s="7">
        <f t="shared" si="946"/>
        <v>0.004126234061</v>
      </c>
    </row>
    <row r="949">
      <c r="A949" s="3">
        <f>IFERROR(__xludf.DUMMYFUNCTION("""COMPUTED_VALUE"""),43630.66666666667)</f>
        <v>43630.66667</v>
      </c>
      <c r="B949" s="5">
        <f>IFERROR(__xludf.DUMMYFUNCTION("""COMPUTED_VALUE"""),3.62)</f>
        <v>3.62</v>
      </c>
      <c r="C949" s="5">
        <v>3.59411072731018</v>
      </c>
      <c r="D949" s="5">
        <v>262.785766601562</v>
      </c>
      <c r="E949" s="7">
        <f t="shared" ref="E949:F949" si="947">C949/C948-1</f>
        <v>-0.02441652026</v>
      </c>
      <c r="F949" s="7">
        <f t="shared" si="947"/>
        <v>-0.001105273342</v>
      </c>
    </row>
    <row r="950">
      <c r="A950" s="3">
        <f>IFERROR(__xludf.DUMMYFUNCTION("""COMPUTED_VALUE"""),43633.66666666667)</f>
        <v>43633.66667</v>
      </c>
      <c r="B950" s="5">
        <f>IFERROR(__xludf.DUMMYFUNCTION("""COMPUTED_VALUE"""),3.63)</f>
        <v>3.63</v>
      </c>
      <c r="C950" s="5">
        <v>3.60380125045776</v>
      </c>
      <c r="D950" s="5">
        <v>262.885650634765</v>
      </c>
      <c r="E950" s="7">
        <f t="shared" ref="E950:F950" si="948">C950/C949-1</f>
        <v>0.002696222761</v>
      </c>
      <c r="F950" s="7">
        <f t="shared" si="948"/>
        <v>0.0003800968161</v>
      </c>
    </row>
    <row r="951">
      <c r="A951" s="3">
        <f>IFERROR(__xludf.DUMMYFUNCTION("""COMPUTED_VALUE"""),43634.66666666667)</f>
        <v>43634.66667</v>
      </c>
      <c r="B951" s="5">
        <f>IFERROR(__xludf.DUMMYFUNCTION("""COMPUTED_VALUE"""),3.82)</f>
        <v>3.82</v>
      </c>
      <c r="C951" s="5">
        <v>3.79886364936828</v>
      </c>
      <c r="D951" s="5">
        <v>265.638275146484</v>
      </c>
      <c r="E951" s="7">
        <f t="shared" ref="E951:F951" si="949">C951/C950-1</f>
        <v>0.054126847</v>
      </c>
      <c r="F951" s="7">
        <f t="shared" si="949"/>
        <v>0.01047080548</v>
      </c>
    </row>
    <row r="952">
      <c r="A952" s="3">
        <f>IFERROR(__xludf.DUMMYFUNCTION("""COMPUTED_VALUE"""),43635.66666666667)</f>
        <v>43635.66667</v>
      </c>
      <c r="B952" s="5">
        <f>IFERROR(__xludf.DUMMYFUNCTION("""COMPUTED_VALUE"""),3.83)</f>
        <v>3.83</v>
      </c>
      <c r="C952" s="5">
        <v>3.80482745170593</v>
      </c>
      <c r="D952" s="5">
        <v>266.23794555664</v>
      </c>
      <c r="E952" s="7">
        <f t="shared" ref="E952:F952" si="950">C952/C951-1</f>
        <v>0.001569891127</v>
      </c>
      <c r="F952" s="7">
        <f t="shared" si="950"/>
        <v>0.002257469899</v>
      </c>
    </row>
    <row r="953">
      <c r="A953" s="3">
        <f>IFERROR(__xludf.DUMMYFUNCTION("""COMPUTED_VALUE"""),43636.66666666667)</f>
        <v>43636.66667</v>
      </c>
      <c r="B953" s="5">
        <f>IFERROR(__xludf.DUMMYFUNCTION("""COMPUTED_VALUE"""),3.85)</f>
        <v>3.85</v>
      </c>
      <c r="C953" s="5">
        <v>3.8291790485382</v>
      </c>
      <c r="D953" s="5">
        <v>268.781646728515</v>
      </c>
      <c r="E953" s="7">
        <f t="shared" ref="E953:F953" si="951">C953/C952-1</f>
        <v>0.006400184277</v>
      </c>
      <c r="F953" s="7">
        <f t="shared" si="951"/>
        <v>0.009554239786</v>
      </c>
    </row>
    <row r="954">
      <c r="A954" s="3">
        <f>IFERROR(__xludf.DUMMYFUNCTION("""COMPUTED_VALUE"""),43637.66666666667)</f>
        <v>43637.66667</v>
      </c>
      <c r="B954" s="5">
        <f>IFERROR(__xludf.DUMMYFUNCTION("""COMPUTED_VALUE"""),3.79)</f>
        <v>3.79</v>
      </c>
      <c r="C954" s="5">
        <v>3.77103281021118</v>
      </c>
      <c r="D954" s="5">
        <v>268.390991210937</v>
      </c>
      <c r="E954" s="7">
        <f t="shared" ref="E954:F954" si="952">C954/C953-1</f>
        <v>-0.01518504034</v>
      </c>
      <c r="F954" s="7">
        <f t="shared" si="952"/>
        <v>-0.001453430777</v>
      </c>
    </row>
    <row r="955">
      <c r="A955" s="3">
        <f>IFERROR(__xludf.DUMMYFUNCTION("""COMPUTED_VALUE"""),43640.66666666667)</f>
        <v>43640.66667</v>
      </c>
      <c r="B955" s="5">
        <f>IFERROR(__xludf.DUMMYFUNCTION("""COMPUTED_VALUE"""),3.82)</f>
        <v>3.82</v>
      </c>
      <c r="C955" s="5">
        <v>3.79339671134948</v>
      </c>
      <c r="D955" s="5">
        <v>268.062347412109</v>
      </c>
      <c r="E955" s="7">
        <f t="shared" ref="E955:F955" si="953">C955/C954-1</f>
        <v>0.005930444593</v>
      </c>
      <c r="F955" s="7">
        <f t="shared" si="953"/>
        <v>-0.001224496386</v>
      </c>
    </row>
    <row r="956">
      <c r="A956" s="3">
        <f>IFERROR(__xludf.DUMMYFUNCTION("""COMPUTED_VALUE"""),43641.66666666667)</f>
        <v>43641.66667</v>
      </c>
      <c r="B956" s="5">
        <f>IFERROR(__xludf.DUMMYFUNCTION("""COMPUTED_VALUE"""),3.79)</f>
        <v>3.79</v>
      </c>
      <c r="C956" s="5">
        <v>3.76407551765441</v>
      </c>
      <c r="D956" s="5">
        <v>265.43325805664</v>
      </c>
      <c r="E956" s="7">
        <f t="shared" ref="E956:F956" si="954">C956/C955-1</f>
        <v>-0.007729535276</v>
      </c>
      <c r="F956" s="7">
        <f t="shared" si="954"/>
        <v>-0.009807753237</v>
      </c>
    </row>
    <row r="957">
      <c r="A957" s="3">
        <f>IFERROR(__xludf.DUMMYFUNCTION("""COMPUTED_VALUE"""),43642.66666666667)</f>
        <v>43642.66667</v>
      </c>
      <c r="B957" s="5">
        <f>IFERROR(__xludf.DUMMYFUNCTION("""COMPUTED_VALUE"""),3.98)</f>
        <v>3.98</v>
      </c>
      <c r="C957" s="5">
        <v>3.95739769935607</v>
      </c>
      <c r="D957" s="5">
        <v>265.168548583984</v>
      </c>
      <c r="E957" s="7">
        <f t="shared" ref="E957:F957" si="955">C957/C956-1</f>
        <v>0.05135980423</v>
      </c>
      <c r="F957" s="7">
        <f t="shared" si="955"/>
        <v>-0.0009972731925</v>
      </c>
    </row>
    <row r="958">
      <c r="A958" s="3">
        <f>IFERROR(__xludf.DUMMYFUNCTION("""COMPUTED_VALUE"""),43643.66666666667)</f>
        <v>43643.66667</v>
      </c>
      <c r="B958" s="5">
        <f>IFERROR(__xludf.DUMMYFUNCTION("""COMPUTED_VALUE"""),4.08)</f>
        <v>4.08</v>
      </c>
      <c r="C958" s="5">
        <v>4.05604696273803</v>
      </c>
      <c r="D958" s="5">
        <v>266.108734130859</v>
      </c>
      <c r="E958" s="7">
        <f t="shared" ref="E958:F958" si="956">C958/C957-1</f>
        <v>0.02492781137</v>
      </c>
      <c r="F958" s="7">
        <f t="shared" si="956"/>
        <v>0.003545614862</v>
      </c>
    </row>
    <row r="959">
      <c r="A959" s="3">
        <f>IFERROR(__xludf.DUMMYFUNCTION("""COMPUTED_VALUE"""),43644.66666666667)</f>
        <v>43644.66667</v>
      </c>
      <c r="B959" s="5">
        <f>IFERROR(__xludf.DUMMYFUNCTION("""COMPUTED_VALUE"""),4.11)</f>
        <v>4.11</v>
      </c>
      <c r="C959" s="5">
        <v>4.08089590072631</v>
      </c>
      <c r="D959" s="5">
        <v>267.478057861328</v>
      </c>
      <c r="E959" s="7">
        <f t="shared" ref="E959:F959" si="957">C959/C958-1</f>
        <v>0.006126393066</v>
      </c>
      <c r="F959" s="7">
        <f t="shared" si="957"/>
        <v>0.005145730128</v>
      </c>
    </row>
    <row r="960">
      <c r="A960" s="3">
        <f>IFERROR(__xludf.DUMMYFUNCTION("""COMPUTED_VALUE"""),43647.66666666667)</f>
        <v>43647.66667</v>
      </c>
      <c r="B960" s="5">
        <f>IFERROR(__xludf.DUMMYFUNCTION("""COMPUTED_VALUE"""),4.15)</f>
        <v>4.15</v>
      </c>
      <c r="C960" s="5">
        <v>4.12910175323486</v>
      </c>
      <c r="D960" s="5">
        <v>269.906341552734</v>
      </c>
      <c r="E960" s="7">
        <f t="shared" ref="E960:F960" si="958">C960/C959-1</f>
        <v>0.01181256608</v>
      </c>
      <c r="F960" s="7">
        <f t="shared" si="958"/>
        <v>0.009078440717</v>
      </c>
    </row>
    <row r="961">
      <c r="A961" s="3">
        <f>IFERROR(__xludf.DUMMYFUNCTION("""COMPUTED_VALUE"""),43648.66666666667)</f>
        <v>43648.66667</v>
      </c>
      <c r="B961" s="5">
        <f>IFERROR(__xludf.DUMMYFUNCTION("""COMPUTED_VALUE"""),4.06)</f>
        <v>4.06</v>
      </c>
      <c r="C961" s="5">
        <v>4.03119754791259</v>
      </c>
      <c r="D961" s="5">
        <v>270.609375</v>
      </c>
      <c r="E961" s="7">
        <f t="shared" ref="E961:F961" si="959">C961/C960-1</f>
        <v>-0.02371077565</v>
      </c>
      <c r="F961" s="7">
        <f t="shared" si="959"/>
        <v>0.00260473112</v>
      </c>
    </row>
    <row r="962">
      <c r="A962" s="3">
        <f>IFERROR(__xludf.DUMMYFUNCTION("""COMPUTED_VALUE"""),43649.54166666667)</f>
        <v>43649.54167</v>
      </c>
      <c r="B962" s="5">
        <f>IFERROR(__xludf.DUMMYFUNCTION("""COMPUTED_VALUE"""),4.07)</f>
        <v>4.07</v>
      </c>
      <c r="C962" s="5">
        <v>4.04412126541137</v>
      </c>
      <c r="D962" s="5">
        <v>272.772918701171</v>
      </c>
      <c r="E962" s="7">
        <f t="shared" ref="E962:F962" si="960">C962/C961-1</f>
        <v>0.003205925124</v>
      </c>
      <c r="F962" s="7">
        <f t="shared" si="960"/>
        <v>0.007995080367</v>
      </c>
    </row>
    <row r="963">
      <c r="A963" s="3">
        <f>IFERROR(__xludf.DUMMYFUNCTION("""COMPUTED_VALUE"""),43651.66666666667)</f>
        <v>43651.66667</v>
      </c>
      <c r="B963" s="5">
        <f>IFERROR(__xludf.DUMMYFUNCTION("""COMPUTED_VALUE"""),4.01)</f>
        <v>4.01</v>
      </c>
      <c r="C963" s="5">
        <v>3.98150086402893</v>
      </c>
      <c r="D963" s="5">
        <v>272.462524414062</v>
      </c>
      <c r="E963" s="7">
        <f t="shared" ref="E963:F963" si="961">C963/C962-1</f>
        <v>-0.01548430358</v>
      </c>
      <c r="F963" s="7">
        <f t="shared" si="961"/>
        <v>-0.001137921934</v>
      </c>
    </row>
    <row r="964">
      <c r="A964" s="3">
        <f>IFERROR(__xludf.DUMMYFUNCTION("""COMPUTED_VALUE"""),43654.66666666667)</f>
        <v>43654.66667</v>
      </c>
      <c r="B964" s="5">
        <f>IFERROR(__xludf.DUMMYFUNCTION("""COMPUTED_VALUE"""),3.93)</f>
        <v>3.93</v>
      </c>
      <c r="C964" s="5">
        <v>3.90645837783813</v>
      </c>
      <c r="D964" s="5">
        <v>270.965362548828</v>
      </c>
      <c r="E964" s="7">
        <f t="shared" ref="E964:F964" si="962">C964/C963-1</f>
        <v>-0.0188477885</v>
      </c>
      <c r="F964" s="7">
        <f t="shared" si="962"/>
        <v>-0.005494927673</v>
      </c>
    </row>
    <row r="965">
      <c r="A965" s="3">
        <f>IFERROR(__xludf.DUMMYFUNCTION("""COMPUTED_VALUE"""),43655.66666666667)</f>
        <v>43655.66667</v>
      </c>
      <c r="B965" s="5">
        <f>IFERROR(__xludf.DUMMYFUNCTION("""COMPUTED_VALUE"""),3.93)</f>
        <v>3.93</v>
      </c>
      <c r="C965" s="5">
        <v>3.90894293785095</v>
      </c>
      <c r="D965" s="5">
        <v>271.303039550781</v>
      </c>
      <c r="E965" s="7">
        <f t="shared" ref="E965:F965" si="963">C965/C964-1</f>
        <v>0.0006360134353</v>
      </c>
      <c r="F965" s="7">
        <f t="shared" si="963"/>
        <v>0.001246199879</v>
      </c>
    </row>
    <row r="966">
      <c r="A966" s="3">
        <f>IFERROR(__xludf.DUMMYFUNCTION("""COMPUTED_VALUE"""),43656.66666666667)</f>
        <v>43656.66667</v>
      </c>
      <c r="B966" s="5">
        <f>IFERROR(__xludf.DUMMYFUNCTION("""COMPUTED_VALUE"""),4.0)</f>
        <v>4</v>
      </c>
      <c r="C966" s="5">
        <v>3.97727704048156</v>
      </c>
      <c r="D966" s="5">
        <v>272.599426269531</v>
      </c>
      <c r="E966" s="7">
        <f t="shared" ref="E966:F966" si="964">C966/C965-1</f>
        <v>0.01748147868</v>
      </c>
      <c r="F966" s="7">
        <f t="shared" si="964"/>
        <v>0.004778371525</v>
      </c>
    </row>
    <row r="967">
      <c r="A967" s="3">
        <f>IFERROR(__xludf.DUMMYFUNCTION("""COMPUTED_VALUE"""),43657.66666666667)</f>
        <v>43657.66667</v>
      </c>
      <c r="B967" s="5">
        <f>IFERROR(__xludf.DUMMYFUNCTION("""COMPUTED_VALUE"""),4.16)</f>
        <v>4.16</v>
      </c>
      <c r="C967" s="5">
        <v>4.13183498382568</v>
      </c>
      <c r="D967" s="5">
        <v>273.238372802734</v>
      </c>
      <c r="E967" s="7">
        <f t="shared" ref="E967:F967" si="965">C967/C966-1</f>
        <v>0.03886024076</v>
      </c>
      <c r="F967" s="7">
        <f t="shared" si="965"/>
        <v>0.002343902707</v>
      </c>
    </row>
    <row r="968">
      <c r="A968" s="3">
        <f>IFERROR(__xludf.DUMMYFUNCTION("""COMPUTED_VALUE"""),43658.66666666667)</f>
        <v>43658.66667</v>
      </c>
      <c r="B968" s="5">
        <f>IFERROR(__xludf.DUMMYFUNCTION("""COMPUTED_VALUE"""),4.19)</f>
        <v>4.19</v>
      </c>
      <c r="C968" s="5">
        <v>4.16488456726074</v>
      </c>
      <c r="D968" s="5">
        <v>274.461730957031</v>
      </c>
      <c r="E968" s="7">
        <f t="shared" ref="E968:F968" si="966">C968/C967-1</f>
        <v>0.007998766544</v>
      </c>
      <c r="F968" s="7">
        <f t="shared" si="966"/>
        <v>0.004477256037</v>
      </c>
    </row>
    <row r="969">
      <c r="A969" s="3">
        <f>IFERROR(__xludf.DUMMYFUNCTION("""COMPUTED_VALUE"""),43661.66666666667)</f>
        <v>43661.66667</v>
      </c>
      <c r="B969" s="5">
        <f>IFERROR(__xludf.DUMMYFUNCTION("""COMPUTED_VALUE"""),4.18)</f>
        <v>4.18</v>
      </c>
      <c r="C969" s="5">
        <v>4.15643548965454</v>
      </c>
      <c r="D969" s="5">
        <v>274.552978515625</v>
      </c>
      <c r="E969" s="7">
        <f t="shared" ref="E969:F969" si="967">C969/C968-1</f>
        <v>-0.002028646285</v>
      </c>
      <c r="F969" s="7">
        <f t="shared" si="967"/>
        <v>0.000332460042</v>
      </c>
    </row>
    <row r="970">
      <c r="A970" s="3">
        <f>IFERROR(__xludf.DUMMYFUNCTION("""COMPUTED_VALUE"""),43662.66666666667)</f>
        <v>43662.66667</v>
      </c>
      <c r="B970" s="5">
        <f>IFERROR(__xludf.DUMMYFUNCTION("""COMPUTED_VALUE"""),4.18)</f>
        <v>4.18</v>
      </c>
      <c r="C970" s="5">
        <v>4.15171527862548</v>
      </c>
      <c r="D970" s="5">
        <v>273.667572021484</v>
      </c>
      <c r="E970" s="7">
        <f t="shared" ref="E970:F970" si="968">C970/C969-1</f>
        <v>-0.001135639189</v>
      </c>
      <c r="F970" s="7">
        <f t="shared" si="968"/>
        <v>-0.003224902163</v>
      </c>
    </row>
    <row r="971">
      <c r="A971" s="3">
        <f>IFERROR(__xludf.DUMMYFUNCTION("""COMPUTED_VALUE"""),43663.66666666667)</f>
        <v>43663.66667</v>
      </c>
      <c r="B971" s="5">
        <f>IFERROR(__xludf.DUMMYFUNCTION("""COMPUTED_VALUE"""),4.24)</f>
        <v>4.24</v>
      </c>
      <c r="C971" s="5">
        <v>4.21706628799438</v>
      </c>
      <c r="D971" s="5">
        <v>271.805267333984</v>
      </c>
      <c r="E971" s="7">
        <f t="shared" ref="E971:F971" si="969">C971/C970-1</f>
        <v>0.01574072521</v>
      </c>
      <c r="F971" s="7">
        <f t="shared" si="969"/>
        <v>-0.006804988526</v>
      </c>
    </row>
    <row r="972">
      <c r="A972" s="3">
        <f>IFERROR(__xludf.DUMMYFUNCTION("""COMPUTED_VALUE"""),43664.66666666667)</f>
        <v>43664.66667</v>
      </c>
      <c r="B972" s="5">
        <f>IFERROR(__xludf.DUMMYFUNCTION("""COMPUTED_VALUE"""),4.25)</f>
        <v>4.25</v>
      </c>
      <c r="C972" s="5">
        <v>4.22874450683593</v>
      </c>
      <c r="D972" s="5">
        <v>272.800231933593</v>
      </c>
      <c r="E972" s="7">
        <f t="shared" ref="E972:F972" si="970">C972/C971-1</f>
        <v>0.002769275616</v>
      </c>
      <c r="F972" s="7">
        <f t="shared" si="970"/>
        <v>0.003660578801</v>
      </c>
    </row>
    <row r="973">
      <c r="A973" s="3">
        <f>IFERROR(__xludf.DUMMYFUNCTION("""COMPUTED_VALUE"""),43665.66666666667)</f>
        <v>43665.66667</v>
      </c>
      <c r="B973" s="5">
        <f>IFERROR(__xludf.DUMMYFUNCTION("""COMPUTED_VALUE"""),4.21)</f>
        <v>4.21</v>
      </c>
      <c r="C973" s="5">
        <v>4.1855092048645</v>
      </c>
      <c r="D973" s="5">
        <v>271.284851074218</v>
      </c>
      <c r="E973" s="7">
        <f t="shared" ref="E973:F973" si="971">C973/C972-1</f>
        <v>-0.01022414617</v>
      </c>
      <c r="F973" s="7">
        <f t="shared" si="971"/>
        <v>-0.005554910451</v>
      </c>
    </row>
    <row r="974">
      <c r="A974" s="3">
        <f>IFERROR(__xludf.DUMMYFUNCTION("""COMPUTED_VALUE"""),43668.66666666667)</f>
        <v>43668.66667</v>
      </c>
      <c r="B974" s="5">
        <f>IFERROR(__xludf.DUMMYFUNCTION("""COMPUTED_VALUE"""),4.28)</f>
        <v>4.28</v>
      </c>
      <c r="C974" s="5">
        <v>4.25707244873046</v>
      </c>
      <c r="D974" s="5">
        <v>271.951263427734</v>
      </c>
      <c r="E974" s="7">
        <f t="shared" ref="E974:F974" si="972">C974/C973-1</f>
        <v>0.01709785844</v>
      </c>
      <c r="F974" s="7">
        <f t="shared" si="972"/>
        <v>0.002456504117</v>
      </c>
    </row>
    <row r="975">
      <c r="A975" s="3">
        <f>IFERROR(__xludf.DUMMYFUNCTION("""COMPUTED_VALUE"""),43669.66666666667)</f>
        <v>43669.66667</v>
      </c>
      <c r="B975" s="5">
        <f>IFERROR(__xludf.DUMMYFUNCTION("""COMPUTED_VALUE"""),4.39)</f>
        <v>4.39</v>
      </c>
      <c r="C975" s="5">
        <v>4.36491680145263</v>
      </c>
      <c r="D975" s="5">
        <v>273.895782470703</v>
      </c>
      <c r="E975" s="7">
        <f t="shared" ref="E975:F975" si="973">C975/C974-1</f>
        <v>0.02533298506</v>
      </c>
      <c r="F975" s="7">
        <f t="shared" si="973"/>
        <v>0.007150248241</v>
      </c>
    </row>
    <row r="976">
      <c r="A976" s="3">
        <f>IFERROR(__xludf.DUMMYFUNCTION("""COMPUTED_VALUE"""),43670.66666666667)</f>
        <v>43670.66667</v>
      </c>
      <c r="B976" s="5">
        <f>IFERROR(__xludf.DUMMYFUNCTION("""COMPUTED_VALUE"""),4.47)</f>
        <v>4.47</v>
      </c>
      <c r="C976" s="5">
        <v>4.439462184906</v>
      </c>
      <c r="D976" s="5">
        <v>275.182891845703</v>
      </c>
      <c r="E976" s="7">
        <f t="shared" ref="E976:F976" si="974">C976/C975-1</f>
        <v>0.01707830569</v>
      </c>
      <c r="F976" s="7">
        <f t="shared" si="974"/>
        <v>0.004699266865</v>
      </c>
    </row>
    <row r="977">
      <c r="A977" s="3">
        <f>IFERROR(__xludf.DUMMYFUNCTION("""COMPUTED_VALUE"""),43671.66666666667)</f>
        <v>43671.66667</v>
      </c>
      <c r="B977" s="5">
        <f>IFERROR(__xludf.DUMMYFUNCTION("""COMPUTED_VALUE"""),4.33)</f>
        <v>4.33</v>
      </c>
      <c r="C977" s="5">
        <v>4.30826187133789</v>
      </c>
      <c r="D977" s="5">
        <v>273.868377685546</v>
      </c>
      <c r="E977" s="7">
        <f t="shared" ref="E977:F977" si="975">C977/C976-1</f>
        <v>-0.02955319994</v>
      </c>
      <c r="F977" s="7">
        <f t="shared" si="975"/>
        <v>-0.004776874577</v>
      </c>
    </row>
    <row r="978">
      <c r="A978" s="3">
        <f>IFERROR(__xludf.DUMMYFUNCTION("""COMPUTED_VALUE"""),43672.66666666667)</f>
        <v>43672.66667</v>
      </c>
      <c r="B978" s="5">
        <f>IFERROR(__xludf.DUMMYFUNCTION("""COMPUTED_VALUE"""),4.38)</f>
        <v>4.38</v>
      </c>
      <c r="C978" s="5">
        <v>4.35025691986084</v>
      </c>
      <c r="D978" s="5">
        <v>275.70327758789</v>
      </c>
      <c r="E978" s="7">
        <f t="shared" ref="E978:F978" si="976">C978/C977-1</f>
        <v>0.009747561726</v>
      </c>
      <c r="F978" s="7">
        <f t="shared" si="976"/>
        <v>0.006699933442</v>
      </c>
    </row>
    <row r="979">
      <c r="A979" s="3">
        <f>IFERROR(__xludf.DUMMYFUNCTION("""COMPUTED_VALUE"""),43675.66666666667)</f>
        <v>43675.66667</v>
      </c>
      <c r="B979" s="5">
        <f>IFERROR(__xludf.DUMMYFUNCTION("""COMPUTED_VALUE"""),4.37)</f>
        <v>4.37</v>
      </c>
      <c r="C979" s="5">
        <v>4.34404325485229</v>
      </c>
      <c r="D979" s="5">
        <v>275.201110839843</v>
      </c>
      <c r="E979" s="7">
        <f t="shared" ref="E979:F979" si="977">C979/C978-1</f>
        <v>-0.001428344377</v>
      </c>
      <c r="F979" s="7">
        <f t="shared" si="977"/>
        <v>-0.001821402895</v>
      </c>
    </row>
    <row r="980">
      <c r="A980" s="3">
        <f>IFERROR(__xludf.DUMMYFUNCTION("""COMPUTED_VALUE"""),43676.66666666667)</f>
        <v>43676.66667</v>
      </c>
      <c r="B980" s="5">
        <f>IFERROR(__xludf.DUMMYFUNCTION("""COMPUTED_VALUE"""),4.39)</f>
        <v>4.39</v>
      </c>
      <c r="C980" s="5">
        <v>4.35969829559326</v>
      </c>
      <c r="D980" s="5">
        <v>274.525634765625</v>
      </c>
      <c r="E980" s="7">
        <f t="shared" ref="E980:F980" si="978">C980/C979-1</f>
        <v>0.003603794857</v>
      </c>
      <c r="F980" s="7">
        <f t="shared" si="978"/>
        <v>-0.002454481641</v>
      </c>
    </row>
    <row r="981">
      <c r="A981" s="3">
        <f>IFERROR(__xludf.DUMMYFUNCTION("""COMPUTED_VALUE"""),43677.66666666667)</f>
        <v>43677.66667</v>
      </c>
      <c r="B981" s="5">
        <f>IFERROR(__xludf.DUMMYFUNCTION("""COMPUTED_VALUE"""),4.22)</f>
        <v>4.22</v>
      </c>
      <c r="C981" s="5">
        <v>4.19246673583984</v>
      </c>
      <c r="D981" s="5">
        <v>271.522247314453</v>
      </c>
      <c r="E981" s="7">
        <f t="shared" ref="E981:F981" si="979">C981/C980-1</f>
        <v>-0.03835851667</v>
      </c>
      <c r="F981" s="7">
        <f t="shared" si="979"/>
        <v>-0.01094028051</v>
      </c>
    </row>
    <row r="982">
      <c r="A982" s="3">
        <f>IFERROR(__xludf.DUMMYFUNCTION("""COMPUTED_VALUE"""),43678.66666666667)</f>
        <v>43678.66667</v>
      </c>
      <c r="B982" s="5">
        <f>IFERROR(__xludf.DUMMYFUNCTION("""COMPUTED_VALUE"""),4.12)</f>
        <v>4.12</v>
      </c>
      <c r="C982" s="5">
        <v>4.09804201126098</v>
      </c>
      <c r="D982" s="5">
        <v>269.157745361328</v>
      </c>
      <c r="E982" s="7">
        <f t="shared" ref="E982:F982" si="980">C982/C981-1</f>
        <v>-0.02252247436</v>
      </c>
      <c r="F982" s="7">
        <f t="shared" si="980"/>
        <v>-0.008708317556</v>
      </c>
    </row>
    <row r="983">
      <c r="A983" s="3">
        <f>IFERROR(__xludf.DUMMYFUNCTION("""COMPUTED_VALUE"""),43679.66666666667)</f>
        <v>43679.66667</v>
      </c>
      <c r="B983" s="5">
        <f>IFERROR(__xludf.DUMMYFUNCTION("""COMPUTED_VALUE"""),4.03)</f>
        <v>4.03</v>
      </c>
      <c r="C983" s="5">
        <v>4.00535488128662</v>
      </c>
      <c r="D983" s="5">
        <v>267.131164550781</v>
      </c>
      <c r="E983" s="7">
        <f t="shared" ref="E983:F983" si="981">C983/C982-1</f>
        <v>-0.0226174182</v>
      </c>
      <c r="F983" s="7">
        <f t="shared" si="981"/>
        <v>-0.007529342348</v>
      </c>
    </row>
    <row r="984">
      <c r="A984" s="3">
        <f>IFERROR(__xludf.DUMMYFUNCTION("""COMPUTED_VALUE"""),43682.66666666667)</f>
        <v>43682.66667</v>
      </c>
      <c r="B984" s="5">
        <f>IFERROR(__xludf.DUMMYFUNCTION("""COMPUTED_VALUE"""),3.77)</f>
        <v>3.77</v>
      </c>
      <c r="C984" s="5">
        <v>3.74693012237548</v>
      </c>
      <c r="D984" s="5">
        <v>259.097747802734</v>
      </c>
      <c r="E984" s="7">
        <f t="shared" ref="E984:F984" si="982">C984/C983-1</f>
        <v>-0.06451981574</v>
      </c>
      <c r="F984" s="7">
        <f t="shared" si="982"/>
        <v>-0.03007292976</v>
      </c>
    </row>
    <row r="985">
      <c r="A985" s="3">
        <f>IFERROR(__xludf.DUMMYFUNCTION("""COMPUTED_VALUE"""),43683.66666666667)</f>
        <v>43683.66667</v>
      </c>
      <c r="B985" s="5">
        <f>IFERROR(__xludf.DUMMYFUNCTION("""COMPUTED_VALUE"""),3.81)</f>
        <v>3.81</v>
      </c>
      <c r="C985" s="5">
        <v>3.78569388389587</v>
      </c>
      <c r="D985" s="5">
        <v>262.731018066406</v>
      </c>
      <c r="E985" s="7">
        <f t="shared" ref="E985:F985" si="983">C985/C984-1</f>
        <v>0.01034547223</v>
      </c>
      <c r="F985" s="7">
        <f t="shared" si="983"/>
        <v>0.01402277825</v>
      </c>
    </row>
    <row r="986">
      <c r="A986" s="3">
        <f>IFERROR(__xludf.DUMMYFUNCTION("""COMPUTED_VALUE"""),43684.66666666667)</f>
        <v>43684.66667</v>
      </c>
      <c r="B986" s="5">
        <f>IFERROR(__xludf.DUMMYFUNCTION("""COMPUTED_VALUE"""),3.85)</f>
        <v>3.85</v>
      </c>
      <c r="C986" s="5">
        <v>3.82396101951599</v>
      </c>
      <c r="D986" s="5">
        <v>262.886169433593</v>
      </c>
      <c r="E986" s="7">
        <f t="shared" ref="E986:F986" si="984">C986/C985-1</f>
        <v>0.01010835445</v>
      </c>
      <c r="F986" s="7">
        <f t="shared" si="984"/>
        <v>0.0005905331176</v>
      </c>
    </row>
    <row r="987">
      <c r="A987" s="3">
        <f>IFERROR(__xludf.DUMMYFUNCTION("""COMPUTED_VALUE"""),43685.66666666667)</f>
        <v>43685.66667</v>
      </c>
      <c r="B987" s="5">
        <f>IFERROR(__xludf.DUMMYFUNCTION("""COMPUTED_VALUE"""),3.96)</f>
        <v>3.96</v>
      </c>
      <c r="C987" s="5">
        <v>3.93254923820495</v>
      </c>
      <c r="D987" s="5">
        <v>268.04409790039</v>
      </c>
      <c r="E987" s="7">
        <f t="shared" ref="E987:F987" si="985">C987/C986-1</f>
        <v>0.02839679017</v>
      </c>
      <c r="F987" s="7">
        <f t="shared" si="985"/>
        <v>0.01962038733</v>
      </c>
    </row>
    <row r="988">
      <c r="A988" s="3">
        <f>IFERROR(__xludf.DUMMYFUNCTION("""COMPUTED_VALUE"""),43686.66666666667)</f>
        <v>43686.66667</v>
      </c>
      <c r="B988" s="5">
        <f>IFERROR(__xludf.DUMMYFUNCTION("""COMPUTED_VALUE"""),3.85)</f>
        <v>3.85</v>
      </c>
      <c r="C988" s="5">
        <v>3.83116650581359</v>
      </c>
      <c r="D988" s="5">
        <v>266.21826171875</v>
      </c>
      <c r="E988" s="7">
        <f t="shared" ref="E988:F988" si="986">C988/C987-1</f>
        <v>-0.02578041017</v>
      </c>
      <c r="F988" s="7">
        <f t="shared" si="986"/>
        <v>-0.006811700746</v>
      </c>
    </row>
    <row r="989">
      <c r="A989" s="3">
        <f>IFERROR(__xludf.DUMMYFUNCTION("""COMPUTED_VALUE"""),43689.66666666667)</f>
        <v>43689.66667</v>
      </c>
      <c r="B989" s="5">
        <f>IFERROR(__xludf.DUMMYFUNCTION("""COMPUTED_VALUE"""),3.79)</f>
        <v>3.79</v>
      </c>
      <c r="C989" s="5">
        <v>3.76333022117614</v>
      </c>
      <c r="D989" s="5">
        <v>262.9775390625</v>
      </c>
      <c r="E989" s="7">
        <f t="shared" ref="E989:F989" si="987">C989/C988-1</f>
        <v>-0.0177064308</v>
      </c>
      <c r="F989" s="7">
        <f t="shared" si="987"/>
        <v>-0.01217317939</v>
      </c>
    </row>
    <row r="990">
      <c r="A990" s="3">
        <f>IFERROR(__xludf.DUMMYFUNCTION("""COMPUTED_VALUE"""),43690.66666666667)</f>
        <v>43690.66667</v>
      </c>
      <c r="B990" s="5">
        <f>IFERROR(__xludf.DUMMYFUNCTION("""COMPUTED_VALUE"""),3.9)</f>
        <v>3.9</v>
      </c>
      <c r="C990" s="5">
        <v>3.87763381004333</v>
      </c>
      <c r="D990" s="5">
        <v>267.067260742187</v>
      </c>
      <c r="E990" s="7">
        <f t="shared" ref="E990:F990" si="988">C990/C989-1</f>
        <v>0.03037298939</v>
      </c>
      <c r="F990" s="7">
        <f t="shared" si="988"/>
        <v>0.0155516007</v>
      </c>
    </row>
    <row r="991">
      <c r="A991" s="3">
        <f>IFERROR(__xludf.DUMMYFUNCTION("""COMPUTED_VALUE"""),43691.66666666667)</f>
        <v>43691.66667</v>
      </c>
      <c r="B991" s="5">
        <f>IFERROR(__xludf.DUMMYFUNCTION("""COMPUTED_VALUE"""),3.75)</f>
        <v>3.75</v>
      </c>
      <c r="C991" s="5">
        <v>3.7290391921997</v>
      </c>
      <c r="D991" s="5">
        <v>259.170806884765</v>
      </c>
      <c r="E991" s="7">
        <f t="shared" ref="E991:F991" si="989">C991/C990-1</f>
        <v>-0.03832095167</v>
      </c>
      <c r="F991" s="7">
        <f t="shared" si="989"/>
        <v>-0.02956728517</v>
      </c>
    </row>
    <row r="992">
      <c r="A992" s="3">
        <f>IFERROR(__xludf.DUMMYFUNCTION("""COMPUTED_VALUE"""),43692.66666666667)</f>
        <v>43692.66667</v>
      </c>
      <c r="B992" s="5">
        <f>IFERROR(__xludf.DUMMYFUNCTION("""COMPUTED_VALUE"""),3.72)</f>
        <v>3.72</v>
      </c>
      <c r="C992" s="5">
        <v>3.69673585891723</v>
      </c>
      <c r="D992" s="5">
        <v>259.855407714843</v>
      </c>
      <c r="E992" s="7">
        <f t="shared" ref="E992:F992" si="990">C992/C991-1</f>
        <v>-0.008662642471</v>
      </c>
      <c r="F992" s="7">
        <f t="shared" si="990"/>
        <v>0.002641504413</v>
      </c>
    </row>
    <row r="993">
      <c r="A993" s="3">
        <f>IFERROR(__xludf.DUMMYFUNCTION("""COMPUTED_VALUE"""),43693.66666666667)</f>
        <v>43693.66667</v>
      </c>
      <c r="B993" s="5">
        <f>IFERROR(__xludf.DUMMYFUNCTION("""COMPUTED_VALUE"""),3.99)</f>
        <v>3.99</v>
      </c>
      <c r="C993" s="5">
        <v>3.96485233306884</v>
      </c>
      <c r="D993" s="5">
        <v>263.68960571289</v>
      </c>
      <c r="E993" s="7">
        <f t="shared" ref="E993:F993" si="991">C993/C992-1</f>
        <v>0.07252789606</v>
      </c>
      <c r="F993" s="7">
        <f t="shared" si="991"/>
        <v>0.01475512106</v>
      </c>
    </row>
    <row r="994">
      <c r="A994" s="3">
        <f>IFERROR(__xludf.DUMMYFUNCTION("""COMPUTED_VALUE"""),43696.66666666667)</f>
        <v>43696.66667</v>
      </c>
      <c r="B994" s="5">
        <f>IFERROR(__xludf.DUMMYFUNCTION("""COMPUTED_VALUE"""),4.27)</f>
        <v>4.27</v>
      </c>
      <c r="C994" s="5">
        <v>4.24365472793579</v>
      </c>
      <c r="D994" s="5">
        <v>266.866455078125</v>
      </c>
      <c r="E994" s="7">
        <f t="shared" ref="E994:F994" si="992">C994/C993-1</f>
        <v>0.07031848136</v>
      </c>
      <c r="F994" s="7">
        <f t="shared" si="992"/>
        <v>0.01204768522</v>
      </c>
    </row>
    <row r="995">
      <c r="A995" s="3">
        <f>IFERROR(__xludf.DUMMYFUNCTION("""COMPUTED_VALUE"""),43697.66666666667)</f>
        <v>43697.66667</v>
      </c>
      <c r="B995" s="5">
        <f>IFERROR(__xludf.DUMMYFUNCTION("""COMPUTED_VALUE"""),4.2)</f>
        <v>4.2</v>
      </c>
      <c r="C995" s="5">
        <v>4.17134523391723</v>
      </c>
      <c r="D995" s="5">
        <v>264.821594238281</v>
      </c>
      <c r="E995" s="7">
        <f t="shared" ref="E995:F995" si="993">C995/C994-1</f>
        <v>-0.01703943856</v>
      </c>
      <c r="F995" s="7">
        <f t="shared" si="993"/>
        <v>-0.007662487364</v>
      </c>
    </row>
    <row r="996">
      <c r="A996" s="3">
        <f>IFERROR(__xludf.DUMMYFUNCTION("""COMPUTED_VALUE"""),43698.66666666667)</f>
        <v>43698.66667</v>
      </c>
      <c r="B996" s="5">
        <f>IFERROR(__xludf.DUMMYFUNCTION("""COMPUTED_VALUE"""),4.28)</f>
        <v>4.28</v>
      </c>
      <c r="C996" s="5">
        <v>4.25483655929565</v>
      </c>
      <c r="D996" s="5">
        <v>266.975921630859</v>
      </c>
      <c r="E996" s="7">
        <f t="shared" ref="E996:F996" si="994">C996/C995-1</f>
        <v>0.02001544363</v>
      </c>
      <c r="F996" s="7">
        <f t="shared" si="994"/>
        <v>0.00813501406</v>
      </c>
    </row>
    <row r="997">
      <c r="A997" s="3">
        <f>IFERROR(__xludf.DUMMYFUNCTION("""COMPUTED_VALUE"""),43699.66666666667)</f>
        <v>43699.66667</v>
      </c>
      <c r="B997" s="5">
        <f>IFERROR(__xludf.DUMMYFUNCTION("""COMPUTED_VALUE"""),4.29)</f>
        <v>4.29</v>
      </c>
      <c r="C997" s="5">
        <v>4.26104831695556</v>
      </c>
      <c r="D997" s="5">
        <v>266.893859863281</v>
      </c>
      <c r="E997" s="7">
        <f t="shared" ref="E997:F997" si="995">C997/C996-1</f>
        <v>0.001459928618</v>
      </c>
      <c r="F997" s="7">
        <f t="shared" si="995"/>
        <v>-0.0003073751636</v>
      </c>
    </row>
    <row r="998">
      <c r="A998" s="3">
        <f>IFERROR(__xludf.DUMMYFUNCTION("""COMPUTED_VALUE"""),43700.66666666667)</f>
        <v>43700.66667</v>
      </c>
      <c r="B998" s="5">
        <f>IFERROR(__xludf.DUMMYFUNCTION("""COMPUTED_VALUE"""),4.06)</f>
        <v>4.06</v>
      </c>
      <c r="C998" s="5">
        <v>4.03641653060913</v>
      </c>
      <c r="D998" s="5">
        <v>260.037994384765</v>
      </c>
      <c r="E998" s="7">
        <f t="shared" ref="E998:F998" si="996">C998/C997-1</f>
        <v>-0.05271749336</v>
      </c>
      <c r="F998" s="7">
        <f t="shared" si="996"/>
        <v>-0.02568761036</v>
      </c>
    </row>
    <row r="999">
      <c r="A999" s="3">
        <f>IFERROR(__xludf.DUMMYFUNCTION("""COMPUTED_VALUE"""),43703.66666666667)</f>
        <v>43703.66667</v>
      </c>
      <c r="B999" s="5">
        <f>IFERROR(__xludf.DUMMYFUNCTION("""COMPUTED_VALUE"""),4.14)</f>
        <v>4.14</v>
      </c>
      <c r="C999" s="5">
        <v>4.11121177673339</v>
      </c>
      <c r="D999" s="5">
        <v>262.913665771484</v>
      </c>
      <c r="E999" s="7">
        <f t="shared" ref="E999:F999" si="997">C999/C998-1</f>
        <v>0.01853011094</v>
      </c>
      <c r="F999" s="7">
        <f t="shared" si="997"/>
        <v>0.01105865854</v>
      </c>
    </row>
    <row r="1000">
      <c r="A1000" s="3">
        <f>IFERROR(__xludf.DUMMYFUNCTION("""COMPUTED_VALUE"""),43704.66666666667)</f>
        <v>43704.66667</v>
      </c>
      <c r="B1000" s="5">
        <f>IFERROR(__xludf.DUMMYFUNCTION("""COMPUTED_VALUE"""),4.05)</f>
        <v>4.05</v>
      </c>
      <c r="C1000" s="5">
        <v>4.02051353454589</v>
      </c>
      <c r="D1000" s="5">
        <v>261.882080078125</v>
      </c>
      <c r="E1000" s="7">
        <f t="shared" ref="E1000:F1000" si="998">C1000/C999-1</f>
        <v>-0.02206119439</v>
      </c>
      <c r="F1000" s="7">
        <f t="shared" si="998"/>
        <v>-0.003923667073</v>
      </c>
    </row>
    <row r="1001">
      <c r="A1001" s="3">
        <f>IFERROR(__xludf.DUMMYFUNCTION("""COMPUTED_VALUE"""),43705.66666666667)</f>
        <v>43705.66667</v>
      </c>
      <c r="B1001" s="5">
        <f>IFERROR(__xludf.DUMMYFUNCTION("""COMPUTED_VALUE"""),4.03)</f>
        <v>4.03</v>
      </c>
      <c r="C1001" s="5">
        <v>4.01006603240966</v>
      </c>
      <c r="D1001" s="5">
        <v>263.726135253906</v>
      </c>
      <c r="E1001" s="7">
        <f t="shared" ref="E1001:F1001" si="999">C1001/C1000-1</f>
        <v>-0.002598549177</v>
      </c>
      <c r="F1001" s="7">
        <f t="shared" si="999"/>
        <v>0.007041547765</v>
      </c>
    </row>
    <row r="1002">
      <c r="A1002" s="3">
        <f>IFERROR(__xludf.DUMMYFUNCTION("""COMPUTED_VALUE"""),43706.66666666667)</f>
        <v>43706.66667</v>
      </c>
      <c r="B1002" s="5">
        <f>IFERROR(__xludf.DUMMYFUNCTION("""COMPUTED_VALUE"""),4.18)</f>
        <v>4.18</v>
      </c>
      <c r="C1002" s="5">
        <v>4.15383338928222</v>
      </c>
      <c r="D1002" s="5">
        <v>267.094635009765</v>
      </c>
      <c r="E1002" s="7">
        <f t="shared" ref="E1002:F1002" si="1000">C1002/C1001-1</f>
        <v>0.03585161833</v>
      </c>
      <c r="F1002" s="7">
        <f t="shared" si="1000"/>
        <v>0.01277271876</v>
      </c>
    </row>
    <row r="1003">
      <c r="A1003" s="3">
        <f>IFERROR(__xludf.DUMMYFUNCTION("""COMPUTED_VALUE"""),43707.66666666667)</f>
        <v>43707.66667</v>
      </c>
      <c r="B1003" s="5">
        <f>IFERROR(__xludf.DUMMYFUNCTION("""COMPUTED_VALUE"""),4.19)</f>
        <v>4.19</v>
      </c>
      <c r="C1003" s="5">
        <v>4.16651964187622</v>
      </c>
      <c r="D1003" s="5">
        <v>266.975921630859</v>
      </c>
      <c r="E1003" s="7">
        <f t="shared" ref="E1003:F1003" si="1001">C1003/C1002-1</f>
        <v>0.003054107232</v>
      </c>
      <c r="F1003" s="7">
        <f t="shared" si="1001"/>
        <v>-0.0004444618624</v>
      </c>
    </row>
    <row r="1004">
      <c r="A1004" s="3">
        <f>IFERROR(__xludf.DUMMYFUNCTION("""COMPUTED_VALUE"""),43711.66666666667)</f>
        <v>43711.66667</v>
      </c>
      <c r="B1004" s="5">
        <f>IFERROR(__xludf.DUMMYFUNCTION("""COMPUTED_VALUE"""),4.1)</f>
        <v>4.1</v>
      </c>
      <c r="C1004" s="5">
        <v>4.08344316482543</v>
      </c>
      <c r="D1004" s="5">
        <v>265.414947509765</v>
      </c>
      <c r="E1004" s="7">
        <f t="shared" ref="E1004:F1004" si="1002">C1004/C1003-1</f>
        <v>-0.01993905806</v>
      </c>
      <c r="F1004" s="7">
        <f t="shared" si="1002"/>
        <v>-0.005846872301</v>
      </c>
    </row>
    <row r="1005">
      <c r="A1005" s="3">
        <f>IFERROR(__xludf.DUMMYFUNCTION("""COMPUTED_VALUE"""),43712.66666666667)</f>
        <v>43712.66667</v>
      </c>
      <c r="B1005" s="5">
        <f>IFERROR(__xludf.DUMMYFUNCTION("""COMPUTED_VALUE"""),4.22)</f>
        <v>4.22</v>
      </c>
      <c r="C1005" s="5">
        <v>4.19761133193969</v>
      </c>
      <c r="D1005" s="5">
        <v>268.427490234375</v>
      </c>
      <c r="E1005" s="7">
        <f t="shared" ref="E1005:F1005" si="1003">C1005/C1004-1</f>
        <v>0.02795879911</v>
      </c>
      <c r="F1005" s="7">
        <f t="shared" si="1003"/>
        <v>0.01135031298</v>
      </c>
    </row>
    <row r="1006">
      <c r="A1006" s="3">
        <f>IFERROR(__xludf.DUMMYFUNCTION("""COMPUTED_VALUE"""),43713.66666666667)</f>
        <v>43713.66667</v>
      </c>
      <c r="B1006" s="5">
        <f>IFERROR(__xludf.DUMMYFUNCTION("""COMPUTED_VALUE"""),4.49)</f>
        <v>4.49</v>
      </c>
      <c r="C1006" s="5">
        <v>4.47071933746337</v>
      </c>
      <c r="D1006" s="5">
        <v>271.878295898437</v>
      </c>
      <c r="E1006" s="7">
        <f t="shared" ref="E1006:F1006" si="1004">C1006/C1005-1</f>
        <v>0.06506271875</v>
      </c>
      <c r="F1006" s="7">
        <f t="shared" si="1004"/>
        <v>0.01285563435</v>
      </c>
    </row>
    <row r="1007">
      <c r="A1007" s="3">
        <f>IFERROR(__xludf.DUMMYFUNCTION("""COMPUTED_VALUE"""),43714.66666666667)</f>
        <v>43714.66667</v>
      </c>
      <c r="B1007" s="5">
        <f>IFERROR(__xludf.DUMMYFUNCTION("""COMPUTED_VALUE"""),4.47)</f>
        <v>4.47</v>
      </c>
      <c r="C1007" s="5">
        <v>4.4436068534851</v>
      </c>
      <c r="D1007" s="5">
        <v>272.088165283203</v>
      </c>
      <c r="E1007" s="7">
        <f t="shared" ref="E1007:F1007" si="1005">C1007/C1006-1</f>
        <v>-0.006064456731</v>
      </c>
      <c r="F1007" s="7">
        <f t="shared" si="1005"/>
        <v>0.0007719240113</v>
      </c>
    </row>
    <row r="1008">
      <c r="A1008" s="3">
        <f>IFERROR(__xludf.DUMMYFUNCTION("""COMPUTED_VALUE"""),43717.66666666667)</f>
        <v>43717.66667</v>
      </c>
      <c r="B1008" s="5">
        <f>IFERROR(__xludf.DUMMYFUNCTION("""COMPUTED_VALUE"""),4.51)</f>
        <v>4.51</v>
      </c>
      <c r="C1008" s="5">
        <v>4.48962354660034</v>
      </c>
      <c r="D1008" s="5">
        <v>272.225128173828</v>
      </c>
      <c r="E1008" s="7">
        <f t="shared" ref="E1008:F1008" si="1006">C1008/C1007-1</f>
        <v>0.01035570757</v>
      </c>
      <c r="F1008" s="7">
        <f t="shared" si="1006"/>
        <v>0.000503376876</v>
      </c>
    </row>
    <row r="1009">
      <c r="A1009" s="3">
        <f>IFERROR(__xludf.DUMMYFUNCTION("""COMPUTED_VALUE"""),43718.66666666667)</f>
        <v>43718.66667</v>
      </c>
      <c r="B1009" s="5">
        <f>IFERROR(__xludf.DUMMYFUNCTION("""COMPUTED_VALUE"""),4.58)</f>
        <v>4.58</v>
      </c>
      <c r="C1009" s="5">
        <v>4.55628442764282</v>
      </c>
      <c r="D1009" s="5">
        <v>272.161224365234</v>
      </c>
      <c r="E1009" s="7">
        <f t="shared" ref="E1009:F1009" si="1007">C1009/C1008-1</f>
        <v>0.01484776627</v>
      </c>
      <c r="F1009" s="7">
        <f t="shared" si="1007"/>
        <v>-0.0002347461787</v>
      </c>
    </row>
    <row r="1010">
      <c r="A1010" s="3">
        <f>IFERROR(__xludf.DUMMYFUNCTION("""COMPUTED_VALUE"""),43719.66666666667)</f>
        <v>43719.66667</v>
      </c>
      <c r="B1010" s="5">
        <f>IFERROR(__xludf.DUMMYFUNCTION("""COMPUTED_VALUE"""),4.61)</f>
        <v>4.61</v>
      </c>
      <c r="C1010" s="5">
        <v>4.58488845825195</v>
      </c>
      <c r="D1010" s="5">
        <v>274.096649169921</v>
      </c>
      <c r="E1010" s="7">
        <f t="shared" ref="E1010:F1010" si="1008">C1010/C1009-1</f>
        <v>0.006277929103</v>
      </c>
      <c r="F1010" s="7">
        <f t="shared" si="1008"/>
        <v>0.007111317232</v>
      </c>
    </row>
    <row r="1011">
      <c r="A1011" s="3">
        <f>IFERROR(__xludf.DUMMYFUNCTION("""COMPUTED_VALUE"""),43720.66666666667)</f>
        <v>43720.66667</v>
      </c>
      <c r="B1011" s="5">
        <f>IFERROR(__xludf.DUMMYFUNCTION("""COMPUTED_VALUE"""),4.61)</f>
        <v>4.61</v>
      </c>
      <c r="C1011" s="5">
        <v>4.58339643478393</v>
      </c>
      <c r="D1011" s="5">
        <v>275.045928955078</v>
      </c>
      <c r="E1011" s="7">
        <f t="shared" ref="E1011:F1011" si="1009">C1011/C1010-1</f>
        <v>-0.0003254219774</v>
      </c>
      <c r="F1011" s="7">
        <f t="shared" si="1009"/>
        <v>0.003463303138</v>
      </c>
    </row>
    <row r="1012">
      <c r="A1012" s="3">
        <f>IFERROR(__xludf.DUMMYFUNCTION("""COMPUTED_VALUE"""),43721.66666666667)</f>
        <v>43721.66667</v>
      </c>
      <c r="B1012" s="5">
        <f>IFERROR(__xludf.DUMMYFUNCTION("""COMPUTED_VALUE"""),4.55)</f>
        <v>4.55</v>
      </c>
      <c r="C1012" s="5">
        <v>4.52544116973876</v>
      </c>
      <c r="D1012" s="5">
        <v>274.863311767578</v>
      </c>
      <c r="E1012" s="7">
        <f t="shared" ref="E1012:F1012" si="1010">C1012/C1011-1</f>
        <v>-0.01264461101</v>
      </c>
      <c r="F1012" s="7">
        <f t="shared" si="1010"/>
        <v>-0.0006639516105</v>
      </c>
    </row>
    <row r="1013">
      <c r="A1013" s="3">
        <f>IFERROR(__xludf.DUMMYFUNCTION("""COMPUTED_VALUE"""),43724.66666666667)</f>
        <v>43724.66667</v>
      </c>
      <c r="B1013" s="5">
        <f>IFERROR(__xludf.DUMMYFUNCTION("""COMPUTED_VALUE"""),4.51)</f>
        <v>4.51</v>
      </c>
      <c r="C1013" s="5">
        <v>4.48240947723388</v>
      </c>
      <c r="D1013" s="5">
        <v>274.014465332031</v>
      </c>
      <c r="E1013" s="7">
        <f t="shared" ref="E1013:F1013" si="1011">C1013/C1012-1</f>
        <v>-0.009508839225</v>
      </c>
      <c r="F1013" s="7">
        <f t="shared" si="1011"/>
        <v>-0.00308824932</v>
      </c>
    </row>
    <row r="1014">
      <c r="A1014" s="3">
        <f>IFERROR(__xludf.DUMMYFUNCTION("""COMPUTED_VALUE"""),43725.66666666667)</f>
        <v>43725.66667</v>
      </c>
      <c r="B1014" s="5">
        <f>IFERROR(__xludf.DUMMYFUNCTION("""COMPUTED_VALUE"""),4.53)</f>
        <v>4.53</v>
      </c>
      <c r="C1014" s="5">
        <v>4.50380134582519</v>
      </c>
      <c r="D1014" s="5">
        <v>274.70816040039</v>
      </c>
      <c r="E1014" s="7">
        <f t="shared" ref="E1014:F1014" si="1012">C1014/C1013-1</f>
        <v>0.004772403927</v>
      </c>
      <c r="F1014" s="7">
        <f t="shared" si="1012"/>
        <v>0.002531600175</v>
      </c>
    </row>
    <row r="1015">
      <c r="A1015" s="3">
        <f>IFERROR(__xludf.DUMMYFUNCTION("""COMPUTED_VALUE"""),43726.66666666667)</f>
        <v>43726.66667</v>
      </c>
      <c r="B1015" s="5">
        <f>IFERROR(__xludf.DUMMYFUNCTION("""COMPUTED_VALUE"""),4.5)</f>
        <v>4.5</v>
      </c>
      <c r="C1015" s="5">
        <v>4.47668886184692</v>
      </c>
      <c r="D1015" s="5">
        <v>274.872497558593</v>
      </c>
      <c r="E1015" s="7">
        <f t="shared" ref="E1015:F1015" si="1013">C1015/C1014-1</f>
        <v>-0.006019911159</v>
      </c>
      <c r="F1015" s="7">
        <f t="shared" si="1013"/>
        <v>0.0005982245229</v>
      </c>
    </row>
    <row r="1016">
      <c r="A1016" s="3">
        <f>IFERROR(__xludf.DUMMYFUNCTION("""COMPUTED_VALUE"""),43727.66666666667)</f>
        <v>43727.66667</v>
      </c>
      <c r="B1016" s="5">
        <f>IFERROR(__xludf.DUMMYFUNCTION("""COMPUTED_VALUE"""),4.42)</f>
        <v>4.42</v>
      </c>
      <c r="C1016" s="5">
        <v>4.40107583999633</v>
      </c>
      <c r="D1016" s="5">
        <v>274.854309082031</v>
      </c>
      <c r="E1016" s="7">
        <f t="shared" ref="E1016:F1016" si="1014">C1016/C1015-1</f>
        <v>-0.01689039024</v>
      </c>
      <c r="F1016" s="7">
        <f t="shared" si="1014"/>
        <v>-0.00006617059445</v>
      </c>
    </row>
    <row r="1017">
      <c r="A1017" s="3">
        <f>IFERROR(__xludf.DUMMYFUNCTION("""COMPUTED_VALUE"""),43728.66666666667)</f>
        <v>43728.66667</v>
      </c>
      <c r="B1017" s="5">
        <f>IFERROR(__xludf.DUMMYFUNCTION("""COMPUTED_VALUE"""),4.32)</f>
        <v>4.32</v>
      </c>
      <c r="C1017" s="5">
        <v>4.29536199569702</v>
      </c>
      <c r="D1017" s="5">
        <v>273.555633544921</v>
      </c>
      <c r="E1017" s="7">
        <f t="shared" ref="E1017:F1017" si="1015">C1017/C1016-1</f>
        <v>-0.0240200006</v>
      </c>
      <c r="F1017" s="7">
        <f t="shared" si="1015"/>
        <v>-0.004724959712</v>
      </c>
    </row>
    <row r="1018">
      <c r="A1018" s="3">
        <f>IFERROR(__xludf.DUMMYFUNCTION("""COMPUTED_VALUE"""),43731.66666666667)</f>
        <v>43731.66667</v>
      </c>
      <c r="B1018" s="5">
        <f>IFERROR(__xludf.DUMMYFUNCTION("""COMPUTED_VALUE"""),4.37)</f>
        <v>4.37</v>
      </c>
      <c r="C1018" s="5">
        <v>4.34884119033813</v>
      </c>
      <c r="D1018" s="5">
        <v>273.491455078125</v>
      </c>
      <c r="E1018" s="7">
        <f t="shared" ref="E1018:F1018" si="1016">C1018/C1017-1</f>
        <v>0.01245045114</v>
      </c>
      <c r="F1018" s="7">
        <f t="shared" si="1016"/>
        <v>-0.0002346084632</v>
      </c>
    </row>
    <row r="1019">
      <c r="A1019" s="3">
        <f>IFERROR(__xludf.DUMMYFUNCTION("""COMPUTED_VALUE"""),43732.66666666667)</f>
        <v>43732.66667</v>
      </c>
      <c r="B1019" s="5">
        <f>IFERROR(__xludf.DUMMYFUNCTION("""COMPUTED_VALUE"""),4.31)</f>
        <v>4.31</v>
      </c>
      <c r="C1019" s="5">
        <v>4.29138422012329</v>
      </c>
      <c r="D1019" s="5">
        <v>271.34536743164</v>
      </c>
      <c r="E1019" s="7">
        <f t="shared" ref="E1019:F1019" si="1017">C1019/C1018-1</f>
        <v>-0.01321201849</v>
      </c>
      <c r="F1019" s="7">
        <f t="shared" si="1017"/>
        <v>-0.007847000726</v>
      </c>
    </row>
    <row r="1020">
      <c r="A1020" s="3">
        <f>IFERROR(__xludf.DUMMYFUNCTION("""COMPUTED_VALUE"""),43733.66666666667)</f>
        <v>43733.66667</v>
      </c>
      <c r="B1020" s="5">
        <f>IFERROR(__xludf.DUMMYFUNCTION("""COMPUTED_VALUE"""),4.46)</f>
        <v>4.46</v>
      </c>
      <c r="C1020" s="5">
        <v>4.43316173553466</v>
      </c>
      <c r="D1020" s="5">
        <v>272.95034790039</v>
      </c>
      <c r="E1020" s="7">
        <f t="shared" ref="E1020:F1020" si="1018">C1020/C1019-1</f>
        <v>0.03303771188</v>
      </c>
      <c r="F1020" s="7">
        <f t="shared" si="1018"/>
        <v>0.005914899097</v>
      </c>
    </row>
    <row r="1021">
      <c r="A1021" s="3">
        <f>IFERROR(__xludf.DUMMYFUNCTION("""COMPUTED_VALUE"""),43734.66666666667)</f>
        <v>43734.66667</v>
      </c>
      <c r="B1021" s="5">
        <f>IFERROR(__xludf.DUMMYFUNCTION("""COMPUTED_VALUE"""),4.43)</f>
        <v>4.43</v>
      </c>
      <c r="C1021" s="5">
        <v>4.41102504730224</v>
      </c>
      <c r="D1021" s="5">
        <v>272.381744384765</v>
      </c>
      <c r="E1021" s="7">
        <f t="shared" ref="E1021:F1021" si="1019">C1021/C1020-1</f>
        <v>-0.004993431224</v>
      </c>
      <c r="F1021" s="7">
        <f t="shared" si="1019"/>
        <v>-0.00208317564</v>
      </c>
    </row>
    <row r="1022">
      <c r="A1022" s="3">
        <f>IFERROR(__xludf.DUMMYFUNCTION("""COMPUTED_VALUE"""),43735.66666666667)</f>
        <v>43735.66667</v>
      </c>
      <c r="B1022" s="5">
        <f>IFERROR(__xludf.DUMMYFUNCTION("""COMPUTED_VALUE"""),4.29)</f>
        <v>4.29</v>
      </c>
      <c r="C1022" s="5">
        <v>4.2722315788269</v>
      </c>
      <c r="D1022" s="5">
        <v>270.914428710937</v>
      </c>
      <c r="E1022" s="7">
        <f t="shared" ref="E1022:F1022" si="1020">C1022/C1021-1</f>
        <v>-0.03146512817</v>
      </c>
      <c r="F1022" s="7">
        <f t="shared" si="1020"/>
        <v>-0.005386982439</v>
      </c>
    </row>
    <row r="1023">
      <c r="A1023" s="3">
        <f>IFERROR(__xludf.DUMMYFUNCTION("""COMPUTED_VALUE"""),43738.66666666667)</f>
        <v>43738.66667</v>
      </c>
      <c r="B1023" s="5">
        <f>IFERROR(__xludf.DUMMYFUNCTION("""COMPUTED_VALUE"""),4.35)</f>
        <v>4.35</v>
      </c>
      <c r="C1023" s="5">
        <v>4.32968807220459</v>
      </c>
      <c r="D1023" s="5">
        <v>272.170806884765</v>
      </c>
      <c r="E1023" s="7">
        <f t="shared" ref="E1023:F1023" si="1021">C1023/C1022-1</f>
        <v>0.01344882465</v>
      </c>
      <c r="F1023" s="7">
        <f t="shared" si="1021"/>
        <v>0.004637546179</v>
      </c>
    </row>
    <row r="1024">
      <c r="A1024" s="3">
        <f>IFERROR(__xludf.DUMMYFUNCTION("""COMPUTED_VALUE"""),43739.66666666667)</f>
        <v>43739.66667</v>
      </c>
      <c r="B1024" s="5">
        <f>IFERROR(__xludf.DUMMYFUNCTION("""COMPUTED_VALUE"""),4.35)</f>
        <v>4.35</v>
      </c>
      <c r="C1024" s="5">
        <v>4.32794761657714</v>
      </c>
      <c r="D1024" s="5">
        <v>268.933380126953</v>
      </c>
      <c r="E1024" s="7">
        <f t="shared" ref="E1024:F1024" si="1022">C1024/C1023-1</f>
        <v>-0.0004019817591</v>
      </c>
      <c r="F1024" s="7">
        <f t="shared" si="1022"/>
        <v>-0.0118948347</v>
      </c>
    </row>
    <row r="1025">
      <c r="A1025" s="3">
        <f>IFERROR(__xludf.DUMMYFUNCTION("""COMPUTED_VALUE"""),43740.66666666667)</f>
        <v>43740.66667</v>
      </c>
      <c r="B1025" s="5">
        <f>IFERROR(__xludf.DUMMYFUNCTION("""COMPUTED_VALUE"""),4.33)</f>
        <v>4.33</v>
      </c>
      <c r="C1025" s="5">
        <v>4.30406856536865</v>
      </c>
      <c r="D1025" s="5">
        <v>264.182739257812</v>
      </c>
      <c r="E1025" s="7">
        <f t="shared" ref="E1025:F1025" si="1023">C1025/C1024-1</f>
        <v>-0.005517407632</v>
      </c>
      <c r="F1025" s="7">
        <f t="shared" si="1023"/>
        <v>-0.01766474979</v>
      </c>
    </row>
    <row r="1026">
      <c r="A1026" s="3">
        <f>IFERROR(__xludf.DUMMYFUNCTION("""COMPUTED_VALUE"""),43741.66666666667)</f>
        <v>43741.66667</v>
      </c>
      <c r="B1026" s="5">
        <f>IFERROR(__xludf.DUMMYFUNCTION("""COMPUTED_VALUE"""),4.53)</f>
        <v>4.53</v>
      </c>
      <c r="C1026" s="5">
        <v>4.50976991653442</v>
      </c>
      <c r="D1026" s="5">
        <v>266.347229003906</v>
      </c>
      <c r="E1026" s="7">
        <f t="shared" ref="E1026:F1026" si="1024">C1026/C1025-1</f>
        <v>0.0477923035</v>
      </c>
      <c r="F1026" s="7">
        <f t="shared" si="1024"/>
        <v>0.008193153543</v>
      </c>
    </row>
    <row r="1027">
      <c r="A1027" s="3">
        <f>IFERROR(__xludf.DUMMYFUNCTION("""COMPUTED_VALUE"""),43742.66666666667)</f>
        <v>43742.66667</v>
      </c>
      <c r="B1027" s="5">
        <f>IFERROR(__xludf.DUMMYFUNCTION("""COMPUTED_VALUE"""),4.55)</f>
        <v>4.55</v>
      </c>
      <c r="C1027" s="5">
        <v>4.52618646621704</v>
      </c>
      <c r="D1027" s="5">
        <v>269.951477050781</v>
      </c>
      <c r="E1027" s="7">
        <f t="shared" ref="E1027:F1027" si="1025">C1027/C1026-1</f>
        <v>0.0036402189</v>
      </c>
      <c r="F1027" s="7">
        <f t="shared" si="1025"/>
        <v>0.01353214021</v>
      </c>
    </row>
    <row r="1028">
      <c r="A1028" s="3">
        <f>IFERROR(__xludf.DUMMYFUNCTION("""COMPUTED_VALUE"""),43745.66666666667)</f>
        <v>43745.66667</v>
      </c>
      <c r="B1028" s="5">
        <f>IFERROR(__xludf.DUMMYFUNCTION("""COMPUTED_VALUE"""),4.61)</f>
        <v>4.61</v>
      </c>
      <c r="C1028" s="5">
        <v>4.58488845825195</v>
      </c>
      <c r="D1028" s="5">
        <v>268.786682128906</v>
      </c>
      <c r="E1028" s="7">
        <f t="shared" ref="E1028:F1028" si="1026">C1028/C1027-1</f>
        <v>0.01296941531</v>
      </c>
      <c r="F1028" s="7">
        <f t="shared" si="1026"/>
        <v>-0.004314830704</v>
      </c>
    </row>
    <row r="1029">
      <c r="A1029" s="3">
        <f>IFERROR(__xludf.DUMMYFUNCTION("""COMPUTED_VALUE"""),43746.66666666667)</f>
        <v>43746.66667</v>
      </c>
      <c r="B1029" s="5">
        <f>IFERROR(__xludf.DUMMYFUNCTION("""COMPUTED_VALUE"""),4.43)</f>
        <v>4.43</v>
      </c>
      <c r="C1029" s="5">
        <v>4.408287525177</v>
      </c>
      <c r="D1029" s="5">
        <v>264.61376953125</v>
      </c>
      <c r="E1029" s="7">
        <f t="shared" ref="E1029:F1029" si="1027">C1029/C1028-1</f>
        <v>-0.0385180435</v>
      </c>
      <c r="F1029" s="7">
        <f t="shared" si="1027"/>
        <v>-0.01552499761</v>
      </c>
    </row>
    <row r="1030">
      <c r="A1030" s="3">
        <f>IFERROR(__xludf.DUMMYFUNCTION("""COMPUTED_VALUE"""),43747.66666666667)</f>
        <v>43747.66667</v>
      </c>
      <c r="B1030" s="5">
        <f>IFERROR(__xludf.DUMMYFUNCTION("""COMPUTED_VALUE"""),4.52)</f>
        <v>4.52</v>
      </c>
      <c r="C1030" s="5">
        <v>4.49484634399414</v>
      </c>
      <c r="D1030" s="5">
        <v>267.126678466796</v>
      </c>
      <c r="E1030" s="7">
        <f t="shared" ref="E1030:F1030" si="1028">C1030/C1029-1</f>
        <v>0.01963547485</v>
      </c>
      <c r="F1030" s="7">
        <f t="shared" si="1028"/>
        <v>0.009496516149</v>
      </c>
    </row>
    <row r="1031">
      <c r="A1031" s="3">
        <f>IFERROR(__xludf.DUMMYFUNCTION("""COMPUTED_VALUE"""),43748.66666666667)</f>
        <v>43748.66667</v>
      </c>
      <c r="B1031" s="5">
        <f>IFERROR(__xludf.DUMMYFUNCTION("""COMPUTED_VALUE"""),4.58)</f>
        <v>4.58</v>
      </c>
      <c r="C1031" s="5">
        <v>4.55255222320556</v>
      </c>
      <c r="D1031" s="5">
        <v>268.933380126953</v>
      </c>
      <c r="E1031" s="7">
        <f t="shared" ref="E1031:F1031" si="1029">C1031/C1030-1</f>
        <v>0.01283823179</v>
      </c>
      <c r="F1031" s="7">
        <f t="shared" si="1029"/>
        <v>0.006763463951</v>
      </c>
    </row>
    <row r="1032">
      <c r="A1032" s="3">
        <f>IFERROR(__xludf.DUMMYFUNCTION("""COMPUTED_VALUE"""),43749.66666666667)</f>
        <v>43749.66667</v>
      </c>
      <c r="B1032" s="5">
        <f>IFERROR(__xludf.DUMMYFUNCTION("""COMPUTED_VALUE"""),4.65)</f>
        <v>4.65</v>
      </c>
      <c r="C1032" s="5">
        <v>4.62617874145507</v>
      </c>
      <c r="D1032" s="5">
        <v>271.721374511718</v>
      </c>
      <c r="E1032" s="7">
        <f t="shared" ref="E1032:F1032" si="1030">C1032/C1031-1</f>
        <v>0.01617258071</v>
      </c>
      <c r="F1032" s="7">
        <f t="shared" si="1030"/>
        <v>0.01036685882</v>
      </c>
    </row>
    <row r="1033">
      <c r="A1033" s="3">
        <f>IFERROR(__xludf.DUMMYFUNCTION("""COMPUTED_VALUE"""),43752.66666666667)</f>
        <v>43752.66667</v>
      </c>
      <c r="B1033" s="5">
        <f>IFERROR(__xludf.DUMMYFUNCTION("""COMPUTED_VALUE"""),4.66)</f>
        <v>4.66</v>
      </c>
      <c r="C1033" s="5">
        <v>4.63960981369018</v>
      </c>
      <c r="D1033" s="5">
        <v>271.418914794921</v>
      </c>
      <c r="E1033" s="7">
        <f t="shared" ref="E1033:F1033" si="1031">C1033/C1032-1</f>
        <v>0.002903275681</v>
      </c>
      <c r="F1033" s="7">
        <f t="shared" si="1031"/>
        <v>-0.001113124491</v>
      </c>
    </row>
    <row r="1034">
      <c r="A1034" s="3">
        <f>IFERROR(__xludf.DUMMYFUNCTION("""COMPUTED_VALUE"""),43753.66666666667)</f>
        <v>43753.66667</v>
      </c>
      <c r="B1034" s="5">
        <f>IFERROR(__xludf.DUMMYFUNCTION("""COMPUTED_VALUE"""),4.91)</f>
        <v>4.91</v>
      </c>
      <c r="C1034" s="5">
        <v>4.88436222076416</v>
      </c>
      <c r="D1034" s="5">
        <v>274.105926513671</v>
      </c>
      <c r="E1034" s="7">
        <f t="shared" ref="E1034:F1034" si="1032">C1034/C1033-1</f>
        <v>0.05275279968</v>
      </c>
      <c r="F1034" s="7">
        <f t="shared" si="1032"/>
        <v>0.009899869067</v>
      </c>
    </row>
    <row r="1035">
      <c r="A1035" s="3">
        <f>IFERROR(__xludf.DUMMYFUNCTION("""COMPUTED_VALUE"""),43754.66666666667)</f>
        <v>43754.66667</v>
      </c>
      <c r="B1035" s="5">
        <f>IFERROR(__xludf.DUMMYFUNCTION("""COMPUTED_VALUE"""),4.86)</f>
        <v>4.86</v>
      </c>
      <c r="C1035" s="5">
        <v>4.83063507080078</v>
      </c>
      <c r="D1035" s="5">
        <v>273.66567993164</v>
      </c>
      <c r="E1035" s="7">
        <f t="shared" ref="E1035:F1035" si="1033">C1035/C1034-1</f>
        <v>-0.01099982916</v>
      </c>
      <c r="F1035" s="7">
        <f t="shared" si="1033"/>
        <v>-0.001606118436</v>
      </c>
    </row>
    <row r="1036">
      <c r="A1036" s="3">
        <f>IFERROR(__xludf.DUMMYFUNCTION("""COMPUTED_VALUE"""),43755.66666666667)</f>
        <v>43755.66667</v>
      </c>
      <c r="B1036" s="5">
        <f>IFERROR(__xludf.DUMMYFUNCTION("""COMPUTED_VALUE"""),4.86)</f>
        <v>4.86</v>
      </c>
      <c r="C1036" s="5">
        <v>4.83262538909912</v>
      </c>
      <c r="D1036" s="5">
        <v>274.472778320312</v>
      </c>
      <c r="E1036" s="7">
        <f t="shared" ref="E1036:F1036" si="1034">C1036/C1035-1</f>
        <v>0.0004120200075</v>
      </c>
      <c r="F1036" s="7">
        <f t="shared" si="1034"/>
        <v>0.002949213028</v>
      </c>
    </row>
    <row r="1037">
      <c r="A1037" s="3">
        <f>IFERROR(__xludf.DUMMYFUNCTION("""COMPUTED_VALUE"""),43756.66666666667)</f>
        <v>43756.66667</v>
      </c>
      <c r="B1037" s="5">
        <f>IFERROR(__xludf.DUMMYFUNCTION("""COMPUTED_VALUE"""),4.76)</f>
        <v>4.76</v>
      </c>
      <c r="C1037" s="5">
        <v>4.73810625076293</v>
      </c>
      <c r="D1037" s="5">
        <v>273.271362304687</v>
      </c>
      <c r="E1037" s="7">
        <f t="shared" ref="E1037:F1037" si="1035">C1037/C1036-1</f>
        <v>-0.01955854856</v>
      </c>
      <c r="F1037" s="7">
        <f t="shared" si="1035"/>
        <v>-0.004377177303</v>
      </c>
    </row>
    <row r="1038">
      <c r="A1038" s="3">
        <f>IFERROR(__xludf.DUMMYFUNCTION("""COMPUTED_VALUE"""),43759.66666666667)</f>
        <v>43759.66667</v>
      </c>
      <c r="B1038" s="5">
        <f>IFERROR(__xludf.DUMMYFUNCTION("""COMPUTED_VALUE"""),4.9)</f>
        <v>4.9</v>
      </c>
      <c r="C1038" s="5">
        <v>4.87540769577026</v>
      </c>
      <c r="D1038" s="5">
        <v>275.123992919921</v>
      </c>
      <c r="E1038" s="7">
        <f t="shared" ref="E1038:F1038" si="1036">C1038/C1037-1</f>
        <v>0.02897812707</v>
      </c>
      <c r="F1038" s="7">
        <f t="shared" si="1036"/>
        <v>0.006779453945</v>
      </c>
    </row>
    <row r="1039">
      <c r="A1039" s="3">
        <f>IFERROR(__xludf.DUMMYFUNCTION("""COMPUTED_VALUE"""),43760.66666666667)</f>
        <v>43760.66667</v>
      </c>
      <c r="B1039" s="5">
        <f>IFERROR(__xludf.DUMMYFUNCTION("""COMPUTED_VALUE"""),4.89)</f>
        <v>4.89</v>
      </c>
      <c r="C1039" s="5">
        <v>4.86545801162719</v>
      </c>
      <c r="D1039" s="5">
        <v>274.225189208984</v>
      </c>
      <c r="E1039" s="7">
        <f t="shared" ref="E1039:F1039" si="1037">C1039/C1038-1</f>
        <v>-0.002040790179</v>
      </c>
      <c r="F1039" s="7">
        <f t="shared" si="1037"/>
        <v>-0.003266904138</v>
      </c>
    </row>
    <row r="1040">
      <c r="A1040" s="3">
        <f>IFERROR(__xludf.DUMMYFUNCTION("""COMPUTED_VALUE"""),43761.66666666667)</f>
        <v>43761.66667</v>
      </c>
      <c r="B1040" s="5">
        <f>IFERROR(__xludf.DUMMYFUNCTION("""COMPUTED_VALUE"""),4.88)</f>
        <v>4.88</v>
      </c>
      <c r="C1040" s="5">
        <v>4.85252475738525</v>
      </c>
      <c r="D1040" s="5">
        <v>275.023010253906</v>
      </c>
      <c r="E1040" s="7">
        <f t="shared" ref="E1040:F1040" si="1038">C1040/C1039-1</f>
        <v>-0.002658178164</v>
      </c>
      <c r="F1040" s="7">
        <f t="shared" si="1038"/>
        <v>0.002909364553</v>
      </c>
    </row>
    <row r="1041">
      <c r="A1041" s="3">
        <f>IFERROR(__xludf.DUMMYFUNCTION("""COMPUTED_VALUE"""),43762.66666666667)</f>
        <v>43762.66667</v>
      </c>
      <c r="B1041" s="5">
        <f>IFERROR(__xludf.DUMMYFUNCTION("""COMPUTED_VALUE"""),4.92)</f>
        <v>4.92</v>
      </c>
      <c r="C1041" s="5">
        <v>4.89655065536499</v>
      </c>
      <c r="D1041" s="5">
        <v>275.472412109375</v>
      </c>
      <c r="E1041" s="7">
        <f t="shared" ref="E1041:F1041" si="1039">C1041/C1040-1</f>
        <v>0.009072781733</v>
      </c>
      <c r="F1041" s="7">
        <f t="shared" si="1039"/>
        <v>0.001634051838</v>
      </c>
    </row>
    <row r="1042">
      <c r="A1042" s="3">
        <f>IFERROR(__xludf.DUMMYFUNCTION("""COMPUTED_VALUE"""),43763.66666666667)</f>
        <v>43763.66667</v>
      </c>
      <c r="B1042" s="5">
        <f>IFERROR(__xludf.DUMMYFUNCTION("""COMPUTED_VALUE"""),5.11)</f>
        <v>5.11</v>
      </c>
      <c r="C1042" s="5">
        <v>5.08757638931274</v>
      </c>
      <c r="D1042" s="5">
        <v>276.600402832031</v>
      </c>
      <c r="E1042" s="7">
        <f t="shared" ref="E1042:F1042" si="1040">C1042/C1041-1</f>
        <v>0.03901230629</v>
      </c>
      <c r="F1042" s="7">
        <f t="shared" si="1040"/>
        <v>0.004094750229</v>
      </c>
    </row>
    <row r="1043">
      <c r="A1043" s="3">
        <f>IFERROR(__xludf.DUMMYFUNCTION("""COMPUTED_VALUE"""),43766.66666666667)</f>
        <v>43766.66667</v>
      </c>
      <c r="B1043" s="5">
        <f>IFERROR(__xludf.DUMMYFUNCTION("""COMPUTED_VALUE"""),5.17)</f>
        <v>5.17</v>
      </c>
      <c r="C1043" s="5">
        <v>5.14354181289672</v>
      </c>
      <c r="D1043" s="5">
        <v>278.159545898437</v>
      </c>
      <c r="E1043" s="7">
        <f t="shared" ref="E1043:F1043" si="1041">C1043/C1042-1</f>
        <v>0.01100040949</v>
      </c>
      <c r="F1043" s="7">
        <f t="shared" si="1041"/>
        <v>0.005636806926</v>
      </c>
    </row>
    <row r="1044">
      <c r="A1044" s="3">
        <f>IFERROR(__xludf.DUMMYFUNCTION("""COMPUTED_VALUE"""),43767.66666666667)</f>
        <v>43767.66667</v>
      </c>
      <c r="B1044" s="5">
        <f>IFERROR(__xludf.DUMMYFUNCTION("""COMPUTED_VALUE"""),5.07)</f>
        <v>5.07</v>
      </c>
      <c r="C1044" s="5">
        <v>5.0472822189331</v>
      </c>
      <c r="D1044" s="5">
        <v>278.076995849609</v>
      </c>
      <c r="E1044" s="7">
        <f t="shared" ref="E1044:F1044" si="1042">C1044/C1043-1</f>
        <v>-0.01871465178</v>
      </c>
      <c r="F1044" s="7">
        <f t="shared" si="1042"/>
        <v>-0.0002967723022</v>
      </c>
    </row>
    <row r="1045">
      <c r="A1045" s="3">
        <f>IFERROR(__xludf.DUMMYFUNCTION("""COMPUTED_VALUE"""),43768.66666666667)</f>
        <v>43768.66667</v>
      </c>
      <c r="B1045" s="5">
        <f>IFERROR(__xludf.DUMMYFUNCTION("""COMPUTED_VALUE"""),5.08)</f>
        <v>5.08</v>
      </c>
      <c r="C1045" s="5">
        <v>5.04927110671997</v>
      </c>
      <c r="D1045" s="5">
        <v>278.929901123046</v>
      </c>
      <c r="E1045" s="7">
        <f t="shared" ref="E1045:F1045" si="1043">C1045/C1044-1</f>
        <v>0.000394051234</v>
      </c>
      <c r="F1045" s="7">
        <f t="shared" si="1043"/>
        <v>0.003067155091</v>
      </c>
    </row>
    <row r="1046">
      <c r="A1046" s="3">
        <f>IFERROR(__xludf.DUMMYFUNCTION("""COMPUTED_VALUE"""),43769.66666666667)</f>
        <v>43769.66667</v>
      </c>
      <c r="B1046" s="5">
        <f>IFERROR(__xludf.DUMMYFUNCTION("""COMPUTED_VALUE"""),5.03)</f>
        <v>5.03</v>
      </c>
      <c r="C1046" s="5">
        <v>5.00002336502075</v>
      </c>
      <c r="D1046" s="5">
        <v>278.187042236328</v>
      </c>
      <c r="E1046" s="7">
        <f t="shared" ref="E1046:F1046" si="1044">C1046/C1045-1</f>
        <v>-0.009753435824</v>
      </c>
      <c r="F1046" s="7">
        <f t="shared" si="1044"/>
        <v>-0.002663245797</v>
      </c>
    </row>
    <row r="1047">
      <c r="A1047" s="3">
        <f>IFERROR(__xludf.DUMMYFUNCTION("""COMPUTED_VALUE"""),43770.66666666667)</f>
        <v>43770.66667</v>
      </c>
      <c r="B1047" s="5">
        <f>IFERROR(__xludf.DUMMYFUNCTION("""COMPUTED_VALUE"""),5.06)</f>
        <v>5.06</v>
      </c>
      <c r="C1047" s="5">
        <v>5.03907394409179</v>
      </c>
      <c r="D1047" s="5">
        <v>280.764190673828</v>
      </c>
      <c r="E1047" s="7">
        <f t="shared" ref="E1047:F1047" si="1045">C1047/C1046-1</f>
        <v>0.007810079318</v>
      </c>
      <c r="F1047" s="7">
        <f t="shared" si="1045"/>
        <v>0.009264085116</v>
      </c>
    </row>
    <row r="1048">
      <c r="A1048" s="3">
        <f>IFERROR(__xludf.DUMMYFUNCTION("""COMPUTED_VALUE"""),43773.66666666667)</f>
        <v>43773.66667</v>
      </c>
      <c r="B1048" s="5">
        <f>IFERROR(__xludf.DUMMYFUNCTION("""COMPUTED_VALUE"""),5.26)</f>
        <v>5.26</v>
      </c>
      <c r="C1048" s="5">
        <v>5.23582124710083</v>
      </c>
      <c r="D1048" s="5">
        <v>281.892120361328</v>
      </c>
      <c r="E1048" s="7">
        <f t="shared" ref="E1048:F1048" si="1046">C1048/C1047-1</f>
        <v>0.03904433735</v>
      </c>
      <c r="F1048" s="7">
        <f t="shared" si="1046"/>
        <v>0.004017355934</v>
      </c>
    </row>
    <row r="1049">
      <c r="A1049" s="3">
        <f>IFERROR(__xludf.DUMMYFUNCTION("""COMPUTED_VALUE"""),43774.66666666667)</f>
        <v>43774.66667</v>
      </c>
      <c r="B1049" s="5">
        <f>IFERROR(__xludf.DUMMYFUNCTION("""COMPUTED_VALUE"""),5.24)</f>
        <v>5.24</v>
      </c>
      <c r="C1049" s="5">
        <v>5.2136845588684</v>
      </c>
      <c r="D1049" s="5">
        <v>281.580322265625</v>
      </c>
      <c r="E1049" s="7">
        <f t="shared" ref="E1049:F1049" si="1047">C1049/C1048-1</f>
        <v>-0.004227930479</v>
      </c>
      <c r="F1049" s="7">
        <f t="shared" si="1047"/>
        <v>-0.001106090143</v>
      </c>
    </row>
    <row r="1050">
      <c r="A1050" s="3">
        <f>IFERROR(__xludf.DUMMYFUNCTION("""COMPUTED_VALUE"""),43775.66666666667)</f>
        <v>43775.66667</v>
      </c>
      <c r="B1050" s="5">
        <f>IFERROR(__xludf.DUMMYFUNCTION("""COMPUTED_VALUE"""),5.19)</f>
        <v>5.19</v>
      </c>
      <c r="C1050" s="5">
        <v>5.16443586349487</v>
      </c>
      <c r="D1050" s="5">
        <v>281.64453125</v>
      </c>
      <c r="E1050" s="7">
        <f t="shared" ref="E1050:F1050" si="1048">C1050/C1049-1</f>
        <v>-0.009446044312</v>
      </c>
      <c r="F1050" s="7">
        <f t="shared" si="1048"/>
        <v>0.0002280307937</v>
      </c>
    </row>
    <row r="1051">
      <c r="A1051" s="3">
        <f>IFERROR(__xludf.DUMMYFUNCTION("""COMPUTED_VALUE"""),43776.66666666667)</f>
        <v>43776.66667</v>
      </c>
      <c r="B1051" s="5">
        <f>IFERROR(__xludf.DUMMYFUNCTION("""COMPUTED_VALUE"""),5.21)</f>
        <v>5.21</v>
      </c>
      <c r="C1051" s="5">
        <v>5.18209552764892</v>
      </c>
      <c r="D1051" s="5">
        <v>282.635040283203</v>
      </c>
      <c r="E1051" s="7">
        <f t="shared" ref="E1051:F1051" si="1049">C1051/C1050-1</f>
        <v>0.003419475935</v>
      </c>
      <c r="F1051" s="7">
        <f t="shared" si="1049"/>
        <v>0.0035168765</v>
      </c>
    </row>
    <row r="1052">
      <c r="A1052" s="3">
        <f>IFERROR(__xludf.DUMMYFUNCTION("""COMPUTED_VALUE"""),43777.66666666667)</f>
        <v>43777.66667</v>
      </c>
      <c r="B1052" s="5">
        <f>IFERROR(__xludf.DUMMYFUNCTION("""COMPUTED_VALUE"""),5.19)</f>
        <v>5.19</v>
      </c>
      <c r="C1052" s="5">
        <v>5.16816663742065</v>
      </c>
      <c r="D1052" s="5">
        <v>283.33203125</v>
      </c>
      <c r="E1052" s="7">
        <f t="shared" ref="E1052:F1052" si="1050">C1052/C1051-1</f>
        <v>-0.002687887584</v>
      </c>
      <c r="F1052" s="7">
        <f t="shared" si="1050"/>
        <v>0.002466045845</v>
      </c>
    </row>
    <row r="1053">
      <c r="A1053" s="3">
        <f>IFERROR(__xludf.DUMMYFUNCTION("""COMPUTED_VALUE"""),43780.66666666667)</f>
        <v>43780.66667</v>
      </c>
      <c r="B1053" s="5">
        <f>IFERROR(__xludf.DUMMYFUNCTION("""COMPUTED_VALUE"""),5.2)</f>
        <v>5.2</v>
      </c>
      <c r="C1053" s="5">
        <v>5.17811632156372</v>
      </c>
      <c r="D1053" s="5">
        <v>282.791015625</v>
      </c>
      <c r="E1053" s="7">
        <f t="shared" ref="E1053:F1053" si="1051">C1053/C1052-1</f>
        <v>0.001925186404</v>
      </c>
      <c r="F1053" s="7">
        <f t="shared" si="1051"/>
        <v>-0.001909475687</v>
      </c>
    </row>
    <row r="1054">
      <c r="A1054" s="3">
        <f>IFERROR(__xludf.DUMMYFUNCTION("""COMPUTED_VALUE"""),43781.66666666667)</f>
        <v>43781.66667</v>
      </c>
      <c r="B1054" s="5">
        <f>IFERROR(__xludf.DUMMYFUNCTION("""COMPUTED_VALUE"""),5.24)</f>
        <v>5.24</v>
      </c>
      <c r="C1054" s="5">
        <v>5.2136845588684</v>
      </c>
      <c r="D1054" s="5">
        <v>283.387084960937</v>
      </c>
      <c r="E1054" s="7">
        <f t="shared" ref="E1054:F1054" si="1052">C1054/C1053-1</f>
        <v>0.006868952935</v>
      </c>
      <c r="F1054" s="7">
        <f t="shared" si="1052"/>
        <v>0.002107808604</v>
      </c>
    </row>
    <row r="1055">
      <c r="A1055" s="3">
        <f>IFERROR(__xludf.DUMMYFUNCTION("""COMPUTED_VALUE"""),43782.66666666667)</f>
        <v>43782.66667</v>
      </c>
      <c r="B1055" s="5">
        <f>IFERROR(__xludf.DUMMYFUNCTION("""COMPUTED_VALUE"""),5.21)</f>
        <v>5.21</v>
      </c>
      <c r="C1055" s="5">
        <v>5.18781471252441</v>
      </c>
      <c r="D1055" s="5">
        <v>283.478851318359</v>
      </c>
      <c r="E1055" s="7">
        <f t="shared" ref="E1055:F1055" si="1053">C1055/C1054-1</f>
        <v>-0.004961912454</v>
      </c>
      <c r="F1055" s="7">
        <f t="shared" si="1053"/>
        <v>0.0003238198291</v>
      </c>
    </row>
    <row r="1056">
      <c r="A1056" s="3">
        <f>IFERROR(__xludf.DUMMYFUNCTION("""COMPUTED_VALUE"""),43783.66666666667)</f>
        <v>43783.66667</v>
      </c>
      <c r="B1056" s="5">
        <f>IFERROR(__xludf.DUMMYFUNCTION("""COMPUTED_VALUE"""),5.24)</f>
        <v>5.24</v>
      </c>
      <c r="C1056" s="5">
        <v>5.21816062927246</v>
      </c>
      <c r="D1056" s="5">
        <v>283.891510009765</v>
      </c>
      <c r="E1056" s="7">
        <f t="shared" ref="E1056:F1056" si="1054">C1056/C1055-1</f>
        <v>0.005849460405</v>
      </c>
      <c r="F1056" s="7">
        <f t="shared" si="1054"/>
        <v>0.001455694806</v>
      </c>
    </row>
    <row r="1057">
      <c r="A1057" s="3">
        <f>IFERROR(__xludf.DUMMYFUNCTION("""COMPUTED_VALUE"""),43784.66666666667)</f>
        <v>43784.66667</v>
      </c>
      <c r="B1057" s="5">
        <f>IFERROR(__xludf.DUMMYFUNCTION("""COMPUTED_VALUE"""),5.1)</f>
        <v>5.1</v>
      </c>
      <c r="C1057" s="5">
        <v>5.07887172698974</v>
      </c>
      <c r="D1057" s="5">
        <v>285.94580078125</v>
      </c>
      <c r="E1057" s="7">
        <f t="shared" ref="E1057:F1057" si="1055">C1057/C1056-1</f>
        <v>-0.0266931036</v>
      </c>
      <c r="F1057" s="7">
        <f t="shared" si="1055"/>
        <v>0.007236182482</v>
      </c>
    </row>
    <row r="1058">
      <c r="A1058" s="3">
        <f>IFERROR(__xludf.DUMMYFUNCTION("""COMPUTED_VALUE"""),43787.66666666667)</f>
        <v>43787.66667</v>
      </c>
      <c r="B1058" s="5">
        <f>IFERROR(__xludf.DUMMYFUNCTION("""COMPUTED_VALUE"""),5.31)</f>
        <v>5.31</v>
      </c>
      <c r="C1058" s="5">
        <v>5.28009605407714</v>
      </c>
      <c r="D1058" s="5">
        <v>286.156707763671</v>
      </c>
      <c r="E1058" s="7">
        <f t="shared" ref="E1058:F1058" si="1056">C1058/C1057-1</f>
        <v>0.03961988763</v>
      </c>
      <c r="F1058" s="7">
        <f t="shared" si="1056"/>
        <v>0.000737576778</v>
      </c>
    </row>
    <row r="1059">
      <c r="A1059" s="3">
        <f>IFERROR(__xludf.DUMMYFUNCTION("""COMPUTED_VALUE"""),43788.66666666667)</f>
        <v>43788.66667</v>
      </c>
      <c r="B1059" s="5">
        <f>IFERROR(__xludf.DUMMYFUNCTION("""COMPUTED_VALUE"""),5.2)</f>
        <v>5.2</v>
      </c>
      <c r="C1059" s="5">
        <v>5.17338943481445</v>
      </c>
      <c r="D1059" s="5">
        <v>286.074157714843</v>
      </c>
      <c r="E1059" s="7">
        <f t="shared" ref="E1059:F1059" si="1057">C1059/C1058-1</f>
        <v>-0.02020921933</v>
      </c>
      <c r="F1059" s="7">
        <f t="shared" si="1057"/>
        <v>-0.0002884784686</v>
      </c>
    </row>
    <row r="1060">
      <c r="A1060" s="3">
        <f>IFERROR(__xludf.DUMMYFUNCTION("""COMPUTED_VALUE"""),43789.66666666667)</f>
        <v>43789.66667</v>
      </c>
      <c r="B1060" s="5">
        <f>IFERROR(__xludf.DUMMYFUNCTION("""COMPUTED_VALUE"""),5.28)</f>
        <v>5.28</v>
      </c>
      <c r="C1060" s="5">
        <v>5.25273609161376</v>
      </c>
      <c r="D1060" s="5">
        <v>285.010345458984</v>
      </c>
      <c r="E1060" s="7">
        <f t="shared" ref="E1060:F1060" si="1058">C1060/C1059-1</f>
        <v>0.01533746063</v>
      </c>
      <c r="F1060" s="7">
        <f t="shared" si="1058"/>
        <v>-0.003718659051</v>
      </c>
    </row>
    <row r="1061">
      <c r="A1061" s="3">
        <f>IFERROR(__xludf.DUMMYFUNCTION("""COMPUTED_VALUE"""),43790.66666666667)</f>
        <v>43790.66667</v>
      </c>
      <c r="B1061" s="5">
        <f>IFERROR(__xludf.DUMMYFUNCTION("""COMPUTED_VALUE"""),5.25)</f>
        <v>5.25</v>
      </c>
      <c r="C1061" s="5">
        <v>5.22785997390747</v>
      </c>
      <c r="D1061" s="5">
        <v>284.551788330078</v>
      </c>
      <c r="E1061" s="7">
        <f t="shared" ref="E1061:F1061" si="1059">C1061/C1060-1</f>
        <v>-0.004735840003</v>
      </c>
      <c r="F1061" s="7">
        <f t="shared" si="1059"/>
        <v>-0.001608913979</v>
      </c>
    </row>
    <row r="1062">
      <c r="A1062" s="3">
        <f>IFERROR(__xludf.DUMMYFUNCTION("""COMPUTED_VALUE"""),43791.66666666667)</f>
        <v>43791.66667</v>
      </c>
      <c r="B1062" s="5">
        <f>IFERROR(__xludf.DUMMYFUNCTION("""COMPUTED_VALUE"""),5.27)</f>
        <v>5.27</v>
      </c>
      <c r="C1062" s="5">
        <v>5.24552106857299</v>
      </c>
      <c r="D1062" s="5">
        <v>285.184631347656</v>
      </c>
      <c r="E1062" s="7">
        <f t="shared" ref="E1062:F1062" si="1060">C1062/C1061-1</f>
        <v>0.003378264673</v>
      </c>
      <c r="F1062" s="7">
        <f t="shared" si="1060"/>
        <v>0.002223999439</v>
      </c>
    </row>
    <row r="1063">
      <c r="A1063" s="3">
        <f>IFERROR(__xludf.DUMMYFUNCTION("""COMPUTED_VALUE"""),43794.66666666667)</f>
        <v>43794.66667</v>
      </c>
      <c r="B1063" s="5">
        <f>IFERROR(__xludf.DUMMYFUNCTION("""COMPUTED_VALUE"""),5.53)</f>
        <v>5.53</v>
      </c>
      <c r="C1063" s="5">
        <v>5.50221347808837</v>
      </c>
      <c r="D1063" s="5">
        <v>287.394836425781</v>
      </c>
      <c r="E1063" s="7">
        <f t="shared" ref="E1063:F1063" si="1061">C1063/C1062-1</f>
        <v>0.04893554066</v>
      </c>
      <c r="F1063" s="7">
        <f t="shared" si="1061"/>
        <v>0.007750084805</v>
      </c>
    </row>
    <row r="1064">
      <c r="A1064" s="3">
        <f>IFERROR(__xludf.DUMMYFUNCTION("""COMPUTED_VALUE"""),43795.66666666667)</f>
        <v>43795.66667</v>
      </c>
      <c r="B1064" s="5">
        <f>IFERROR(__xludf.DUMMYFUNCTION("""COMPUTED_VALUE"""),5.43)</f>
        <v>5.43</v>
      </c>
      <c r="C1064" s="5">
        <v>5.39749908447265</v>
      </c>
      <c r="D1064" s="5">
        <v>288.045989990234</v>
      </c>
      <c r="E1064" s="7">
        <f t="shared" ref="E1064:F1064" si="1062">C1064/C1063-1</f>
        <v>-0.01903132149</v>
      </c>
      <c r="F1064" s="7">
        <f t="shared" si="1062"/>
        <v>0.002265710729</v>
      </c>
    </row>
    <row r="1065">
      <c r="A1065" s="3">
        <f>IFERROR(__xludf.DUMMYFUNCTION("""COMPUTED_VALUE"""),43796.66666666667)</f>
        <v>43796.66667</v>
      </c>
      <c r="B1065" s="5">
        <f>IFERROR(__xludf.DUMMYFUNCTION("""COMPUTED_VALUE"""),5.46)</f>
        <v>5.46</v>
      </c>
      <c r="C1065" s="5">
        <v>5.43234491348266</v>
      </c>
      <c r="D1065" s="5">
        <v>289.330047607421</v>
      </c>
      <c r="E1065" s="7">
        <f t="shared" ref="E1065:F1065" si="1063">C1065/C1064-1</f>
        <v>0.006455921245</v>
      </c>
      <c r="F1065" s="7">
        <f t="shared" si="1063"/>
        <v>0.004457821535</v>
      </c>
    </row>
    <row r="1066">
      <c r="A1066" s="3">
        <f>IFERROR(__xludf.DUMMYFUNCTION("""COMPUTED_VALUE"""),43798.54166666667)</f>
        <v>43798.54167</v>
      </c>
      <c r="B1066" s="5">
        <f>IFERROR(__xludf.DUMMYFUNCTION("""COMPUTED_VALUE"""),5.42)</f>
        <v>5.42</v>
      </c>
      <c r="C1066" s="5">
        <v>5.39500856399536</v>
      </c>
      <c r="D1066" s="5">
        <v>288.256927490234</v>
      </c>
      <c r="E1066" s="7">
        <f t="shared" ref="E1066:F1066" si="1064">C1066/C1065-1</f>
        <v>-0.00687297108</v>
      </c>
      <c r="F1066" s="7">
        <f t="shared" si="1064"/>
        <v>-0.003708982617</v>
      </c>
    </row>
    <row r="1067">
      <c r="A1067" s="3">
        <f>IFERROR(__xludf.DUMMYFUNCTION("""COMPUTED_VALUE"""),43801.66666666667)</f>
        <v>43801.66667</v>
      </c>
      <c r="B1067" s="5">
        <f>IFERROR(__xludf.DUMMYFUNCTION("""COMPUTED_VALUE"""),5.23)</f>
        <v>5.23</v>
      </c>
      <c r="C1067" s="5">
        <v>5.20857000350952</v>
      </c>
      <c r="D1067" s="5">
        <v>285.808227539062</v>
      </c>
      <c r="E1067" s="7">
        <f t="shared" ref="E1067:F1067" si="1065">C1067/C1066-1</f>
        <v>-0.03455760232</v>
      </c>
      <c r="F1067" s="7">
        <f t="shared" si="1065"/>
        <v>-0.008494852049</v>
      </c>
    </row>
    <row r="1068">
      <c r="A1068" s="3">
        <f>IFERROR(__xludf.DUMMYFUNCTION("""COMPUTED_VALUE"""),43802.66666666667)</f>
        <v>43802.66667</v>
      </c>
      <c r="B1068" s="5">
        <f>IFERROR(__xludf.DUMMYFUNCTION("""COMPUTED_VALUE"""),5.19)</f>
        <v>5.19</v>
      </c>
      <c r="C1068" s="5">
        <v>5.16899156570434</v>
      </c>
      <c r="D1068" s="5">
        <v>283.891510009765</v>
      </c>
      <c r="E1068" s="7">
        <f t="shared" ref="E1068:F1068" si="1066">C1068/C1067-1</f>
        <v>-0.007598714768</v>
      </c>
      <c r="F1068" s="7">
        <f t="shared" si="1066"/>
        <v>-0.006706306343</v>
      </c>
    </row>
    <row r="1069">
      <c r="A1069" s="3">
        <f>IFERROR(__xludf.DUMMYFUNCTION("""COMPUTED_VALUE"""),43803.66666666667)</f>
        <v>43803.66667</v>
      </c>
      <c r="B1069" s="5">
        <f>IFERROR(__xludf.DUMMYFUNCTION("""COMPUTED_VALUE"""),5.24)</f>
        <v>5.24</v>
      </c>
      <c r="C1069" s="5">
        <v>5.21280193328857</v>
      </c>
      <c r="D1069" s="5">
        <v>285.643127441406</v>
      </c>
      <c r="E1069" s="7">
        <f t="shared" ref="E1069:F1069" si="1067">C1069/C1068-1</f>
        <v>0.008475612124</v>
      </c>
      <c r="F1069" s="7">
        <f t="shared" si="1067"/>
        <v>0.006170024005</v>
      </c>
    </row>
    <row r="1070">
      <c r="A1070" s="3">
        <f>IFERROR(__xludf.DUMMYFUNCTION("""COMPUTED_VALUE"""),43804.66666666667)</f>
        <v>43804.66667</v>
      </c>
      <c r="B1070" s="5">
        <f>IFERROR(__xludf.DUMMYFUNCTION("""COMPUTED_VALUE"""),5.22)</f>
        <v>5.22</v>
      </c>
      <c r="C1070" s="5">
        <v>5.19587564468383</v>
      </c>
      <c r="D1070" s="5">
        <v>286.156707763671</v>
      </c>
      <c r="E1070" s="7">
        <f t="shared" ref="E1070:F1070" si="1068">C1070/C1069-1</f>
        <v>-0.003247061527</v>
      </c>
      <c r="F1070" s="7">
        <f t="shared" si="1068"/>
        <v>0.001797978922</v>
      </c>
    </row>
    <row r="1071">
      <c r="A1071" s="3">
        <f>IFERROR(__xludf.DUMMYFUNCTION("""COMPUTED_VALUE"""),43805.66666666667)</f>
        <v>43805.66667</v>
      </c>
      <c r="B1071" s="5">
        <f>IFERROR(__xludf.DUMMYFUNCTION("""COMPUTED_VALUE"""),5.3)</f>
        <v>5.3</v>
      </c>
      <c r="C1071" s="5">
        <v>5.28125381469726</v>
      </c>
      <c r="D1071" s="5">
        <v>288.7705078125</v>
      </c>
      <c r="E1071" s="7">
        <f t="shared" ref="E1071:F1071" si="1069">C1071/C1070-1</f>
        <v>0.01643191174</v>
      </c>
      <c r="F1071" s="7">
        <f t="shared" si="1069"/>
        <v>0.009134156139</v>
      </c>
    </row>
    <row r="1072">
      <c r="A1072" s="3">
        <f>IFERROR(__xludf.DUMMYFUNCTION("""COMPUTED_VALUE"""),43808.66666666667)</f>
        <v>43808.66667</v>
      </c>
      <c r="B1072" s="5">
        <f>IFERROR(__xludf.DUMMYFUNCTION("""COMPUTED_VALUE"""),5.3)</f>
        <v>5.3</v>
      </c>
      <c r="C1072" s="5">
        <v>5.28125381469726</v>
      </c>
      <c r="D1072" s="5">
        <v>287.862548828125</v>
      </c>
      <c r="E1072" s="7">
        <f t="shared" ref="E1072:F1072" si="1070">C1072/C1071-1</f>
        <v>0</v>
      </c>
      <c r="F1072" s="7">
        <f t="shared" si="1070"/>
        <v>-0.003144223388</v>
      </c>
    </row>
    <row r="1073">
      <c r="A1073" s="3">
        <f>IFERROR(__xludf.DUMMYFUNCTION("""COMPUTED_VALUE"""),43809.66666666667)</f>
        <v>43809.66667</v>
      </c>
      <c r="B1073" s="5">
        <f>IFERROR(__xludf.DUMMYFUNCTION("""COMPUTED_VALUE"""),5.35)</f>
        <v>5.35</v>
      </c>
      <c r="C1073" s="5">
        <v>5.32630681991577</v>
      </c>
      <c r="D1073" s="5">
        <v>287.541534423828</v>
      </c>
      <c r="E1073" s="7">
        <f t="shared" ref="E1073:F1073" si="1071">C1073/C1072-1</f>
        <v>0.008530740388</v>
      </c>
      <c r="F1073" s="7">
        <f t="shared" si="1071"/>
        <v>-0.001115165573</v>
      </c>
    </row>
    <row r="1074">
      <c r="A1074" s="3">
        <f>IFERROR(__xludf.DUMMYFUNCTION("""COMPUTED_VALUE"""),43810.66666666667)</f>
        <v>43810.66667</v>
      </c>
      <c r="B1074" s="5">
        <f>IFERROR(__xludf.DUMMYFUNCTION("""COMPUTED_VALUE"""),5.43)</f>
        <v>5.43</v>
      </c>
      <c r="C1074" s="5">
        <v>5.40994358062744</v>
      </c>
      <c r="D1074" s="5">
        <v>288.357849121093</v>
      </c>
      <c r="E1074" s="7">
        <f t="shared" ref="E1074:F1074" si="1072">C1074/C1073-1</f>
        <v>0.01570258033</v>
      </c>
      <c r="F1074" s="7">
        <f t="shared" si="1072"/>
        <v>0.002838945333</v>
      </c>
    </row>
    <row r="1075">
      <c r="A1075" s="3">
        <f>IFERROR(__xludf.DUMMYFUNCTION("""COMPUTED_VALUE"""),43811.66666666667)</f>
        <v>43811.66667</v>
      </c>
      <c r="B1075" s="5">
        <f>IFERROR(__xludf.DUMMYFUNCTION("""COMPUTED_VALUE"""),5.6)</f>
        <v>5.6</v>
      </c>
      <c r="C1075" s="5">
        <v>5.57746410369873</v>
      </c>
      <c r="D1075" s="5">
        <v>290.843231201171</v>
      </c>
      <c r="E1075" s="7">
        <f t="shared" ref="E1075:F1075" si="1073">C1075/C1074-1</f>
        <v>0.03096529947</v>
      </c>
      <c r="F1075" s="7">
        <f t="shared" si="1073"/>
        <v>0.008619089398</v>
      </c>
    </row>
    <row r="1076">
      <c r="A1076" s="3">
        <f>IFERROR(__xludf.DUMMYFUNCTION("""COMPUTED_VALUE"""),43812.66666666667)</f>
        <v>43812.66667</v>
      </c>
      <c r="B1076" s="5">
        <f>IFERROR(__xludf.DUMMYFUNCTION("""COMPUTED_VALUE"""),5.6)</f>
        <v>5.6</v>
      </c>
      <c r="C1076" s="5">
        <v>5.5754714012146</v>
      </c>
      <c r="D1076" s="5">
        <v>291.017425537109</v>
      </c>
      <c r="E1076" s="7">
        <f t="shared" ref="E1076:F1076" si="1074">C1076/C1075-1</f>
        <v>-0.0003572775095</v>
      </c>
      <c r="F1076" s="7">
        <f t="shared" si="1074"/>
        <v>0.0005989286229</v>
      </c>
    </row>
    <row r="1077">
      <c r="A1077" s="3">
        <f>IFERROR(__xludf.DUMMYFUNCTION("""COMPUTED_VALUE"""),43815.66666666667)</f>
        <v>43815.66667</v>
      </c>
      <c r="B1077" s="5">
        <f>IFERROR(__xludf.DUMMYFUNCTION("""COMPUTED_VALUE"""),5.63)</f>
        <v>5.63</v>
      </c>
      <c r="C1077" s="5">
        <v>5.6043472290039</v>
      </c>
      <c r="D1077" s="5">
        <v>293.016662597656</v>
      </c>
      <c r="E1077" s="7">
        <f t="shared" ref="E1077:F1077" si="1075">C1077/C1076-1</f>
        <v>0.005179082756</v>
      </c>
      <c r="F1077" s="7">
        <f t="shared" si="1075"/>
        <v>0.006869819073</v>
      </c>
    </row>
    <row r="1078">
      <c r="A1078" s="3">
        <f>IFERROR(__xludf.DUMMYFUNCTION("""COMPUTED_VALUE"""),43816.66666666667)</f>
        <v>43816.66667</v>
      </c>
      <c r="B1078" s="5">
        <f>IFERROR(__xludf.DUMMYFUNCTION("""COMPUTED_VALUE"""),5.71)</f>
        <v>5.71</v>
      </c>
      <c r="C1078" s="5">
        <v>5.68250608444213</v>
      </c>
      <c r="D1078" s="5">
        <v>293.080932617187</v>
      </c>
      <c r="E1078" s="7">
        <f t="shared" ref="E1078:F1078" si="1076">C1078/C1077-1</f>
        <v>0.01394611223</v>
      </c>
      <c r="F1078" s="7">
        <f t="shared" si="1076"/>
        <v>0.0002193391289</v>
      </c>
    </row>
    <row r="1079">
      <c r="A1079" s="3">
        <f>IFERROR(__xludf.DUMMYFUNCTION("""COMPUTED_VALUE"""),43817.66666666667)</f>
        <v>43817.66667</v>
      </c>
      <c r="B1079" s="5">
        <f>IFERROR(__xludf.DUMMYFUNCTION("""COMPUTED_VALUE"""),5.74)</f>
        <v>5.74</v>
      </c>
      <c r="C1079" s="5">
        <v>5.71287393569946</v>
      </c>
      <c r="D1079" s="5">
        <v>293.099334716796</v>
      </c>
      <c r="E1079" s="7">
        <f t="shared" ref="E1079:F1079" si="1077">C1079/C1078-1</f>
        <v>0.005344094807</v>
      </c>
      <c r="F1079" s="7">
        <f t="shared" si="1077"/>
        <v>0.00006278845725</v>
      </c>
    </row>
    <row r="1080">
      <c r="A1080" s="3">
        <f>IFERROR(__xludf.DUMMYFUNCTION("""COMPUTED_VALUE"""),43818.66666666667)</f>
        <v>43818.66667</v>
      </c>
      <c r="B1080" s="5">
        <f>IFERROR(__xludf.DUMMYFUNCTION("""COMPUTED_VALUE"""),5.89)</f>
        <v>5.89</v>
      </c>
      <c r="C1080" s="5">
        <v>5.86097955703735</v>
      </c>
      <c r="D1080" s="5">
        <v>294.300598144531</v>
      </c>
      <c r="E1080" s="7">
        <f t="shared" ref="E1080:F1080" si="1078">C1080/C1079-1</f>
        <v>0.02592488877</v>
      </c>
      <c r="F1080" s="7">
        <f t="shared" si="1078"/>
        <v>0.004098485685</v>
      </c>
    </row>
    <row r="1081">
      <c r="A1081" s="3">
        <f>IFERROR(__xludf.DUMMYFUNCTION("""COMPUTED_VALUE"""),43819.66666666667)</f>
        <v>43819.66667</v>
      </c>
      <c r="B1081" s="5">
        <f>IFERROR(__xludf.DUMMYFUNCTION("""COMPUTED_VALUE"""),5.98)</f>
        <v>5.98</v>
      </c>
      <c r="C1081" s="5">
        <v>5.95830488204956</v>
      </c>
      <c r="D1081" s="5">
        <v>295.59097290039</v>
      </c>
      <c r="E1081" s="7">
        <f t="shared" ref="E1081:F1081" si="1079">C1081/C1080-1</f>
        <v>0.01660564144</v>
      </c>
      <c r="F1081" s="7">
        <f t="shared" si="1079"/>
        <v>0.004384546834</v>
      </c>
    </row>
    <row r="1082">
      <c r="A1082" s="3">
        <f>IFERROR(__xludf.DUMMYFUNCTION("""COMPUTED_VALUE"""),43822.66666666667)</f>
        <v>43822.66667</v>
      </c>
      <c r="B1082" s="5">
        <f>IFERROR(__xludf.DUMMYFUNCTION("""COMPUTED_VALUE"""),5.97)</f>
        <v>5.97</v>
      </c>
      <c r="C1082" s="5">
        <v>5.9446153640747</v>
      </c>
      <c r="D1082" s="5">
        <v>296.042572021484</v>
      </c>
      <c r="E1082" s="7">
        <f t="shared" ref="E1082:F1082" si="1080">C1082/C1081-1</f>
        <v>-0.002297552449</v>
      </c>
      <c r="F1082" s="7">
        <f t="shared" si="1080"/>
        <v>0.001527783872</v>
      </c>
    </row>
    <row r="1083">
      <c r="A1083" s="3">
        <f>IFERROR(__xludf.DUMMYFUNCTION("""COMPUTED_VALUE"""),43823.54166666667)</f>
        <v>43823.54167</v>
      </c>
      <c r="B1083" s="5">
        <f>IFERROR(__xludf.DUMMYFUNCTION("""COMPUTED_VALUE"""),5.97)</f>
        <v>5.97</v>
      </c>
      <c r="C1083" s="5">
        <v>5.93963623046875</v>
      </c>
      <c r="D1083" s="5">
        <v>296.051818847656</v>
      </c>
      <c r="E1083" s="7">
        <f t="shared" ref="E1083:F1083" si="1081">C1083/C1082-1</f>
        <v>-0.0008375871778</v>
      </c>
      <c r="F1083" s="7">
        <f t="shared" si="1081"/>
        <v>0.00003123478528</v>
      </c>
    </row>
    <row r="1084">
      <c r="A1084" s="3">
        <f>IFERROR(__xludf.DUMMYFUNCTION("""COMPUTED_VALUE"""),43825.66666666667)</f>
        <v>43825.66667</v>
      </c>
      <c r="B1084" s="5">
        <f>IFERROR(__xludf.DUMMYFUNCTION("""COMPUTED_VALUE"""),5.98)</f>
        <v>5.98</v>
      </c>
      <c r="C1084" s="5">
        <v>5.9538254737854</v>
      </c>
      <c r="D1084" s="5">
        <v>297.627746582031</v>
      </c>
      <c r="E1084" s="7">
        <f t="shared" ref="E1084:F1084" si="1082">C1084/C1083-1</f>
        <v>0.002388907799</v>
      </c>
      <c r="F1084" s="7">
        <f t="shared" si="1082"/>
        <v>0.005323148294</v>
      </c>
    </row>
    <row r="1085">
      <c r="A1085" s="3">
        <f>IFERROR(__xludf.DUMMYFUNCTION("""COMPUTED_VALUE"""),43826.66666666667)</f>
        <v>43826.66667</v>
      </c>
      <c r="B1085" s="5">
        <f>IFERROR(__xludf.DUMMYFUNCTION("""COMPUTED_VALUE"""),5.92)</f>
        <v>5.92</v>
      </c>
      <c r="C1085" s="5">
        <v>5.89607572555542</v>
      </c>
      <c r="D1085" s="5">
        <v>297.553894042968</v>
      </c>
      <c r="E1085" s="7">
        <f t="shared" ref="E1085:F1085" si="1083">C1085/C1084-1</f>
        <v>-0.009699603807</v>
      </c>
      <c r="F1085" s="7">
        <f t="shared" si="1083"/>
        <v>-0.0002481372786</v>
      </c>
    </row>
    <row r="1086">
      <c r="A1086" s="3">
        <f>IFERROR(__xludf.DUMMYFUNCTION("""COMPUTED_VALUE"""),43829.66666666667)</f>
        <v>43829.66667</v>
      </c>
      <c r="B1086" s="5">
        <f>IFERROR(__xludf.DUMMYFUNCTION("""COMPUTED_VALUE"""),5.81)</f>
        <v>5.81</v>
      </c>
      <c r="C1086" s="5">
        <v>5.78282022476196</v>
      </c>
      <c r="D1086" s="5">
        <v>295.913421630859</v>
      </c>
      <c r="E1086" s="7">
        <f t="shared" ref="E1086:F1086" si="1084">C1086/C1085-1</f>
        <v>-0.01920862385</v>
      </c>
      <c r="F1086" s="7">
        <f t="shared" si="1084"/>
        <v>-0.005513194231</v>
      </c>
    </row>
    <row r="1087">
      <c r="A1087" s="3">
        <f>IFERROR(__xludf.DUMMYFUNCTION("""COMPUTED_VALUE"""),43830.66666666667)</f>
        <v>43830.66667</v>
      </c>
      <c r="B1087" s="5">
        <f>IFERROR(__xludf.DUMMYFUNCTION("""COMPUTED_VALUE"""),5.88)</f>
        <v>5.88</v>
      </c>
      <c r="C1087" s="5">
        <v>5.85699653625488</v>
      </c>
      <c r="D1087" s="5">
        <v>296.63232421875</v>
      </c>
      <c r="E1087" s="7">
        <f t="shared" ref="E1087:F1087" si="1085">C1087/C1086-1</f>
        <v>0.01282701322</v>
      </c>
      <c r="F1087" s="7">
        <f t="shared" si="1085"/>
        <v>0.002429435556</v>
      </c>
    </row>
    <row r="1088">
      <c r="A1088" s="3">
        <f>IFERROR(__xludf.DUMMYFUNCTION("""COMPUTED_VALUE"""),43832.66666666667)</f>
        <v>43832.66667</v>
      </c>
      <c r="B1088" s="5">
        <f>IFERROR(__xludf.DUMMYFUNCTION("""COMPUTED_VALUE"""),6.0)</f>
        <v>6</v>
      </c>
      <c r="C1088" s="5">
        <v>5.9717469215393</v>
      </c>
      <c r="D1088" s="5">
        <v>299.406433105468</v>
      </c>
      <c r="E1088" s="7">
        <f t="shared" ref="E1088:F1088" si="1086">C1088/C1087-1</f>
        <v>0.01959201864</v>
      </c>
      <c r="F1088" s="7">
        <f t="shared" si="1086"/>
        <v>0.00935201143</v>
      </c>
    </row>
    <row r="1089">
      <c r="A1089" s="3">
        <f>IFERROR(__xludf.DUMMYFUNCTION("""COMPUTED_VALUE"""),43833.66666666667)</f>
        <v>43833.66667</v>
      </c>
      <c r="B1089" s="5">
        <f>IFERROR(__xludf.DUMMYFUNCTION("""COMPUTED_VALUE"""),5.9)</f>
        <v>5.9</v>
      </c>
      <c r="C1089" s="5">
        <v>5.87616300582885</v>
      </c>
      <c r="D1089" s="5">
        <v>297.13931274414</v>
      </c>
      <c r="E1089" s="7">
        <f t="shared" ref="E1089:F1089" si="1087">C1089/C1088-1</f>
        <v>-0.01600602252</v>
      </c>
      <c r="F1089" s="7">
        <f t="shared" si="1087"/>
        <v>-0.007572049598</v>
      </c>
    </row>
    <row r="1090">
      <c r="A1090" s="3">
        <f>IFERROR(__xludf.DUMMYFUNCTION("""COMPUTED_VALUE"""),43836.66666666667)</f>
        <v>43836.66667</v>
      </c>
      <c r="B1090" s="5">
        <f>IFERROR(__xludf.DUMMYFUNCTION("""COMPUTED_VALUE"""),5.93)</f>
        <v>5.93</v>
      </c>
      <c r="C1090" s="5">
        <v>5.90080547332763</v>
      </c>
      <c r="D1090" s="5">
        <v>298.272888183593</v>
      </c>
      <c r="E1090" s="7">
        <f t="shared" ref="E1090:F1090" si="1088">C1090/C1089-1</f>
        <v>0.004193632388</v>
      </c>
      <c r="F1090" s="7">
        <f t="shared" si="1088"/>
        <v>0.00381496285</v>
      </c>
    </row>
    <row r="1091">
      <c r="A1091" s="3">
        <f>IFERROR(__xludf.DUMMYFUNCTION("""COMPUTED_VALUE"""),43837.66666666667)</f>
        <v>43837.66667</v>
      </c>
      <c r="B1091" s="5">
        <f>IFERROR(__xludf.DUMMYFUNCTION("""COMPUTED_VALUE"""),6.0)</f>
        <v>6</v>
      </c>
      <c r="C1091" s="5">
        <v>5.97224378585815</v>
      </c>
      <c r="D1091" s="5">
        <v>297.434112548828</v>
      </c>
      <c r="E1091" s="7">
        <f t="shared" ref="E1091:F1091" si="1089">C1091/C1090-1</f>
        <v>0.01210653577</v>
      </c>
      <c r="F1091" s="7">
        <f t="shared" si="1089"/>
        <v>-0.0028121082</v>
      </c>
    </row>
    <row r="1092">
      <c r="A1092" s="3">
        <f>IFERROR(__xludf.DUMMYFUNCTION("""COMPUTED_VALUE"""),43838.66666666667)</f>
        <v>43838.66667</v>
      </c>
      <c r="B1092" s="5">
        <f>IFERROR(__xludf.DUMMYFUNCTION("""COMPUTED_VALUE"""),6.01)</f>
        <v>6.01</v>
      </c>
      <c r="C1092" s="5">
        <v>5.9834451675415</v>
      </c>
      <c r="D1092" s="5">
        <v>299.019317626953</v>
      </c>
      <c r="E1092" s="7">
        <f t="shared" ref="E1092:F1092" si="1090">C1092/C1091-1</f>
        <v>0.001875573417</v>
      </c>
      <c r="F1092" s="7">
        <f t="shared" si="1090"/>
        <v>0.00532960078</v>
      </c>
    </row>
    <row r="1093">
      <c r="A1093" s="3">
        <f>IFERROR(__xludf.DUMMYFUNCTION("""COMPUTED_VALUE"""),43839.66666666667)</f>
        <v>43839.66667</v>
      </c>
      <c r="B1093" s="5">
        <f>IFERROR(__xludf.DUMMYFUNCTION("""COMPUTED_VALUE"""),6.08)</f>
        <v>6.08</v>
      </c>
      <c r="C1093" s="5">
        <v>6.04915904998779</v>
      </c>
      <c r="D1093" s="5">
        <v>301.046875</v>
      </c>
      <c r="E1093" s="7">
        <f t="shared" ref="E1093:F1093" si="1091">C1093/C1092-1</f>
        <v>0.0109826163</v>
      </c>
      <c r="F1093" s="7">
        <f t="shared" si="1091"/>
        <v>0.006780690255</v>
      </c>
    </row>
    <row r="1094">
      <c r="A1094" s="3">
        <f>IFERROR(__xludf.DUMMYFUNCTION("""COMPUTED_VALUE"""),43840.66666666667)</f>
        <v>43840.66667</v>
      </c>
      <c r="B1094" s="5">
        <f>IFERROR(__xludf.DUMMYFUNCTION("""COMPUTED_VALUE"""),6.11)</f>
        <v>6.11</v>
      </c>
      <c r="C1094" s="5">
        <v>6.08151865005493</v>
      </c>
      <c r="D1094" s="5">
        <v>300.180633544921</v>
      </c>
      <c r="E1094" s="7">
        <f t="shared" ref="E1094:F1094" si="1092">C1094/C1093-1</f>
        <v>0.005349437798</v>
      </c>
      <c r="F1094" s="7">
        <f t="shared" si="1092"/>
        <v>-0.002877430483</v>
      </c>
    </row>
    <row r="1095">
      <c r="A1095" s="3">
        <f>IFERROR(__xludf.DUMMYFUNCTION("""COMPUTED_VALUE"""),43843.66666666667)</f>
        <v>43843.66667</v>
      </c>
      <c r="B1095" s="5">
        <f>IFERROR(__xludf.DUMMYFUNCTION("""COMPUTED_VALUE"""),6.3)</f>
        <v>6.3</v>
      </c>
      <c r="C1095" s="5">
        <v>6.27218866348266</v>
      </c>
      <c r="D1095" s="5">
        <v>302.245086669921</v>
      </c>
      <c r="E1095" s="7">
        <f t="shared" ref="E1095:F1095" si="1093">C1095/C1094-1</f>
        <v>0.03135236845</v>
      </c>
      <c r="F1095" s="7">
        <f t="shared" si="1093"/>
        <v>0.006877369471</v>
      </c>
    </row>
    <row r="1096">
      <c r="A1096" s="3">
        <f>IFERROR(__xludf.DUMMYFUNCTION("""COMPUTED_VALUE"""),43844.66666666667)</f>
        <v>43844.66667</v>
      </c>
      <c r="B1096" s="5">
        <f>IFERROR(__xludf.DUMMYFUNCTION("""COMPUTED_VALUE"""),6.18)</f>
        <v>6.18</v>
      </c>
      <c r="C1096" s="5">
        <v>6.15519857406616</v>
      </c>
      <c r="D1096" s="5">
        <v>301.7841796875</v>
      </c>
      <c r="E1096" s="7">
        <f t="shared" ref="E1096:F1096" si="1094">C1096/C1095-1</f>
        <v>-0.01865219554</v>
      </c>
      <c r="F1096" s="7">
        <f t="shared" si="1094"/>
        <v>-0.0015249445</v>
      </c>
    </row>
    <row r="1097">
      <c r="A1097" s="3">
        <f>IFERROR(__xludf.DUMMYFUNCTION("""COMPUTED_VALUE"""),43845.66666666667)</f>
        <v>43845.66667</v>
      </c>
      <c r="B1097" s="5">
        <f>IFERROR(__xludf.DUMMYFUNCTION("""COMPUTED_VALUE"""),6.14)</f>
        <v>6.14</v>
      </c>
      <c r="C1097" s="5">
        <v>6.11263275146484</v>
      </c>
      <c r="D1097" s="5">
        <v>302.46630859375</v>
      </c>
      <c r="E1097" s="7">
        <f t="shared" ref="E1097:F1097" si="1095">C1097/C1096-1</f>
        <v>-0.006915426381</v>
      </c>
      <c r="F1097" s="7">
        <f t="shared" si="1095"/>
        <v>0.002260320296</v>
      </c>
    </row>
    <row r="1098">
      <c r="A1098" s="3">
        <f>IFERROR(__xludf.DUMMYFUNCTION("""COMPUTED_VALUE"""),43846.66666666667)</f>
        <v>43846.66667</v>
      </c>
      <c r="B1098" s="5">
        <f>IFERROR(__xludf.DUMMYFUNCTION("""COMPUTED_VALUE"""),6.22)</f>
        <v>6.22</v>
      </c>
      <c r="C1098" s="5">
        <v>6.19626998901367</v>
      </c>
      <c r="D1098" s="5">
        <v>304.982330322265</v>
      </c>
      <c r="E1098" s="7">
        <f t="shared" ref="E1098:F1098" si="1096">C1098/C1097-1</f>
        <v>0.01368268649</v>
      </c>
      <c r="F1098" s="7">
        <f t="shared" si="1096"/>
        <v>0.008318353671</v>
      </c>
    </row>
    <row r="1099">
      <c r="A1099" s="3">
        <f>IFERROR(__xludf.DUMMYFUNCTION("""COMPUTED_VALUE"""),43847.66666666667)</f>
        <v>43847.66667</v>
      </c>
      <c r="B1099" s="5">
        <f>IFERROR(__xludf.DUMMYFUNCTION("""COMPUTED_VALUE"""),6.23)</f>
        <v>6.23</v>
      </c>
      <c r="C1099" s="5">
        <v>6.20498037338256</v>
      </c>
      <c r="D1099" s="5">
        <v>305.931488037109</v>
      </c>
      <c r="E1099" s="7">
        <f t="shared" ref="E1099:F1099" si="1097">C1099/C1098-1</f>
        <v>0.001405746422</v>
      </c>
      <c r="F1099" s="7">
        <f t="shared" si="1097"/>
        <v>0.003112172806</v>
      </c>
    </row>
    <row r="1100">
      <c r="A1100" s="3">
        <f>IFERROR(__xludf.DUMMYFUNCTION("""COMPUTED_VALUE"""),43851.66666666667)</f>
        <v>43851.66667</v>
      </c>
      <c r="B1100" s="5">
        <f>IFERROR(__xludf.DUMMYFUNCTION("""COMPUTED_VALUE"""),6.2)</f>
        <v>6.2</v>
      </c>
      <c r="C1100" s="5">
        <v>6.17162656784057</v>
      </c>
      <c r="D1100" s="5">
        <v>305.332458496093</v>
      </c>
      <c r="E1100" s="7">
        <f t="shared" ref="E1100:F1100" si="1098">C1100/C1099-1</f>
        <v>-0.005375328129</v>
      </c>
      <c r="F1100" s="7">
        <f t="shared" si="1098"/>
        <v>-0.001958051278</v>
      </c>
    </row>
    <row r="1101">
      <c r="A1101" s="3">
        <f>IFERROR(__xludf.DUMMYFUNCTION("""COMPUTED_VALUE"""),43852.66666666667)</f>
        <v>43852.66667</v>
      </c>
      <c r="B1101" s="5">
        <f>IFERROR(__xludf.DUMMYFUNCTION("""COMPUTED_VALUE"""),6.25)</f>
        <v>6.25</v>
      </c>
      <c r="C1101" s="5">
        <v>6.22563934326171</v>
      </c>
      <c r="D1101" s="5">
        <v>305.369262695312</v>
      </c>
      <c r="E1101" s="7">
        <f t="shared" ref="E1101:F1101" si="1099">C1101/C1100-1</f>
        <v>0.00875178931</v>
      </c>
      <c r="F1101" s="7">
        <f t="shared" si="1099"/>
        <v>0.0001205381157</v>
      </c>
    </row>
    <row r="1102">
      <c r="A1102" s="3">
        <f>IFERROR(__xludf.DUMMYFUNCTION("""COMPUTED_VALUE"""),43853.66666666667)</f>
        <v>43853.66667</v>
      </c>
      <c r="B1102" s="5">
        <f>IFERROR(__xludf.DUMMYFUNCTION("""COMPUTED_VALUE"""),6.32)</f>
        <v>6.32</v>
      </c>
      <c r="C1102" s="5">
        <v>6.2940936088562</v>
      </c>
      <c r="D1102" s="5">
        <v>305.719543457031</v>
      </c>
      <c r="E1102" s="7">
        <f t="shared" ref="E1102:F1102" si="1100">C1102/C1101-1</f>
        <v>0.01099553987</v>
      </c>
      <c r="F1102" s="7">
        <f t="shared" si="1100"/>
        <v>0.001147072756</v>
      </c>
    </row>
    <row r="1103">
      <c r="A1103" s="3">
        <f>IFERROR(__xludf.DUMMYFUNCTION("""COMPUTED_VALUE"""),43854.66666666667)</f>
        <v>43854.66667</v>
      </c>
      <c r="B1103" s="5">
        <f>IFERROR(__xludf.DUMMYFUNCTION("""COMPUTED_VALUE"""),6.26)</f>
        <v>6.26</v>
      </c>
      <c r="C1103" s="5">
        <v>6.23485136032104</v>
      </c>
      <c r="D1103" s="5">
        <v>303.000732421875</v>
      </c>
      <c r="E1103" s="7">
        <f t="shared" ref="E1103:F1103" si="1101">C1103/C1102-1</f>
        <v>-0.009412355808</v>
      </c>
      <c r="F1103" s="7">
        <f t="shared" si="1101"/>
        <v>-0.008893154178</v>
      </c>
    </row>
    <row r="1104">
      <c r="A1104" s="3">
        <f>IFERROR(__xludf.DUMMYFUNCTION("""COMPUTED_VALUE"""),43857.66666666667)</f>
        <v>43857.66667</v>
      </c>
      <c r="B1104" s="5">
        <f>IFERROR(__xludf.DUMMYFUNCTION("""COMPUTED_VALUE"""),6.01)</f>
        <v>6.01</v>
      </c>
      <c r="C1104" s="5">
        <v>5.97896432876586</v>
      </c>
      <c r="D1104" s="5">
        <v>298.143890380859</v>
      </c>
      <c r="E1104" s="7">
        <f t="shared" ref="E1104:F1104" si="1102">C1104/C1103-1</f>
        <v>-0.04104140047</v>
      </c>
      <c r="F1104" s="7">
        <f t="shared" si="1102"/>
        <v>-0.01602914291</v>
      </c>
    </row>
    <row r="1105">
      <c r="A1105" s="3">
        <f>IFERROR(__xludf.DUMMYFUNCTION("""COMPUTED_VALUE"""),43858.66666666667)</f>
        <v>43858.66667</v>
      </c>
      <c r="B1105" s="5">
        <f>IFERROR(__xludf.DUMMYFUNCTION("""COMPUTED_VALUE"""),6.2)</f>
        <v>6.2</v>
      </c>
      <c r="C1105" s="5">
        <v>6.17237329483032</v>
      </c>
      <c r="D1105" s="5">
        <v>301.268127441406</v>
      </c>
      <c r="E1105" s="7">
        <f t="shared" ref="E1105:F1105" si="1103">C1105/C1104-1</f>
        <v>0.03234823883</v>
      </c>
      <c r="F1105" s="7">
        <f t="shared" si="1103"/>
        <v>0.01047895718</v>
      </c>
    </row>
    <row r="1106">
      <c r="A1106" s="3">
        <f>IFERROR(__xludf.DUMMYFUNCTION("""COMPUTED_VALUE"""),43859.66666666667)</f>
        <v>43859.66667</v>
      </c>
      <c r="B1106" s="5">
        <f>IFERROR(__xludf.DUMMYFUNCTION("""COMPUTED_VALUE"""),6.14)</f>
        <v>6.14</v>
      </c>
      <c r="C1106" s="5">
        <v>6.11188602447509</v>
      </c>
      <c r="D1106" s="5">
        <v>301.019287109375</v>
      </c>
      <c r="E1106" s="7">
        <f t="shared" ref="E1106:F1106" si="1104">C1106/C1105-1</f>
        <v>-0.00979967793</v>
      </c>
      <c r="F1106" s="7">
        <f t="shared" si="1104"/>
        <v>-0.0008259762961</v>
      </c>
    </row>
    <row r="1107">
      <c r="A1107" s="3">
        <f>IFERROR(__xludf.DUMMYFUNCTION("""COMPUTED_VALUE"""),43860.66666666667)</f>
        <v>43860.66667</v>
      </c>
      <c r="B1107" s="5">
        <f>IFERROR(__xludf.DUMMYFUNCTION("""COMPUTED_VALUE"""),6.15)</f>
        <v>6.15</v>
      </c>
      <c r="C1107" s="5">
        <v>6.11860704421997</v>
      </c>
      <c r="D1107" s="5">
        <v>301.996215820312</v>
      </c>
      <c r="E1107" s="7">
        <f t="shared" ref="E1107:F1107" si="1105">C1107/C1106-1</f>
        <v>0.001099663789</v>
      </c>
      <c r="F1107" s="7">
        <f t="shared" si="1105"/>
        <v>0.00324540238</v>
      </c>
    </row>
    <row r="1108">
      <c r="A1108" s="3">
        <f>IFERROR(__xludf.DUMMYFUNCTION("""COMPUTED_VALUE"""),43861.66666666667)</f>
        <v>43861.66667</v>
      </c>
      <c r="B1108" s="5">
        <f>IFERROR(__xludf.DUMMYFUNCTION("""COMPUTED_VALUE"""),5.91)</f>
        <v>5.91</v>
      </c>
      <c r="C1108" s="5">
        <v>5.88512372970581</v>
      </c>
      <c r="D1108" s="5">
        <v>296.512512207031</v>
      </c>
      <c r="E1108" s="7">
        <f t="shared" ref="E1108:F1108" si="1106">C1108/C1107-1</f>
        <v>-0.03815955377</v>
      </c>
      <c r="F1108" s="7">
        <f t="shared" si="1106"/>
        <v>-0.01815818651</v>
      </c>
    </row>
    <row r="1109">
      <c r="A1109" s="3">
        <f>IFERROR(__xludf.DUMMYFUNCTION("""COMPUTED_VALUE"""),43864.66666666667)</f>
        <v>43864.66667</v>
      </c>
      <c r="B1109" s="5">
        <f>IFERROR(__xludf.DUMMYFUNCTION("""COMPUTED_VALUE"""),6.01)</f>
        <v>6.01</v>
      </c>
      <c r="C1109" s="5">
        <v>5.98220109939575</v>
      </c>
      <c r="D1109" s="5">
        <v>298.715240478515</v>
      </c>
      <c r="E1109" s="7">
        <f t="shared" ref="E1109:F1109" si="1107">C1109/C1108-1</f>
        <v>0.01649538296</v>
      </c>
      <c r="F1109" s="7">
        <f t="shared" si="1107"/>
        <v>0.007428786917</v>
      </c>
    </row>
    <row r="1110">
      <c r="A1110" s="3">
        <f>IFERROR(__xludf.DUMMYFUNCTION("""COMPUTED_VALUE"""),43865.66666666667)</f>
        <v>43865.66667</v>
      </c>
      <c r="B1110" s="5">
        <f>IFERROR(__xludf.DUMMYFUNCTION("""COMPUTED_VALUE"""),6.18)</f>
        <v>6.18</v>
      </c>
      <c r="C1110" s="5">
        <v>6.15146398544311</v>
      </c>
      <c r="D1110" s="5">
        <v>303.267974853515</v>
      </c>
      <c r="E1110" s="7">
        <f t="shared" ref="E1110:F1110" si="1108">C1110/C1109-1</f>
        <v>0.02829441592</v>
      </c>
      <c r="F1110" s="7">
        <f t="shared" si="1108"/>
        <v>0.01524105154</v>
      </c>
    </row>
    <row r="1111">
      <c r="A1111" s="3">
        <f>IFERROR(__xludf.DUMMYFUNCTION("""COMPUTED_VALUE"""),43866.66666666667)</f>
        <v>43866.66667</v>
      </c>
      <c r="B1111" s="5">
        <f>IFERROR(__xludf.DUMMYFUNCTION("""COMPUTED_VALUE"""),6.27)</f>
        <v>6.27</v>
      </c>
      <c r="C1111" s="5">
        <v>6.2418212890625</v>
      </c>
      <c r="D1111" s="5">
        <v>306.77017211914</v>
      </c>
      <c r="E1111" s="7">
        <f t="shared" ref="E1111:F1111" si="1109">C1111/C1110-1</f>
        <v>0.01468874789</v>
      </c>
      <c r="F1111" s="7">
        <f t="shared" si="1109"/>
        <v>0.01154819353</v>
      </c>
    </row>
    <row r="1112">
      <c r="A1112" s="3">
        <f>IFERROR(__xludf.DUMMYFUNCTION("""COMPUTED_VALUE"""),43867.66666666667)</f>
        <v>43867.66667</v>
      </c>
      <c r="B1112" s="5">
        <f>IFERROR(__xludf.DUMMYFUNCTION("""COMPUTED_VALUE"""),6.36)</f>
        <v>6.36</v>
      </c>
      <c r="C1112" s="5">
        <v>6.32869386672973</v>
      </c>
      <c r="D1112" s="5">
        <v>307.802429199218</v>
      </c>
      <c r="E1112" s="7">
        <f t="shared" ref="E1112:F1112" si="1110">C1112/C1111-1</f>
        <v>0.01391782521</v>
      </c>
      <c r="F1112" s="7">
        <f t="shared" si="1110"/>
        <v>0.003364919976</v>
      </c>
    </row>
    <row r="1113">
      <c r="A1113" s="3">
        <f>IFERROR(__xludf.DUMMYFUNCTION("""COMPUTED_VALUE"""),43868.66666666667)</f>
        <v>43868.66667</v>
      </c>
      <c r="B1113" s="5">
        <f>IFERROR(__xludf.DUMMYFUNCTION("""COMPUTED_VALUE"""),6.29)</f>
        <v>6.29</v>
      </c>
      <c r="C1113" s="5">
        <v>6.2624807357788</v>
      </c>
      <c r="D1113" s="5">
        <v>306.161895751953</v>
      </c>
      <c r="E1113" s="7">
        <f t="shared" ref="E1113:F1113" si="1111">C1113/C1112-1</f>
        <v>-0.01046236907</v>
      </c>
      <c r="F1113" s="7">
        <f t="shared" si="1111"/>
        <v>-0.005329826186</v>
      </c>
    </row>
    <row r="1114">
      <c r="A1114" s="3">
        <f>IFERROR(__xludf.DUMMYFUNCTION("""COMPUTED_VALUE"""),43871.66666666667)</f>
        <v>43871.66667</v>
      </c>
      <c r="B1114" s="5">
        <f>IFERROR(__xludf.DUMMYFUNCTION("""COMPUTED_VALUE"""),6.57)</f>
        <v>6.57</v>
      </c>
      <c r="C1114" s="5">
        <v>6.54574728012085</v>
      </c>
      <c r="D1114" s="5">
        <v>308.447509765625</v>
      </c>
      <c r="E1114" s="7">
        <f t="shared" ref="E1114:F1114" si="1112">C1114/C1113-1</f>
        <v>0.04523232187</v>
      </c>
      <c r="F1114" s="7">
        <f t="shared" si="1112"/>
        <v>0.007465377127</v>
      </c>
    </row>
    <row r="1115">
      <c r="A1115" s="3">
        <f>IFERROR(__xludf.DUMMYFUNCTION("""COMPUTED_VALUE"""),43872.66666666667)</f>
        <v>43872.66667</v>
      </c>
      <c r="B1115" s="5">
        <f>IFERROR(__xludf.DUMMYFUNCTION("""COMPUTED_VALUE"""),6.7)</f>
        <v>6.7</v>
      </c>
      <c r="C1115" s="5">
        <v>6.66821384429931</v>
      </c>
      <c r="D1115" s="5">
        <v>308.982025146484</v>
      </c>
      <c r="E1115" s="7">
        <f t="shared" ref="E1115:F1115" si="1113">C1115/C1114-1</f>
        <v>0.01870933278</v>
      </c>
      <c r="F1115" s="7">
        <f t="shared" si="1113"/>
        <v>0.001732921693</v>
      </c>
    </row>
    <row r="1116">
      <c r="A1116" s="3">
        <f>IFERROR(__xludf.DUMMYFUNCTION("""COMPUTED_VALUE"""),43873.66666666667)</f>
        <v>43873.66667</v>
      </c>
      <c r="B1116" s="5">
        <f>IFERROR(__xludf.DUMMYFUNCTION("""COMPUTED_VALUE"""),6.81)</f>
        <v>6.81</v>
      </c>
      <c r="C1116" s="5">
        <v>6.78396081924438</v>
      </c>
      <c r="D1116" s="5">
        <v>310.972778320312</v>
      </c>
      <c r="E1116" s="7">
        <f t="shared" ref="E1116:F1116" si="1114">C1116/C1115-1</f>
        <v>0.01735801785</v>
      </c>
      <c r="F1116" s="7">
        <f t="shared" si="1114"/>
        <v>0.006442941698</v>
      </c>
    </row>
    <row r="1117">
      <c r="A1117" s="3">
        <f>IFERROR(__xludf.DUMMYFUNCTION("""COMPUTED_VALUE"""),43874.66666666667)</f>
        <v>43874.66667</v>
      </c>
      <c r="B1117" s="5">
        <f>IFERROR(__xludf.DUMMYFUNCTION("""COMPUTED_VALUE"""),6.77)</f>
        <v>6.77</v>
      </c>
      <c r="C1117" s="5">
        <v>6.74015092849731</v>
      </c>
      <c r="D1117" s="5">
        <v>310.640960693359</v>
      </c>
      <c r="E1117" s="7">
        <f t="shared" ref="E1117:F1117" si="1115">C1117/C1116-1</f>
        <v>-0.006457863174</v>
      </c>
      <c r="F1117" s="7">
        <f t="shared" si="1115"/>
        <v>-0.001067031104</v>
      </c>
    </row>
    <row r="1118">
      <c r="A1118" s="3">
        <f>IFERROR(__xludf.DUMMYFUNCTION("""COMPUTED_VALUE"""),43875.66666666667)</f>
        <v>43875.66667</v>
      </c>
      <c r="B1118" s="5">
        <f>IFERROR(__xludf.DUMMYFUNCTION("""COMPUTED_VALUE"""),7.24)</f>
        <v>7.24</v>
      </c>
      <c r="C1118" s="5">
        <v>7.21333980560302</v>
      </c>
      <c r="D1118" s="5">
        <v>311.138702392578</v>
      </c>
      <c r="E1118" s="7">
        <f t="shared" ref="E1118:F1118" si="1116">C1118/C1117-1</f>
        <v>0.07020449277</v>
      </c>
      <c r="F1118" s="7">
        <f t="shared" si="1116"/>
        <v>0.001602305434</v>
      </c>
    </row>
    <row r="1119">
      <c r="A1119" s="3">
        <f>IFERROR(__xludf.DUMMYFUNCTION("""COMPUTED_VALUE"""),43879.66666666667)</f>
        <v>43879.66667</v>
      </c>
      <c r="B1119" s="5">
        <f>IFERROR(__xludf.DUMMYFUNCTION("""COMPUTED_VALUE"""),7.41)</f>
        <v>7.41</v>
      </c>
      <c r="C1119" s="5">
        <v>7.38210582733154</v>
      </c>
      <c r="D1119" s="5">
        <v>310.3369140625</v>
      </c>
      <c r="E1119" s="7">
        <f t="shared" ref="E1119:F1119" si="1117">C1119/C1118-1</f>
        <v>0.02339637758</v>
      </c>
      <c r="F1119" s="7">
        <f t="shared" si="1117"/>
        <v>-0.002576948235</v>
      </c>
    </row>
    <row r="1120">
      <c r="A1120" s="3">
        <f>IFERROR(__xludf.DUMMYFUNCTION("""COMPUTED_VALUE"""),43880.66666666667)</f>
        <v>43880.66667</v>
      </c>
      <c r="B1120" s="5">
        <f>IFERROR(__xludf.DUMMYFUNCTION("""COMPUTED_VALUE"""),7.87)</f>
        <v>7.87</v>
      </c>
      <c r="C1120" s="5">
        <v>7.83339118957519</v>
      </c>
      <c r="D1120" s="5">
        <v>311.820587158203</v>
      </c>
      <c r="E1120" s="7">
        <f t="shared" ref="E1120:F1120" si="1118">C1120/C1119-1</f>
        <v>0.06113233443</v>
      </c>
      <c r="F1120" s="7">
        <f t="shared" si="1118"/>
        <v>0.004780846327</v>
      </c>
    </row>
    <row r="1121">
      <c r="A1121" s="3">
        <f>IFERROR(__xludf.DUMMYFUNCTION("""COMPUTED_VALUE"""),43881.66666666667)</f>
        <v>43881.66667</v>
      </c>
      <c r="B1121" s="5">
        <f>IFERROR(__xludf.DUMMYFUNCTION("""COMPUTED_VALUE"""),7.72)</f>
        <v>7.72</v>
      </c>
      <c r="C1121" s="5">
        <v>7.68404102325439</v>
      </c>
      <c r="D1121" s="5">
        <v>310.539642333984</v>
      </c>
      <c r="E1121" s="7">
        <f t="shared" ref="E1121:F1121" si="1119">C1121/C1120-1</f>
        <v>-0.01906583786</v>
      </c>
      <c r="F1121" s="7">
        <f t="shared" si="1119"/>
        <v>-0.004107954628</v>
      </c>
    </row>
    <row r="1122">
      <c r="A1122" s="3">
        <f>IFERROR(__xludf.DUMMYFUNCTION("""COMPUTED_VALUE"""),43882.66666666667)</f>
        <v>43882.66667</v>
      </c>
      <c r="B1122" s="5">
        <f>IFERROR(__xludf.DUMMYFUNCTION("""COMPUTED_VALUE"""),7.35)</f>
        <v>7.35</v>
      </c>
      <c r="C1122" s="5">
        <v>7.3198766708374</v>
      </c>
      <c r="D1122" s="5">
        <v>307.341583251953</v>
      </c>
      <c r="E1122" s="7">
        <f t="shared" ref="E1122:F1122" si="1120">C1122/C1121-1</f>
        <v>-0.04739229675</v>
      </c>
      <c r="F1122" s="7">
        <f t="shared" si="1120"/>
        <v>-0.01029839237</v>
      </c>
    </row>
    <row r="1123">
      <c r="A1123" s="3">
        <f>IFERROR(__xludf.DUMMYFUNCTION("""COMPUTED_VALUE"""),43885.66666666667)</f>
        <v>43885.66667</v>
      </c>
      <c r="B1123" s="5">
        <f>IFERROR(__xludf.DUMMYFUNCTION("""COMPUTED_VALUE"""),6.83)</f>
        <v>6.83</v>
      </c>
      <c r="C1123" s="5">
        <v>6.80237960815429</v>
      </c>
      <c r="D1123" s="5">
        <v>297.148498535156</v>
      </c>
      <c r="E1123" s="7">
        <f t="shared" ref="E1123:F1123" si="1121">C1123/C1122-1</f>
        <v>-0.07069751117</v>
      </c>
      <c r="F1123" s="7">
        <f t="shared" si="1121"/>
        <v>-0.03316532898</v>
      </c>
    </row>
    <row r="1124">
      <c r="A1124" s="3">
        <f>IFERROR(__xludf.DUMMYFUNCTION("""COMPUTED_VALUE"""),43886.66666666667)</f>
        <v>43886.66667</v>
      </c>
      <c r="B1124" s="5">
        <f>IFERROR(__xludf.DUMMYFUNCTION("""COMPUTED_VALUE"""),6.55)</f>
        <v>6.55</v>
      </c>
      <c r="C1124" s="5">
        <v>6.5228476524353</v>
      </c>
      <c r="D1124" s="5">
        <v>288.144287109375</v>
      </c>
      <c r="E1124" s="7">
        <f t="shared" ref="E1124:F1124" si="1122">C1124/C1123-1</f>
        <v>-0.04109326027</v>
      </c>
      <c r="F1124" s="7">
        <f t="shared" si="1122"/>
        <v>-0.03030205931</v>
      </c>
    </row>
    <row r="1125">
      <c r="A1125" s="3">
        <f>IFERROR(__xludf.DUMMYFUNCTION("""COMPUTED_VALUE"""),43887.66666666667)</f>
        <v>43887.66667</v>
      </c>
      <c r="B1125" s="5">
        <f>IFERROR(__xludf.DUMMYFUNCTION("""COMPUTED_VALUE"""),6.69)</f>
        <v>6.69</v>
      </c>
      <c r="C1125" s="5">
        <v>6.66223955154418</v>
      </c>
      <c r="D1125" s="5">
        <v>287.084411621093</v>
      </c>
      <c r="E1125" s="7">
        <f t="shared" ref="E1125:F1125" si="1123">C1125/C1124-1</f>
        <v>0.02136979223</v>
      </c>
      <c r="F1125" s="7">
        <f t="shared" si="1123"/>
        <v>-0.003678280416</v>
      </c>
    </row>
    <row r="1126">
      <c r="A1126" s="3">
        <f>IFERROR(__xludf.DUMMYFUNCTION("""COMPUTED_VALUE"""),43888.66666666667)</f>
        <v>43888.66667</v>
      </c>
      <c r="B1126" s="5">
        <f>IFERROR(__xludf.DUMMYFUNCTION("""COMPUTED_VALUE"""),6.32)</f>
        <v>6.32</v>
      </c>
      <c r="C1126" s="5">
        <v>6.2913818359375</v>
      </c>
      <c r="D1126" s="5">
        <v>274.190948486328</v>
      </c>
      <c r="E1126" s="7">
        <f t="shared" ref="E1126:F1126" si="1124">C1126/C1125-1</f>
        <v>-0.05566562306</v>
      </c>
      <c r="F1126" s="7">
        <f t="shared" si="1124"/>
        <v>-0.04491174934</v>
      </c>
    </row>
    <row r="1127">
      <c r="A1127" s="3">
        <f>IFERROR(__xludf.DUMMYFUNCTION("""COMPUTED_VALUE"""),43889.66666666667)</f>
        <v>43889.66667</v>
      </c>
      <c r="B1127" s="5">
        <f>IFERROR(__xludf.DUMMYFUNCTION("""COMPUTED_VALUE"""),6.75)</f>
        <v>6.75</v>
      </c>
      <c r="C1127" s="5">
        <v>6.7264986038208</v>
      </c>
      <c r="D1127" s="5">
        <v>273.038818359375</v>
      </c>
      <c r="E1127" s="7">
        <f t="shared" ref="E1127:F1127" si="1125">C1127/C1126-1</f>
        <v>0.06916076297</v>
      </c>
      <c r="F1127" s="7">
        <f t="shared" si="1125"/>
        <v>-0.004201926188</v>
      </c>
    </row>
    <row r="1128">
      <c r="A1128" s="3">
        <f>IFERROR(__xludf.DUMMYFUNCTION("""COMPUTED_VALUE"""),43892.66666666667)</f>
        <v>43892.66667</v>
      </c>
      <c r="B1128" s="5">
        <f>IFERROR(__xludf.DUMMYFUNCTION("""COMPUTED_VALUE"""),6.91)</f>
        <v>6.91</v>
      </c>
      <c r="C1128" s="5">
        <v>6.88490390777587</v>
      </c>
      <c r="D1128" s="5">
        <v>284.863311767578</v>
      </c>
      <c r="E1128" s="7">
        <f t="shared" ref="E1128:F1128" si="1126">C1128/C1127-1</f>
        <v>0.02354944426</v>
      </c>
      <c r="F1128" s="7">
        <f t="shared" si="1126"/>
        <v>0.04330700477</v>
      </c>
    </row>
    <row r="1129">
      <c r="A1129" s="3">
        <f>IFERROR(__xludf.DUMMYFUNCTION("""COMPUTED_VALUE"""),43893.66666666667)</f>
        <v>43893.66667</v>
      </c>
      <c r="B1129" s="5">
        <f>IFERROR(__xludf.DUMMYFUNCTION("""COMPUTED_VALUE"""),6.65)</f>
        <v>6.65</v>
      </c>
      <c r="C1129" s="5">
        <v>6.62238979339599</v>
      </c>
      <c r="D1129" s="5">
        <v>276.706939697265</v>
      </c>
      <c r="E1129" s="7">
        <f t="shared" ref="E1129:F1129" si="1127">C1129/C1128-1</f>
        <v>-0.03812894383</v>
      </c>
      <c r="F1129" s="7">
        <f t="shared" si="1127"/>
        <v>-0.02863258178</v>
      </c>
    </row>
    <row r="1130">
      <c r="A1130" s="3">
        <f>IFERROR(__xludf.DUMMYFUNCTION("""COMPUTED_VALUE"""),43894.66666666667)</f>
        <v>43894.66667</v>
      </c>
      <c r="B1130" s="5">
        <f>IFERROR(__xludf.DUMMYFUNCTION("""COMPUTED_VALUE"""),7.11)</f>
        <v>7.11</v>
      </c>
      <c r="C1130" s="5">
        <v>7.08614826202392</v>
      </c>
      <c r="D1130" s="5">
        <v>288.337799072265</v>
      </c>
      <c r="E1130" s="7">
        <f t="shared" ref="E1130:F1130" si="1128">C1130/C1129-1</f>
        <v>0.0700288692</v>
      </c>
      <c r="F1130" s="7">
        <f t="shared" si="1128"/>
        <v>0.04203313219</v>
      </c>
    </row>
    <row r="1131">
      <c r="A1131" s="3">
        <f>IFERROR(__xludf.DUMMYFUNCTION("""COMPUTED_VALUE"""),43895.66666666667)</f>
        <v>43895.66667</v>
      </c>
      <c r="B1131" s="5">
        <f>IFERROR(__xludf.DUMMYFUNCTION("""COMPUTED_VALUE"""),6.83)</f>
        <v>6.83</v>
      </c>
      <c r="C1131" s="5">
        <v>6.80669784545898</v>
      </c>
      <c r="D1131" s="5">
        <v>278.752899169921</v>
      </c>
      <c r="E1131" s="7">
        <f t="shared" ref="E1131:F1131" si="1129">C1131/C1130-1</f>
        <v>-0.03943615152</v>
      </c>
      <c r="F1131" s="7">
        <f t="shared" si="1129"/>
        <v>-0.03324191255</v>
      </c>
    </row>
    <row r="1132">
      <c r="A1132" s="3">
        <f>IFERROR(__xludf.DUMMYFUNCTION("""COMPUTED_VALUE"""),43896.66666666667)</f>
        <v>43896.66667</v>
      </c>
      <c r="B1132" s="5">
        <f>IFERROR(__xludf.DUMMYFUNCTION("""COMPUTED_VALUE"""),6.65)</f>
        <v>6.65</v>
      </c>
      <c r="C1132" s="5">
        <v>6.62612533569335</v>
      </c>
      <c r="D1132" s="5">
        <v>274.144897460937</v>
      </c>
      <c r="E1132" s="7">
        <f t="shared" ref="E1132:F1132" si="1130">C1132/C1131-1</f>
        <v>-0.02652865073</v>
      </c>
      <c r="F1132" s="7">
        <f t="shared" si="1130"/>
        <v>-0.0165307759</v>
      </c>
    </row>
    <row r="1133">
      <c r="A1133" s="3">
        <f>IFERROR(__xludf.DUMMYFUNCTION("""COMPUTED_VALUE"""),43899.66666666667)</f>
        <v>43899.66667</v>
      </c>
      <c r="B1133" s="5">
        <f>IFERROR(__xludf.DUMMYFUNCTION("""COMPUTED_VALUE"""),6.14)</f>
        <v>6.14</v>
      </c>
      <c r="C1133" s="5">
        <v>6.11305236816406</v>
      </c>
      <c r="D1133" s="5">
        <v>252.735656738281</v>
      </c>
      <c r="E1133" s="7">
        <f t="shared" ref="E1133:F1133" si="1131">C1133/C1132-1</f>
        <v>-0.07743182351</v>
      </c>
      <c r="F1133" s="7">
        <f t="shared" si="1131"/>
        <v>-0.07809461683</v>
      </c>
    </row>
    <row r="1134">
      <c r="A1134" s="3">
        <f>IFERROR(__xludf.DUMMYFUNCTION("""COMPUTED_VALUE"""),43900.66666666667)</f>
        <v>43900.66667</v>
      </c>
      <c r="B1134" s="5">
        <f>IFERROR(__xludf.DUMMYFUNCTION("""COMPUTED_VALUE"""),6.53)</f>
        <v>6.53</v>
      </c>
      <c r="C1134" s="5">
        <v>6.5025897026062</v>
      </c>
      <c r="D1134" s="5">
        <v>265.813446044921</v>
      </c>
      <c r="E1134" s="7">
        <f t="shared" ref="E1134:F1134" si="1132">C1134/C1133-1</f>
        <v>0.06372223089</v>
      </c>
      <c r="F1134" s="7">
        <f t="shared" si="1132"/>
        <v>0.05174493174</v>
      </c>
    </row>
    <row r="1135">
      <c r="A1135" s="3">
        <f>IFERROR(__xludf.DUMMYFUNCTION("""COMPUTED_VALUE"""),43901.66666666667)</f>
        <v>43901.66667</v>
      </c>
      <c r="B1135" s="5">
        <f>IFERROR(__xludf.DUMMYFUNCTION("""COMPUTED_VALUE"""),6.16)</f>
        <v>6.16</v>
      </c>
      <c r="C1135" s="5">
        <v>6.13870525360107</v>
      </c>
      <c r="D1135" s="5">
        <v>252.855407714843</v>
      </c>
      <c r="E1135" s="7">
        <f t="shared" ref="E1135:F1135" si="1133">C1135/C1134-1</f>
        <v>-0.05595992761</v>
      </c>
      <c r="F1135" s="7">
        <f t="shared" si="1133"/>
        <v>-0.04874861871</v>
      </c>
    </row>
    <row r="1136">
      <c r="A1136" s="3">
        <f>IFERROR(__xludf.DUMMYFUNCTION("""COMPUTED_VALUE"""),43902.66666666667)</f>
        <v>43902.66667</v>
      </c>
      <c r="B1136" s="5">
        <f>IFERROR(__xludf.DUMMYFUNCTION("""COMPUTED_VALUE"""),5.41)</f>
        <v>5.41</v>
      </c>
      <c r="C1136" s="5">
        <v>5.38752603530883</v>
      </c>
      <c r="D1136" s="5">
        <v>228.662948608398</v>
      </c>
      <c r="E1136" s="7">
        <f t="shared" ref="E1136:F1136" si="1134">C1136/C1135-1</f>
        <v>-0.122367696</v>
      </c>
      <c r="F1136" s="7">
        <f t="shared" si="1134"/>
        <v>-0.0956770485</v>
      </c>
    </row>
    <row r="1137">
      <c r="A1137" s="3">
        <f>IFERROR(__xludf.DUMMYFUNCTION("""COMPUTED_VALUE"""),43903.66666666667)</f>
        <v>43903.66667</v>
      </c>
      <c r="B1137" s="5">
        <f>IFERROR(__xludf.DUMMYFUNCTION("""COMPUTED_VALUE"""),6.02)</f>
        <v>6.02</v>
      </c>
      <c r="C1137" s="5">
        <v>5.99848222732543</v>
      </c>
      <c r="D1137" s="5">
        <v>248.210494995117</v>
      </c>
      <c r="E1137" s="7">
        <f t="shared" ref="E1137:F1137" si="1135">C1137/C1136-1</f>
        <v>0.1134019934</v>
      </c>
      <c r="F1137" s="7">
        <f t="shared" si="1135"/>
        <v>0.08548628672</v>
      </c>
    </row>
    <row r="1138">
      <c r="A1138" s="3">
        <f>IFERROR(__xludf.DUMMYFUNCTION("""COMPUTED_VALUE"""),43906.66666666667)</f>
        <v>43906.66667</v>
      </c>
      <c r="B1138" s="5">
        <f>IFERROR(__xludf.DUMMYFUNCTION("""COMPUTED_VALUE"""),4.91)</f>
        <v>4.91</v>
      </c>
      <c r="C1138" s="5">
        <v>4.89163589477539</v>
      </c>
      <c r="D1138" s="5">
        <v>221.050384521484</v>
      </c>
      <c r="E1138" s="7">
        <f t="shared" ref="E1138:F1138" si="1136">C1138/C1137-1</f>
        <v>-0.1845210656</v>
      </c>
      <c r="F1138" s="7">
        <f t="shared" si="1136"/>
        <v>-0.1094236989</v>
      </c>
    </row>
    <row r="1139">
      <c r="A1139" s="3">
        <f>IFERROR(__xludf.DUMMYFUNCTION("""COMPUTED_VALUE"""),43907.66666666667)</f>
        <v>43907.66667</v>
      </c>
      <c r="B1139" s="5">
        <f>IFERROR(__xludf.DUMMYFUNCTION("""COMPUTED_VALUE"""),5.43)</f>
        <v>5.43</v>
      </c>
      <c r="C1139" s="5">
        <v>5.4114351272583</v>
      </c>
      <c r="D1139" s="5">
        <v>232.985321044921</v>
      </c>
      <c r="E1139" s="7">
        <f t="shared" ref="E1139:F1139" si="1137">C1139/C1138-1</f>
        <v>0.1062628625</v>
      </c>
      <c r="F1139" s="7">
        <f t="shared" si="1137"/>
        <v>0.05399192835</v>
      </c>
    </row>
    <row r="1140">
      <c r="A1140" s="3">
        <f>IFERROR(__xludf.DUMMYFUNCTION("""COMPUTED_VALUE"""),43908.66666666667)</f>
        <v>43908.66667</v>
      </c>
      <c r="B1140" s="5">
        <f>IFERROR(__xludf.DUMMYFUNCTION("""COMPUTED_VALUE"""),5.07)</f>
        <v>5.07</v>
      </c>
      <c r="C1140" s="5">
        <v>5.05153608322143</v>
      </c>
      <c r="D1140" s="5">
        <v>221.188644409179</v>
      </c>
      <c r="E1140" s="7">
        <f t="shared" ref="E1140:F1140" si="1138">C1140/C1139-1</f>
        <v>-0.06650713454</v>
      </c>
      <c r="F1140" s="7">
        <f t="shared" si="1138"/>
        <v>-0.05063270331</v>
      </c>
    </row>
    <row r="1141">
      <c r="A1141" s="3">
        <f>IFERROR(__xludf.DUMMYFUNCTION("""COMPUTED_VALUE"""),43909.66666666667)</f>
        <v>43909.66667</v>
      </c>
      <c r="B1141" s="5">
        <f>IFERROR(__xludf.DUMMYFUNCTION("""COMPUTED_VALUE"""),5.32)</f>
        <v>5.32</v>
      </c>
      <c r="C1141" s="5">
        <v>5.30433702468872</v>
      </c>
      <c r="D1141" s="5">
        <v>221.658645629882</v>
      </c>
      <c r="E1141" s="7">
        <f t="shared" ref="E1141:F1141" si="1139">C1141/C1140-1</f>
        <v>0.05004437013</v>
      </c>
      <c r="F1141" s="7">
        <f t="shared" si="1139"/>
        <v>0.002124888563</v>
      </c>
    </row>
    <row r="1142">
      <c r="A1142" s="3">
        <f>IFERROR(__xludf.DUMMYFUNCTION("""COMPUTED_VALUE"""),43910.66666666667)</f>
        <v>43910.66667</v>
      </c>
      <c r="B1142" s="5">
        <f>IFERROR(__xludf.DUMMYFUNCTION("""COMPUTED_VALUE"""),5.14)</f>
        <v>5.14</v>
      </c>
      <c r="C1142" s="5">
        <v>5.12451314926147</v>
      </c>
      <c r="D1142" s="5">
        <v>212.106399536132</v>
      </c>
      <c r="E1142" s="7">
        <f t="shared" ref="E1142:F1142" si="1140">C1142/C1141-1</f>
        <v>-0.03390129145</v>
      </c>
      <c r="F1142" s="7">
        <f t="shared" si="1140"/>
        <v>-0.0430943989</v>
      </c>
    </row>
    <row r="1143">
      <c r="A1143" s="3">
        <f>IFERROR(__xludf.DUMMYFUNCTION("""COMPUTED_VALUE"""),43913.66666666667)</f>
        <v>43913.66667</v>
      </c>
      <c r="B1143" s="5">
        <f>IFERROR(__xludf.DUMMYFUNCTION("""COMPUTED_VALUE"""),5.32)</f>
        <v>5.32</v>
      </c>
      <c r="C1143" s="5">
        <v>5.29736471176147</v>
      </c>
      <c r="D1143" s="5">
        <v>206.68325805664</v>
      </c>
      <c r="E1143" s="7">
        <f t="shared" ref="E1143:F1143" si="1141">C1143/C1142-1</f>
        <v>0.03373033837</v>
      </c>
      <c r="F1143" s="7">
        <f t="shared" si="1141"/>
        <v>-0.02556802384</v>
      </c>
    </row>
    <row r="1144">
      <c r="A1144" s="3">
        <f>IFERROR(__xludf.DUMMYFUNCTION("""COMPUTED_VALUE"""),43914.66666666667)</f>
        <v>43914.66667</v>
      </c>
      <c r="B1144" s="5">
        <f>IFERROR(__xludf.DUMMYFUNCTION("""COMPUTED_VALUE"""),6.23)</f>
        <v>6.23</v>
      </c>
      <c r="C1144" s="5">
        <v>6.20620250701904</v>
      </c>
      <c r="D1144" s="5">
        <v>225.409408569335</v>
      </c>
      <c r="E1144" s="7">
        <f t="shared" ref="E1144:F1144" si="1142">C1144/C1143-1</f>
        <v>0.1715641351</v>
      </c>
      <c r="F1144" s="7">
        <f t="shared" si="1142"/>
        <v>0.090603132</v>
      </c>
    </row>
    <row r="1145">
      <c r="A1145" s="3">
        <f>IFERROR(__xludf.DUMMYFUNCTION("""COMPUTED_VALUE"""),43915.66666666667)</f>
        <v>43915.66667</v>
      </c>
      <c r="B1145" s="5">
        <f>IFERROR(__xludf.DUMMYFUNCTION("""COMPUTED_VALUE"""),6.14)</f>
        <v>6.14</v>
      </c>
      <c r="C1145" s="5">
        <v>6.11753511428833</v>
      </c>
      <c r="D1145" s="5">
        <v>228.783859252929</v>
      </c>
      <c r="E1145" s="7">
        <f t="shared" ref="E1145:F1145" si="1143">C1145/C1144-1</f>
        <v>-0.0142868997</v>
      </c>
      <c r="F1145" s="7">
        <f t="shared" si="1143"/>
        <v>0.0149703187</v>
      </c>
    </row>
    <row r="1146">
      <c r="A1146" s="3">
        <f>IFERROR(__xludf.DUMMYFUNCTION("""COMPUTED_VALUE"""),43916.66666666667)</f>
        <v>43916.66667</v>
      </c>
      <c r="B1146" s="5">
        <f>IFERROR(__xludf.DUMMYFUNCTION("""COMPUTED_VALUE"""),6.43)</f>
        <v>6.43</v>
      </c>
      <c r="C1146" s="5">
        <v>6.40694856643676</v>
      </c>
      <c r="D1146" s="5">
        <v>242.142471313476</v>
      </c>
      <c r="E1146" s="7">
        <f t="shared" ref="E1146:F1146" si="1144">C1146/C1145-1</f>
        <v>0.04730883383</v>
      </c>
      <c r="F1146" s="7">
        <f t="shared" si="1144"/>
        <v>0.05838966133</v>
      </c>
    </row>
    <row r="1147">
      <c r="A1147" s="3">
        <f>IFERROR(__xludf.DUMMYFUNCTION("""COMPUTED_VALUE"""),43917.66666666667)</f>
        <v>43917.66667</v>
      </c>
      <c r="B1147" s="5">
        <f>IFERROR(__xludf.DUMMYFUNCTION("""COMPUTED_VALUE"""),6.32)</f>
        <v>6.32</v>
      </c>
      <c r="C1147" s="5">
        <v>6.29462003707885</v>
      </c>
      <c r="D1147" s="5">
        <v>234.930114746093</v>
      </c>
      <c r="E1147" s="7">
        <f t="shared" ref="E1147:F1147" si="1145">C1147/C1146-1</f>
        <v>-0.01753229766</v>
      </c>
      <c r="F1147" s="7">
        <f t="shared" si="1145"/>
        <v>-0.02978559081</v>
      </c>
    </row>
    <row r="1148">
      <c r="A1148" s="3">
        <f>IFERROR(__xludf.DUMMYFUNCTION("""COMPUTED_VALUE"""),43920.66666666667)</f>
        <v>43920.66667</v>
      </c>
      <c r="B1148" s="5">
        <f>IFERROR(__xludf.DUMMYFUNCTION("""COMPUTED_VALUE"""),6.64)</f>
        <v>6.64</v>
      </c>
      <c r="C1148" s="5">
        <v>6.61491775512695</v>
      </c>
      <c r="D1148" s="5">
        <v>242.559600830078</v>
      </c>
      <c r="E1148" s="7">
        <f t="shared" ref="E1148:F1148" si="1146">C1148/C1147-1</f>
        <v>0.05088436096</v>
      </c>
      <c r="F1148" s="7">
        <f t="shared" si="1146"/>
        <v>0.03247555594</v>
      </c>
    </row>
    <row r="1149">
      <c r="A1149" s="3">
        <f>IFERROR(__xludf.DUMMYFUNCTION("""COMPUTED_VALUE"""),43921.66666666667)</f>
        <v>43921.66667</v>
      </c>
      <c r="B1149" s="5">
        <f>IFERROR(__xludf.DUMMYFUNCTION("""COMPUTED_VALUE"""),6.59)</f>
        <v>6.59</v>
      </c>
      <c r="C1149" s="5">
        <v>6.56535243988037</v>
      </c>
      <c r="D1149" s="5">
        <v>238.944213867187</v>
      </c>
      <c r="E1149" s="7">
        <f t="shared" ref="E1149:F1149" si="1147">C1149/C1148-1</f>
        <v>-0.007492960167</v>
      </c>
      <c r="F1149" s="7">
        <f t="shared" si="1147"/>
        <v>-0.01490514888</v>
      </c>
    </row>
    <row r="1150">
      <c r="A1150" s="3">
        <f>IFERROR(__xludf.DUMMYFUNCTION("""COMPUTED_VALUE"""),43922.66666666667)</f>
        <v>43922.66667</v>
      </c>
      <c r="B1150" s="5">
        <f>IFERROR(__xludf.DUMMYFUNCTION("""COMPUTED_VALUE"""),6.08)</f>
        <v>6.08</v>
      </c>
      <c r="C1150" s="5">
        <v>6.05402278900146</v>
      </c>
      <c r="D1150" s="5">
        <v>228.190567016601</v>
      </c>
      <c r="E1150" s="7">
        <f t="shared" ref="E1150:F1150" si="1148">C1150/C1149-1</f>
        <v>-0.07788304673</v>
      </c>
      <c r="F1150" s="7">
        <f t="shared" si="1148"/>
        <v>-0.04500484308</v>
      </c>
    </row>
    <row r="1151">
      <c r="A1151" s="3">
        <f>IFERROR(__xludf.DUMMYFUNCTION("""COMPUTED_VALUE"""),43923.66666666667)</f>
        <v>43923.66667</v>
      </c>
      <c r="B1151" s="5">
        <f>IFERROR(__xludf.DUMMYFUNCTION("""COMPUTED_VALUE"""),6.39)</f>
        <v>6.39</v>
      </c>
      <c r="C1151" s="5">
        <v>6.36286401748657</v>
      </c>
      <c r="D1151" s="5">
        <v>233.456115722656</v>
      </c>
      <c r="E1151" s="7">
        <f t="shared" ref="E1151:F1151" si="1149">C1151/C1150-1</f>
        <v>0.05101421637</v>
      </c>
      <c r="F1151" s="7">
        <f t="shared" si="1149"/>
        <v>0.02307522513</v>
      </c>
    </row>
    <row r="1152">
      <c r="A1152" s="3">
        <f>IFERROR(__xludf.DUMMYFUNCTION("""COMPUTED_VALUE"""),43924.66666666667)</f>
        <v>43924.66667</v>
      </c>
      <c r="B1152" s="5">
        <f>IFERROR(__xludf.DUMMYFUNCTION("""COMPUTED_VALUE"""),6.1)</f>
        <v>6.1</v>
      </c>
      <c r="C1152" s="5">
        <v>6.07494401931762</v>
      </c>
      <c r="D1152" s="5">
        <v>230.081710815429</v>
      </c>
      <c r="E1152" s="7">
        <f t="shared" ref="E1152:F1152" si="1150">C1152/C1151-1</f>
        <v>-0.04525006308</v>
      </c>
      <c r="F1152" s="7">
        <f t="shared" si="1150"/>
        <v>-0.01445412941</v>
      </c>
    </row>
    <row r="1153">
      <c r="A1153" s="3">
        <f>IFERROR(__xludf.DUMMYFUNCTION("""COMPUTED_VALUE"""),43927.66666666667)</f>
        <v>43927.66667</v>
      </c>
      <c r="B1153" s="5">
        <f>IFERROR(__xludf.DUMMYFUNCTION("""COMPUTED_VALUE"""),6.71)</f>
        <v>6.71</v>
      </c>
      <c r="C1153" s="5">
        <v>6.68490505218505</v>
      </c>
      <c r="D1153" s="5">
        <v>245.535446166992</v>
      </c>
      <c r="E1153" s="7">
        <f t="shared" ref="E1153:F1153" si="1151">C1153/C1152-1</f>
        <v>0.1004060335</v>
      </c>
      <c r="F1153" s="7">
        <f t="shared" si="1151"/>
        <v>0.06716629191</v>
      </c>
    </row>
    <row r="1154">
      <c r="A1154" s="3">
        <f>IFERROR(__xludf.DUMMYFUNCTION("""COMPUTED_VALUE"""),43928.66666666667)</f>
        <v>43928.66667</v>
      </c>
      <c r="B1154" s="5">
        <f>IFERROR(__xludf.DUMMYFUNCTION("""COMPUTED_VALUE"""),6.48)</f>
        <v>6.48</v>
      </c>
      <c r="C1154" s="5">
        <v>6.45153141021728</v>
      </c>
      <c r="D1154" s="5">
        <v>245.785766601562</v>
      </c>
      <c r="E1154" s="7">
        <f t="shared" ref="E1154:F1154" si="1152">C1154/C1153-1</f>
        <v>-0.03491053951</v>
      </c>
      <c r="F1154" s="7">
        <f t="shared" si="1152"/>
        <v>0.001019487974</v>
      </c>
    </row>
    <row r="1155">
      <c r="A1155" s="3">
        <f>IFERROR(__xludf.DUMMYFUNCTION("""COMPUTED_VALUE"""),43929.66666666667)</f>
        <v>43929.66667</v>
      </c>
      <c r="B1155" s="5">
        <f>IFERROR(__xludf.DUMMYFUNCTION("""COMPUTED_VALUE"""),6.67)</f>
        <v>6.67</v>
      </c>
      <c r="C1155" s="5">
        <v>6.64878988265991</v>
      </c>
      <c r="D1155" s="5">
        <v>254.036315917968</v>
      </c>
      <c r="E1155" s="7">
        <f t="shared" ref="E1155:F1155" si="1153">C1155/C1154-1</f>
        <v>0.03057544944</v>
      </c>
      <c r="F1155" s="7">
        <f t="shared" si="1153"/>
        <v>0.03356805168</v>
      </c>
    </row>
    <row r="1156">
      <c r="A1156" s="3">
        <f>IFERROR(__xludf.DUMMYFUNCTION("""COMPUTED_VALUE"""),43930.66666666667)</f>
        <v>43930.66667</v>
      </c>
      <c r="B1156" s="5">
        <f>IFERROR(__xludf.DUMMYFUNCTION("""COMPUTED_VALUE"""),6.57)</f>
        <v>6.57</v>
      </c>
      <c r="C1156" s="5">
        <v>6.54916334152221</v>
      </c>
      <c r="D1156" s="5">
        <v>257.902160644531</v>
      </c>
      <c r="E1156" s="7">
        <f t="shared" ref="E1156:F1156" si="1154">C1156/C1155-1</f>
        <v>-0.01498416146</v>
      </c>
      <c r="F1156" s="7">
        <f t="shared" si="1154"/>
        <v>0.01521768536</v>
      </c>
    </row>
    <row r="1157">
      <c r="A1157" s="3">
        <f>IFERROR(__xludf.DUMMYFUNCTION("""COMPUTED_VALUE"""),43934.66666666667)</f>
        <v>43934.66667</v>
      </c>
      <c r="B1157" s="5">
        <f>IFERROR(__xludf.DUMMYFUNCTION("""COMPUTED_VALUE"""),6.75)</f>
        <v>6.75</v>
      </c>
      <c r="C1157" s="5">
        <v>6.72101974487304</v>
      </c>
      <c r="D1157" s="5">
        <v>255.547500610351</v>
      </c>
      <c r="E1157" s="7">
        <f t="shared" ref="E1157:F1157" si="1155">C1157/C1156-1</f>
        <v>0.0262409707</v>
      </c>
      <c r="F1157" s="7">
        <f t="shared" si="1155"/>
        <v>-0.009130051599</v>
      </c>
    </row>
    <row r="1158">
      <c r="A1158" s="3">
        <f>IFERROR(__xludf.DUMMYFUNCTION("""COMPUTED_VALUE"""),43935.66666666667)</f>
        <v>43935.66667</v>
      </c>
      <c r="B1158" s="5">
        <f>IFERROR(__xludf.DUMMYFUNCTION("""COMPUTED_VALUE"""),7.1)</f>
        <v>7.1</v>
      </c>
      <c r="C1158" s="5">
        <v>7.0722017288208</v>
      </c>
      <c r="D1158" s="5">
        <v>263.084320068359</v>
      </c>
      <c r="E1158" s="7">
        <f t="shared" ref="E1158:F1158" si="1156">C1158/C1157-1</f>
        <v>0.05225129479</v>
      </c>
      <c r="F1158" s="7">
        <f t="shared" si="1156"/>
        <v>0.02949283182</v>
      </c>
    </row>
    <row r="1159">
      <c r="A1159" s="3">
        <f>IFERROR(__xludf.DUMMYFUNCTION("""COMPUTED_VALUE"""),43936.66666666667)</f>
        <v>43936.66667</v>
      </c>
      <c r="B1159" s="5">
        <f>IFERROR(__xludf.DUMMYFUNCTION("""COMPUTED_VALUE"""),7.02)</f>
        <v>7.02</v>
      </c>
      <c r="C1159" s="5">
        <v>6.99474191665649</v>
      </c>
      <c r="D1159" s="5">
        <v>257.494232177734</v>
      </c>
      <c r="E1159" s="7">
        <f t="shared" ref="E1159:F1159" si="1157">C1159/C1158-1</f>
        <v>-0.01095271531</v>
      </c>
      <c r="F1159" s="7">
        <f t="shared" si="1157"/>
        <v>-0.02124827466</v>
      </c>
    </row>
    <row r="1160">
      <c r="A1160" s="3">
        <f>IFERROR(__xludf.DUMMYFUNCTION("""COMPUTED_VALUE"""),43937.66666666667)</f>
        <v>43937.66667</v>
      </c>
      <c r="B1160" s="5">
        <f>IFERROR(__xludf.DUMMYFUNCTION("""COMPUTED_VALUE"""),7.37)</f>
        <v>7.37</v>
      </c>
      <c r="C1160" s="5">
        <v>7.33994531631469</v>
      </c>
      <c r="D1160" s="5">
        <v>258.73648071289</v>
      </c>
      <c r="E1160" s="7">
        <f t="shared" ref="E1160:F1160" si="1158">C1160/C1159-1</f>
        <v>0.04935184225</v>
      </c>
      <c r="F1160" s="7">
        <f t="shared" si="1158"/>
        <v>0.004824374219</v>
      </c>
    </row>
    <row r="1161">
      <c r="A1161" s="3">
        <f>IFERROR(__xludf.DUMMYFUNCTION("""COMPUTED_VALUE"""),43938.66666666667)</f>
        <v>43938.66667</v>
      </c>
      <c r="B1161" s="5">
        <f>IFERROR(__xludf.DUMMYFUNCTION("""COMPUTED_VALUE"""),7.31)</f>
        <v>7.31</v>
      </c>
      <c r="C1161" s="5">
        <v>7.28066873550415</v>
      </c>
      <c r="D1161" s="5">
        <v>265.726348876953</v>
      </c>
      <c r="E1161" s="7">
        <f t="shared" ref="E1161:F1161" si="1159">C1161/C1160-1</f>
        <v>-0.008075888614</v>
      </c>
      <c r="F1161" s="7">
        <f t="shared" si="1159"/>
        <v>0.02701539476</v>
      </c>
    </row>
    <row r="1162">
      <c r="A1162" s="3">
        <f>IFERROR(__xludf.DUMMYFUNCTION("""COMPUTED_VALUE"""),43941.66666666667)</f>
        <v>43941.66667</v>
      </c>
      <c r="B1162" s="5">
        <f>IFERROR(__xludf.DUMMYFUNCTION("""COMPUTED_VALUE"""),7.18)</f>
        <v>7.18</v>
      </c>
      <c r="C1162" s="5">
        <v>7.14941072463989</v>
      </c>
      <c r="D1162" s="5">
        <v>261.044769287109</v>
      </c>
      <c r="E1162" s="7">
        <f t="shared" ref="E1162:F1162" si="1160">C1162/C1161-1</f>
        <v>-0.01802829048</v>
      </c>
      <c r="F1162" s="7">
        <f t="shared" si="1160"/>
        <v>-0.01761804808</v>
      </c>
    </row>
    <row r="1163">
      <c r="A1163" s="3">
        <f>IFERROR(__xludf.DUMMYFUNCTION("""COMPUTED_VALUE"""),43942.66666666667)</f>
        <v>43942.66667</v>
      </c>
      <c r="B1163" s="5">
        <f>IFERROR(__xludf.DUMMYFUNCTION("""COMPUTED_VALUE"""),6.74)</f>
        <v>6.74</v>
      </c>
      <c r="C1163" s="5">
        <v>6.71255159378051</v>
      </c>
      <c r="D1163" s="5">
        <v>253.118606567382</v>
      </c>
      <c r="E1163" s="7">
        <f t="shared" ref="E1163:F1163" si="1161">C1163/C1162-1</f>
        <v>-0.06110421511</v>
      </c>
      <c r="F1163" s="7">
        <f t="shared" si="1161"/>
        <v>-0.03036323134</v>
      </c>
    </row>
    <row r="1164">
      <c r="A1164" s="3">
        <f>IFERROR(__xludf.DUMMYFUNCTION("""COMPUTED_VALUE"""),43943.66666666667)</f>
        <v>43943.66667</v>
      </c>
      <c r="B1164" s="5">
        <f>IFERROR(__xludf.DUMMYFUNCTION("""COMPUTED_VALUE"""),7.15)</f>
        <v>7.15</v>
      </c>
      <c r="C1164" s="5">
        <v>7.12699460983276</v>
      </c>
      <c r="D1164" s="5">
        <v>258.73648071289</v>
      </c>
      <c r="E1164" s="7">
        <f t="shared" ref="E1164:F1164" si="1162">C1164/C1163-1</f>
        <v>0.06174150176</v>
      </c>
      <c r="F1164" s="7">
        <f t="shared" si="1162"/>
        <v>0.02219463129</v>
      </c>
    </row>
    <row r="1165">
      <c r="A1165" s="3">
        <f>IFERROR(__xludf.DUMMYFUNCTION("""COMPUTED_VALUE"""),43944.66666666667)</f>
        <v>43944.66667</v>
      </c>
      <c r="B1165" s="5">
        <f>IFERROR(__xludf.DUMMYFUNCTION("""COMPUTED_VALUE"""),7.1)</f>
        <v>7.1</v>
      </c>
      <c r="C1165" s="5">
        <v>7.07369470596313</v>
      </c>
      <c r="D1165" s="5">
        <v>258.717956542968</v>
      </c>
      <c r="E1165" s="7">
        <f t="shared" ref="E1165:F1165" si="1163">C1165/C1164-1</f>
        <v>-0.007478594665</v>
      </c>
      <c r="F1165" s="7">
        <f t="shared" si="1163"/>
        <v>-0.00007159473558</v>
      </c>
    </row>
    <row r="1166">
      <c r="A1166" s="3">
        <f>IFERROR(__xludf.DUMMYFUNCTION("""COMPUTED_VALUE"""),43945.66666666667)</f>
        <v>43945.66667</v>
      </c>
      <c r="B1166" s="5">
        <f>IFERROR(__xludf.DUMMYFUNCTION("""COMPUTED_VALUE"""),7.24)</f>
        <v>7.24</v>
      </c>
      <c r="C1166" s="5">
        <v>7.21267318725585</v>
      </c>
      <c r="D1166" s="5">
        <v>262.324157714843</v>
      </c>
      <c r="E1166" s="7">
        <f t="shared" ref="E1166:F1166" si="1164">C1166/C1165-1</f>
        <v>0.01964722639</v>
      </c>
      <c r="F1166" s="7">
        <f t="shared" si="1164"/>
        <v>0.01393873553</v>
      </c>
    </row>
    <row r="1167">
      <c r="A1167" s="3">
        <f>IFERROR(__xludf.DUMMYFUNCTION("""COMPUTED_VALUE"""),43948.66666666667)</f>
        <v>43948.66667</v>
      </c>
      <c r="B1167" s="5">
        <f>IFERROR(__xludf.DUMMYFUNCTION("""COMPUTED_VALUE"""),7.43)</f>
        <v>7.43</v>
      </c>
      <c r="C1167" s="5">
        <v>7.39922380447387</v>
      </c>
      <c r="D1167" s="5">
        <v>266.106414794921</v>
      </c>
      <c r="E1167" s="7">
        <f t="shared" ref="E1167:F1167" si="1165">C1167/C1166-1</f>
        <v>0.02586428254</v>
      </c>
      <c r="F1167" s="7">
        <f t="shared" si="1165"/>
        <v>0.01441825684</v>
      </c>
    </row>
    <row r="1168">
      <c r="A1168" s="3">
        <f>IFERROR(__xludf.DUMMYFUNCTION("""COMPUTED_VALUE"""),43949.66666666667)</f>
        <v>43949.66667</v>
      </c>
      <c r="B1168" s="5">
        <f>IFERROR(__xludf.DUMMYFUNCTION("""COMPUTED_VALUE"""),7.28)</f>
        <v>7.28</v>
      </c>
      <c r="C1168" s="5">
        <v>7.25675773620605</v>
      </c>
      <c r="D1168" s="5">
        <v>264.8828125</v>
      </c>
      <c r="E1168" s="7">
        <f t="shared" ref="E1168:F1168" si="1166">C1168/C1167-1</f>
        <v>-0.01925419098</v>
      </c>
      <c r="F1168" s="7">
        <f t="shared" si="1166"/>
        <v>-0.004598169104</v>
      </c>
    </row>
    <row r="1169">
      <c r="A1169" s="3">
        <f>IFERROR(__xludf.DUMMYFUNCTION("""COMPUTED_VALUE"""),43950.66666666667)</f>
        <v>43950.66667</v>
      </c>
      <c r="B1169" s="5">
        <f>IFERROR(__xludf.DUMMYFUNCTION("""COMPUTED_VALUE"""),7.46)</f>
        <v>7.46</v>
      </c>
      <c r="C1169" s="5">
        <v>7.43359422683715</v>
      </c>
      <c r="D1169" s="5">
        <v>271.816986083984</v>
      </c>
      <c r="E1169" s="7">
        <f t="shared" ref="E1169:F1169" si="1167">C1169/C1168-1</f>
        <v>0.02436852615</v>
      </c>
      <c r="F1169" s="7">
        <f t="shared" si="1167"/>
        <v>0.02617826924</v>
      </c>
    </row>
    <row r="1170">
      <c r="A1170" s="3">
        <f>IFERROR(__xludf.DUMMYFUNCTION("""COMPUTED_VALUE"""),43951.66666666667)</f>
        <v>43951.66667</v>
      </c>
      <c r="B1170" s="5">
        <f>IFERROR(__xludf.DUMMYFUNCTION("""COMPUTED_VALUE"""),7.31)</f>
        <v>7.31</v>
      </c>
      <c r="C1170" s="5">
        <v>7.2796721458435</v>
      </c>
      <c r="D1170" s="5">
        <v>269.286224365234</v>
      </c>
      <c r="E1170" s="7">
        <f t="shared" ref="E1170:F1170" si="1168">C1170/C1169-1</f>
        <v>-0.02070627967</v>
      </c>
      <c r="F1170" s="7">
        <f t="shared" si="1168"/>
        <v>-0.009310535575</v>
      </c>
    </row>
    <row r="1171">
      <c r="A1171" s="3">
        <f>IFERROR(__xludf.DUMMYFUNCTION("""COMPUTED_VALUE"""),43952.66666666667)</f>
        <v>43952.66667</v>
      </c>
      <c r="B1171" s="5">
        <f>IFERROR(__xludf.DUMMYFUNCTION("""COMPUTED_VALUE"""),7.07)</f>
        <v>7.07</v>
      </c>
      <c r="C1171" s="5">
        <v>7.04306077957153</v>
      </c>
      <c r="D1171" s="5">
        <v>262.1572265625</v>
      </c>
      <c r="E1171" s="7">
        <f t="shared" ref="E1171:F1171" si="1169">C1171/C1170-1</f>
        <v>-0.03250302507</v>
      </c>
      <c r="F1171" s="7">
        <f t="shared" si="1169"/>
        <v>-0.02647368175</v>
      </c>
    </row>
    <row r="1172">
      <c r="A1172" s="3">
        <f>IFERROR(__xludf.DUMMYFUNCTION("""COMPUTED_VALUE"""),43955.66666666667)</f>
        <v>43955.66667</v>
      </c>
      <c r="B1172" s="5">
        <f>IFERROR(__xludf.DUMMYFUNCTION("""COMPUTED_VALUE"""),7.28)</f>
        <v>7.28</v>
      </c>
      <c r="C1172" s="5">
        <v>7.2550139427185</v>
      </c>
      <c r="D1172" s="5">
        <v>262.880340576171</v>
      </c>
      <c r="E1172" s="7">
        <f t="shared" ref="E1172:F1172" si="1170">C1172/C1171-1</f>
        <v>0.03009389948</v>
      </c>
      <c r="F1172" s="7">
        <f t="shared" si="1170"/>
        <v>0.002758321879</v>
      </c>
    </row>
    <row r="1173">
      <c r="A1173" s="3">
        <f>IFERROR(__xludf.DUMMYFUNCTION("""COMPUTED_VALUE"""),43956.66666666667)</f>
        <v>43956.66667</v>
      </c>
      <c r="B1173" s="5">
        <f>IFERROR(__xludf.DUMMYFUNCTION("""COMPUTED_VALUE"""),7.34)</f>
        <v>7.34</v>
      </c>
      <c r="C1173" s="5">
        <v>7.31603670120239</v>
      </c>
      <c r="D1173" s="5">
        <v>265.309143066406</v>
      </c>
      <c r="E1173" s="7">
        <f t="shared" ref="E1173:F1173" si="1171">C1173/C1172-1</f>
        <v>0.00841111526</v>
      </c>
      <c r="F1173" s="7">
        <f t="shared" si="1171"/>
        <v>0.009239194095</v>
      </c>
    </row>
    <row r="1174">
      <c r="A1174" s="3">
        <f>IFERROR(__xludf.DUMMYFUNCTION("""COMPUTED_VALUE"""),43957.66666666667)</f>
        <v>43957.66667</v>
      </c>
      <c r="B1174" s="5">
        <f>IFERROR(__xludf.DUMMYFUNCTION("""COMPUTED_VALUE"""),7.44)</f>
        <v>7.44</v>
      </c>
      <c r="C1174" s="5">
        <v>7.41690683364868</v>
      </c>
      <c r="D1174" s="5">
        <v>263.510681152343</v>
      </c>
      <c r="E1174" s="7">
        <f t="shared" ref="E1174:F1174" si="1172">C1174/C1173-1</f>
        <v>0.01378753778</v>
      </c>
      <c r="F1174" s="7">
        <f t="shared" si="1172"/>
        <v>-0.006778740805</v>
      </c>
    </row>
    <row r="1175">
      <c r="A1175" s="3">
        <f>IFERROR(__xludf.DUMMYFUNCTION("""COMPUTED_VALUE"""),43958.66666666667)</f>
        <v>43958.66667</v>
      </c>
      <c r="B1175" s="5">
        <f>IFERROR(__xludf.DUMMYFUNCTION("""COMPUTED_VALUE"""),7.62)</f>
        <v>7.62</v>
      </c>
      <c r="C1175" s="5">
        <v>7.59324550628662</v>
      </c>
      <c r="D1175" s="5">
        <v>266.690521240234</v>
      </c>
      <c r="E1175" s="7">
        <f t="shared" ref="E1175:F1175" si="1173">C1175/C1174-1</f>
        <v>0.02377523091</v>
      </c>
      <c r="F1175" s="7">
        <f t="shared" si="1173"/>
        <v>0.01206721517</v>
      </c>
    </row>
    <row r="1176">
      <c r="A1176" s="3">
        <f>IFERROR(__xludf.DUMMYFUNCTION("""COMPUTED_VALUE"""),43959.66666666667)</f>
        <v>43959.66667</v>
      </c>
      <c r="B1176" s="5">
        <f>IFERROR(__xludf.DUMMYFUNCTION("""COMPUTED_VALUE"""),7.81)</f>
        <v>7.81</v>
      </c>
      <c r="C1176" s="5">
        <v>7.7832818031311</v>
      </c>
      <c r="D1176" s="5">
        <v>271.103240966796</v>
      </c>
      <c r="E1176" s="7">
        <f t="shared" ref="E1176:F1176" si="1174">C1176/C1175-1</f>
        <v>0.02502701864</v>
      </c>
      <c r="F1176" s="7">
        <f t="shared" si="1174"/>
        <v>0.01654621884</v>
      </c>
    </row>
    <row r="1177">
      <c r="A1177" s="3">
        <f>IFERROR(__xludf.DUMMYFUNCTION("""COMPUTED_VALUE"""),43962.66666666667)</f>
        <v>43962.66667</v>
      </c>
      <c r="B1177" s="5">
        <f>IFERROR(__xludf.DUMMYFUNCTION("""COMPUTED_VALUE"""),8.07)</f>
        <v>8.07</v>
      </c>
      <c r="C1177" s="5">
        <v>8.03533554077148</v>
      </c>
      <c r="D1177" s="5">
        <v>271.158782958984</v>
      </c>
      <c r="E1177" s="7">
        <f t="shared" ref="E1177:F1177" si="1175">C1177/C1176-1</f>
        <v>0.03238399226</v>
      </c>
      <c r="F1177" s="7">
        <f t="shared" si="1175"/>
        <v>0.0002048739513</v>
      </c>
    </row>
    <row r="1178">
      <c r="A1178" s="3">
        <f>IFERROR(__xludf.DUMMYFUNCTION("""COMPUTED_VALUE"""),43963.66666666667)</f>
        <v>43963.66667</v>
      </c>
      <c r="B1178" s="5">
        <f>IFERROR(__xludf.DUMMYFUNCTION("""COMPUTED_VALUE"""),7.8)</f>
        <v>7.8</v>
      </c>
      <c r="C1178" s="5">
        <v>7.77331924438476</v>
      </c>
      <c r="D1178" s="5">
        <v>265.754180908203</v>
      </c>
      <c r="E1178" s="7">
        <f t="shared" ref="E1178:F1178" si="1176">C1178/C1177-1</f>
        <v>-0.03260800934</v>
      </c>
      <c r="F1178" s="7">
        <f t="shared" si="1176"/>
        <v>-0.01993150283</v>
      </c>
    </row>
    <row r="1179">
      <c r="A1179" s="3">
        <f>IFERROR(__xludf.DUMMYFUNCTION("""COMPUTED_VALUE"""),43964.66666666667)</f>
        <v>43964.66667</v>
      </c>
      <c r="B1179" s="5">
        <f>IFERROR(__xludf.DUMMYFUNCTION("""COMPUTED_VALUE"""),7.78)</f>
        <v>7.78</v>
      </c>
      <c r="C1179" s="5">
        <v>7.75090360641479</v>
      </c>
      <c r="D1179" s="5">
        <v>261.054046630859</v>
      </c>
      <c r="E1179" s="7">
        <f t="shared" ref="E1179:F1179" si="1177">C1179/C1178-1</f>
        <v>-0.002883663627</v>
      </c>
      <c r="F1179" s="7">
        <f t="shared" si="1177"/>
        <v>-0.01768602195</v>
      </c>
    </row>
    <row r="1180">
      <c r="A1180" s="3">
        <f>IFERROR(__xludf.DUMMYFUNCTION("""COMPUTED_VALUE"""),43965.66666666667)</f>
        <v>43965.66667</v>
      </c>
      <c r="B1180" s="5">
        <f>IFERROR(__xludf.DUMMYFUNCTION("""COMPUTED_VALUE"""),8.03)</f>
        <v>8.03</v>
      </c>
      <c r="C1180" s="5">
        <v>8.00046825408935</v>
      </c>
      <c r="D1180" s="5">
        <v>264.178192138671</v>
      </c>
      <c r="E1180" s="7">
        <f t="shared" ref="E1180:F1180" si="1178">C1180/C1179-1</f>
        <v>0.0321981359</v>
      </c>
      <c r="F1180" s="7">
        <f t="shared" si="1178"/>
        <v>0.011967428</v>
      </c>
    </row>
    <row r="1181">
      <c r="A1181" s="3">
        <f>IFERROR(__xludf.DUMMYFUNCTION("""COMPUTED_VALUE"""),43966.66666666667)</f>
        <v>43966.66667</v>
      </c>
      <c r="B1181" s="5">
        <f>IFERROR(__xludf.DUMMYFUNCTION("""COMPUTED_VALUE"""),8.49)</f>
        <v>8.49</v>
      </c>
      <c r="C1181" s="5">
        <v>8.45899581909179</v>
      </c>
      <c r="D1181" s="5">
        <v>265.392639160156</v>
      </c>
      <c r="E1181" s="7">
        <f t="shared" ref="E1181:F1181" si="1179">C1181/C1180-1</f>
        <v>0.05731259102</v>
      </c>
      <c r="F1181" s="7">
        <f t="shared" si="1179"/>
        <v>0.004597075223</v>
      </c>
    </row>
    <row r="1182">
      <c r="A1182" s="3">
        <f>IFERROR(__xludf.DUMMYFUNCTION("""COMPUTED_VALUE"""),43969.66666666667)</f>
        <v>43969.66667</v>
      </c>
      <c r="B1182" s="5">
        <f>IFERROR(__xludf.DUMMYFUNCTION("""COMPUTED_VALUE"""),8.75)</f>
        <v>8.75</v>
      </c>
      <c r="C1182" s="5">
        <v>8.7175235748291</v>
      </c>
      <c r="D1182" s="5">
        <v>273.476440429687</v>
      </c>
      <c r="E1182" s="7">
        <f t="shared" ref="E1182:F1182" si="1180">C1182/C1181-1</f>
        <v>0.03056246406</v>
      </c>
      <c r="F1182" s="7">
        <f t="shared" si="1180"/>
        <v>0.0304597795</v>
      </c>
    </row>
    <row r="1183">
      <c r="A1183" s="3">
        <f>IFERROR(__xludf.DUMMYFUNCTION("""COMPUTED_VALUE"""),43970.66666666667)</f>
        <v>43970.66667</v>
      </c>
      <c r="B1183" s="5">
        <f>IFERROR(__xludf.DUMMYFUNCTION("""COMPUTED_VALUE"""),8.81)</f>
        <v>8.81</v>
      </c>
      <c r="C1183" s="5">
        <v>8.77256965637207</v>
      </c>
      <c r="D1183" s="5">
        <v>270.667388916015</v>
      </c>
      <c r="E1183" s="7">
        <f t="shared" ref="E1183:F1183" si="1181">C1183/C1182-1</f>
        <v>0.006314417285</v>
      </c>
      <c r="F1183" s="7">
        <f t="shared" si="1181"/>
        <v>-0.01027163989</v>
      </c>
    </row>
    <row r="1184">
      <c r="A1184" s="3">
        <f>IFERROR(__xludf.DUMMYFUNCTION("""COMPUTED_VALUE"""),43971.66666666667)</f>
        <v>43971.66667</v>
      </c>
      <c r="B1184" s="5">
        <f>IFERROR(__xludf.DUMMYFUNCTION("""COMPUTED_VALUE"""),8.97)</f>
        <v>8.97</v>
      </c>
      <c r="C1184" s="5">
        <v>8.93645191192627</v>
      </c>
      <c r="D1184" s="5">
        <v>275.265563964843</v>
      </c>
      <c r="E1184" s="7">
        <f t="shared" ref="E1184:F1184" si="1182">C1184/C1183-1</f>
        <v>0.01868121451</v>
      </c>
      <c r="F1184" s="7">
        <f t="shared" si="1182"/>
        <v>0.01698828613</v>
      </c>
    </row>
    <row r="1185">
      <c r="A1185" s="3">
        <f>IFERROR(__xludf.DUMMYFUNCTION("""COMPUTED_VALUE"""),43972.66666666667)</f>
        <v>43972.66667</v>
      </c>
      <c r="B1185" s="5">
        <f>IFERROR(__xludf.DUMMYFUNCTION("""COMPUTED_VALUE"""),8.78)</f>
        <v>8.78</v>
      </c>
      <c r="C1185" s="5">
        <v>8.74243068695068</v>
      </c>
      <c r="D1185" s="5">
        <v>273.365203857421</v>
      </c>
      <c r="E1185" s="7">
        <f t="shared" ref="E1185:F1185" si="1183">C1185/C1184-1</f>
        <v>-0.02171121457</v>
      </c>
      <c r="F1185" s="7">
        <f t="shared" si="1183"/>
        <v>-0.006903733544</v>
      </c>
    </row>
    <row r="1186">
      <c r="A1186" s="3">
        <f>IFERROR(__xludf.DUMMYFUNCTION("""COMPUTED_VALUE"""),43973.66666666667)</f>
        <v>43973.66667</v>
      </c>
      <c r="B1186" s="5">
        <f>IFERROR(__xludf.DUMMYFUNCTION("""COMPUTED_VALUE"""),9.03)</f>
        <v>9.03</v>
      </c>
      <c r="C1186" s="5">
        <v>8.99249076843261</v>
      </c>
      <c r="D1186" s="5">
        <v>273.884338378906</v>
      </c>
      <c r="E1186" s="7">
        <f t="shared" ref="E1186:F1186" si="1184">C1186/C1185-1</f>
        <v>0.0286030385</v>
      </c>
      <c r="F1186" s="7">
        <f t="shared" si="1184"/>
        <v>0.001899051211</v>
      </c>
    </row>
    <row r="1187">
      <c r="A1187" s="3">
        <f>IFERROR(__xludf.DUMMYFUNCTION("""COMPUTED_VALUE"""),43977.66666666667)</f>
        <v>43977.66667</v>
      </c>
      <c r="B1187" s="5">
        <f>IFERROR(__xludf.DUMMYFUNCTION("""COMPUTED_VALUE"""),8.72)</f>
        <v>8.72</v>
      </c>
      <c r="C1187" s="5">
        <v>8.68514633178711</v>
      </c>
      <c r="D1187" s="5">
        <v>277.258605957031</v>
      </c>
      <c r="E1187" s="7">
        <f t="shared" ref="E1187:F1187" si="1185">C1187/C1186-1</f>
        <v>-0.03417789849</v>
      </c>
      <c r="F1187" s="7">
        <f t="shared" si="1185"/>
        <v>0.01232004575</v>
      </c>
    </row>
    <row r="1188">
      <c r="A1188" s="3">
        <f>IFERROR(__xludf.DUMMYFUNCTION("""COMPUTED_VALUE"""),43978.66666666667)</f>
        <v>43978.66667</v>
      </c>
      <c r="B1188" s="5">
        <f>IFERROR(__xludf.DUMMYFUNCTION("""COMPUTED_VALUE"""),8.53)</f>
        <v>8.53</v>
      </c>
      <c r="C1188" s="5">
        <v>8.49336433410644</v>
      </c>
      <c r="D1188" s="5">
        <v>281.384033203125</v>
      </c>
      <c r="E1188" s="7">
        <f t="shared" ref="E1188:F1188" si="1186">C1188/C1187-1</f>
        <v>-0.02208160811</v>
      </c>
      <c r="F1188" s="7">
        <f t="shared" si="1186"/>
        <v>0.01487934786</v>
      </c>
    </row>
    <row r="1189">
      <c r="A1189" s="3">
        <f>IFERROR(__xludf.DUMMYFUNCTION("""COMPUTED_VALUE"""),43979.66666666667)</f>
        <v>43979.66667</v>
      </c>
      <c r="B1189" s="5">
        <f>IFERROR(__xludf.DUMMYFUNCTION("""COMPUTED_VALUE"""),8.49)</f>
        <v>8.49</v>
      </c>
      <c r="C1189" s="5">
        <v>8.45526123046875</v>
      </c>
      <c r="D1189" s="5">
        <v>280.864929199218</v>
      </c>
      <c r="E1189" s="7">
        <f t="shared" ref="E1189:F1189" si="1187">C1189/C1188-1</f>
        <v>-0.004486220317</v>
      </c>
      <c r="F1189" s="7">
        <f t="shared" si="1187"/>
        <v>-0.001844823951</v>
      </c>
    </row>
    <row r="1190">
      <c r="A1190" s="3">
        <f>IFERROR(__xludf.DUMMYFUNCTION("""COMPUTED_VALUE"""),43980.66666666667)</f>
        <v>43980.66667</v>
      </c>
      <c r="B1190" s="5">
        <f>IFERROR(__xludf.DUMMYFUNCTION("""COMPUTED_VALUE"""),8.88)</f>
        <v>8.88</v>
      </c>
      <c r="C1190" s="5">
        <v>8.84230518341064</v>
      </c>
      <c r="D1190" s="5">
        <v>282.116424560546</v>
      </c>
      <c r="E1190" s="7">
        <f t="shared" ref="E1190:F1190" si="1188">C1190/C1189-1</f>
        <v>0.04577551685</v>
      </c>
      <c r="F1190" s="7">
        <f t="shared" si="1188"/>
        <v>0.004455861986</v>
      </c>
    </row>
    <row r="1191">
      <c r="A1191" s="3">
        <f>IFERROR(__xludf.DUMMYFUNCTION("""COMPUTED_VALUE"""),43983.66666666667)</f>
        <v>43983.66667</v>
      </c>
      <c r="B1191" s="5">
        <f>IFERROR(__xludf.DUMMYFUNCTION("""COMPUTED_VALUE"""),8.81)</f>
        <v>8.81</v>
      </c>
      <c r="C1191" s="5">
        <v>8.77331161499023</v>
      </c>
      <c r="D1191" s="5">
        <v>283.256713867187</v>
      </c>
      <c r="E1191" s="7">
        <f t="shared" ref="E1191:F1191" si="1189">C1191/C1190-1</f>
        <v>-0.007802667629</v>
      </c>
      <c r="F1191" s="7">
        <f t="shared" si="1189"/>
        <v>0.004041910387</v>
      </c>
    </row>
    <row r="1192">
      <c r="A1192" s="3">
        <f>IFERROR(__xludf.DUMMYFUNCTION("""COMPUTED_VALUE"""),43984.66666666667)</f>
        <v>43984.66667</v>
      </c>
      <c r="B1192" s="5">
        <f>IFERROR(__xludf.DUMMYFUNCTION("""COMPUTED_VALUE"""),8.83)</f>
        <v>8.83</v>
      </c>
      <c r="C1192" s="5">
        <v>8.79224300384521</v>
      </c>
      <c r="D1192" s="5">
        <v>285.602081298828</v>
      </c>
      <c r="E1192" s="7">
        <f t="shared" ref="E1192:F1192" si="1190">C1192/C1191-1</f>
        <v>0.002157838418</v>
      </c>
      <c r="F1192" s="7">
        <f t="shared" si="1190"/>
        <v>0.008280006499</v>
      </c>
    </row>
    <row r="1193">
      <c r="A1193" s="3">
        <f>IFERROR(__xludf.DUMMYFUNCTION("""COMPUTED_VALUE"""),43985.66666666667)</f>
        <v>43985.66667</v>
      </c>
      <c r="B1193" s="5">
        <f>IFERROR(__xludf.DUMMYFUNCTION("""COMPUTED_VALUE"""),8.77)</f>
        <v>8.77</v>
      </c>
      <c r="C1193" s="5">
        <v>8.73670101165771</v>
      </c>
      <c r="D1193" s="5">
        <v>289.402923583984</v>
      </c>
      <c r="E1193" s="7">
        <f t="shared" ref="E1193:F1193" si="1191">C1193/C1192-1</f>
        <v>-0.00631715845</v>
      </c>
      <c r="F1193" s="7">
        <f t="shared" si="1191"/>
        <v>0.01330817432</v>
      </c>
    </row>
    <row r="1194">
      <c r="A1194" s="3">
        <f>IFERROR(__xludf.DUMMYFUNCTION("""COMPUTED_VALUE"""),43986.66666666667)</f>
        <v>43986.66667</v>
      </c>
      <c r="B1194" s="5">
        <f>IFERROR(__xludf.DUMMYFUNCTION("""COMPUTED_VALUE"""),8.77)</f>
        <v>8.77</v>
      </c>
      <c r="C1194" s="5">
        <v>8.73769950866699</v>
      </c>
      <c r="D1194" s="5">
        <v>288.642700195312</v>
      </c>
      <c r="E1194" s="7">
        <f t="shared" ref="E1194:F1194" si="1192">C1194/C1193-1</f>
        <v>0.0001142876479</v>
      </c>
      <c r="F1194" s="7">
        <f t="shared" si="1192"/>
        <v>-0.002626868379</v>
      </c>
    </row>
    <row r="1195">
      <c r="A1195" s="3">
        <f>IFERROR(__xludf.DUMMYFUNCTION("""COMPUTED_VALUE"""),43987.66666666667)</f>
        <v>43987.66667</v>
      </c>
      <c r="B1195" s="5">
        <f>IFERROR(__xludf.DUMMYFUNCTION("""COMPUTED_VALUE"""),8.92)</f>
        <v>8.92</v>
      </c>
      <c r="C1195" s="5">
        <v>8.89069461822509</v>
      </c>
      <c r="D1195" s="5">
        <v>296.040496826171</v>
      </c>
      <c r="E1195" s="7">
        <f t="shared" ref="E1195:F1195" si="1193">C1195/C1194-1</f>
        <v>0.0175097701</v>
      </c>
      <c r="F1195" s="7">
        <f t="shared" si="1193"/>
        <v>0.0256295989</v>
      </c>
    </row>
    <row r="1196">
      <c r="A1196" s="3">
        <f>IFERROR(__xludf.DUMMYFUNCTION("""COMPUTED_VALUE"""),43990.66666666667)</f>
        <v>43990.66667</v>
      </c>
      <c r="B1196" s="5">
        <f>IFERROR(__xludf.DUMMYFUNCTION("""COMPUTED_VALUE"""),8.81)</f>
        <v>8.81</v>
      </c>
      <c r="C1196" s="5">
        <v>8.77607536315918</v>
      </c>
      <c r="D1196" s="5">
        <v>299.618927001953</v>
      </c>
      <c r="E1196" s="7">
        <f t="shared" ref="E1196:F1196" si="1194">C1196/C1195-1</f>
        <v>-0.01289204725</v>
      </c>
      <c r="F1196" s="7">
        <f t="shared" si="1194"/>
        <v>0.01208763738</v>
      </c>
    </row>
    <row r="1197">
      <c r="A1197" s="3">
        <f>IFERROR(__xludf.DUMMYFUNCTION("""COMPUTED_VALUE"""),43991.66666666667)</f>
        <v>43991.66667</v>
      </c>
      <c r="B1197" s="5">
        <f>IFERROR(__xludf.DUMMYFUNCTION("""COMPUTED_VALUE"""),9.05)</f>
        <v>9.05</v>
      </c>
      <c r="C1197" s="5">
        <v>9.01627922058105</v>
      </c>
      <c r="D1197" s="5">
        <v>297.384704589843</v>
      </c>
      <c r="E1197" s="7">
        <f t="shared" ref="E1197:F1197" si="1195">C1197/C1196-1</f>
        <v>0.02737030478</v>
      </c>
      <c r="F1197" s="7">
        <f t="shared" si="1195"/>
        <v>-0.007456880093</v>
      </c>
    </row>
    <row r="1198">
      <c r="A1198" s="3">
        <f>IFERROR(__xludf.DUMMYFUNCTION("""COMPUTED_VALUE"""),43992.66666666667)</f>
        <v>43992.66667</v>
      </c>
      <c r="B1198" s="5">
        <f>IFERROR(__xludf.DUMMYFUNCTION("""COMPUTED_VALUE"""),9.37)</f>
        <v>9.37</v>
      </c>
      <c r="C1198" s="5">
        <v>9.33597755432128</v>
      </c>
      <c r="D1198" s="5">
        <v>295.725280761718</v>
      </c>
      <c r="E1198" s="7">
        <f t="shared" ref="E1198:F1198" si="1196">C1198/C1197-1</f>
        <v>0.03545790075</v>
      </c>
      <c r="F1198" s="7">
        <f t="shared" si="1196"/>
        <v>-0.005580057759</v>
      </c>
    </row>
    <row r="1199">
      <c r="A1199" s="3">
        <f>IFERROR(__xludf.DUMMYFUNCTION("""COMPUTED_VALUE"""),43993.66666666667)</f>
        <v>43993.66667</v>
      </c>
      <c r="B1199" s="5">
        <f>IFERROR(__xludf.DUMMYFUNCTION("""COMPUTED_VALUE"""),8.8)</f>
        <v>8.8</v>
      </c>
      <c r="C1199" s="5">
        <v>8.76735210418701</v>
      </c>
      <c r="D1199" s="5">
        <v>278.677062988281</v>
      </c>
      <c r="E1199" s="7">
        <f t="shared" ref="E1199:F1199" si="1197">C1199/C1198-1</f>
        <v>-0.06090689987</v>
      </c>
      <c r="F1199" s="7">
        <f t="shared" si="1197"/>
        <v>-0.05764883452</v>
      </c>
    </row>
    <row r="1200">
      <c r="A1200" s="3">
        <f>IFERROR(__xludf.DUMMYFUNCTION("""COMPUTED_VALUE"""),43994.66666666667)</f>
        <v>43994.66667</v>
      </c>
      <c r="B1200" s="5">
        <f>IFERROR(__xludf.DUMMYFUNCTION("""COMPUTED_VALUE"""),8.93)</f>
        <v>8.93</v>
      </c>
      <c r="C1200" s="5">
        <v>8.90315532684326</v>
      </c>
      <c r="D1200" s="5">
        <v>282.014465332031</v>
      </c>
      <c r="E1200" s="7">
        <f t="shared" ref="E1200:F1200" si="1198">C1200/C1199-1</f>
        <v>0.01548965081</v>
      </c>
      <c r="F1200" s="7">
        <f t="shared" si="1198"/>
        <v>0.01197587741</v>
      </c>
    </row>
    <row r="1201">
      <c r="A1201" s="3">
        <f>IFERROR(__xludf.DUMMYFUNCTION("""COMPUTED_VALUE"""),43997.66666666667)</f>
        <v>43997.66667</v>
      </c>
      <c r="B1201" s="5">
        <f>IFERROR(__xludf.DUMMYFUNCTION("""COMPUTED_VALUE"""),9.17)</f>
        <v>9.17</v>
      </c>
      <c r="C1201" s="5">
        <v>9.1436128616333</v>
      </c>
      <c r="D1201" s="5">
        <v>284.647247314453</v>
      </c>
      <c r="E1201" s="7">
        <f t="shared" ref="E1201:F1201" si="1199">C1201/C1200-1</f>
        <v>0.02700812532</v>
      </c>
      <c r="F1201" s="7">
        <f t="shared" si="1199"/>
        <v>0.009335627445</v>
      </c>
    </row>
    <row r="1202">
      <c r="A1202" s="3">
        <f>IFERROR(__xludf.DUMMYFUNCTION("""COMPUTED_VALUE"""),43998.66666666667)</f>
        <v>43998.66667</v>
      </c>
      <c r="B1202" s="5">
        <f>IFERROR(__xludf.DUMMYFUNCTION("""COMPUTED_VALUE"""),9.07)</f>
        <v>9.07</v>
      </c>
      <c r="C1202" s="5">
        <v>9.03870582580566</v>
      </c>
      <c r="D1202" s="5">
        <v>290.126037597656</v>
      </c>
      <c r="E1202" s="7">
        <f t="shared" ref="E1202:F1202" si="1200">C1202/C1201-1</f>
        <v>-0.0114732587</v>
      </c>
      <c r="F1202" s="7">
        <f t="shared" si="1200"/>
        <v>0.01924764892</v>
      </c>
    </row>
    <row r="1203">
      <c r="A1203" s="3">
        <f>IFERROR(__xludf.DUMMYFUNCTION("""COMPUTED_VALUE"""),43999.66666666667)</f>
        <v>43999.66667</v>
      </c>
      <c r="B1203" s="5">
        <f>IFERROR(__xludf.DUMMYFUNCTION("""COMPUTED_VALUE"""),9.24)</f>
        <v>9.24</v>
      </c>
      <c r="C1203" s="5">
        <v>9.20565605163574</v>
      </c>
      <c r="D1203" s="5">
        <v>288.920867919921</v>
      </c>
      <c r="E1203" s="7">
        <f t="shared" ref="E1203:F1203" si="1201">C1203/C1202-1</f>
        <v>0.0184705896</v>
      </c>
      <c r="F1203" s="7">
        <f t="shared" si="1201"/>
        <v>-0.00415395215</v>
      </c>
    </row>
    <row r="1204">
      <c r="A1204" s="3">
        <f>IFERROR(__xludf.DUMMYFUNCTION("""COMPUTED_VALUE"""),44000.66666666667)</f>
        <v>44000.66667</v>
      </c>
      <c r="B1204" s="5">
        <f>IFERROR(__xludf.DUMMYFUNCTION("""COMPUTED_VALUE"""),9.22)</f>
        <v>9.22</v>
      </c>
      <c r="C1204" s="5">
        <v>9.18771743774414</v>
      </c>
      <c r="D1204" s="5">
        <v>289.032043457031</v>
      </c>
      <c r="E1204" s="7">
        <f t="shared" ref="E1204:F1204" si="1202">C1204/C1203-1</f>
        <v>-0.001948651328</v>
      </c>
      <c r="F1204" s="7">
        <f t="shared" si="1202"/>
        <v>0.0003847958021</v>
      </c>
    </row>
    <row r="1205">
      <c r="A1205" s="3">
        <f>IFERROR(__xludf.DUMMYFUNCTION("""COMPUTED_VALUE"""),44001.66666666667)</f>
        <v>44001.66667</v>
      </c>
      <c r="B1205" s="5">
        <f>IFERROR(__xludf.DUMMYFUNCTION("""COMPUTED_VALUE"""),9.26)</f>
        <v>9.26</v>
      </c>
      <c r="C1205" s="5">
        <v>9.23082447052002</v>
      </c>
      <c r="D1205" s="5">
        <v>287.380279541015</v>
      </c>
      <c r="E1205" s="7">
        <f t="shared" ref="E1205:F1205" si="1203">C1205/C1204-1</f>
        <v>0.004691810895</v>
      </c>
      <c r="F1205" s="7">
        <f t="shared" si="1203"/>
        <v>-0.005714812435</v>
      </c>
    </row>
    <row r="1206">
      <c r="A1206" s="3">
        <f>IFERROR(__xludf.DUMMYFUNCTION("""COMPUTED_VALUE"""),44004.66666666667)</f>
        <v>44004.66667</v>
      </c>
      <c r="B1206" s="5">
        <f>IFERROR(__xludf.DUMMYFUNCTION("""COMPUTED_VALUE"""),9.53)</f>
        <v>9.53</v>
      </c>
      <c r="C1206" s="5">
        <v>9.49545097351074</v>
      </c>
      <c r="D1206" s="5">
        <v>289.223907470703</v>
      </c>
      <c r="E1206" s="7">
        <f t="shared" ref="E1206:F1206" si="1204">C1206/C1205-1</f>
        <v>0.0286676996</v>
      </c>
      <c r="F1206" s="7">
        <f t="shared" si="1204"/>
        <v>0.006415290335</v>
      </c>
    </row>
    <row r="1207">
      <c r="A1207" s="3">
        <f>IFERROR(__xludf.DUMMYFUNCTION("""COMPUTED_VALUE"""),44005.66666666667)</f>
        <v>44005.66667</v>
      </c>
      <c r="B1207" s="5">
        <f>IFERROR(__xludf.DUMMYFUNCTION("""COMPUTED_VALUE"""),9.45)</f>
        <v>9.45</v>
      </c>
      <c r="C1207" s="5">
        <v>9.41895389556884</v>
      </c>
      <c r="D1207" s="5">
        <v>290.555419921875</v>
      </c>
      <c r="E1207" s="7">
        <f t="shared" ref="E1207:F1207" si="1205">C1207/C1206-1</f>
        <v>-0.008056181655</v>
      </c>
      <c r="F1207" s="7">
        <f t="shared" si="1205"/>
        <v>0.004603742695</v>
      </c>
    </row>
    <row r="1208">
      <c r="A1208" s="3">
        <f>IFERROR(__xludf.DUMMYFUNCTION("""COMPUTED_VALUE"""),44006.66666666667)</f>
        <v>44006.66667</v>
      </c>
      <c r="B1208" s="5">
        <f>IFERROR(__xludf.DUMMYFUNCTION("""COMPUTED_VALUE"""),9.24)</f>
        <v>9.24</v>
      </c>
      <c r="C1208" s="5">
        <v>9.20515918731689</v>
      </c>
      <c r="D1208" s="5">
        <v>283.14370727539</v>
      </c>
      <c r="E1208" s="7">
        <f t="shared" ref="E1208:F1208" si="1206">C1208/C1207-1</f>
        <v>-0.02269834959</v>
      </c>
      <c r="F1208" s="7">
        <f t="shared" si="1206"/>
        <v>-0.02550877436</v>
      </c>
    </row>
    <row r="1209">
      <c r="A1209" s="3">
        <f>IFERROR(__xludf.DUMMYFUNCTION("""COMPUTED_VALUE"""),44007.66666666667)</f>
        <v>44007.66667</v>
      </c>
      <c r="B1209" s="5">
        <f>IFERROR(__xludf.DUMMYFUNCTION("""COMPUTED_VALUE"""),9.49)</f>
        <v>9.49</v>
      </c>
      <c r="C1209" s="5">
        <v>9.45882415771484</v>
      </c>
      <c r="D1209" s="5">
        <v>286.179168701171</v>
      </c>
      <c r="E1209" s="7">
        <f t="shared" ref="E1209:F1209" si="1207">C1209/C1208-1</f>
        <v>0.02755682604</v>
      </c>
      <c r="F1209" s="7">
        <f t="shared" si="1207"/>
        <v>0.01072056821</v>
      </c>
    </row>
    <row r="1210">
      <c r="A1210" s="3">
        <f>IFERROR(__xludf.DUMMYFUNCTION("""COMPUTED_VALUE"""),44008.66666666667)</f>
        <v>44008.66667</v>
      </c>
      <c r="B1210" s="5">
        <f>IFERROR(__xludf.DUMMYFUNCTION("""COMPUTED_VALUE"""),9.15)</f>
        <v>9.15</v>
      </c>
      <c r="C1210" s="5">
        <v>9.12492084503173</v>
      </c>
      <c r="D1210" s="5">
        <v>279.381958007812</v>
      </c>
      <c r="E1210" s="7">
        <f t="shared" ref="E1210:F1210" si="1208">C1210/C1209-1</f>
        <v>-0.03530072101</v>
      </c>
      <c r="F1210" s="7">
        <f t="shared" si="1208"/>
        <v>-0.02375159144</v>
      </c>
    </row>
    <row r="1211">
      <c r="A1211" s="3">
        <f>IFERROR(__xludf.DUMMYFUNCTION("""COMPUTED_VALUE"""),44011.66666666667)</f>
        <v>44011.66667</v>
      </c>
      <c r="B1211" s="5">
        <f>IFERROR(__xludf.DUMMYFUNCTION("""COMPUTED_VALUE"""),9.2)</f>
        <v>9.2</v>
      </c>
      <c r="C1211" s="5">
        <v>9.16977500915527</v>
      </c>
      <c r="D1211" s="5">
        <v>283.488250732421</v>
      </c>
      <c r="E1211" s="7">
        <f t="shared" ref="E1211:F1211" si="1209">C1211/C1210-1</f>
        <v>0.004915567476</v>
      </c>
      <c r="F1211" s="7">
        <f t="shared" si="1209"/>
        <v>0.01469777345</v>
      </c>
    </row>
    <row r="1212">
      <c r="A1212" s="3">
        <f>IFERROR(__xludf.DUMMYFUNCTION("""COMPUTED_VALUE"""),44012.66666666667)</f>
        <v>44012.66667</v>
      </c>
      <c r="B1212" s="5">
        <f>IFERROR(__xludf.DUMMYFUNCTION("""COMPUTED_VALUE"""),9.5)</f>
        <v>9.5</v>
      </c>
      <c r="C1212" s="5">
        <v>9.46654796600341</v>
      </c>
      <c r="D1212" s="5">
        <v>287.119506835937</v>
      </c>
      <c r="E1212" s="7">
        <f t="shared" ref="E1212:F1212" si="1210">C1212/C1211-1</f>
        <v>0.0323642572</v>
      </c>
      <c r="F1212" s="7">
        <f t="shared" si="1210"/>
        <v>0.01280919436</v>
      </c>
    </row>
    <row r="1213">
      <c r="A1213" s="3">
        <f>IFERROR(__xludf.DUMMYFUNCTION("""COMPUTED_VALUE"""),44013.66666666667)</f>
        <v>44013.66667</v>
      </c>
      <c r="B1213" s="5">
        <f>IFERROR(__xludf.DUMMYFUNCTION("""COMPUTED_VALUE"""),9.53)</f>
        <v>9.53</v>
      </c>
      <c r="C1213" s="5">
        <v>9.49869060516357</v>
      </c>
      <c r="D1213" s="5">
        <v>289.130737304687</v>
      </c>
      <c r="E1213" s="7">
        <f t="shared" ref="E1213:F1213" si="1211">C1213/C1212-1</f>
        <v>0.003395391781</v>
      </c>
      <c r="F1213" s="7">
        <f t="shared" si="1211"/>
        <v>0.007004854846</v>
      </c>
    </row>
    <row r="1214">
      <c r="A1214" s="3">
        <f>IFERROR(__xludf.DUMMYFUNCTION("""COMPUTED_VALUE"""),44014.66666666667)</f>
        <v>44014.66667</v>
      </c>
      <c r="B1214" s="5">
        <f>IFERROR(__xludf.DUMMYFUNCTION("""COMPUTED_VALUE"""),9.61)</f>
        <v>9.61</v>
      </c>
      <c r="C1214" s="5">
        <v>9.58067035675048</v>
      </c>
      <c r="D1214" s="5">
        <v>290.723022460937</v>
      </c>
      <c r="E1214" s="7">
        <f t="shared" ref="E1214:F1214" si="1212">C1214/C1213-1</f>
        <v>0.008630637105</v>
      </c>
      <c r="F1214" s="7">
        <f t="shared" si="1212"/>
        <v>0.005507145906</v>
      </c>
    </row>
    <row r="1215">
      <c r="A1215" s="3">
        <f>IFERROR(__xludf.DUMMYFUNCTION("""COMPUTED_VALUE"""),44018.66666666667)</f>
        <v>44018.66667</v>
      </c>
      <c r="B1215" s="5">
        <f>IFERROR(__xludf.DUMMYFUNCTION("""COMPUTED_VALUE"""),9.84)</f>
        <v>9.84</v>
      </c>
      <c r="C1215" s="5">
        <v>9.80692291259765</v>
      </c>
      <c r="D1215" s="5">
        <v>295.211029052734</v>
      </c>
      <c r="E1215" s="7">
        <f t="shared" ref="E1215:F1215" si="1213">C1215/C1214-1</f>
        <v>0.02361552453</v>
      </c>
      <c r="F1215" s="7">
        <f t="shared" si="1213"/>
        <v>0.01543739658</v>
      </c>
    </row>
    <row r="1216">
      <c r="A1216" s="3">
        <f>IFERROR(__xludf.DUMMYFUNCTION("""COMPUTED_VALUE"""),44019.66666666667)</f>
        <v>44019.66667</v>
      </c>
      <c r="B1216" s="5">
        <f>IFERROR(__xludf.DUMMYFUNCTION("""COMPUTED_VALUE"""),9.87)</f>
        <v>9.87</v>
      </c>
      <c r="C1216" s="5">
        <v>9.83931922912597</v>
      </c>
      <c r="D1216" s="5">
        <v>292.166259765625</v>
      </c>
      <c r="E1216" s="7">
        <f t="shared" ref="E1216:F1216" si="1214">C1216/C1215-1</f>
        <v>0.003303412989</v>
      </c>
      <c r="F1216" s="7">
        <f t="shared" si="1214"/>
        <v>-0.01031387376</v>
      </c>
    </row>
    <row r="1217">
      <c r="A1217" s="3">
        <f>IFERROR(__xludf.DUMMYFUNCTION("""COMPUTED_VALUE"""),44020.66666666667)</f>
        <v>44020.66667</v>
      </c>
      <c r="B1217" s="5">
        <f>IFERROR(__xludf.DUMMYFUNCTION("""COMPUTED_VALUE"""),10.22)</f>
        <v>10.22</v>
      </c>
      <c r="C1217" s="5">
        <v>10.1824369430542</v>
      </c>
      <c r="D1217" s="5">
        <v>294.401000976562</v>
      </c>
      <c r="E1217" s="7">
        <f t="shared" ref="E1217:F1217" si="1215">C1217/C1216-1</f>
        <v>0.03487209897</v>
      </c>
      <c r="F1217" s="7">
        <f t="shared" si="1215"/>
        <v>0.007648868191</v>
      </c>
    </row>
    <row r="1218">
      <c r="A1218" s="3">
        <f>IFERROR(__xludf.DUMMYFUNCTION("""COMPUTED_VALUE"""),44021.66666666667)</f>
        <v>44021.66667</v>
      </c>
      <c r="B1218" s="5">
        <f>IFERROR(__xludf.DUMMYFUNCTION("""COMPUTED_VALUE"""),10.51)</f>
        <v>10.51</v>
      </c>
      <c r="C1218" s="5">
        <v>10.47447681427</v>
      </c>
      <c r="D1218" s="5">
        <v>292.725006103515</v>
      </c>
      <c r="E1218" s="7">
        <f t="shared" ref="E1218:F1218" si="1216">C1218/C1217-1</f>
        <v>0.02868074439</v>
      </c>
      <c r="F1218" s="7">
        <f t="shared" si="1216"/>
        <v>-0.005692898012</v>
      </c>
    </row>
    <row r="1219">
      <c r="A1219" s="3">
        <f>IFERROR(__xludf.DUMMYFUNCTION("""COMPUTED_VALUE"""),44022.66666666667)</f>
        <v>44022.66667</v>
      </c>
      <c r="B1219" s="5">
        <f>IFERROR(__xludf.DUMMYFUNCTION("""COMPUTED_VALUE"""),10.48)</f>
        <v>10.48</v>
      </c>
      <c r="C1219" s="5">
        <v>10.4448223114013</v>
      </c>
      <c r="D1219" s="5">
        <v>295.713836669921</v>
      </c>
      <c r="E1219" s="7">
        <f t="shared" ref="E1219:F1219" si="1217">C1219/C1218-1</f>
        <v>-0.002831120198</v>
      </c>
      <c r="F1219" s="7">
        <f t="shared" si="1217"/>
        <v>0.01021036981</v>
      </c>
    </row>
    <row r="1220">
      <c r="A1220" s="3">
        <f>IFERROR(__xludf.DUMMYFUNCTION("""COMPUTED_VALUE"""),44025.66666666667)</f>
        <v>44025.66667</v>
      </c>
      <c r="B1220" s="5">
        <f>IFERROR(__xludf.DUMMYFUNCTION("""COMPUTED_VALUE"""),10.05)</f>
        <v>10.05</v>
      </c>
      <c r="C1220" s="5">
        <v>10.0192260742187</v>
      </c>
      <c r="D1220" s="5">
        <v>293.153228759765</v>
      </c>
      <c r="E1220" s="7">
        <f t="shared" ref="E1220:F1220" si="1218">C1220/C1219-1</f>
        <v>-0.04074710172</v>
      </c>
      <c r="F1220" s="7">
        <f t="shared" si="1218"/>
        <v>-0.008659073715</v>
      </c>
    </row>
    <row r="1221">
      <c r="A1221" s="3">
        <f>IFERROR(__xludf.DUMMYFUNCTION("""COMPUTED_VALUE"""),44026.66666666667)</f>
        <v>44026.66667</v>
      </c>
      <c r="B1221" s="5">
        <f>IFERROR(__xludf.DUMMYFUNCTION("""COMPUTED_VALUE"""),10.38)</f>
        <v>10.38</v>
      </c>
      <c r="C1221" s="5">
        <v>10.3429069519042</v>
      </c>
      <c r="D1221" s="5">
        <v>296.952209472656</v>
      </c>
      <c r="E1221" s="7">
        <f t="shared" ref="E1221:F1221" si="1219">C1221/C1220-1</f>
        <v>0.03230597606</v>
      </c>
      <c r="F1221" s="7">
        <f t="shared" si="1219"/>
        <v>0.01295902736</v>
      </c>
    </row>
    <row r="1222">
      <c r="A1222" s="3">
        <f>IFERROR(__xludf.DUMMYFUNCTION("""COMPUTED_VALUE"""),44027.66666666667)</f>
        <v>44027.66667</v>
      </c>
      <c r="B1222" s="5">
        <f>IFERROR(__xludf.DUMMYFUNCTION("""COMPUTED_VALUE"""),10.23)</f>
        <v>10.23</v>
      </c>
      <c r="C1222" s="5">
        <v>10.1936511993408</v>
      </c>
      <c r="D1222" s="5">
        <v>299.68032836914</v>
      </c>
      <c r="E1222" s="7">
        <f t="shared" ref="E1222:F1222" si="1220">C1222/C1221-1</f>
        <v>-0.01443073531</v>
      </c>
      <c r="F1222" s="7">
        <f t="shared" si="1220"/>
        <v>0.009187063808</v>
      </c>
    </row>
    <row r="1223">
      <c r="A1223" s="3">
        <f>IFERROR(__xludf.DUMMYFUNCTION("""COMPUTED_VALUE"""),44028.66666666667)</f>
        <v>44028.66667</v>
      </c>
      <c r="B1223" s="5">
        <f>IFERROR(__xludf.DUMMYFUNCTION("""COMPUTED_VALUE"""),10.13)</f>
        <v>10.13</v>
      </c>
      <c r="C1223" s="5">
        <v>10.1014537811279</v>
      </c>
      <c r="D1223" s="5">
        <v>298.693389892578</v>
      </c>
      <c r="E1223" s="7">
        <f t="shared" ref="E1223:F1223" si="1221">C1223/C1222-1</f>
        <v>-0.009044592208</v>
      </c>
      <c r="F1223" s="7">
        <f t="shared" si="1221"/>
        <v>-0.003293304175</v>
      </c>
    </row>
    <row r="1224">
      <c r="A1224" s="3">
        <f>IFERROR(__xludf.DUMMYFUNCTION("""COMPUTED_VALUE"""),44029.66666666667)</f>
        <v>44029.66667</v>
      </c>
      <c r="B1224" s="5">
        <f>IFERROR(__xludf.DUMMYFUNCTION("""COMPUTED_VALUE"""),10.2)</f>
        <v>10.2</v>
      </c>
      <c r="C1224" s="5">
        <v>10.1679849624633</v>
      </c>
      <c r="D1224" s="5">
        <v>299.559295654296</v>
      </c>
      <c r="E1224" s="7">
        <f t="shared" ref="E1224:F1224" si="1222">C1224/C1223-1</f>
        <v>0.006586297653</v>
      </c>
      <c r="F1224" s="7">
        <f t="shared" si="1222"/>
        <v>0.002898978655</v>
      </c>
    </row>
    <row r="1225">
      <c r="A1225" s="3">
        <f>IFERROR(__xludf.DUMMYFUNCTION("""COMPUTED_VALUE"""),44032.66666666667)</f>
        <v>44032.66667</v>
      </c>
      <c r="B1225" s="5">
        <f>IFERROR(__xludf.DUMMYFUNCTION("""COMPUTED_VALUE"""),10.51)</f>
        <v>10.51</v>
      </c>
      <c r="C1225" s="5">
        <v>10.476219177246</v>
      </c>
      <c r="D1225" s="5">
        <v>301.980255126953</v>
      </c>
      <c r="E1225" s="7">
        <f t="shared" ref="E1225:F1225" si="1223">C1225/C1224-1</f>
        <v>0.03031418869</v>
      </c>
      <c r="F1225" s="7">
        <f t="shared" si="1223"/>
        <v>0.008081737098</v>
      </c>
    </row>
    <row r="1226">
      <c r="A1226" s="3">
        <f>IFERROR(__xludf.DUMMYFUNCTION("""COMPUTED_VALUE"""),44033.66666666667)</f>
        <v>44033.66667</v>
      </c>
      <c r="B1226" s="5">
        <f>IFERROR(__xludf.DUMMYFUNCTION("""COMPUTED_VALUE"""),10.33)</f>
        <v>10.33</v>
      </c>
      <c r="C1226" s="5">
        <v>10.2945680618286</v>
      </c>
      <c r="D1226" s="5">
        <v>302.622680664062</v>
      </c>
      <c r="E1226" s="7">
        <f t="shared" ref="E1226:F1226" si="1224">C1226/C1225-1</f>
        <v>-0.01733937715</v>
      </c>
      <c r="F1226" s="7">
        <f t="shared" si="1224"/>
        <v>0.002127375966</v>
      </c>
    </row>
    <row r="1227">
      <c r="A1227" s="3">
        <f>IFERROR(__xludf.DUMMYFUNCTION("""COMPUTED_VALUE"""),44034.66666666667)</f>
        <v>44034.66667</v>
      </c>
      <c r="B1227" s="5">
        <f>IFERROR(__xludf.DUMMYFUNCTION("""COMPUTED_VALUE"""),10.44)</f>
        <v>10.44</v>
      </c>
      <c r="C1227" s="5">
        <v>10.4044561386108</v>
      </c>
      <c r="D1227" s="5">
        <v>304.34521484375</v>
      </c>
      <c r="E1227" s="7">
        <f t="shared" ref="E1227:F1227" si="1225">C1227/C1226-1</f>
        <v>0.01067437469</v>
      </c>
      <c r="F1227" s="7">
        <f t="shared" si="1225"/>
        <v>0.005692019435</v>
      </c>
    </row>
    <row r="1228">
      <c r="A1228" s="3">
        <f>IFERROR(__xludf.DUMMYFUNCTION("""COMPUTED_VALUE"""),44035.66666666667)</f>
        <v>44035.66667</v>
      </c>
      <c r="B1228" s="5">
        <f>IFERROR(__xludf.DUMMYFUNCTION("""COMPUTED_VALUE"""),10.13)</f>
        <v>10.13</v>
      </c>
      <c r="C1228" s="5">
        <v>10.096468925476</v>
      </c>
      <c r="D1228" s="5">
        <v>300.713897705078</v>
      </c>
      <c r="E1228" s="7">
        <f t="shared" ref="E1228:F1228" si="1226">C1228/C1227-1</f>
        <v>-0.02960147162</v>
      </c>
      <c r="F1228" s="7">
        <f t="shared" si="1226"/>
        <v>-0.01193157297</v>
      </c>
    </row>
    <row r="1229">
      <c r="A1229" s="3">
        <f>IFERROR(__xludf.DUMMYFUNCTION("""COMPUTED_VALUE"""),44036.66666666667)</f>
        <v>44036.66667</v>
      </c>
      <c r="B1229" s="5">
        <f>IFERROR(__xludf.DUMMYFUNCTION("""COMPUTED_VALUE"""),10.19)</f>
        <v>10.19</v>
      </c>
      <c r="C1229" s="5">
        <v>10.1610069274902</v>
      </c>
      <c r="D1229" s="5">
        <v>298.777191162109</v>
      </c>
      <c r="E1229" s="7">
        <f t="shared" ref="E1229:F1229" si="1227">C1229/C1228-1</f>
        <v>0.006392135953</v>
      </c>
      <c r="F1229" s="7">
        <f t="shared" si="1227"/>
        <v>-0.00644036261</v>
      </c>
    </row>
    <row r="1230">
      <c r="A1230" s="3">
        <f>IFERROR(__xludf.DUMMYFUNCTION("""COMPUTED_VALUE"""),44039.66666666667)</f>
        <v>44039.66667</v>
      </c>
      <c r="B1230" s="5">
        <f>IFERROR(__xludf.DUMMYFUNCTION("""COMPUTED_VALUE"""),10.42)</f>
        <v>10.42</v>
      </c>
      <c r="C1230" s="5">
        <v>10.3872604370117</v>
      </c>
      <c r="D1230" s="5">
        <v>300.955963134765</v>
      </c>
      <c r="E1230" s="7">
        <f t="shared" ref="E1230:F1230" si="1228">C1230/C1229-1</f>
        <v>0.02226683941</v>
      </c>
      <c r="F1230" s="7">
        <f t="shared" si="1228"/>
        <v>0.007292296859</v>
      </c>
    </row>
    <row r="1231">
      <c r="A1231" s="3">
        <f>IFERROR(__xludf.DUMMYFUNCTION("""COMPUTED_VALUE"""),44040.66666666667)</f>
        <v>44040.66667</v>
      </c>
      <c r="B1231" s="5">
        <f>IFERROR(__xludf.DUMMYFUNCTION("""COMPUTED_VALUE"""),10.22)</f>
        <v>10.22</v>
      </c>
      <c r="C1231" s="5">
        <v>10.1819400787353</v>
      </c>
      <c r="D1231" s="5">
        <v>299.047241210937</v>
      </c>
      <c r="E1231" s="7">
        <f t="shared" ref="E1231:F1231" si="1229">C1231/C1230-1</f>
        <v>-0.01976655534</v>
      </c>
      <c r="F1231" s="7">
        <f t="shared" si="1229"/>
        <v>-0.006342196725</v>
      </c>
    </row>
    <row r="1232">
      <c r="A1232" s="3">
        <f>IFERROR(__xludf.DUMMYFUNCTION("""COMPUTED_VALUE"""),44041.66666666667)</f>
        <v>44041.66667</v>
      </c>
      <c r="B1232" s="5">
        <f>IFERROR(__xludf.DUMMYFUNCTION("""COMPUTED_VALUE"""),10.47)</f>
        <v>10.47</v>
      </c>
      <c r="C1232" s="5">
        <v>10.4311151504516</v>
      </c>
      <c r="D1232" s="5">
        <v>302.725189208984</v>
      </c>
      <c r="E1232" s="7">
        <f t="shared" ref="E1232:F1232" si="1230">C1232/C1231-1</f>
        <v>0.0244722587</v>
      </c>
      <c r="F1232" s="7">
        <f t="shared" si="1230"/>
        <v>0.01229888623</v>
      </c>
    </row>
    <row r="1233">
      <c r="A1233" s="3">
        <f>IFERROR(__xludf.DUMMYFUNCTION("""COMPUTED_VALUE"""),44042.66666666667)</f>
        <v>44042.66667</v>
      </c>
      <c r="B1233" s="5">
        <f>IFERROR(__xludf.DUMMYFUNCTION("""COMPUTED_VALUE"""),10.61)</f>
        <v>10.61</v>
      </c>
      <c r="C1233" s="5">
        <v>10.5791311264038</v>
      </c>
      <c r="D1233" s="5">
        <v>301.645050048828</v>
      </c>
      <c r="E1233" s="7">
        <f t="shared" ref="E1233:F1233" si="1231">C1233/C1232-1</f>
        <v>0.01418985159</v>
      </c>
      <c r="F1233" s="7">
        <f t="shared" si="1231"/>
        <v>-0.003568051813</v>
      </c>
    </row>
    <row r="1234">
      <c r="A1234" s="3">
        <f>IFERROR(__xludf.DUMMYFUNCTION("""COMPUTED_VALUE"""),44043.66666666667)</f>
        <v>44043.66667</v>
      </c>
      <c r="B1234" s="5">
        <f>IFERROR(__xludf.DUMMYFUNCTION("""COMPUTED_VALUE"""),10.61)</f>
        <v>10.61</v>
      </c>
      <c r="C1234" s="5">
        <v>10.5798759460449</v>
      </c>
      <c r="D1234" s="5">
        <v>304.028747558593</v>
      </c>
      <c r="E1234" s="7">
        <f t="shared" ref="E1234:F1234" si="1232">C1234/C1233-1</f>
        <v>0.00007040461378</v>
      </c>
      <c r="F1234" s="7">
        <f t="shared" si="1232"/>
        <v>0.00790232596</v>
      </c>
    </row>
    <row r="1235">
      <c r="A1235" s="3">
        <f>IFERROR(__xludf.DUMMYFUNCTION("""COMPUTED_VALUE"""),44046.66666666667)</f>
        <v>44046.66667</v>
      </c>
      <c r="B1235" s="5">
        <f>IFERROR(__xludf.DUMMYFUNCTION("""COMPUTED_VALUE"""),11.01)</f>
        <v>11.01</v>
      </c>
      <c r="C1235" s="5">
        <v>10.97407913208</v>
      </c>
      <c r="D1235" s="5">
        <v>306.142303466796</v>
      </c>
      <c r="E1235" s="7">
        <f t="shared" ref="E1235:F1235" si="1233">C1235/C1234-1</f>
        <v>0.03725971723</v>
      </c>
      <c r="F1235" s="7">
        <f t="shared" si="1233"/>
        <v>0.006951829145</v>
      </c>
    </row>
    <row r="1236">
      <c r="A1236" s="3">
        <f>IFERROR(__xludf.DUMMYFUNCTION("""COMPUTED_VALUE"""),44047.66666666667)</f>
        <v>44047.66667</v>
      </c>
      <c r="B1236" s="5">
        <f>IFERROR(__xludf.DUMMYFUNCTION("""COMPUTED_VALUE"""),11.23)</f>
        <v>11.23</v>
      </c>
      <c r="C1236" s="5">
        <v>11.1908617019653</v>
      </c>
      <c r="D1236" s="5">
        <v>307.324798583984</v>
      </c>
      <c r="E1236" s="7">
        <f t="shared" ref="E1236:F1236" si="1234">C1236/C1235-1</f>
        <v>0.01975405565</v>
      </c>
      <c r="F1236" s="7">
        <f t="shared" si="1234"/>
        <v>0.003862566864</v>
      </c>
    </row>
    <row r="1237">
      <c r="A1237" s="3">
        <f>IFERROR(__xludf.DUMMYFUNCTION("""COMPUTED_VALUE"""),44048.66666666667)</f>
        <v>44048.66667</v>
      </c>
      <c r="B1237" s="5">
        <f>IFERROR(__xludf.DUMMYFUNCTION("""COMPUTED_VALUE"""),11.29)</f>
        <v>11.29</v>
      </c>
      <c r="C1237" s="5">
        <v>11.2496709823608</v>
      </c>
      <c r="D1237" s="5">
        <v>309.233612060546</v>
      </c>
      <c r="E1237" s="7">
        <f t="shared" ref="E1237:F1237" si="1235">C1237/C1236-1</f>
        <v>0.005255116358</v>
      </c>
      <c r="F1237" s="7">
        <f t="shared" si="1235"/>
        <v>0.00621106232</v>
      </c>
    </row>
    <row r="1238">
      <c r="A1238" s="3">
        <f>IFERROR(__xludf.DUMMYFUNCTION("""COMPUTED_VALUE"""),44049.66666666667)</f>
        <v>44049.66667</v>
      </c>
      <c r="B1238" s="5">
        <f>IFERROR(__xludf.DUMMYFUNCTION("""COMPUTED_VALUE"""),11.34)</f>
        <v>11.34</v>
      </c>
      <c r="C1238" s="5">
        <v>11.2982587814331</v>
      </c>
      <c r="D1238" s="5">
        <v>311.300720214843</v>
      </c>
      <c r="E1238" s="7">
        <f t="shared" ref="E1238:F1238" si="1236">C1238/C1237-1</f>
        <v>0.004319041788</v>
      </c>
      <c r="F1238" s="7">
        <f t="shared" si="1236"/>
        <v>0.006684616658</v>
      </c>
    </row>
    <row r="1239">
      <c r="A1239" s="3">
        <f>IFERROR(__xludf.DUMMYFUNCTION("""COMPUTED_VALUE"""),44050.66666666667)</f>
        <v>44050.66667</v>
      </c>
      <c r="B1239" s="5">
        <f>IFERROR(__xludf.DUMMYFUNCTION("""COMPUTED_VALUE"""),11.2)</f>
        <v>11.2</v>
      </c>
      <c r="C1239" s="5">
        <v>11.1627054214477</v>
      </c>
      <c r="D1239" s="5">
        <v>311.524200439453</v>
      </c>
      <c r="E1239" s="7">
        <f t="shared" ref="E1239:F1239" si="1237">C1239/C1238-1</f>
        <v>-0.0119977213</v>
      </c>
      <c r="F1239" s="7">
        <f t="shared" si="1237"/>
        <v>0.0007178917686</v>
      </c>
    </row>
    <row r="1240">
      <c r="A1240" s="3">
        <f>IFERROR(__xludf.DUMMYFUNCTION("""COMPUTED_VALUE"""),44053.66666666667)</f>
        <v>44053.66667</v>
      </c>
      <c r="B1240" s="5">
        <f>IFERROR(__xludf.DUMMYFUNCTION("""COMPUTED_VALUE"""),11.17)</f>
        <v>11.17</v>
      </c>
      <c r="C1240" s="5">
        <v>11.1283178329467</v>
      </c>
      <c r="D1240" s="5">
        <v>312.455352783203</v>
      </c>
      <c r="E1240" s="7">
        <f t="shared" ref="E1240:F1240" si="1238">C1240/C1239-1</f>
        <v>-0.003080578337</v>
      </c>
      <c r="F1240" s="7">
        <f t="shared" si="1238"/>
        <v>0.002989020893</v>
      </c>
    </row>
    <row r="1241">
      <c r="A1241" s="3">
        <f>IFERROR(__xludf.DUMMYFUNCTION("""COMPUTED_VALUE"""),44054.66666666667)</f>
        <v>44054.66667</v>
      </c>
      <c r="B1241" s="5">
        <f>IFERROR(__xludf.DUMMYFUNCTION("""COMPUTED_VALUE"""),10.85)</f>
        <v>10.85</v>
      </c>
      <c r="C1241" s="5">
        <v>10.8143529891967</v>
      </c>
      <c r="D1241" s="5">
        <v>309.876159667968</v>
      </c>
      <c r="E1241" s="7">
        <f t="shared" ref="E1241:F1241" si="1239">C1241/C1240-1</f>
        <v>-0.02821314492</v>
      </c>
      <c r="F1241" s="7">
        <f t="shared" si="1239"/>
        <v>-0.008254597312</v>
      </c>
    </row>
    <row r="1242">
      <c r="A1242" s="3">
        <f>IFERROR(__xludf.DUMMYFUNCTION("""COMPUTED_VALUE"""),44055.66666666667)</f>
        <v>44055.66667</v>
      </c>
      <c r="B1242" s="5">
        <f>IFERROR(__xludf.DUMMYFUNCTION("""COMPUTED_VALUE"""),11.44)</f>
        <v>11.44</v>
      </c>
      <c r="C1242" s="5">
        <v>11.4026660919189</v>
      </c>
      <c r="D1242" s="5">
        <v>314.196502685546</v>
      </c>
      <c r="E1242" s="7">
        <f t="shared" ref="E1242:F1242" si="1240">C1242/C1241-1</f>
        <v>0.05440113739</v>
      </c>
      <c r="F1242" s="7">
        <f t="shared" si="1240"/>
        <v>0.01394216006</v>
      </c>
    </row>
    <row r="1243">
      <c r="A1243" s="3">
        <f>IFERROR(__xludf.DUMMYFUNCTION("""COMPUTED_VALUE"""),44056.66666666667)</f>
        <v>44056.66667</v>
      </c>
      <c r="B1243" s="5">
        <f>IFERROR(__xludf.DUMMYFUNCTION("""COMPUTED_VALUE"""),11.44)</f>
        <v>11.44</v>
      </c>
      <c r="C1243" s="5">
        <v>11.4054069519042</v>
      </c>
      <c r="D1243" s="5">
        <v>313.628509521484</v>
      </c>
      <c r="E1243" s="7">
        <f t="shared" ref="E1243:F1243" si="1241">C1243/C1242-1</f>
        <v>0.0002403700997</v>
      </c>
      <c r="F1243" s="7">
        <f t="shared" si="1241"/>
        <v>-0.00180776412</v>
      </c>
    </row>
    <row r="1244">
      <c r="A1244" s="3">
        <f>IFERROR(__xludf.DUMMYFUNCTION("""COMPUTED_VALUE"""),44057.66666666667)</f>
        <v>44057.66667</v>
      </c>
      <c r="B1244" s="5">
        <f>IFERROR(__xludf.DUMMYFUNCTION("""COMPUTED_VALUE"""),11.56)</f>
        <v>11.56</v>
      </c>
      <c r="C1244" s="5">
        <v>11.5260095596313</v>
      </c>
      <c r="D1244" s="5">
        <v>313.637817382812</v>
      </c>
      <c r="E1244" s="7">
        <f t="shared" ref="E1244:F1244" si="1242">C1244/C1243-1</f>
        <v>0.01057416086</v>
      </c>
      <c r="F1244" s="7">
        <f t="shared" si="1242"/>
        <v>0.00002967798222</v>
      </c>
    </row>
    <row r="1245">
      <c r="A1245" s="3">
        <f>IFERROR(__xludf.DUMMYFUNCTION("""COMPUTED_VALUE"""),44060.66666666667)</f>
        <v>44060.66667</v>
      </c>
      <c r="B1245" s="5">
        <f>IFERROR(__xludf.DUMMYFUNCTION("""COMPUTED_VALUE"""),12.34)</f>
        <v>12.34</v>
      </c>
      <c r="C1245" s="5">
        <v>12.2964677810668</v>
      </c>
      <c r="D1245" s="5">
        <v>314.634094238281</v>
      </c>
      <c r="E1245" s="7">
        <f t="shared" ref="E1245:F1245" si="1243">C1245/C1244-1</f>
        <v>0.06684518327</v>
      </c>
      <c r="F1245" s="7">
        <f t="shared" si="1243"/>
        <v>0.003176520178</v>
      </c>
    </row>
    <row r="1246">
      <c r="A1246" s="3">
        <f>IFERROR(__xludf.DUMMYFUNCTION("""COMPUTED_VALUE"""),44061.66666666667)</f>
        <v>44061.66667</v>
      </c>
      <c r="B1246" s="5">
        <f>IFERROR(__xludf.DUMMYFUNCTION("""COMPUTED_VALUE"""),12.26)</f>
        <v>12.26</v>
      </c>
      <c r="C1246" s="5">
        <v>12.2204713821411</v>
      </c>
      <c r="D1246" s="5">
        <v>315.313842773437</v>
      </c>
      <c r="E1246" s="7">
        <f t="shared" ref="E1246:F1246" si="1244">C1246/C1245-1</f>
        <v>-0.006180343842</v>
      </c>
      <c r="F1246" s="7">
        <f t="shared" si="1244"/>
        <v>0.002160441438</v>
      </c>
    </row>
    <row r="1247">
      <c r="A1247" s="3">
        <f>IFERROR(__xludf.DUMMYFUNCTION("""COMPUTED_VALUE"""),44062.66666666667)</f>
        <v>44062.66667</v>
      </c>
      <c r="B1247" s="5">
        <f>IFERROR(__xludf.DUMMYFUNCTION("""COMPUTED_VALUE"""),12.14)</f>
        <v>12.14</v>
      </c>
      <c r="C1247" s="5">
        <v>12.0986204147338</v>
      </c>
      <c r="D1247" s="5">
        <v>314.001007080078</v>
      </c>
      <c r="E1247" s="7">
        <f t="shared" ref="E1247:F1247" si="1245">C1247/C1246-1</f>
        <v>-0.009971052965</v>
      </c>
      <c r="F1247" s="7">
        <f t="shared" si="1245"/>
        <v>-0.004163584072</v>
      </c>
    </row>
    <row r="1248">
      <c r="A1248" s="3">
        <f>IFERROR(__xludf.DUMMYFUNCTION("""COMPUTED_VALUE"""),44063.66666666667)</f>
        <v>44063.66667</v>
      </c>
      <c r="B1248" s="5">
        <f>IFERROR(__xludf.DUMMYFUNCTION("""COMPUTED_VALUE"""),12.14)</f>
        <v>12.14</v>
      </c>
      <c r="C1248" s="5">
        <v>12.1011142730712</v>
      </c>
      <c r="D1248" s="5">
        <v>314.978637695312</v>
      </c>
      <c r="E1248" s="7">
        <f t="shared" ref="E1248:F1248" si="1246">C1248/C1247-1</f>
        <v>0.0002061274965</v>
      </c>
      <c r="F1248" s="7">
        <f t="shared" si="1246"/>
        <v>0.003113463311</v>
      </c>
    </row>
    <row r="1249">
      <c r="A1249" s="3">
        <f>IFERROR(__xludf.DUMMYFUNCTION("""COMPUTED_VALUE"""),44064.66666666667)</f>
        <v>44064.66667</v>
      </c>
      <c r="B1249" s="5">
        <f>IFERROR(__xludf.DUMMYFUNCTION("""COMPUTED_VALUE"""),12.68)</f>
        <v>12.68</v>
      </c>
      <c r="C1249" s="5">
        <v>12.6418313980102</v>
      </c>
      <c r="D1249" s="5">
        <v>316.095977783203</v>
      </c>
      <c r="E1249" s="7">
        <f t="shared" ref="E1249:F1249" si="1247">C1249/C1248-1</f>
        <v>0.04468325088</v>
      </c>
      <c r="F1249" s="7">
        <f t="shared" si="1247"/>
        <v>0.00354735196</v>
      </c>
    </row>
    <row r="1250">
      <c r="A1250" s="3">
        <f>IFERROR(__xludf.DUMMYFUNCTION("""COMPUTED_VALUE"""),44067.66666666667)</f>
        <v>44067.66667</v>
      </c>
      <c r="B1250" s="5">
        <f>IFERROR(__xludf.DUMMYFUNCTION("""COMPUTED_VALUE"""),12.72)</f>
        <v>12.72</v>
      </c>
      <c r="C1250" s="5">
        <v>12.6784601211547</v>
      </c>
      <c r="D1250" s="5">
        <v>319.299072265625</v>
      </c>
      <c r="E1250" s="7">
        <f t="shared" ref="E1250:F1250" si="1248">C1250/C1249-1</f>
        <v>0.002897422216</v>
      </c>
      <c r="F1250" s="7">
        <f t="shared" si="1248"/>
        <v>0.01013329719</v>
      </c>
    </row>
    <row r="1251">
      <c r="A1251" s="3">
        <f>IFERROR(__xludf.DUMMYFUNCTION("""COMPUTED_VALUE"""),44068.66666666667)</f>
        <v>44068.66667</v>
      </c>
      <c r="B1251" s="5">
        <f>IFERROR(__xludf.DUMMYFUNCTION("""COMPUTED_VALUE"""),12.75)</f>
        <v>12.75</v>
      </c>
      <c r="C1251" s="5">
        <v>12.7081117630004</v>
      </c>
      <c r="D1251" s="5">
        <v>320.416412353515</v>
      </c>
      <c r="E1251" s="7">
        <f t="shared" ref="E1251:F1251" si="1249">C1251/C1250-1</f>
        <v>0.002338741579</v>
      </c>
      <c r="F1251" s="7">
        <f t="shared" si="1249"/>
        <v>0.003499352754</v>
      </c>
    </row>
    <row r="1252">
      <c r="A1252" s="3">
        <f>IFERROR(__xludf.DUMMYFUNCTION("""COMPUTED_VALUE"""),44069.66666666667)</f>
        <v>44069.66667</v>
      </c>
      <c r="B1252" s="5">
        <f>IFERROR(__xludf.DUMMYFUNCTION("""COMPUTED_VALUE"""),12.77)</f>
        <v>12.77</v>
      </c>
      <c r="C1252" s="5">
        <v>12.7310342788696</v>
      </c>
      <c r="D1252" s="5">
        <v>323.628692626953</v>
      </c>
      <c r="E1252" s="7">
        <f t="shared" ref="E1252:F1252" si="1250">C1252/C1251-1</f>
        <v>0.001803770402</v>
      </c>
      <c r="F1252" s="7">
        <f t="shared" si="1250"/>
        <v>0.01002533001</v>
      </c>
    </row>
    <row r="1253">
      <c r="A1253" s="3">
        <f>IFERROR(__xludf.DUMMYFUNCTION("""COMPUTED_VALUE"""),44070.66666666667)</f>
        <v>44070.66667</v>
      </c>
      <c r="B1253" s="5">
        <f>IFERROR(__xludf.DUMMYFUNCTION("""COMPUTED_VALUE"""),12.63)</f>
        <v>12.63</v>
      </c>
      <c r="C1253" s="5">
        <v>12.5867614746093</v>
      </c>
      <c r="D1253" s="5">
        <v>324.336395263671</v>
      </c>
      <c r="E1253" s="7">
        <f t="shared" ref="E1253:F1253" si="1251">C1253/C1252-1</f>
        <v>-0.01133237105</v>
      </c>
      <c r="F1253" s="7">
        <f t="shared" si="1251"/>
        <v>0.002186773462</v>
      </c>
    </row>
    <row r="1254">
      <c r="A1254" s="3">
        <f>IFERROR(__xludf.DUMMYFUNCTION("""COMPUTED_VALUE"""),44071.66666666667)</f>
        <v>44071.66667</v>
      </c>
      <c r="B1254" s="5">
        <f>IFERROR(__xludf.DUMMYFUNCTION("""COMPUTED_VALUE"""),13.15)</f>
        <v>13.15</v>
      </c>
      <c r="C1254" s="5">
        <v>13.1045541763305</v>
      </c>
      <c r="D1254" s="5">
        <v>326.431335449218</v>
      </c>
      <c r="E1254" s="7">
        <f t="shared" ref="E1254:F1254" si="1252">C1254/C1253-1</f>
        <v>0.04113788148</v>
      </c>
      <c r="F1254" s="7">
        <f t="shared" si="1252"/>
        <v>0.006459158504</v>
      </c>
    </row>
    <row r="1255">
      <c r="A1255" s="3">
        <f>IFERROR(__xludf.DUMMYFUNCTION("""COMPUTED_VALUE"""),44074.66666666667)</f>
        <v>44074.66667</v>
      </c>
      <c r="B1255" s="5">
        <f>IFERROR(__xludf.DUMMYFUNCTION("""COMPUTED_VALUE"""),13.37)</f>
        <v>13.37</v>
      </c>
      <c r="C1255" s="5">
        <v>13.3305597305297</v>
      </c>
      <c r="D1255" s="5">
        <v>325.248962402343</v>
      </c>
      <c r="E1255" s="7">
        <f t="shared" ref="E1255:F1255" si="1253">C1255/C1254-1</f>
        <v>0.01724633674</v>
      </c>
      <c r="F1255" s="7">
        <f t="shared" si="1253"/>
        <v>-0.003622118708</v>
      </c>
    </row>
    <row r="1256">
      <c r="A1256" s="3">
        <f>IFERROR(__xludf.DUMMYFUNCTION("""COMPUTED_VALUE"""),44075.66666666667)</f>
        <v>44075.66667</v>
      </c>
      <c r="B1256" s="5">
        <f>IFERROR(__xludf.DUMMYFUNCTION("""COMPUTED_VALUE"""),13.82)</f>
        <v>13.82</v>
      </c>
      <c r="C1256" s="5">
        <v>13.7797145843505</v>
      </c>
      <c r="D1256" s="5">
        <v>328.312286376953</v>
      </c>
      <c r="E1256" s="7">
        <f t="shared" ref="E1256:F1256" si="1254">C1256/C1255-1</f>
        <v>0.03369362299</v>
      </c>
      <c r="F1256" s="7">
        <f t="shared" si="1254"/>
        <v>0.009418397378</v>
      </c>
    </row>
    <row r="1257">
      <c r="A1257" s="3">
        <f>IFERROR(__xludf.DUMMYFUNCTION("""COMPUTED_VALUE"""),44076.66666666667)</f>
        <v>44076.66667</v>
      </c>
      <c r="B1257" s="5">
        <f>IFERROR(__xludf.DUMMYFUNCTION("""COMPUTED_VALUE"""),14.35)</f>
        <v>14.35</v>
      </c>
      <c r="C1257" s="5">
        <v>14.3036451339721</v>
      </c>
      <c r="D1257" s="5">
        <v>333.060882568359</v>
      </c>
      <c r="E1257" s="7">
        <f t="shared" ref="E1257:F1257" si="1255">C1257/C1256-1</f>
        <v>0.0380218724</v>
      </c>
      <c r="F1257" s="7">
        <f t="shared" si="1255"/>
        <v>0.01446365667</v>
      </c>
    </row>
    <row r="1258">
      <c r="A1258" s="3">
        <f>IFERROR(__xludf.DUMMYFUNCTION("""COMPUTED_VALUE"""),44077.66666666667)</f>
        <v>44077.66667</v>
      </c>
      <c r="B1258" s="5">
        <f>IFERROR(__xludf.DUMMYFUNCTION("""COMPUTED_VALUE"""),13.02)</f>
        <v>13.02</v>
      </c>
      <c r="C1258" s="5">
        <v>12.9766225814819</v>
      </c>
      <c r="D1258" s="5">
        <v>321.598937988281</v>
      </c>
      <c r="E1258" s="7">
        <f t="shared" ref="E1258:F1258" si="1256">C1258/C1257-1</f>
        <v>-0.0927751311</v>
      </c>
      <c r="F1258" s="7">
        <f t="shared" si="1256"/>
        <v>-0.03441396207</v>
      </c>
    </row>
    <row r="1259">
      <c r="A1259" s="3">
        <f>IFERROR(__xludf.DUMMYFUNCTION("""COMPUTED_VALUE"""),44078.66666666667)</f>
        <v>44078.66667</v>
      </c>
      <c r="B1259" s="5">
        <f>IFERROR(__xludf.DUMMYFUNCTION("""COMPUTED_VALUE"""),12.62)</f>
        <v>12.62</v>
      </c>
      <c r="C1259" s="5">
        <v>12.5847969055175</v>
      </c>
      <c r="D1259" s="5">
        <v>318.973114013671</v>
      </c>
      <c r="E1259" s="7">
        <f t="shared" ref="E1259:F1259" si="1257">C1259/C1258-1</f>
        <v>-0.03019473469</v>
      </c>
      <c r="F1259" s="7">
        <f t="shared" si="1257"/>
        <v>-0.008164902506</v>
      </c>
    </row>
    <row r="1260">
      <c r="A1260" s="3">
        <f>IFERROR(__xludf.DUMMYFUNCTION("""COMPUTED_VALUE"""),44082.66666666667)</f>
        <v>44082.66667</v>
      </c>
      <c r="B1260" s="5">
        <f>IFERROR(__xludf.DUMMYFUNCTION("""COMPUTED_VALUE"""),11.91)</f>
        <v>11.91</v>
      </c>
      <c r="C1260" s="5">
        <v>11.8774147033691</v>
      </c>
      <c r="D1260" s="5">
        <v>310.257904052734</v>
      </c>
      <c r="E1260" s="7">
        <f t="shared" ref="E1260:F1260" si="1258">C1260/C1259-1</f>
        <v>-0.05620926642</v>
      </c>
      <c r="F1260" s="7">
        <f t="shared" si="1258"/>
        <v>-0.02732271022</v>
      </c>
    </row>
    <row r="1261">
      <c r="A1261" s="3">
        <f>IFERROR(__xludf.DUMMYFUNCTION("""COMPUTED_VALUE"""),44083.66666666667)</f>
        <v>44083.66667</v>
      </c>
      <c r="B1261" s="5">
        <f>IFERROR(__xludf.DUMMYFUNCTION("""COMPUTED_VALUE"""),12.72)</f>
        <v>12.72</v>
      </c>
      <c r="C1261" s="5">
        <v>12.677017211914</v>
      </c>
      <c r="D1261" s="5">
        <v>316.384643554687</v>
      </c>
      <c r="E1261" s="7">
        <f t="shared" ref="E1261:F1261" si="1259">C1261/C1260-1</f>
        <v>0.06732125875</v>
      </c>
      <c r="F1261" s="7">
        <f t="shared" si="1259"/>
        <v>0.01974724712</v>
      </c>
      <c r="G1261" s="9" t="s">
        <v>7</v>
      </c>
    </row>
    <row r="1262">
      <c r="A1262" s="3">
        <f>IFERROR(__xludf.DUMMYFUNCTION("""COMPUTED_VALUE"""),44084.66666666667)</f>
        <v>44084.66667</v>
      </c>
      <c r="B1262" s="5">
        <f>IFERROR(__xludf.DUMMYFUNCTION("""COMPUTED_VALUE"""),12.31)</f>
        <v>12.31</v>
      </c>
      <c r="C1262" s="5">
        <v>12.2749738693237</v>
      </c>
      <c r="D1262" s="5">
        <v>310.891052246093</v>
      </c>
      <c r="E1262" s="7">
        <f t="shared" ref="E1262:F1262" si="1260">C1262/C1261-1</f>
        <v>-0.03171434856</v>
      </c>
      <c r="F1262" s="7">
        <f t="shared" si="1260"/>
        <v>-0.01736364713</v>
      </c>
    </row>
    <row r="1263">
      <c r="A1263" s="3">
        <f>IFERROR(__xludf.DUMMYFUNCTION("""COMPUTED_VALUE"""),44085.66666666667)</f>
        <v>44085.66667</v>
      </c>
      <c r="B1263" s="5">
        <f>IFERROR(__xludf.DUMMYFUNCTION("""COMPUTED_VALUE"""),12.16)</f>
        <v>12.16</v>
      </c>
      <c r="C1263" s="5">
        <v>12.1281623840332</v>
      </c>
      <c r="D1263" s="5">
        <v>311.049377441406</v>
      </c>
      <c r="E1263" s="7">
        <f t="shared" ref="E1263:F1263" si="1261">C1263/C1262-1</f>
        <v>-0.01196022793</v>
      </c>
      <c r="F1263" s="7">
        <f t="shared" si="1261"/>
        <v>0.0005092626313</v>
      </c>
    </row>
    <row r="1264">
      <c r="A1264" s="3">
        <f>IFERROR(__xludf.DUMMYFUNCTION("""COMPUTED_VALUE"""),44088.66666666667)</f>
        <v>44088.66667</v>
      </c>
      <c r="B1264" s="5">
        <f>IFERROR(__xludf.DUMMYFUNCTION("""COMPUTED_VALUE"""),12.87)</f>
        <v>12.87</v>
      </c>
      <c r="C1264" s="5">
        <v>12.8337984085083</v>
      </c>
      <c r="D1264" s="5">
        <v>315.146209716796</v>
      </c>
      <c r="E1264" s="7">
        <f t="shared" ref="E1264:F1264" si="1262">C1264/C1263-1</f>
        <v>0.05818161088</v>
      </c>
      <c r="F1264" s="7">
        <f t="shared" si="1262"/>
        <v>0.01317100297</v>
      </c>
    </row>
    <row r="1265">
      <c r="A1265" s="3">
        <f>IFERROR(__xludf.DUMMYFUNCTION("""COMPUTED_VALUE"""),44089.66666666667)</f>
        <v>44089.66667</v>
      </c>
      <c r="B1265" s="5">
        <f>IFERROR(__xludf.DUMMYFUNCTION("""COMPUTED_VALUE"""),12.99)</f>
        <v>12.99</v>
      </c>
      <c r="C1265" s="5">
        <v>12.9521942138671</v>
      </c>
      <c r="D1265" s="5">
        <v>316.738464355468</v>
      </c>
      <c r="E1265" s="7">
        <f t="shared" ref="E1265:F1265" si="1263">C1265/C1264-1</f>
        <v>0.009225312849</v>
      </c>
      <c r="F1265" s="7">
        <f t="shared" si="1263"/>
        <v>0.005052431505</v>
      </c>
    </row>
    <row r="1266">
      <c r="A1266" s="3">
        <f>IFERROR(__xludf.DUMMYFUNCTION("""COMPUTED_VALUE"""),44090.66666666667)</f>
        <v>44090.66667</v>
      </c>
      <c r="B1266" s="5">
        <f>IFERROR(__xludf.DUMMYFUNCTION("""COMPUTED_VALUE"""),12.51)</f>
        <v>12.51</v>
      </c>
      <c r="C1266" s="5">
        <v>12.4771165847778</v>
      </c>
      <c r="D1266" s="5">
        <v>315.481506347656</v>
      </c>
      <c r="E1266" s="7">
        <f t="shared" ref="E1266:F1266" si="1264">C1266/C1265-1</f>
        <v>-0.03667931636</v>
      </c>
      <c r="F1266" s="7">
        <f t="shared" si="1264"/>
        <v>-0.003968441314</v>
      </c>
    </row>
    <row r="1267">
      <c r="A1267" s="3">
        <f>IFERROR(__xludf.DUMMYFUNCTION("""COMPUTED_VALUE"""),44091.66666666667)</f>
        <v>44091.66667</v>
      </c>
      <c r="B1267" s="5">
        <f>IFERROR(__xludf.DUMMYFUNCTION("""COMPUTED_VALUE"""),12.46)</f>
        <v>12.46</v>
      </c>
      <c r="C1267" s="5">
        <v>12.4262704849243</v>
      </c>
      <c r="D1267" s="5">
        <v>312.706726074218</v>
      </c>
      <c r="E1267" s="7">
        <f t="shared" ref="E1267:F1267" si="1265">C1267/C1266-1</f>
        <v>-0.004075148253</v>
      </c>
      <c r="F1267" s="7">
        <f t="shared" si="1265"/>
        <v>-0.008795381718</v>
      </c>
    </row>
    <row r="1268">
      <c r="A1268" s="3">
        <f>IFERROR(__xludf.DUMMYFUNCTION("""COMPUTED_VALUE"""),44092.66666666667)</f>
        <v>44092.66667</v>
      </c>
      <c r="B1268" s="5">
        <f>IFERROR(__xludf.DUMMYFUNCTION("""COMPUTED_VALUE"""),12.19)</f>
        <v>12.19</v>
      </c>
      <c r="C1268" s="5">
        <v>12.1528377532958</v>
      </c>
      <c r="D1268" s="5">
        <v>309.106567382812</v>
      </c>
      <c r="E1268" s="7">
        <f t="shared" ref="E1268:F1268" si="1266">C1268/C1267-1</f>
        <v>-0.02200440848</v>
      </c>
      <c r="F1268" s="7">
        <f t="shared" si="1266"/>
        <v>-0.01151289176</v>
      </c>
    </row>
    <row r="1269">
      <c r="A1269" s="3">
        <f>IFERROR(__xludf.DUMMYFUNCTION("""COMPUTED_VALUE"""),44095.66666666667)</f>
        <v>44095.66667</v>
      </c>
      <c r="B1269" s="5">
        <f>IFERROR(__xludf.DUMMYFUNCTION("""COMPUTED_VALUE"""),12.52)</f>
        <v>12.52</v>
      </c>
      <c r="C1269" s="5">
        <v>12.4798612594604</v>
      </c>
      <c r="D1269" s="5">
        <v>305.666351318359</v>
      </c>
      <c r="E1269" s="7">
        <f t="shared" ref="E1269:F1269" si="1267">C1269/C1268-1</f>
        <v>0.02690922999</v>
      </c>
      <c r="F1269" s="7">
        <f t="shared" si="1267"/>
        <v>-0.01112954698</v>
      </c>
    </row>
    <row r="1270">
      <c r="A1270" s="3">
        <f>IFERROR(__xludf.DUMMYFUNCTION("""COMPUTED_VALUE"""),44096.66666666667)</f>
        <v>44096.66667</v>
      </c>
      <c r="B1270" s="5">
        <f>IFERROR(__xludf.DUMMYFUNCTION("""COMPUTED_VALUE"""),12.64)</f>
        <v>12.64</v>
      </c>
      <c r="C1270" s="5">
        <v>12.600001335144</v>
      </c>
      <c r="D1270" s="5">
        <v>308.77944946289</v>
      </c>
      <c r="E1270" s="7">
        <f t="shared" ref="E1270:F1270" si="1268">C1270/C1269-1</f>
        <v>0.009626715649</v>
      </c>
      <c r="F1270" s="7">
        <f t="shared" si="1268"/>
        <v>0.01018462821</v>
      </c>
    </row>
    <row r="1271">
      <c r="A1271" s="3">
        <f>IFERROR(__xludf.DUMMYFUNCTION("""COMPUTED_VALUE"""),44097.66666666667)</f>
        <v>44097.66667</v>
      </c>
      <c r="B1271" s="5">
        <f>IFERROR(__xludf.DUMMYFUNCTION("""COMPUTED_VALUE"""),12.12)</f>
        <v>12.12</v>
      </c>
      <c r="C1271" s="5">
        <v>12.0875349044799</v>
      </c>
      <c r="D1271" s="5">
        <v>301.618499755859</v>
      </c>
      <c r="E1271" s="7">
        <f t="shared" ref="E1271:F1271" si="1269">C1271/C1270-1</f>
        <v>-0.04067193463</v>
      </c>
      <c r="F1271" s="7">
        <f t="shared" si="1269"/>
        <v>-0.02319114734</v>
      </c>
    </row>
    <row r="1272">
      <c r="A1272" s="3">
        <f>IFERROR(__xludf.DUMMYFUNCTION("""COMPUTED_VALUE"""),44098.66666666667)</f>
        <v>44098.66667</v>
      </c>
      <c r="B1272" s="5">
        <f>IFERROR(__xludf.DUMMYFUNCTION("""COMPUTED_VALUE"""),12.35)</f>
        <v>12.35</v>
      </c>
      <c r="C1272" s="5">
        <v>12.3111143112182</v>
      </c>
      <c r="D1272" s="5">
        <v>302.422485351562</v>
      </c>
      <c r="E1272" s="7">
        <f t="shared" ref="E1272:F1272" si="1270">C1272/C1271-1</f>
        <v>0.01849669172</v>
      </c>
      <c r="F1272" s="7">
        <f t="shared" si="1270"/>
        <v>0.002665571231</v>
      </c>
    </row>
    <row r="1273">
      <c r="A1273" s="3">
        <f>IFERROR(__xludf.DUMMYFUNCTION("""COMPUTED_VALUE"""),44099.66666666667)</f>
        <v>44099.66667</v>
      </c>
      <c r="B1273" s="5">
        <f>IFERROR(__xludf.DUMMYFUNCTION("""COMPUTED_VALUE"""),12.87)</f>
        <v>12.87</v>
      </c>
      <c r="C1273" s="5">
        <v>12.8352947235107</v>
      </c>
      <c r="D1273" s="5">
        <v>307.311767578125</v>
      </c>
      <c r="E1273" s="7">
        <f t="shared" ref="E1273:F1273" si="1271">C1273/C1272-1</f>
        <v>0.04257782026</v>
      </c>
      <c r="F1273" s="7">
        <f t="shared" si="1271"/>
        <v>0.01616705921</v>
      </c>
    </row>
    <row r="1274">
      <c r="A1274" s="3">
        <f>IFERROR(__xludf.DUMMYFUNCTION("""COMPUTED_VALUE"""),44102.66666666667)</f>
        <v>44102.66667</v>
      </c>
      <c r="B1274" s="5">
        <f>IFERROR(__xludf.DUMMYFUNCTION("""COMPUTED_VALUE"""),13.04)</f>
        <v>13.04</v>
      </c>
      <c r="C1274" s="5">
        <v>12.9960632324218</v>
      </c>
      <c r="D1274" s="5">
        <v>312.415954589843</v>
      </c>
      <c r="E1274" s="7">
        <f t="shared" ref="E1274:F1274" si="1272">C1274/C1273-1</f>
        <v>0.01252550194</v>
      </c>
      <c r="F1274" s="7">
        <f t="shared" si="1272"/>
        <v>0.01660914924</v>
      </c>
    </row>
    <row r="1275">
      <c r="A1275" s="3">
        <f>IFERROR(__xludf.DUMMYFUNCTION("""COMPUTED_VALUE"""),44103.66666666667)</f>
        <v>44103.66667</v>
      </c>
      <c r="B1275" s="5">
        <f>IFERROR(__xludf.DUMMYFUNCTION("""COMPUTED_VALUE"""),13.23)</f>
        <v>13.23</v>
      </c>
      <c r="C1275" s="5">
        <v>13.1862430572509</v>
      </c>
      <c r="D1275" s="5">
        <v>310.714538574218</v>
      </c>
      <c r="E1275" s="7">
        <f t="shared" ref="E1275:F1275" si="1273">C1275/C1274-1</f>
        <v>0.01463364878</v>
      </c>
      <c r="F1275" s="7">
        <f t="shared" si="1273"/>
        <v>-0.005445995925</v>
      </c>
    </row>
    <row r="1276">
      <c r="A1276" s="3">
        <f>IFERROR(__xludf.DUMMYFUNCTION("""COMPUTED_VALUE"""),44104.66666666667)</f>
        <v>44104.66667</v>
      </c>
      <c r="B1276" s="5">
        <f>IFERROR(__xludf.DUMMYFUNCTION("""COMPUTED_VALUE"""),13.53)</f>
        <v>13.53</v>
      </c>
      <c r="C1276" s="5">
        <v>13.4900827407836</v>
      </c>
      <c r="D1276" s="5">
        <v>313.070373535156</v>
      </c>
      <c r="E1276" s="7">
        <f t="shared" ref="E1276:F1276" si="1274">C1276/C1275-1</f>
        <v>0.02304217223</v>
      </c>
      <c r="F1276" s="7">
        <f t="shared" si="1274"/>
        <v>0.007581991405</v>
      </c>
    </row>
    <row r="1277">
      <c r="A1277" s="3">
        <f>IFERROR(__xludf.DUMMYFUNCTION("""COMPUTED_VALUE"""),44105.66666666667)</f>
        <v>44105.66667</v>
      </c>
      <c r="B1277" s="5">
        <f>IFERROR(__xludf.DUMMYFUNCTION("""COMPUTED_VALUE"""),13.61)</f>
        <v>13.61</v>
      </c>
      <c r="C1277" s="5">
        <v>13.5738315582275</v>
      </c>
      <c r="D1277" s="5">
        <v>315.080261230468</v>
      </c>
      <c r="E1277" s="7">
        <f t="shared" ref="E1277:F1277" si="1275">C1277/C1276-1</f>
        <v>0.006208176707</v>
      </c>
      <c r="F1277" s="7">
        <f t="shared" si="1275"/>
        <v>0.006419923012</v>
      </c>
    </row>
    <row r="1278">
      <c r="A1278" s="3">
        <f>IFERROR(__xludf.DUMMYFUNCTION("""COMPUTED_VALUE"""),44106.66666666667)</f>
        <v>44106.66667</v>
      </c>
      <c r="B1278" s="5">
        <f>IFERROR(__xludf.DUMMYFUNCTION("""COMPUTED_VALUE"""),13.06)</f>
        <v>13.06</v>
      </c>
      <c r="C1278" s="5">
        <v>13.0232334136962</v>
      </c>
      <c r="D1278" s="5">
        <v>312.088806152343</v>
      </c>
      <c r="E1278" s="7">
        <f t="shared" ref="E1278:F1278" si="1276">C1278/C1277-1</f>
        <v>-0.04056320739</v>
      </c>
      <c r="F1278" s="7">
        <f t="shared" si="1276"/>
        <v>-0.009494263673</v>
      </c>
    </row>
    <row r="1279">
      <c r="A1279" s="3">
        <f>IFERROR(__xludf.DUMMYFUNCTION("""COMPUTED_VALUE"""),44109.66666666667)</f>
        <v>44109.66667</v>
      </c>
      <c r="B1279" s="5">
        <f>IFERROR(__xludf.DUMMYFUNCTION("""COMPUTED_VALUE"""),13.64)</f>
        <v>13.64</v>
      </c>
      <c r="C1279" s="5">
        <v>13.6017475128173</v>
      </c>
      <c r="D1279" s="5">
        <v>317.623077392578</v>
      </c>
      <c r="E1279" s="7">
        <f t="shared" ref="E1279:F1279" si="1277">C1279/C1278-1</f>
        <v>0.04442169473</v>
      </c>
      <c r="F1279" s="7">
        <f t="shared" si="1277"/>
        <v>0.01773300141</v>
      </c>
    </row>
    <row r="1280">
      <c r="A1280" s="3">
        <f>IFERROR(__xludf.DUMMYFUNCTION("""COMPUTED_VALUE"""),44110.66666666667)</f>
        <v>44110.66667</v>
      </c>
      <c r="B1280" s="5">
        <f>IFERROR(__xludf.DUMMYFUNCTION("""COMPUTED_VALUE"""),13.74)</f>
        <v>13.74</v>
      </c>
      <c r="C1280" s="5">
        <v>13.6954689025878</v>
      </c>
      <c r="D1280" s="5">
        <v>313.107696533203</v>
      </c>
      <c r="E1280" s="7">
        <f t="shared" ref="E1280:F1280" si="1278">C1280/C1279-1</f>
        <v>0.006890393288</v>
      </c>
      <c r="F1280" s="7">
        <f t="shared" si="1278"/>
        <v>-0.01421616117</v>
      </c>
    </row>
    <row r="1281">
      <c r="A1281" s="3">
        <f>IFERROR(__xludf.DUMMYFUNCTION("""COMPUTED_VALUE"""),44111.66666666667)</f>
        <v>44111.66667</v>
      </c>
      <c r="B1281" s="5">
        <f>IFERROR(__xludf.DUMMYFUNCTION("""COMPUTED_VALUE"""),13.96)</f>
        <v>13.96</v>
      </c>
      <c r="C1281" s="5">
        <v>13.9222869873046</v>
      </c>
      <c r="D1281" s="5">
        <v>318.557861328125</v>
      </c>
      <c r="E1281" s="7">
        <f t="shared" ref="E1281:F1281" si="1279">C1281/C1280-1</f>
        <v>0.01656154209</v>
      </c>
      <c r="F1281" s="7">
        <f t="shared" si="1279"/>
        <v>0.01740667781</v>
      </c>
    </row>
    <row r="1282">
      <c r="A1282" s="3">
        <f>IFERROR(__xludf.DUMMYFUNCTION("""COMPUTED_VALUE"""),44112.66666666667)</f>
        <v>44112.66667</v>
      </c>
      <c r="B1282" s="5">
        <f>IFERROR(__xludf.DUMMYFUNCTION("""COMPUTED_VALUE"""),13.84)</f>
        <v>13.84</v>
      </c>
      <c r="C1282" s="5">
        <v>13.7974119186401</v>
      </c>
      <c r="D1282" s="5">
        <v>321.381134033203</v>
      </c>
      <c r="E1282" s="7">
        <f t="shared" ref="E1282:F1282" si="1280">C1282/C1281-1</f>
        <v>-0.008969436471</v>
      </c>
      <c r="F1282" s="7">
        <f t="shared" si="1280"/>
        <v>0.008862668444</v>
      </c>
    </row>
    <row r="1283">
      <c r="A1283" s="3">
        <f>IFERROR(__xludf.DUMMYFUNCTION("""COMPUTED_VALUE"""),44113.66666666667)</f>
        <v>44113.66667</v>
      </c>
      <c r="B1283" s="5">
        <f>IFERROR(__xludf.DUMMYFUNCTION("""COMPUTED_VALUE"""),13.76)</f>
        <v>13.76</v>
      </c>
      <c r="C1283" s="5">
        <v>13.7216396331787</v>
      </c>
      <c r="D1283" s="5">
        <v>324.25112915039</v>
      </c>
      <c r="E1283" s="7">
        <f t="shared" ref="E1283:F1283" si="1281">C1283/C1282-1</f>
        <v>-0.005491775263</v>
      </c>
      <c r="F1283" s="7">
        <f t="shared" si="1281"/>
        <v>0.008930191642</v>
      </c>
    </row>
    <row r="1284">
      <c r="A1284" s="3">
        <f>IFERROR(__xludf.DUMMYFUNCTION("""COMPUTED_VALUE"""),44116.66666666667)</f>
        <v>44116.66667</v>
      </c>
      <c r="B1284" s="5">
        <f>IFERROR(__xludf.DUMMYFUNCTION("""COMPUTED_VALUE"""),14.23)</f>
        <v>14.23</v>
      </c>
      <c r="C1284" s="5">
        <v>14.1835060119628</v>
      </c>
      <c r="D1284" s="5">
        <v>329.467559814453</v>
      </c>
      <c r="E1284" s="7">
        <f t="shared" ref="E1284:F1284" si="1282">C1284/C1283-1</f>
        <v>0.03365970767</v>
      </c>
      <c r="F1284" s="7">
        <f t="shared" si="1282"/>
        <v>0.01608762529</v>
      </c>
    </row>
    <row r="1285">
      <c r="A1285" s="3">
        <f>IFERROR(__xludf.DUMMYFUNCTION("""COMPUTED_VALUE"""),44117.66666666667)</f>
        <v>44117.66667</v>
      </c>
      <c r="B1285" s="5">
        <f>IFERROR(__xludf.DUMMYFUNCTION("""COMPUTED_VALUE"""),14.25)</f>
        <v>14.25</v>
      </c>
      <c r="C1285" s="5">
        <v>14.2056894302368</v>
      </c>
      <c r="D1285" s="5">
        <v>327.317504882812</v>
      </c>
      <c r="E1285" s="7">
        <f t="shared" ref="E1285:F1285" si="1283">C1285/C1284-1</f>
        <v>0.00156402925</v>
      </c>
      <c r="F1285" s="7">
        <f t="shared" si="1283"/>
        <v>-0.006525847136</v>
      </c>
    </row>
    <row r="1286">
      <c r="A1286" s="3">
        <f>IFERROR(__xludf.DUMMYFUNCTION("""COMPUTED_VALUE"""),44118.66666666667)</f>
        <v>44118.66667</v>
      </c>
      <c r="B1286" s="5">
        <f>IFERROR(__xludf.DUMMYFUNCTION("""COMPUTED_VALUE"""),14.1)</f>
        <v>14.1</v>
      </c>
      <c r="C1286" s="5">
        <v>14.0531454086303</v>
      </c>
      <c r="D1286" s="5">
        <v>325.2607421875</v>
      </c>
      <c r="E1286" s="7">
        <f t="shared" ref="E1286:F1286" si="1284">C1286/C1285-1</f>
        <v>-0.01073823431</v>
      </c>
      <c r="F1286" s="7">
        <f t="shared" si="1284"/>
        <v>-0.006283692942</v>
      </c>
    </row>
    <row r="1287">
      <c r="A1287" s="3">
        <f>IFERROR(__xludf.DUMMYFUNCTION("""COMPUTED_VALUE"""),44119.66666666667)</f>
        <v>44119.66667</v>
      </c>
      <c r="B1287" s="5">
        <f>IFERROR(__xludf.DUMMYFUNCTION("""COMPUTED_VALUE"""),13.97)</f>
        <v>13.97</v>
      </c>
      <c r="C1287" s="5">
        <v>13.9282712936401</v>
      </c>
      <c r="D1287" s="5">
        <v>324.858734130859</v>
      </c>
      <c r="E1287" s="7">
        <f t="shared" ref="E1287:F1287" si="1285">C1287/C1286-1</f>
        <v>-0.008885848069</v>
      </c>
      <c r="F1287" s="7">
        <f t="shared" si="1285"/>
        <v>-0.001235956279</v>
      </c>
    </row>
    <row r="1288">
      <c r="A1288" s="3">
        <f>IFERROR(__xludf.DUMMYFUNCTION("""COMPUTED_VALUE"""),44120.66666666667)</f>
        <v>44120.66667</v>
      </c>
      <c r="B1288" s="5">
        <f>IFERROR(__xludf.DUMMYFUNCTION("""COMPUTED_VALUE"""),13.81)</f>
        <v>13.81</v>
      </c>
      <c r="C1288" s="5">
        <v>13.7702436447143</v>
      </c>
      <c r="D1288" s="5">
        <v>324.662506103515</v>
      </c>
      <c r="E1288" s="7">
        <f t="shared" ref="E1288:F1288" si="1286">C1288/C1287-1</f>
        <v>-0.01134581928</v>
      </c>
      <c r="F1288" s="7">
        <f t="shared" si="1286"/>
        <v>-0.0006040411007</v>
      </c>
    </row>
    <row r="1289">
      <c r="A1289" s="3">
        <f>IFERROR(__xludf.DUMMYFUNCTION("""COMPUTED_VALUE"""),44123.66666666667)</f>
        <v>44123.66667</v>
      </c>
      <c r="B1289" s="5">
        <f>IFERROR(__xludf.DUMMYFUNCTION("""COMPUTED_VALUE"""),13.5)</f>
        <v>13.5</v>
      </c>
      <c r="C1289" s="5">
        <v>13.4574308395385</v>
      </c>
      <c r="D1289" s="5">
        <v>319.726470947265</v>
      </c>
      <c r="E1289" s="7">
        <f t="shared" ref="E1289:F1289" si="1287">C1289/C1288-1</f>
        <v>-0.02271657737</v>
      </c>
      <c r="F1289" s="7">
        <f t="shared" si="1287"/>
        <v>-0.01520358854</v>
      </c>
    </row>
    <row r="1290">
      <c r="A1290" s="3">
        <f>IFERROR(__xludf.DUMMYFUNCTION("""COMPUTED_VALUE"""),44124.66666666667)</f>
        <v>44124.66667</v>
      </c>
      <c r="B1290" s="5">
        <f>IFERROR(__xludf.DUMMYFUNCTION("""COMPUTED_VALUE"""),13.65)</f>
        <v>13.65</v>
      </c>
      <c r="C1290" s="5">
        <v>13.6047401428222</v>
      </c>
      <c r="D1290" s="5">
        <v>321.007202148437</v>
      </c>
      <c r="E1290" s="7">
        <f t="shared" ref="E1290:F1290" si="1288">C1290/C1289-1</f>
        <v>0.01094631695</v>
      </c>
      <c r="F1290" s="7">
        <f t="shared" si="1288"/>
        <v>0.004005708997</v>
      </c>
    </row>
    <row r="1291">
      <c r="A1291" s="3">
        <f>IFERROR(__xludf.DUMMYFUNCTION("""COMPUTED_VALUE"""),44125.66666666667)</f>
        <v>44125.66667</v>
      </c>
      <c r="B1291" s="5">
        <f>IFERROR(__xludf.DUMMYFUNCTION("""COMPUTED_VALUE"""),13.52)</f>
        <v>13.52</v>
      </c>
      <c r="C1291" s="5">
        <v>13.4843521118164</v>
      </c>
      <c r="D1291" s="5">
        <v>320.399597167968</v>
      </c>
      <c r="E1291" s="7">
        <f t="shared" ref="E1291:F1291" si="1289">C1291/C1290-1</f>
        <v>-0.008848976882</v>
      </c>
      <c r="F1291" s="7">
        <f t="shared" si="1289"/>
        <v>-0.001892807938</v>
      </c>
    </row>
    <row r="1292">
      <c r="A1292" s="3">
        <f>IFERROR(__xludf.DUMMYFUNCTION("""COMPUTED_VALUE"""),44126.66666666667)</f>
        <v>44126.66667</v>
      </c>
      <c r="B1292" s="5">
        <f>IFERROR(__xludf.DUMMYFUNCTION("""COMPUTED_VALUE"""),13.36)</f>
        <v>13.36</v>
      </c>
      <c r="C1292" s="5">
        <v>13.3210906982421</v>
      </c>
      <c r="D1292" s="5">
        <v>322.157043457031</v>
      </c>
      <c r="E1292" s="7">
        <f t="shared" ref="E1292:F1292" si="1290">C1292/C1291-1</f>
        <v>-0.01210747185</v>
      </c>
      <c r="F1292" s="7">
        <f t="shared" si="1290"/>
        <v>0.005485170096</v>
      </c>
    </row>
    <row r="1293">
      <c r="A1293" s="3">
        <f>IFERROR(__xludf.DUMMYFUNCTION("""COMPUTED_VALUE"""),44127.66666666667)</f>
        <v>44127.66667</v>
      </c>
      <c r="B1293" s="5">
        <f>IFERROR(__xludf.DUMMYFUNCTION("""COMPUTED_VALUE"""),13.59)</f>
        <v>13.59</v>
      </c>
      <c r="C1293" s="5">
        <v>13.5496549606323</v>
      </c>
      <c r="D1293" s="5">
        <v>323.250793457031</v>
      </c>
      <c r="E1293" s="7">
        <f t="shared" ref="E1293:F1293" si="1291">C1293/C1292-1</f>
        <v>0.01715807418</v>
      </c>
      <c r="F1293" s="7">
        <f t="shared" si="1291"/>
        <v>0.003395083306</v>
      </c>
    </row>
    <row r="1294">
      <c r="A1294" s="3">
        <f>IFERROR(__xludf.DUMMYFUNCTION("""COMPUTED_VALUE"""),44130.66666666667)</f>
        <v>44130.66667</v>
      </c>
      <c r="B1294" s="5">
        <f>IFERROR(__xludf.DUMMYFUNCTION("""COMPUTED_VALUE"""),13.14)</f>
        <v>13.14</v>
      </c>
      <c r="C1294" s="5">
        <v>13.1019973754882</v>
      </c>
      <c r="D1294" s="5">
        <v>317.277252197265</v>
      </c>
      <c r="E1294" s="7">
        <f t="shared" ref="E1294:F1294" si="1292">C1294/C1293-1</f>
        <v>-0.03303830145</v>
      </c>
      <c r="F1294" s="7">
        <f t="shared" si="1292"/>
        <v>-0.01847958731</v>
      </c>
    </row>
    <row r="1295">
      <c r="A1295" s="3">
        <f>IFERROR(__xludf.DUMMYFUNCTION("""COMPUTED_VALUE"""),44131.66666666667)</f>
        <v>44131.66667</v>
      </c>
      <c r="B1295" s="5">
        <f>IFERROR(__xludf.DUMMYFUNCTION("""COMPUTED_VALUE"""),13.4)</f>
        <v>13.4</v>
      </c>
      <c r="C1295" s="5">
        <v>13.3567304611206</v>
      </c>
      <c r="D1295" s="5">
        <v>316.183410644531</v>
      </c>
      <c r="E1295" s="7">
        <f t="shared" ref="E1295:F1295" si="1293">C1295/C1294-1</f>
        <v>0.01944230932</v>
      </c>
      <c r="F1295" s="7">
        <f t="shared" si="1293"/>
        <v>-0.003447588963</v>
      </c>
    </row>
    <row r="1296">
      <c r="A1296" s="3">
        <f>IFERROR(__xludf.DUMMYFUNCTION("""COMPUTED_VALUE"""),44132.66666666667)</f>
        <v>44132.66667</v>
      </c>
      <c r="B1296" s="5">
        <f>IFERROR(__xludf.DUMMYFUNCTION("""COMPUTED_VALUE"""),12.63)</f>
        <v>12.63</v>
      </c>
      <c r="C1296" s="5">
        <v>12.5892820358276</v>
      </c>
      <c r="D1296" s="5">
        <v>305.376586914062</v>
      </c>
      <c r="E1296" s="7">
        <f t="shared" ref="E1296:F1296" si="1294">C1296/C1295-1</f>
        <v>-0.05745780583</v>
      </c>
      <c r="F1296" s="7">
        <f t="shared" si="1294"/>
        <v>-0.03417897134</v>
      </c>
    </row>
    <row r="1297">
      <c r="A1297" s="3">
        <f>IFERROR(__xludf.DUMMYFUNCTION("""COMPUTED_VALUE"""),44133.66666666667)</f>
        <v>44133.66667</v>
      </c>
      <c r="B1297" s="5">
        <f>IFERROR(__xludf.DUMMYFUNCTION("""COMPUTED_VALUE"""),13.02)</f>
        <v>13.02</v>
      </c>
      <c r="C1297" s="5">
        <v>12.9850950241088</v>
      </c>
      <c r="D1297" s="5">
        <v>308.480285644531</v>
      </c>
      <c r="E1297" s="7">
        <f t="shared" ref="E1297:F1297" si="1295">C1297/C1296-1</f>
        <v>0.0314404735</v>
      </c>
      <c r="F1297" s="7">
        <f t="shared" si="1295"/>
        <v>0.01016351241</v>
      </c>
    </row>
    <row r="1298">
      <c r="A1298" s="3">
        <f>IFERROR(__xludf.DUMMYFUNCTION("""COMPUTED_VALUE"""),44134.66666666667)</f>
        <v>44134.66667</v>
      </c>
      <c r="B1298" s="5">
        <f>IFERROR(__xludf.DUMMYFUNCTION("""COMPUTED_VALUE"""),12.53)</f>
        <v>12.53</v>
      </c>
      <c r="C1298" s="5">
        <v>12.4965600967407</v>
      </c>
      <c r="D1298" s="5">
        <v>305.264404296875</v>
      </c>
      <c r="E1298" s="7">
        <f t="shared" ref="E1298:F1298" si="1296">C1298/C1297-1</f>
        <v>-0.03762274565</v>
      </c>
      <c r="F1298" s="7">
        <f t="shared" si="1296"/>
        <v>-0.01042491691</v>
      </c>
    </row>
    <row r="1299">
      <c r="A1299" s="3">
        <f>IFERROR(__xludf.DUMMYFUNCTION("""COMPUTED_VALUE"""),44137.66666666667)</f>
        <v>44137.66667</v>
      </c>
      <c r="B1299" s="5">
        <f>IFERROR(__xludf.DUMMYFUNCTION("""COMPUTED_VALUE"""),12.58)</f>
        <v>12.58</v>
      </c>
      <c r="C1299" s="5">
        <v>12.5431718826293</v>
      </c>
      <c r="D1299" s="5">
        <v>308.685913085937</v>
      </c>
      <c r="E1299" s="7">
        <f t="shared" ref="E1299:F1299" si="1297">C1299/C1298-1</f>
        <v>0.00372996933</v>
      </c>
      <c r="F1299" s="7">
        <f t="shared" si="1297"/>
        <v>0.0112083451</v>
      </c>
    </row>
    <row r="1300">
      <c r="A1300" s="3">
        <f>IFERROR(__xludf.DUMMYFUNCTION("""COMPUTED_VALUE"""),44138.66666666667)</f>
        <v>44138.66667</v>
      </c>
      <c r="B1300" s="5">
        <f>IFERROR(__xludf.DUMMYFUNCTION("""COMPUTED_VALUE"""),13.02)</f>
        <v>13.02</v>
      </c>
      <c r="C1300" s="5">
        <v>12.9806089401245</v>
      </c>
      <c r="D1300" s="5">
        <v>314.136047363281</v>
      </c>
      <c r="E1300" s="7">
        <f t="shared" ref="E1300:F1300" si="1298">C1300/C1299-1</f>
        <v>0.03487451672</v>
      </c>
      <c r="F1300" s="7">
        <f t="shared" si="1298"/>
        <v>0.01765592159</v>
      </c>
    </row>
    <row r="1301">
      <c r="A1301" s="3">
        <f>IFERROR(__xludf.DUMMYFUNCTION("""COMPUTED_VALUE"""),44139.66666666667)</f>
        <v>44139.66667</v>
      </c>
      <c r="B1301" s="5">
        <f>IFERROR(__xludf.DUMMYFUNCTION("""COMPUTED_VALUE"""),13.79)</f>
        <v>13.79</v>
      </c>
      <c r="C1301" s="5">
        <v>13.7530431747436</v>
      </c>
      <c r="D1301" s="5">
        <v>321.15673828125</v>
      </c>
      <c r="E1301" s="7">
        <f t="shared" ref="E1301:F1301" si="1299">C1301/C1300-1</f>
        <v>0.05950677955</v>
      </c>
      <c r="F1301" s="7">
        <f t="shared" si="1299"/>
        <v>0.02234920499</v>
      </c>
    </row>
    <row r="1302">
      <c r="A1302" s="3">
        <f>IFERROR(__xludf.DUMMYFUNCTION("""COMPUTED_VALUE"""),44140.66666666667)</f>
        <v>44140.66667</v>
      </c>
      <c r="B1302" s="5">
        <f>IFERROR(__xludf.DUMMYFUNCTION("""COMPUTED_VALUE"""),14.16)</f>
        <v>14.16</v>
      </c>
      <c r="C1302" s="5">
        <v>14.1177034378051</v>
      </c>
      <c r="D1302" s="5">
        <v>327.420257568359</v>
      </c>
      <c r="E1302" s="7">
        <f t="shared" ref="E1302:F1302" si="1300">C1302/C1301-1</f>
        <v>0.02651487808</v>
      </c>
      <c r="F1302" s="7">
        <f t="shared" si="1300"/>
        <v>0.0195029982</v>
      </c>
    </row>
    <row r="1303">
      <c r="A1303" s="3">
        <f>IFERROR(__xludf.DUMMYFUNCTION("""COMPUTED_VALUE"""),44141.66666666667)</f>
        <v>44141.66667</v>
      </c>
      <c r="B1303" s="5">
        <f>IFERROR(__xludf.DUMMYFUNCTION("""COMPUTED_VALUE"""),14.56)</f>
        <v>14.56</v>
      </c>
      <c r="C1303" s="5">
        <v>14.5185031890869</v>
      </c>
      <c r="D1303" s="5">
        <v>327.345489501953</v>
      </c>
      <c r="E1303" s="7">
        <f t="shared" ref="E1303:F1303" si="1301">C1303/C1302-1</f>
        <v>0.02838986901</v>
      </c>
      <c r="F1303" s="7">
        <f t="shared" si="1301"/>
        <v>-0.0002283550412</v>
      </c>
    </row>
    <row r="1304">
      <c r="A1304" s="3">
        <f>IFERROR(__xludf.DUMMYFUNCTION("""COMPUTED_VALUE"""),44144.66666666667)</f>
        <v>44144.66667</v>
      </c>
      <c r="B1304" s="5">
        <f>IFERROR(__xludf.DUMMYFUNCTION("""COMPUTED_VALUE"""),13.63)</f>
        <v>13.63</v>
      </c>
      <c r="C1304" s="5">
        <v>13.5900325775146</v>
      </c>
      <c r="D1304" s="5">
        <v>331.458770751953</v>
      </c>
      <c r="E1304" s="7">
        <f t="shared" ref="E1304:F1304" si="1302">C1304/C1303-1</f>
        <v>-0.06395084944</v>
      </c>
      <c r="F1304" s="7">
        <f t="shared" si="1302"/>
        <v>0.01256556568</v>
      </c>
    </row>
    <row r="1305">
      <c r="A1305" s="3">
        <f>IFERROR(__xludf.DUMMYFUNCTION("""COMPUTED_VALUE"""),44145.66666666667)</f>
        <v>44145.66667</v>
      </c>
      <c r="B1305" s="5">
        <f>IFERROR(__xludf.DUMMYFUNCTION("""COMPUTED_VALUE"""),12.77)</f>
        <v>12.77</v>
      </c>
      <c r="C1305" s="5">
        <v>12.731855392456</v>
      </c>
      <c r="D1305" s="5">
        <v>330.972625732421</v>
      </c>
      <c r="E1305" s="7">
        <f t="shared" ref="E1305:F1305" si="1303">C1305/C1304-1</f>
        <v>-0.06314754436</v>
      </c>
      <c r="F1305" s="7">
        <f t="shared" si="1303"/>
        <v>-0.001466683227</v>
      </c>
    </row>
    <row r="1306">
      <c r="A1306" s="3">
        <f>IFERROR(__xludf.DUMMYFUNCTION("""COMPUTED_VALUE"""),44146.66666666667)</f>
        <v>44146.66667</v>
      </c>
      <c r="B1306" s="5">
        <f>IFERROR(__xludf.DUMMYFUNCTION("""COMPUTED_VALUE"""),13.42)</f>
        <v>13.42</v>
      </c>
      <c r="C1306" s="5">
        <v>13.3779191970825</v>
      </c>
      <c r="D1306" s="5">
        <v>333.431274414062</v>
      </c>
      <c r="E1306" s="7">
        <f t="shared" ref="E1306:F1306" si="1304">C1306/C1305-1</f>
        <v>0.0507438849</v>
      </c>
      <c r="F1306" s="7">
        <f t="shared" si="1304"/>
        <v>0.007428555991</v>
      </c>
    </row>
    <row r="1307">
      <c r="A1307" s="3">
        <f>IFERROR(__xludf.DUMMYFUNCTION("""COMPUTED_VALUE"""),44147.66666666667)</f>
        <v>44147.66667</v>
      </c>
      <c r="B1307" s="5">
        <f>IFERROR(__xludf.DUMMYFUNCTION("""COMPUTED_VALUE"""),13.46)</f>
        <v>13.46</v>
      </c>
      <c r="C1307" s="5">
        <v>13.4165534973144</v>
      </c>
      <c r="D1307" s="5">
        <v>330.196716308593</v>
      </c>
      <c r="E1307" s="7">
        <f t="shared" ref="E1307:F1307" si="1305">C1307/C1306-1</f>
        <v>0.002887915502</v>
      </c>
      <c r="F1307" s="7">
        <f t="shared" si="1305"/>
        <v>-0.009700823989</v>
      </c>
    </row>
    <row r="1308">
      <c r="A1308" s="3">
        <f>IFERROR(__xludf.DUMMYFUNCTION("""COMPUTED_VALUE"""),44148.66666666667)</f>
        <v>44148.66667</v>
      </c>
      <c r="B1308" s="5">
        <f>IFERROR(__xludf.DUMMYFUNCTION("""COMPUTED_VALUE"""),13.3)</f>
        <v>13.3</v>
      </c>
      <c r="C1308" s="5">
        <v>13.2572813034057</v>
      </c>
      <c r="D1308" s="5">
        <v>334.768157958984</v>
      </c>
      <c r="E1308" s="7">
        <f t="shared" ref="E1308:F1308" si="1306">C1308/C1307-1</f>
        <v>-0.01187131956</v>
      </c>
      <c r="F1308" s="7">
        <f t="shared" si="1306"/>
        <v>0.01384460058</v>
      </c>
    </row>
    <row r="1309">
      <c r="A1309" s="3">
        <f>IFERROR(__xludf.DUMMYFUNCTION("""COMPUTED_VALUE"""),44151.66666666667)</f>
        <v>44151.66667</v>
      </c>
      <c r="B1309" s="5">
        <f>IFERROR(__xludf.DUMMYFUNCTION("""COMPUTED_VALUE"""),13.52)</f>
        <v>13.52</v>
      </c>
      <c r="C1309" s="5">
        <v>13.4748802185058</v>
      </c>
      <c r="D1309" s="5">
        <v>338.946868896484</v>
      </c>
      <c r="E1309" s="7">
        <f t="shared" ref="E1309:F1309" si="1307">C1309/C1308-1</f>
        <v>0.01641353986</v>
      </c>
      <c r="F1309" s="7">
        <f t="shared" si="1307"/>
        <v>0.01248240264</v>
      </c>
    </row>
    <row r="1310">
      <c r="A1310" s="3">
        <f>IFERROR(__xludf.DUMMYFUNCTION("""COMPUTED_VALUE"""),44152.66666666667)</f>
        <v>44152.66667</v>
      </c>
      <c r="B1310" s="5">
        <f>IFERROR(__xludf.DUMMYFUNCTION("""COMPUTED_VALUE"""),13.42)</f>
        <v>13.42</v>
      </c>
      <c r="C1310" s="5">
        <v>13.3821573257446</v>
      </c>
      <c r="D1310" s="5">
        <v>337.123870849609</v>
      </c>
      <c r="E1310" s="7">
        <f t="shared" ref="E1310:F1310" si="1308">C1310/C1309-1</f>
        <v>-0.006881166382</v>
      </c>
      <c r="F1310" s="7">
        <f t="shared" si="1308"/>
        <v>-0.005378418313</v>
      </c>
    </row>
    <row r="1311">
      <c r="A1311" s="3">
        <f>IFERROR(__xludf.DUMMYFUNCTION("""COMPUTED_VALUE"""),44153.66666666667)</f>
        <v>44153.66667</v>
      </c>
      <c r="B1311" s="5">
        <f>IFERROR(__xludf.DUMMYFUNCTION("""COMPUTED_VALUE"""),13.43)</f>
        <v>13.43</v>
      </c>
      <c r="C1311" s="5">
        <v>13.3886375427246</v>
      </c>
      <c r="D1311" s="5">
        <v>333.066741943359</v>
      </c>
      <c r="E1311" s="7">
        <f t="shared" ref="E1311:F1311" si="1309">C1311/C1310-1</f>
        <v>0.0004842430725</v>
      </c>
      <c r="F1311" s="7">
        <f t="shared" si="1309"/>
        <v>-0.01203453465</v>
      </c>
    </row>
    <row r="1312">
      <c r="A1312" s="3">
        <f>IFERROR(__xludf.DUMMYFUNCTION("""COMPUTED_VALUE"""),44154.66666666667)</f>
        <v>44154.66667</v>
      </c>
      <c r="B1312" s="5">
        <f>IFERROR(__xludf.DUMMYFUNCTION("""COMPUTED_VALUE"""),13.44)</f>
        <v>13.44</v>
      </c>
      <c r="C1312" s="5">
        <v>13.400104522705</v>
      </c>
      <c r="D1312" s="5">
        <v>334.468994140625</v>
      </c>
      <c r="E1312" s="7">
        <f t="shared" ref="E1312:F1312" si="1310">C1312/C1311-1</f>
        <v>0.0008564710146</v>
      </c>
      <c r="F1312" s="7">
        <f t="shared" si="1310"/>
        <v>0.00421012374</v>
      </c>
    </row>
    <row r="1313">
      <c r="A1313" s="3">
        <f>IFERROR(__xludf.DUMMYFUNCTION("""COMPUTED_VALUE"""),44155.66666666667)</f>
        <v>44155.66667</v>
      </c>
      <c r="B1313" s="5">
        <f>IFERROR(__xludf.DUMMYFUNCTION("""COMPUTED_VALUE"""),13.09)</f>
        <v>13.09</v>
      </c>
      <c r="C1313" s="5">
        <v>13.048656463623</v>
      </c>
      <c r="D1313" s="5">
        <v>332.178619384765</v>
      </c>
      <c r="E1313" s="7">
        <f t="shared" ref="E1313:F1313" si="1311">C1313/C1312-1</f>
        <v>-0.02622726252</v>
      </c>
      <c r="F1313" s="7">
        <f t="shared" si="1311"/>
        <v>-0.006847793954</v>
      </c>
    </row>
    <row r="1314">
      <c r="A1314" s="3">
        <f>IFERROR(__xludf.DUMMYFUNCTION("""COMPUTED_VALUE"""),44158.66666666667)</f>
        <v>44158.66667</v>
      </c>
      <c r="B1314" s="5">
        <f>IFERROR(__xludf.DUMMYFUNCTION("""COMPUTED_VALUE"""),13.14)</f>
        <v>13.14</v>
      </c>
      <c r="C1314" s="5">
        <v>13.1007509231567</v>
      </c>
      <c r="D1314" s="5">
        <v>334.169799804687</v>
      </c>
      <c r="E1314" s="7">
        <f t="shared" ref="E1314:F1314" si="1312">C1314/C1313-1</f>
        <v>0.00399232363</v>
      </c>
      <c r="F1314" s="7">
        <f t="shared" si="1312"/>
        <v>0.005994306387</v>
      </c>
    </row>
    <row r="1315">
      <c r="A1315" s="3">
        <f>IFERROR(__xludf.DUMMYFUNCTION("""COMPUTED_VALUE"""),44159.66666666667)</f>
        <v>44159.66667</v>
      </c>
      <c r="B1315" s="5">
        <f>IFERROR(__xludf.DUMMYFUNCTION("""COMPUTED_VALUE"""),12.96)</f>
        <v>12.96</v>
      </c>
      <c r="C1315" s="5">
        <v>12.9190435409545</v>
      </c>
      <c r="D1315" s="5">
        <v>339.554504394531</v>
      </c>
      <c r="E1315" s="7">
        <f t="shared" ref="E1315:F1315" si="1313">C1315/C1314-1</f>
        <v>-0.01386999747</v>
      </c>
      <c r="F1315" s="7">
        <f t="shared" si="1313"/>
        <v>0.01611367812</v>
      </c>
    </row>
    <row r="1316">
      <c r="A1316" s="3">
        <f>IFERROR(__xludf.DUMMYFUNCTION("""COMPUTED_VALUE"""),44160.66666666667)</f>
        <v>44160.66667</v>
      </c>
      <c r="B1316" s="5">
        <f>IFERROR(__xludf.DUMMYFUNCTION("""COMPUTED_VALUE"""),13.23)</f>
        <v>13.23</v>
      </c>
      <c r="C1316" s="5">
        <v>13.195216178894</v>
      </c>
      <c r="D1316" s="5">
        <v>339.030975341796</v>
      </c>
      <c r="E1316" s="7">
        <f t="shared" ref="E1316:F1316" si="1314">C1316/C1315-1</f>
        <v>0.02137717371</v>
      </c>
      <c r="F1316" s="7">
        <f t="shared" si="1314"/>
        <v>-0.001541811538</v>
      </c>
    </row>
    <row r="1317">
      <c r="A1317" s="3">
        <f>IFERROR(__xludf.DUMMYFUNCTION("""COMPUTED_VALUE"""),44162.54166666667)</f>
        <v>44162.54167</v>
      </c>
      <c r="B1317" s="5">
        <f>IFERROR(__xludf.DUMMYFUNCTION("""COMPUTED_VALUE"""),13.26)</f>
        <v>13.26</v>
      </c>
      <c r="C1317" s="5">
        <v>13.2216348648071</v>
      </c>
      <c r="D1317" s="5">
        <v>339.97525024414</v>
      </c>
      <c r="E1317" s="7">
        <f t="shared" ref="E1317:F1317" si="1315">C1317/C1316-1</f>
        <v>0.002002141197</v>
      </c>
      <c r="F1317" s="7">
        <f t="shared" si="1315"/>
        <v>0.002785217196</v>
      </c>
    </row>
    <row r="1318">
      <c r="A1318" s="3">
        <f>IFERROR(__xludf.DUMMYFUNCTION("""COMPUTED_VALUE"""),44165.66666666667)</f>
        <v>44165.66667</v>
      </c>
      <c r="B1318" s="5">
        <f>IFERROR(__xludf.DUMMYFUNCTION("""COMPUTED_VALUE"""),13.4)</f>
        <v>13.4</v>
      </c>
      <c r="C1318" s="5">
        <v>13.3614683151245</v>
      </c>
      <c r="D1318" s="5">
        <v>338.470092773437</v>
      </c>
      <c r="E1318" s="7">
        <f t="shared" ref="E1318:F1318" si="1316">C1318/C1317-1</f>
        <v>0.01057610891</v>
      </c>
      <c r="F1318" s="7">
        <f t="shared" si="1316"/>
        <v>-0.004427256012</v>
      </c>
    </row>
    <row r="1319">
      <c r="A1319" s="3">
        <f>IFERROR(__xludf.DUMMYFUNCTION("""COMPUTED_VALUE"""),44166.66666666667)</f>
        <v>44166.66667</v>
      </c>
      <c r="B1319" s="5">
        <f>IFERROR(__xludf.DUMMYFUNCTION("""COMPUTED_VALUE"""),13.39)</f>
        <v>13.39</v>
      </c>
      <c r="C1319" s="5">
        <v>13.3500041961669</v>
      </c>
      <c r="D1319" s="5">
        <v>342.172058105468</v>
      </c>
      <c r="E1319" s="7">
        <f t="shared" ref="E1319:F1319" si="1317">C1319/C1318-1</f>
        <v>-0.000857998439</v>
      </c>
      <c r="F1319" s="7">
        <f t="shared" si="1317"/>
        <v>0.01093734841</v>
      </c>
    </row>
    <row r="1320">
      <c r="A1320" s="3">
        <f>IFERROR(__xludf.DUMMYFUNCTION("""COMPUTED_VALUE"""),44167.66666666667)</f>
        <v>44167.66667</v>
      </c>
      <c r="B1320" s="5">
        <f>IFERROR(__xludf.DUMMYFUNCTION("""COMPUTED_VALUE"""),13.54)</f>
        <v>13.54</v>
      </c>
      <c r="C1320" s="5">
        <v>13.5040426254272</v>
      </c>
      <c r="D1320" s="5">
        <v>342.891906738281</v>
      </c>
      <c r="E1320" s="7">
        <f t="shared" ref="E1320:F1320" si="1318">C1320/C1319-1</f>
        <v>0.01153845549</v>
      </c>
      <c r="F1320" s="7">
        <f t="shared" si="1318"/>
        <v>0.002103762174</v>
      </c>
    </row>
    <row r="1321">
      <c r="A1321" s="3">
        <f>IFERROR(__xludf.DUMMYFUNCTION("""COMPUTED_VALUE"""),44168.66666666667)</f>
        <v>44168.66667</v>
      </c>
      <c r="B1321" s="5">
        <f>IFERROR(__xludf.DUMMYFUNCTION("""COMPUTED_VALUE"""),13.4)</f>
        <v>13.4</v>
      </c>
      <c r="C1321" s="5">
        <v>13.3599290847778</v>
      </c>
      <c r="D1321" s="5">
        <v>342.79849243164</v>
      </c>
      <c r="E1321" s="7">
        <f t="shared" ref="E1321:F1321" si="1319">C1321/C1320-1</f>
        <v>-0.01067188135</v>
      </c>
      <c r="F1321" s="7">
        <f t="shared" si="1319"/>
        <v>-0.0002724307713</v>
      </c>
    </row>
    <row r="1322">
      <c r="A1322" s="3">
        <f>IFERROR(__xludf.DUMMYFUNCTION("""COMPUTED_VALUE"""),44169.66666666667)</f>
        <v>44169.66667</v>
      </c>
      <c r="B1322" s="5">
        <f>IFERROR(__xludf.DUMMYFUNCTION("""COMPUTED_VALUE"""),13.56)</f>
        <v>13.56</v>
      </c>
      <c r="C1322" s="5">
        <v>13.5217447280883</v>
      </c>
      <c r="D1322" s="5">
        <v>345.752563476562</v>
      </c>
      <c r="E1322" s="7">
        <f t="shared" ref="E1322:F1322" si="1320">C1322/C1321-1</f>
        <v>0.01211201364</v>
      </c>
      <c r="F1322" s="7">
        <f t="shared" si="1320"/>
        <v>0.008617514692</v>
      </c>
    </row>
    <row r="1323">
      <c r="A1323" s="3">
        <f>IFERROR(__xludf.DUMMYFUNCTION("""COMPUTED_VALUE"""),44172.66666666667)</f>
        <v>44172.66667</v>
      </c>
      <c r="B1323" s="5">
        <f>IFERROR(__xludf.DUMMYFUNCTION("""COMPUTED_VALUE"""),13.61)</f>
        <v>13.61</v>
      </c>
      <c r="C1323" s="5">
        <v>13.5701122283935</v>
      </c>
      <c r="D1323" s="5">
        <v>345.04214477539</v>
      </c>
      <c r="E1323" s="7">
        <f t="shared" ref="E1323:F1323" si="1321">C1323/C1322-1</f>
        <v>0.003577016227</v>
      </c>
      <c r="F1323" s="7">
        <f t="shared" si="1321"/>
        <v>-0.002054702629</v>
      </c>
    </row>
    <row r="1324">
      <c r="A1324" s="3">
        <f>IFERROR(__xludf.DUMMYFUNCTION("""COMPUTED_VALUE"""),44173.66666666667)</f>
        <v>44173.66667</v>
      </c>
      <c r="B1324" s="5">
        <f>IFERROR(__xludf.DUMMYFUNCTION("""COMPUTED_VALUE"""),13.35)</f>
        <v>13.35</v>
      </c>
      <c r="C1324" s="5">
        <v>13.3140563964843</v>
      </c>
      <c r="D1324" s="5">
        <v>346.051788330078</v>
      </c>
      <c r="E1324" s="7">
        <f t="shared" ref="E1324:F1324" si="1322">C1324/C1323-1</f>
        <v>-0.01886910201</v>
      </c>
      <c r="F1324" s="7">
        <f t="shared" si="1322"/>
        <v>0.002926145603</v>
      </c>
    </row>
    <row r="1325">
      <c r="A1325" s="3">
        <f>IFERROR(__xludf.DUMMYFUNCTION("""COMPUTED_VALUE"""),44174.66666666667)</f>
        <v>44174.66667</v>
      </c>
      <c r="B1325" s="5">
        <f>IFERROR(__xludf.DUMMYFUNCTION("""COMPUTED_VALUE"""),12.93)</f>
        <v>12.93</v>
      </c>
      <c r="C1325" s="5">
        <v>12.8959312438964</v>
      </c>
      <c r="D1325" s="5">
        <v>342.948028564453</v>
      </c>
      <c r="E1325" s="7">
        <f t="shared" ref="E1325:F1325" si="1323">C1325/C1324-1</f>
        <v>-0.03140479056</v>
      </c>
      <c r="F1325" s="7">
        <f t="shared" si="1323"/>
        <v>-0.008969061482</v>
      </c>
    </row>
    <row r="1326">
      <c r="A1326" s="3">
        <f>IFERROR(__xludf.DUMMYFUNCTION("""COMPUTED_VALUE"""),44175.66666666667)</f>
        <v>44175.66667</v>
      </c>
      <c r="B1326" s="5">
        <f>IFERROR(__xludf.DUMMYFUNCTION("""COMPUTED_VALUE"""),12.97)</f>
        <v>12.97</v>
      </c>
      <c r="C1326" s="5">
        <v>12.9373226165771</v>
      </c>
      <c r="D1326" s="5">
        <v>342.835815429687</v>
      </c>
      <c r="E1326" s="7">
        <f t="shared" ref="E1326:F1326" si="1324">C1326/C1325-1</f>
        <v>0.003209645887</v>
      </c>
      <c r="F1326" s="7">
        <f t="shared" si="1324"/>
        <v>-0.0003272015741</v>
      </c>
    </row>
    <row r="1327">
      <c r="A1327" s="3">
        <f>IFERROR(__xludf.DUMMYFUNCTION("""COMPUTED_VALUE"""),44176.66666666667)</f>
        <v>44176.66667</v>
      </c>
      <c r="B1327" s="5">
        <f>IFERROR(__xludf.DUMMYFUNCTION("""COMPUTED_VALUE"""),13.01)</f>
        <v>13.01</v>
      </c>
      <c r="C1327" s="5">
        <v>12.9782104492187</v>
      </c>
      <c r="D1327" s="5">
        <v>342.433868408203</v>
      </c>
      <c r="E1327" s="7">
        <f t="shared" ref="E1327:F1327" si="1325">C1327/C1326-1</f>
        <v>0.003160455517</v>
      </c>
      <c r="F1327" s="7">
        <f t="shared" si="1325"/>
        <v>-0.00117241841</v>
      </c>
    </row>
    <row r="1328">
      <c r="A1328" s="3">
        <f>IFERROR(__xludf.DUMMYFUNCTION("""COMPUTED_VALUE"""),44179.66666666667)</f>
        <v>44179.66667</v>
      </c>
      <c r="B1328" s="5">
        <f>IFERROR(__xludf.DUMMYFUNCTION("""COMPUTED_VALUE"""),13.31)</f>
        <v>13.31</v>
      </c>
      <c r="C1328" s="5">
        <v>13.2729167938232</v>
      </c>
      <c r="D1328" s="5">
        <v>340.900726318359</v>
      </c>
      <c r="E1328" s="7">
        <f t="shared" ref="E1328:F1328" si="1326">C1328/C1327-1</f>
        <v>0.02270777976</v>
      </c>
      <c r="F1328" s="7">
        <f t="shared" si="1326"/>
        <v>-0.004477191748</v>
      </c>
    </row>
    <row r="1329">
      <c r="A1329" s="3">
        <f>IFERROR(__xludf.DUMMYFUNCTION("""COMPUTED_VALUE"""),44180.66666666667)</f>
        <v>44180.66667</v>
      </c>
      <c r="B1329" s="5">
        <f>IFERROR(__xludf.DUMMYFUNCTION("""COMPUTED_VALUE"""),13.36)</f>
        <v>13.36</v>
      </c>
      <c r="C1329" s="5">
        <v>13.3245267868042</v>
      </c>
      <c r="D1329" s="5">
        <v>345.509521484375</v>
      </c>
      <c r="E1329" s="7">
        <f t="shared" ref="E1329:F1329" si="1327">C1329/C1328-1</f>
        <v>0.003888368607</v>
      </c>
      <c r="F1329" s="7">
        <f t="shared" si="1327"/>
        <v>0.0135194642</v>
      </c>
    </row>
    <row r="1330">
      <c r="A1330" s="3">
        <f>IFERROR(__xludf.DUMMYFUNCTION("""COMPUTED_VALUE"""),44181.66666666667)</f>
        <v>44181.66667</v>
      </c>
      <c r="B1330" s="5">
        <f>IFERROR(__xludf.DUMMYFUNCTION("""COMPUTED_VALUE"""),13.24)</f>
        <v>13.24</v>
      </c>
      <c r="C1330" s="5">
        <v>13.2068452835083</v>
      </c>
      <c r="D1330" s="5">
        <v>346.051788330078</v>
      </c>
      <c r="E1330" s="7">
        <f t="shared" ref="E1330:F1330" si="1328">C1330/C1329-1</f>
        <v>-0.008831946168</v>
      </c>
      <c r="F1330" s="7">
        <f t="shared" si="1328"/>
        <v>0.001569470049</v>
      </c>
    </row>
    <row r="1331">
      <c r="A1331" s="3">
        <f>IFERROR(__xludf.DUMMYFUNCTION("""COMPUTED_VALUE"""),44182.66666666667)</f>
        <v>44182.66667</v>
      </c>
      <c r="B1331" s="5">
        <f>IFERROR(__xludf.DUMMYFUNCTION("""COMPUTED_VALUE"""),13.34)</f>
        <v>13.34</v>
      </c>
      <c r="C1331" s="5">
        <v>13.3053293228149</v>
      </c>
      <c r="D1331" s="5">
        <v>347.986785888671</v>
      </c>
      <c r="E1331" s="7">
        <f t="shared" ref="E1331:F1331" si="1329">C1331/C1330-1</f>
        <v>0.007457044979</v>
      </c>
      <c r="F1331" s="7">
        <f t="shared" si="1329"/>
        <v>0.005591641551</v>
      </c>
    </row>
    <row r="1332">
      <c r="A1332" s="3">
        <f>IFERROR(__xludf.DUMMYFUNCTION("""COMPUTED_VALUE"""),44183.66666666667)</f>
        <v>44183.66667</v>
      </c>
      <c r="B1332" s="5">
        <f>IFERROR(__xludf.DUMMYFUNCTION("""COMPUTED_VALUE"""),13.27)</f>
        <v>13.27</v>
      </c>
      <c r="C1332" s="5">
        <v>13.2362632751464</v>
      </c>
      <c r="D1332" s="5">
        <v>346.597351074218</v>
      </c>
      <c r="E1332" s="7">
        <f t="shared" ref="E1332:F1332" si="1330">C1332/C1331-1</f>
        <v>-0.005190855934</v>
      </c>
      <c r="F1332" s="7">
        <f t="shared" si="1330"/>
        <v>-0.003992780389</v>
      </c>
    </row>
    <row r="1333">
      <c r="A1333" s="3">
        <f>IFERROR(__xludf.DUMMYFUNCTION("""COMPUTED_VALUE"""),44186.66666666667)</f>
        <v>44186.66667</v>
      </c>
      <c r="B1333" s="5">
        <f>IFERROR(__xludf.DUMMYFUNCTION("""COMPUTED_VALUE"""),13.33)</f>
        <v>13.33</v>
      </c>
      <c r="C1333" s="5">
        <v>13.2963523864746</v>
      </c>
      <c r="D1333" s="5">
        <v>345.358001708984</v>
      </c>
      <c r="E1333" s="7">
        <f t="shared" ref="E1333:F1333" si="1331">C1333/C1332-1</f>
        <v>0.004539733766</v>
      </c>
      <c r="F1333" s="7">
        <f t="shared" si="1331"/>
        <v>-0.003575761215</v>
      </c>
    </row>
    <row r="1334">
      <c r="A1334" s="3">
        <f>IFERROR(__xludf.DUMMYFUNCTION("""COMPUTED_VALUE"""),44187.66666666667)</f>
        <v>44187.66667</v>
      </c>
      <c r="B1334" s="5">
        <f>IFERROR(__xludf.DUMMYFUNCTION("""COMPUTED_VALUE"""),13.28)</f>
        <v>13.28</v>
      </c>
      <c r="C1334" s="5">
        <v>13.2424983978271</v>
      </c>
      <c r="D1334" s="5">
        <v>344.775939941406</v>
      </c>
      <c r="E1334" s="7">
        <f t="shared" ref="E1334:F1334" si="1332">C1334/C1333-1</f>
        <v>-0.004050282896</v>
      </c>
      <c r="F1334" s="7">
        <f t="shared" si="1332"/>
        <v>-0.001685386656</v>
      </c>
    </row>
    <row r="1335">
      <c r="A1335" s="3">
        <f>IFERROR(__xludf.DUMMYFUNCTION("""COMPUTED_VALUE"""),44188.66666666667)</f>
        <v>44188.66667</v>
      </c>
      <c r="B1335" s="5">
        <f>IFERROR(__xludf.DUMMYFUNCTION("""COMPUTED_VALUE"""),13.01)</f>
        <v>13.01</v>
      </c>
      <c r="C1335" s="5">
        <v>12.9742193222045</v>
      </c>
      <c r="D1335" s="5">
        <v>345.085906982421</v>
      </c>
      <c r="E1335" s="7">
        <f t="shared" ref="E1335:F1335" si="1333">C1335/C1334-1</f>
        <v>-0.02025894718</v>
      </c>
      <c r="F1335" s="7">
        <f t="shared" si="1333"/>
        <v>0.0008990390718</v>
      </c>
    </row>
    <row r="1336">
      <c r="A1336" s="3">
        <f>IFERROR(__xludf.DUMMYFUNCTION("""COMPUTED_VALUE"""),44189.54166666667)</f>
        <v>44189.54167</v>
      </c>
      <c r="B1336" s="5">
        <f>IFERROR(__xludf.DUMMYFUNCTION("""COMPUTED_VALUE"""),12.99)</f>
        <v>12.99</v>
      </c>
      <c r="C1336" s="5">
        <v>12.9587640762329</v>
      </c>
      <c r="D1336" s="5">
        <v>346.428344726562</v>
      </c>
      <c r="E1336" s="7">
        <f t="shared" ref="E1336:F1336" si="1334">C1336/C1335-1</f>
        <v>-0.001191227432</v>
      </c>
      <c r="F1336" s="7">
        <f t="shared" si="1334"/>
        <v>0.003890155225</v>
      </c>
    </row>
    <row r="1337">
      <c r="A1337" s="3">
        <f>IFERROR(__xludf.DUMMYFUNCTION("""COMPUTED_VALUE"""),44193.66666666667)</f>
        <v>44193.66667</v>
      </c>
      <c r="B1337" s="5">
        <f>IFERROR(__xludf.DUMMYFUNCTION("""COMPUTED_VALUE"""),12.9)</f>
        <v>12.9</v>
      </c>
      <c r="C1337" s="5">
        <v>12.8652639389038</v>
      </c>
      <c r="D1337" s="5">
        <v>349.404479980468</v>
      </c>
      <c r="E1337" s="7">
        <f t="shared" ref="E1337:F1337" si="1335">C1337/C1336-1</f>
        <v>-0.007215204844</v>
      </c>
      <c r="F1337" s="7">
        <f t="shared" si="1335"/>
        <v>0.008590911509</v>
      </c>
    </row>
    <row r="1338">
      <c r="A1338" s="3">
        <f>IFERROR(__xludf.DUMMYFUNCTION("""COMPUTED_VALUE"""),44194.66666666667)</f>
        <v>44194.66667</v>
      </c>
      <c r="B1338" s="5">
        <f>IFERROR(__xludf.DUMMYFUNCTION("""COMPUTED_VALUE"""),12.94)</f>
        <v>12.94</v>
      </c>
      <c r="C1338" s="5">
        <v>12.9083986282348</v>
      </c>
      <c r="D1338" s="5">
        <v>348.737915039062</v>
      </c>
      <c r="E1338" s="7">
        <f t="shared" ref="E1338:F1338" si="1336">C1338/C1337-1</f>
        <v>0.003352802518</v>
      </c>
      <c r="F1338" s="7">
        <f t="shared" si="1336"/>
        <v>-0.001907717215</v>
      </c>
    </row>
    <row r="1339">
      <c r="A1339" s="3">
        <f>IFERROR(__xludf.DUMMYFUNCTION("""COMPUTED_VALUE"""),44195.66666666667)</f>
        <v>44195.66667</v>
      </c>
      <c r="B1339" s="5">
        <f>IFERROR(__xludf.DUMMYFUNCTION("""COMPUTED_VALUE"""),13.15)</f>
        <v>13.15</v>
      </c>
      <c r="C1339" s="5">
        <v>13.1103544235229</v>
      </c>
      <c r="D1339" s="5">
        <v>349.235412597656</v>
      </c>
      <c r="E1339" s="7">
        <f t="shared" ref="E1339:F1339" si="1337">C1339/C1338-1</f>
        <v>0.01564530203</v>
      </c>
      <c r="F1339" s="7">
        <f t="shared" si="1337"/>
        <v>0.001426565731</v>
      </c>
    </row>
    <row r="1340">
      <c r="A1340" s="3">
        <f>IFERROR(__xludf.DUMMYFUNCTION("""COMPUTED_VALUE"""),44196.66666666667)</f>
        <v>44196.66667</v>
      </c>
      <c r="B1340" s="5">
        <f>IFERROR(__xludf.DUMMYFUNCTION("""COMPUTED_VALUE"""),13.06)</f>
        <v>13.06</v>
      </c>
      <c r="C1340" s="5">
        <v>13.0198469161987</v>
      </c>
      <c r="D1340" s="5">
        <v>351.009857177734</v>
      </c>
      <c r="E1340" s="7">
        <f t="shared" ref="E1340:F1340" si="1338">C1340/C1339-1</f>
        <v>-0.006903513391</v>
      </c>
      <c r="F1340" s="7">
        <f t="shared" si="1338"/>
        <v>0.005080941153</v>
      </c>
    </row>
    <row r="1341">
      <c r="A1341" s="3">
        <f>IFERROR(__xludf.DUMMYFUNCTION("""COMPUTED_VALUE"""),44200.66666666667)</f>
        <v>44200.66667</v>
      </c>
      <c r="B1341" s="5">
        <f>IFERROR(__xludf.DUMMYFUNCTION("""COMPUTED_VALUE"""),13.11)</f>
        <v>13.11</v>
      </c>
      <c r="C1341" s="5">
        <v>13.0781927108764</v>
      </c>
      <c r="D1341" s="5">
        <v>346.231201171875</v>
      </c>
      <c r="E1341" s="7">
        <f t="shared" ref="E1341:F1341" si="1339">C1341/C1340-1</f>
        <v>0.00448129652</v>
      </c>
      <c r="F1341" s="7">
        <f t="shared" si="1339"/>
        <v>-0.01361402225</v>
      </c>
    </row>
    <row r="1342">
      <c r="A1342" s="3">
        <f>IFERROR(__xludf.DUMMYFUNCTION("""COMPUTED_VALUE"""),44201.66666666667)</f>
        <v>44201.66667</v>
      </c>
      <c r="B1342" s="5">
        <f>IFERROR(__xludf.DUMMYFUNCTION("""COMPUTED_VALUE"""),13.4)</f>
        <v>13.4</v>
      </c>
      <c r="C1342" s="5">
        <v>13.3686580657958</v>
      </c>
      <c r="D1342" s="5">
        <v>348.615844726562</v>
      </c>
      <c r="E1342" s="7">
        <f t="shared" ref="E1342:F1342" si="1340">C1342/C1341-1</f>
        <v>0.0222099002</v>
      </c>
      <c r="F1342" s="7">
        <f t="shared" si="1340"/>
        <v>0.006887431135</v>
      </c>
    </row>
    <row r="1343">
      <c r="A1343" s="3">
        <f>IFERROR(__xludf.DUMMYFUNCTION("""COMPUTED_VALUE"""),44202.66666666667)</f>
        <v>44202.66667</v>
      </c>
      <c r="B1343" s="5">
        <f>IFERROR(__xludf.DUMMYFUNCTION("""COMPUTED_VALUE"""),12.61)</f>
        <v>12.61</v>
      </c>
      <c r="C1343" s="5">
        <v>12.5805358886718</v>
      </c>
      <c r="D1343" s="5">
        <v>350.700042724609</v>
      </c>
      <c r="E1343" s="7">
        <f t="shared" ref="E1343:F1343" si="1341">C1343/C1342-1</f>
        <v>-0.05895297593</v>
      </c>
      <c r="F1343" s="7">
        <f t="shared" si="1341"/>
        <v>0.005978494752</v>
      </c>
    </row>
    <row r="1344">
      <c r="A1344" s="3">
        <f>IFERROR(__xludf.DUMMYFUNCTION("""COMPUTED_VALUE"""),44203.66666666667)</f>
        <v>44203.66667</v>
      </c>
      <c r="B1344" s="5">
        <f>IFERROR(__xludf.DUMMYFUNCTION("""COMPUTED_VALUE"""),13.34)</f>
        <v>13.34</v>
      </c>
      <c r="C1344" s="5">
        <v>13.3080692291259</v>
      </c>
      <c r="D1344" s="5">
        <v>355.910614013671</v>
      </c>
      <c r="E1344" s="7">
        <f t="shared" ref="E1344:F1344" si="1342">C1344/C1343-1</f>
        <v>0.05783007551</v>
      </c>
      <c r="F1344" s="7">
        <f t="shared" si="1342"/>
        <v>0.01485762947</v>
      </c>
    </row>
    <row r="1345">
      <c r="A1345" s="3">
        <f>IFERROR(__xludf.DUMMYFUNCTION("""COMPUTED_VALUE"""),44204.66666666667)</f>
        <v>44204.66667</v>
      </c>
      <c r="B1345" s="5">
        <f>IFERROR(__xludf.DUMMYFUNCTION("""COMPUTED_VALUE"""),13.28)</f>
        <v>13.28</v>
      </c>
      <c r="C1345" s="5">
        <v>13.2410011291503</v>
      </c>
      <c r="D1345" s="5">
        <v>357.938415527343</v>
      </c>
      <c r="E1345" s="7">
        <f t="shared" ref="E1345:F1345" si="1343">C1345/C1344-1</f>
        <v>-0.005039656679</v>
      </c>
      <c r="F1345" s="7">
        <f t="shared" si="1343"/>
        <v>0.005697502221</v>
      </c>
    </row>
    <row r="1346">
      <c r="A1346" s="3">
        <f>IFERROR(__xludf.DUMMYFUNCTION("""COMPUTED_VALUE"""),44207.66666666667)</f>
        <v>44207.66667</v>
      </c>
      <c r="B1346" s="5">
        <f>IFERROR(__xludf.DUMMYFUNCTION("""COMPUTED_VALUE"""),13.62)</f>
        <v>13.62</v>
      </c>
      <c r="C1346" s="5">
        <v>13.5848264694213</v>
      </c>
      <c r="D1346" s="5">
        <v>355.525665283203</v>
      </c>
      <c r="E1346" s="7">
        <f t="shared" ref="E1346:F1346" si="1344">C1346/C1345-1</f>
        <v>0.02596671784</v>
      </c>
      <c r="F1346" s="7">
        <f t="shared" si="1344"/>
        <v>-0.006740685379</v>
      </c>
    </row>
    <row r="1347">
      <c r="A1347" s="3">
        <f>IFERROR(__xludf.DUMMYFUNCTION("""COMPUTED_VALUE"""),44208.66666666667)</f>
        <v>44208.66667</v>
      </c>
      <c r="B1347" s="5">
        <f>IFERROR(__xludf.DUMMYFUNCTION("""COMPUTED_VALUE"""),13.48)</f>
        <v>13.48</v>
      </c>
      <c r="C1347" s="5">
        <v>13.4484424591064</v>
      </c>
      <c r="D1347" s="5">
        <v>355.600769042968</v>
      </c>
      <c r="E1347" s="7">
        <f t="shared" ref="E1347:F1347" si="1345">C1347/C1346-1</f>
        <v>-0.01003943706</v>
      </c>
      <c r="F1347" s="7">
        <f t="shared" si="1345"/>
        <v>0.0002112470831</v>
      </c>
    </row>
    <row r="1348">
      <c r="A1348" s="3">
        <f>IFERROR(__xludf.DUMMYFUNCTION("""COMPUTED_VALUE"""),44209.66666666667)</f>
        <v>44209.66667</v>
      </c>
      <c r="B1348" s="5">
        <f>IFERROR(__xludf.DUMMYFUNCTION("""COMPUTED_VALUE"""),13.53)</f>
        <v>13.53</v>
      </c>
      <c r="C1348" s="5">
        <v>13.4953155517578</v>
      </c>
      <c r="D1348" s="5">
        <v>356.558410644531</v>
      </c>
      <c r="E1348" s="7">
        <f t="shared" ref="E1348:F1348" si="1346">C1348/C1347-1</f>
        <v>0.003485391918</v>
      </c>
      <c r="F1348" s="7">
        <f t="shared" si="1346"/>
        <v>0.002693024551</v>
      </c>
    </row>
    <row r="1349">
      <c r="A1349" s="3">
        <f>IFERROR(__xludf.DUMMYFUNCTION("""COMPUTED_VALUE"""),44210.66666666667)</f>
        <v>44210.66667</v>
      </c>
      <c r="B1349" s="5">
        <f>IFERROR(__xludf.DUMMYFUNCTION("""COMPUTED_VALUE"""),13.2)</f>
        <v>13.2</v>
      </c>
      <c r="C1349" s="5">
        <v>13.1647071838378</v>
      </c>
      <c r="D1349" s="5">
        <v>355.309692382812</v>
      </c>
      <c r="E1349" s="7">
        <f t="shared" ref="E1349:F1349" si="1347">C1349/C1348-1</f>
        <v>-0.02449800945</v>
      </c>
      <c r="F1349" s="7">
        <f t="shared" si="1347"/>
        <v>-0.003502142214</v>
      </c>
    </row>
    <row r="1350">
      <c r="A1350" s="3">
        <f>IFERROR(__xludf.DUMMYFUNCTION("""COMPUTED_VALUE"""),44211.66666666667)</f>
        <v>44211.66667</v>
      </c>
      <c r="B1350" s="5">
        <f>IFERROR(__xludf.DUMMYFUNCTION("""COMPUTED_VALUE"""),12.86)</f>
        <v>12.86</v>
      </c>
      <c r="C1350" s="5">
        <v>12.8248748779296</v>
      </c>
      <c r="D1350" s="5">
        <v>352.718475341796</v>
      </c>
      <c r="E1350" s="7">
        <f t="shared" ref="E1350:F1350" si="1348">C1350/C1349-1</f>
        <v>-0.02581389021</v>
      </c>
      <c r="F1350" s="7">
        <f t="shared" si="1348"/>
        <v>-0.007292840856</v>
      </c>
    </row>
    <row r="1351">
      <c r="A1351" s="3">
        <f>IFERROR(__xludf.DUMMYFUNCTION("""COMPUTED_VALUE"""),44215.66666666667)</f>
        <v>44215.66667</v>
      </c>
      <c r="B1351" s="5">
        <f>IFERROR(__xludf.DUMMYFUNCTION("""COMPUTED_VALUE"""),13.03)</f>
        <v>13.03</v>
      </c>
      <c r="C1351" s="5">
        <v>12.9901809692382</v>
      </c>
      <c r="D1351" s="5">
        <v>355.488067626953</v>
      </c>
      <c r="E1351" s="7">
        <f t="shared" ref="E1351:F1351" si="1349">C1351/C1350-1</f>
        <v>0.0128894896</v>
      </c>
      <c r="F1351" s="7">
        <f t="shared" si="1349"/>
        <v>0.007852132731</v>
      </c>
    </row>
    <row r="1352">
      <c r="A1352" s="3">
        <f>IFERROR(__xludf.DUMMYFUNCTION("""COMPUTED_VALUE"""),44216.66666666667)</f>
        <v>44216.66667</v>
      </c>
      <c r="B1352" s="5">
        <f>IFERROR(__xludf.DUMMYFUNCTION("""COMPUTED_VALUE"""),13.37)</f>
        <v>13.37</v>
      </c>
      <c r="C1352" s="5">
        <v>13.3297605514526</v>
      </c>
      <c r="D1352" s="5">
        <v>360.407562255859</v>
      </c>
      <c r="E1352" s="7">
        <f t="shared" ref="E1352:F1352" si="1350">C1352/C1351-1</f>
        <v>0.02614125107</v>
      </c>
      <c r="F1352" s="7">
        <f t="shared" si="1350"/>
        <v>0.01383870537</v>
      </c>
    </row>
    <row r="1353">
      <c r="A1353" s="3">
        <f>IFERROR(__xludf.DUMMYFUNCTION("""COMPUTED_VALUE"""),44217.66666666667)</f>
        <v>44217.66667</v>
      </c>
      <c r="B1353" s="5">
        <f>IFERROR(__xludf.DUMMYFUNCTION("""COMPUTED_VALUE"""),13.87)</f>
        <v>13.87</v>
      </c>
      <c r="C1353" s="5">
        <v>13.8301610946655</v>
      </c>
      <c r="D1353" s="5">
        <v>360.736114501953</v>
      </c>
      <c r="E1353" s="7">
        <f t="shared" ref="E1353:F1353" si="1351">C1353/C1352-1</f>
        <v>0.03754009994</v>
      </c>
      <c r="F1353" s="7">
        <f t="shared" si="1351"/>
        <v>0.000911613075</v>
      </c>
    </row>
    <row r="1354">
      <c r="A1354" s="3">
        <f>IFERROR(__xludf.DUMMYFUNCTION("""COMPUTED_VALUE"""),44218.66666666667)</f>
        <v>44218.66667</v>
      </c>
      <c r="B1354" s="5">
        <f>IFERROR(__xludf.DUMMYFUNCTION("""COMPUTED_VALUE"""),13.71)</f>
        <v>13.71</v>
      </c>
      <c r="C1354" s="5">
        <v>13.6755771636962</v>
      </c>
      <c r="D1354" s="5">
        <v>359.459381103515</v>
      </c>
      <c r="E1354" s="7">
        <f t="shared" ref="E1354:F1354" si="1352">C1354/C1353-1</f>
        <v>-0.01117730516</v>
      </c>
      <c r="F1354" s="7">
        <f t="shared" si="1352"/>
        <v>-0.003539244747</v>
      </c>
    </row>
    <row r="1355">
      <c r="A1355" s="3">
        <f>IFERROR(__xludf.DUMMYFUNCTION("""COMPUTED_VALUE"""),44221.66666666667)</f>
        <v>44221.66667</v>
      </c>
      <c r="B1355" s="5">
        <f>IFERROR(__xludf.DUMMYFUNCTION("""COMPUTED_VALUE"""),13.65)</f>
        <v>13.65</v>
      </c>
      <c r="C1355" s="5">
        <v>13.616488456726</v>
      </c>
      <c r="D1355" s="5">
        <v>360.876953125</v>
      </c>
      <c r="E1355" s="7">
        <f t="shared" ref="E1355:F1355" si="1353">C1355/C1354-1</f>
        <v>-0.004320746851</v>
      </c>
      <c r="F1355" s="7">
        <f t="shared" si="1353"/>
        <v>0.003943622273</v>
      </c>
    </row>
    <row r="1356">
      <c r="A1356" s="3">
        <f>IFERROR(__xludf.DUMMYFUNCTION("""COMPUTED_VALUE"""),44222.66666666667)</f>
        <v>44222.66667</v>
      </c>
      <c r="B1356" s="5">
        <f>IFERROR(__xludf.DUMMYFUNCTION("""COMPUTED_VALUE"""),13.44)</f>
        <v>13.44</v>
      </c>
      <c r="C1356" s="5">
        <v>13.3990755081176</v>
      </c>
      <c r="D1356" s="5">
        <v>360.313751220703</v>
      </c>
      <c r="E1356" s="7">
        <f t="shared" ref="E1356:F1356" si="1354">C1356/C1355-1</f>
        <v>-0.01596688818</v>
      </c>
      <c r="F1356" s="7">
        <f t="shared" si="1354"/>
        <v>-0.001560648025</v>
      </c>
    </row>
    <row r="1357">
      <c r="A1357" s="3">
        <f>IFERROR(__xludf.DUMMYFUNCTION("""COMPUTED_VALUE"""),44223.66666666667)</f>
        <v>44223.66667</v>
      </c>
      <c r="B1357" s="5">
        <f>IFERROR(__xludf.DUMMYFUNCTION("""COMPUTED_VALUE"""),12.92)</f>
        <v>12.92</v>
      </c>
      <c r="C1357" s="5">
        <v>12.8829689025878</v>
      </c>
      <c r="D1357" s="5">
        <v>351.507507324218</v>
      </c>
      <c r="E1357" s="7">
        <f t="shared" ref="E1357:F1357" si="1355">C1357/C1356-1</f>
        <v>-0.03851807576</v>
      </c>
      <c r="F1357" s="7">
        <f t="shared" si="1355"/>
        <v>-0.02444048795</v>
      </c>
    </row>
    <row r="1358">
      <c r="A1358" s="3">
        <f>IFERROR(__xludf.DUMMYFUNCTION("""COMPUTED_VALUE"""),44224.66666666667)</f>
        <v>44224.66667</v>
      </c>
      <c r="B1358" s="5">
        <f>IFERROR(__xludf.DUMMYFUNCTION("""COMPUTED_VALUE"""),13.05)</f>
        <v>13.05</v>
      </c>
      <c r="C1358" s="5">
        <v>13.0158596038818</v>
      </c>
      <c r="D1358" s="5">
        <v>354.530487060546</v>
      </c>
      <c r="E1358" s="7">
        <f t="shared" ref="E1358:F1358" si="1356">C1358/C1357-1</f>
        <v>0.01031522332</v>
      </c>
      <c r="F1358" s="7">
        <f t="shared" si="1356"/>
        <v>0.008600043166</v>
      </c>
    </row>
    <row r="1359">
      <c r="A1359" s="3">
        <f>IFERROR(__xludf.DUMMYFUNCTION("""COMPUTED_VALUE"""),44225.66666666667)</f>
        <v>44225.66667</v>
      </c>
      <c r="B1359" s="5">
        <f>IFERROR(__xludf.DUMMYFUNCTION("""COMPUTED_VALUE"""),12.99)</f>
        <v>12.99</v>
      </c>
      <c r="C1359" s="5">
        <v>12.9547748565673</v>
      </c>
      <c r="D1359" s="5">
        <v>347.432952880859</v>
      </c>
      <c r="E1359" s="7">
        <f t="shared" ref="E1359:F1359" si="1357">C1359/C1358-1</f>
        <v>-0.004693101276</v>
      </c>
      <c r="F1359" s="7">
        <f t="shared" si="1357"/>
        <v>-0.02001953129</v>
      </c>
    </row>
    <row r="1360">
      <c r="A1360" s="3">
        <f>IFERROR(__xludf.DUMMYFUNCTION("""COMPUTED_VALUE"""),44228.66666666667)</f>
        <v>44228.66667</v>
      </c>
      <c r="B1360" s="5">
        <f>IFERROR(__xludf.DUMMYFUNCTION("""COMPUTED_VALUE"""),13.24)</f>
        <v>13.24</v>
      </c>
      <c r="C1360" s="5">
        <v>13.2013616561889</v>
      </c>
      <c r="D1360" s="5">
        <v>353.216125488281</v>
      </c>
      <c r="E1360" s="7">
        <f t="shared" ref="E1360:F1360" si="1358">C1360/C1359-1</f>
        <v>0.01903443343</v>
      </c>
      <c r="F1360" s="7">
        <f t="shared" si="1358"/>
        <v>0.01664543492</v>
      </c>
    </row>
    <row r="1361">
      <c r="A1361" s="3">
        <f>IFERROR(__xludf.DUMMYFUNCTION("""COMPUTED_VALUE"""),44229.66666666667)</f>
        <v>44229.66667</v>
      </c>
      <c r="B1361" s="5">
        <f>IFERROR(__xludf.DUMMYFUNCTION("""COMPUTED_VALUE"""),13.56)</f>
        <v>13.56</v>
      </c>
      <c r="C1361" s="5">
        <v>13.5202484130859</v>
      </c>
      <c r="D1361" s="5">
        <v>358.210693359375</v>
      </c>
      <c r="E1361" s="7">
        <f t="shared" ref="E1361:F1361" si="1359">C1361/C1360-1</f>
        <v>0.02415559585</v>
      </c>
      <c r="F1361" s="7">
        <f t="shared" si="1359"/>
        <v>0.01414026006</v>
      </c>
    </row>
    <row r="1362">
      <c r="A1362" s="3">
        <f>IFERROR(__xludf.DUMMYFUNCTION("""COMPUTED_VALUE"""),44230.66666666667)</f>
        <v>44230.66667</v>
      </c>
      <c r="B1362" s="5">
        <f>IFERROR(__xludf.DUMMYFUNCTION("""COMPUTED_VALUE"""),13.53)</f>
        <v>13.53</v>
      </c>
      <c r="C1362" s="5">
        <v>13.4940690994262</v>
      </c>
      <c r="D1362" s="5">
        <v>358.492431640625</v>
      </c>
      <c r="E1362" s="7">
        <f t="shared" ref="E1362:F1362" si="1360">C1362/C1361-1</f>
        <v>-0.001936304191</v>
      </c>
      <c r="F1362" s="7">
        <f t="shared" si="1360"/>
        <v>0.0007865155521</v>
      </c>
    </row>
    <row r="1363">
      <c r="A1363" s="3">
        <f>IFERROR(__xludf.DUMMYFUNCTION("""COMPUTED_VALUE"""),44231.66666666667)</f>
        <v>44231.66667</v>
      </c>
      <c r="B1363" s="5">
        <f>IFERROR(__xludf.DUMMYFUNCTION("""COMPUTED_VALUE"""),13.66)</f>
        <v>13.66</v>
      </c>
      <c r="C1363" s="5">
        <v>13.627456665039</v>
      </c>
      <c r="D1363" s="5">
        <v>362.566864013671</v>
      </c>
      <c r="E1363" s="7">
        <f t="shared" ref="E1363:F1363" si="1361">C1363/C1362-1</f>
        <v>0.00988490311</v>
      </c>
      <c r="F1363" s="7">
        <f t="shared" si="1361"/>
        <v>0.01136546274</v>
      </c>
    </row>
    <row r="1364">
      <c r="A1364" s="3">
        <f>IFERROR(__xludf.DUMMYFUNCTION("""COMPUTED_VALUE"""),44232.66666666667)</f>
        <v>44232.66667</v>
      </c>
      <c r="B1364" s="5">
        <f>IFERROR(__xludf.DUMMYFUNCTION("""COMPUTED_VALUE"""),13.59)</f>
        <v>13.59</v>
      </c>
      <c r="C1364" s="5">
        <v>13.5544033050537</v>
      </c>
      <c r="D1364" s="5">
        <v>363.99380493164</v>
      </c>
      <c r="E1364" s="7">
        <f t="shared" ref="E1364:F1364" si="1362">C1364/C1363-1</f>
        <v>-0.005360747921</v>
      </c>
      <c r="F1364" s="7">
        <f t="shared" si="1362"/>
        <v>0.003935662797</v>
      </c>
    </row>
    <row r="1365">
      <c r="A1365" s="3">
        <f>IFERROR(__xludf.DUMMYFUNCTION("""COMPUTED_VALUE"""),44235.66666666667)</f>
        <v>44235.66667</v>
      </c>
      <c r="B1365" s="5">
        <f>IFERROR(__xludf.DUMMYFUNCTION("""COMPUTED_VALUE"""),14.44)</f>
        <v>14.44</v>
      </c>
      <c r="C1365" s="5">
        <v>14.3998737335205</v>
      </c>
      <c r="D1365" s="5">
        <v>366.622619628906</v>
      </c>
      <c r="E1365" s="7">
        <f t="shared" ref="E1365:F1365" si="1363">C1365/C1364-1</f>
        <v>0.06237607141</v>
      </c>
      <c r="F1365" s="7">
        <f t="shared" si="1363"/>
        <v>0.007222141316</v>
      </c>
    </row>
    <row r="1366">
      <c r="A1366" s="3">
        <f>IFERROR(__xludf.DUMMYFUNCTION("""COMPUTED_VALUE"""),44236.66666666667)</f>
        <v>44236.66667</v>
      </c>
      <c r="B1366" s="5">
        <f>IFERROR(__xludf.DUMMYFUNCTION("""COMPUTED_VALUE"""),14.26)</f>
        <v>14.26</v>
      </c>
      <c r="C1366" s="5">
        <v>14.2248449325561</v>
      </c>
      <c r="D1366" s="5">
        <v>366.378540039062</v>
      </c>
      <c r="E1366" s="7">
        <f t="shared" ref="E1366:F1366" si="1364">C1366/C1365-1</f>
        <v>-0.01215488442</v>
      </c>
      <c r="F1366" s="7">
        <f t="shared" si="1364"/>
        <v>-0.0006657515843</v>
      </c>
    </row>
    <row r="1367">
      <c r="A1367" s="3">
        <f>IFERROR(__xludf.DUMMYFUNCTION("""COMPUTED_VALUE"""),44237.66666666667)</f>
        <v>44237.66667</v>
      </c>
      <c r="B1367" s="5">
        <f>IFERROR(__xludf.DUMMYFUNCTION("""COMPUTED_VALUE"""),14.76)</f>
        <v>14.76</v>
      </c>
      <c r="C1367" s="5">
        <v>14.724494934082</v>
      </c>
      <c r="D1367" s="5">
        <v>366.218963623046</v>
      </c>
      <c r="E1367" s="7">
        <f t="shared" ref="E1367:F1367" si="1365">C1367/C1366-1</f>
        <v>0.03512516332</v>
      </c>
      <c r="F1367" s="7">
        <f t="shared" si="1365"/>
        <v>-0.000435550663</v>
      </c>
    </row>
    <row r="1368">
      <c r="A1368" s="3">
        <f>IFERROR(__xludf.DUMMYFUNCTION("""COMPUTED_VALUE"""),44238.66666666667)</f>
        <v>44238.66667</v>
      </c>
      <c r="B1368" s="5">
        <f>IFERROR(__xludf.DUMMYFUNCTION("""COMPUTED_VALUE"""),15.25)</f>
        <v>15.25</v>
      </c>
      <c r="C1368" s="5">
        <v>15.2096853256225</v>
      </c>
      <c r="D1368" s="5">
        <v>366.810363769531</v>
      </c>
      <c r="E1368" s="7">
        <f t="shared" ref="E1368:F1368" si="1366">C1368/C1367-1</f>
        <v>0.0329512417</v>
      </c>
      <c r="F1368" s="7">
        <f t="shared" si="1366"/>
        <v>0.001614881274</v>
      </c>
    </row>
    <row r="1369">
      <c r="A1369" s="3">
        <f>IFERROR(__xludf.DUMMYFUNCTION("""COMPUTED_VALUE"""),44239.66666666667)</f>
        <v>44239.66667</v>
      </c>
      <c r="B1369" s="5">
        <f>IFERROR(__xludf.DUMMYFUNCTION("""COMPUTED_VALUE"""),14.96)</f>
        <v>14.96</v>
      </c>
      <c r="C1369" s="5">
        <v>14.9209661483764</v>
      </c>
      <c r="D1369" s="5">
        <v>368.622344970703</v>
      </c>
      <c r="E1369" s="7">
        <f t="shared" ref="E1369:F1369" si="1367">C1369/C1368-1</f>
        <v>-0.01898258715</v>
      </c>
      <c r="F1369" s="7">
        <f t="shared" si="1367"/>
        <v>0.004939830987</v>
      </c>
    </row>
    <row r="1370">
      <c r="A1370" s="3">
        <f>IFERROR(__xludf.DUMMYFUNCTION("""COMPUTED_VALUE"""),44243.66666666667)</f>
        <v>44243.66667</v>
      </c>
      <c r="B1370" s="5">
        <f>IFERROR(__xludf.DUMMYFUNCTION("""COMPUTED_VALUE"""),15.33)</f>
        <v>15.33</v>
      </c>
      <c r="C1370" s="5">
        <v>15.2889747619628</v>
      </c>
      <c r="D1370" s="5">
        <v>368.303161621093</v>
      </c>
      <c r="E1370" s="7">
        <f t="shared" ref="E1370:F1370" si="1368">C1370/C1369-1</f>
        <v>0.02466385956</v>
      </c>
      <c r="F1370" s="7">
        <f t="shared" si="1368"/>
        <v>-0.0008658817187</v>
      </c>
    </row>
    <row r="1371">
      <c r="A1371" s="3">
        <f>IFERROR(__xludf.DUMMYFUNCTION("""COMPUTED_VALUE"""),44244.66666666667)</f>
        <v>44244.66667</v>
      </c>
      <c r="B1371" s="5">
        <f>IFERROR(__xludf.DUMMYFUNCTION("""COMPUTED_VALUE"""),14.91)</f>
        <v>14.91</v>
      </c>
      <c r="C1371" s="5">
        <v>14.8658657073974</v>
      </c>
      <c r="D1371" s="5">
        <v>368.387634277343</v>
      </c>
      <c r="E1371" s="7">
        <f t="shared" ref="E1371:F1371" si="1369">C1371/C1370-1</f>
        <v>-0.02767412865</v>
      </c>
      <c r="F1371" s="7">
        <f t="shared" si="1369"/>
        <v>0.0002293563158</v>
      </c>
    </row>
    <row r="1372">
      <c r="A1372" s="3">
        <f>IFERROR(__xludf.DUMMYFUNCTION("""COMPUTED_VALUE"""),44245.66666666667)</f>
        <v>44245.66667</v>
      </c>
      <c r="B1372" s="5">
        <f>IFERROR(__xludf.DUMMYFUNCTION("""COMPUTED_VALUE"""),14.83)</f>
        <v>14.83</v>
      </c>
      <c r="C1372" s="5">
        <v>14.7890720367431</v>
      </c>
      <c r="D1372" s="5">
        <v>366.819763183593</v>
      </c>
      <c r="E1372" s="7">
        <f t="shared" ref="E1372:F1372" si="1370">C1372/C1371-1</f>
        <v>-0.005165771854</v>
      </c>
      <c r="F1372" s="7">
        <f t="shared" si="1370"/>
        <v>-0.004256036164</v>
      </c>
    </row>
    <row r="1373">
      <c r="A1373" s="3">
        <f>IFERROR(__xludf.DUMMYFUNCTION("""COMPUTED_VALUE"""),44246.66666666667)</f>
        <v>44246.66667</v>
      </c>
      <c r="B1373" s="5">
        <f>IFERROR(__xludf.DUMMYFUNCTION("""COMPUTED_VALUE"""),14.93)</f>
        <v>14.93</v>
      </c>
      <c r="C1373" s="5">
        <v>14.8863115310668</v>
      </c>
      <c r="D1373" s="5">
        <v>366.171905517578</v>
      </c>
      <c r="E1373" s="7">
        <f t="shared" ref="E1373:F1373" si="1371">C1373/C1372-1</f>
        <v>0.006575090992</v>
      </c>
      <c r="F1373" s="7">
        <f t="shared" si="1371"/>
        <v>-0.001766147114</v>
      </c>
    </row>
    <row r="1374">
      <c r="A1374" s="3">
        <f>IFERROR(__xludf.DUMMYFUNCTION("""COMPUTED_VALUE"""),44249.66666666667)</f>
        <v>44249.66667</v>
      </c>
      <c r="B1374" s="5">
        <f>IFERROR(__xludf.DUMMYFUNCTION("""COMPUTED_VALUE"""),14.36)</f>
        <v>14.36</v>
      </c>
      <c r="C1374" s="5">
        <v>14.317096710205</v>
      </c>
      <c r="D1374" s="5">
        <v>363.35546875</v>
      </c>
      <c r="E1374" s="7">
        <f t="shared" ref="E1374:F1374" si="1372">C1374/C1373-1</f>
        <v>-0.03823746532</v>
      </c>
      <c r="F1374" s="7">
        <f t="shared" si="1372"/>
        <v>-0.007691569793</v>
      </c>
    </row>
    <row r="1375">
      <c r="A1375" s="3">
        <f>IFERROR(__xludf.DUMMYFUNCTION("""COMPUTED_VALUE"""),44250.66666666667)</f>
        <v>44250.66667</v>
      </c>
      <c r="B1375" s="5">
        <f>IFERROR(__xludf.DUMMYFUNCTION("""COMPUTED_VALUE"""),14.14)</f>
        <v>14.14</v>
      </c>
      <c r="C1375" s="5">
        <v>14.1039209365844</v>
      </c>
      <c r="D1375" s="5">
        <v>363.796722412109</v>
      </c>
      <c r="E1375" s="7">
        <f t="shared" ref="E1375:F1375" si="1373">C1375/C1374-1</f>
        <v>-0.01488959514</v>
      </c>
      <c r="F1375" s="7">
        <f t="shared" si="1373"/>
        <v>0.001214385636</v>
      </c>
    </row>
    <row r="1376">
      <c r="A1376" s="3">
        <f>IFERROR(__xludf.DUMMYFUNCTION("""COMPUTED_VALUE"""),44251.66666666667)</f>
        <v>44251.66667</v>
      </c>
      <c r="B1376" s="5">
        <f>IFERROR(__xludf.DUMMYFUNCTION("""COMPUTED_VALUE"""),14.5)</f>
        <v>14.5</v>
      </c>
      <c r="C1376" s="5">
        <v>14.4599609375</v>
      </c>
      <c r="D1376" s="5">
        <v>367.805511474609</v>
      </c>
      <c r="E1376" s="7">
        <f t="shared" ref="E1376:F1376" si="1374">C1376/C1375-1</f>
        <v>0.02524404402</v>
      </c>
      <c r="F1376" s="7">
        <f t="shared" si="1374"/>
        <v>0.01101931055</v>
      </c>
    </row>
    <row r="1377">
      <c r="A1377" s="3">
        <f>IFERROR(__xludf.DUMMYFUNCTION("""COMPUTED_VALUE"""),44252.66666666667)</f>
        <v>44252.66667</v>
      </c>
      <c r="B1377" s="5">
        <f>IFERROR(__xludf.DUMMYFUNCTION("""COMPUTED_VALUE"""),13.31)</f>
        <v>13.31</v>
      </c>
      <c r="C1377" s="5">
        <v>13.2716693878173</v>
      </c>
      <c r="D1377" s="5">
        <v>358.942993164062</v>
      </c>
      <c r="E1377" s="7">
        <f t="shared" ref="E1377:F1377" si="1375">C1377/C1376-1</f>
        <v>-0.08217806084</v>
      </c>
      <c r="F1377" s="7">
        <f t="shared" si="1375"/>
        <v>-0.02409566478</v>
      </c>
    </row>
    <row r="1378">
      <c r="A1378" s="3">
        <f>IFERROR(__xludf.DUMMYFUNCTION("""COMPUTED_VALUE"""),44253.66666666667)</f>
        <v>44253.66667</v>
      </c>
      <c r="B1378" s="5">
        <f>IFERROR(__xludf.DUMMYFUNCTION("""COMPUTED_VALUE"""),13.71)</f>
        <v>13.71</v>
      </c>
      <c r="C1378" s="5">
        <v>13.6775732040405</v>
      </c>
      <c r="D1378" s="5">
        <v>357.09341430664</v>
      </c>
      <c r="E1378" s="7">
        <f t="shared" ref="E1378:F1378" si="1376">C1378/C1377-1</f>
        <v>0.03058423205</v>
      </c>
      <c r="F1378" s="7">
        <f t="shared" si="1376"/>
        <v>-0.005152848482</v>
      </c>
    </row>
    <row r="1379">
      <c r="A1379" s="3">
        <f>IFERROR(__xludf.DUMMYFUNCTION("""COMPUTED_VALUE"""),44256.66666666667)</f>
        <v>44256.66667</v>
      </c>
      <c r="B1379" s="5">
        <f>IFERROR(__xludf.DUMMYFUNCTION("""COMPUTED_VALUE"""),13.84)</f>
        <v>13.84</v>
      </c>
      <c r="C1379" s="5">
        <v>13.804479598999</v>
      </c>
      <c r="D1379" s="5">
        <v>365.74951171875</v>
      </c>
      <c r="E1379" s="7">
        <f t="shared" ref="E1379:F1379" si="1377">C1379/C1378-1</f>
        <v>0.009278429226</v>
      </c>
      <c r="F1379" s="7">
        <f t="shared" si="1377"/>
        <v>0.0242404286</v>
      </c>
    </row>
    <row r="1380">
      <c r="A1380" s="3">
        <f>IFERROR(__xludf.DUMMYFUNCTION("""COMPUTED_VALUE"""),44257.66666666667)</f>
        <v>44257.66667</v>
      </c>
      <c r="B1380" s="5">
        <f>IFERROR(__xludf.DUMMYFUNCTION("""COMPUTED_VALUE"""),13.41)</f>
        <v>13.41</v>
      </c>
      <c r="C1380" s="5">
        <v>13.3701515197753</v>
      </c>
      <c r="D1380" s="5">
        <v>362.895477294921</v>
      </c>
      <c r="E1380" s="7">
        <f t="shared" ref="E1380:F1380" si="1378">C1380/C1379-1</f>
        <v>-0.03146283611</v>
      </c>
      <c r="F1380" s="7">
        <f t="shared" si="1378"/>
        <v>-0.00780324876</v>
      </c>
    </row>
    <row r="1381">
      <c r="A1381" s="3">
        <f>IFERROR(__xludf.DUMMYFUNCTION("""COMPUTED_VALUE"""),44258.66666666667)</f>
        <v>44258.66667</v>
      </c>
      <c r="B1381" s="5">
        <f>IFERROR(__xludf.DUMMYFUNCTION("""COMPUTED_VALUE"""),12.8)</f>
        <v>12.8</v>
      </c>
      <c r="C1381" s="5">
        <v>12.7702732086181</v>
      </c>
      <c r="D1381" s="5">
        <v>358.088684082031</v>
      </c>
      <c r="E1381" s="7">
        <f t="shared" ref="E1381:F1381" si="1379">C1381/C1380-1</f>
        <v>-0.04486697928</v>
      </c>
      <c r="F1381" s="7">
        <f t="shared" si="1379"/>
        <v>-0.01324566856</v>
      </c>
    </row>
    <row r="1382">
      <c r="A1382" s="3">
        <f>IFERROR(__xludf.DUMMYFUNCTION("""COMPUTED_VALUE"""),44259.66666666667)</f>
        <v>44259.66667</v>
      </c>
      <c r="B1382" s="5">
        <f>IFERROR(__xludf.DUMMYFUNCTION("""COMPUTED_VALUE"""),12.37)</f>
        <v>12.37</v>
      </c>
      <c r="C1382" s="5">
        <v>12.3369417190551</v>
      </c>
      <c r="D1382" s="5">
        <v>353.657409667968</v>
      </c>
      <c r="E1382" s="7">
        <f t="shared" ref="E1382:F1382" si="1380">C1382/C1381-1</f>
        <v>-0.03393282841</v>
      </c>
      <c r="F1382" s="7">
        <f t="shared" si="1380"/>
        <v>-0.012374796</v>
      </c>
    </row>
    <row r="1383">
      <c r="A1383" s="3">
        <f>IFERROR(__xludf.DUMMYFUNCTION("""COMPUTED_VALUE"""),44260.66666666667)</f>
        <v>44260.66667</v>
      </c>
      <c r="B1383" s="5">
        <f>IFERROR(__xludf.DUMMYFUNCTION("""COMPUTED_VALUE"""),12.46)</f>
        <v>12.46</v>
      </c>
      <c r="C1383" s="5">
        <v>12.4279470443725</v>
      </c>
      <c r="D1383" s="5">
        <v>360.163513183593</v>
      </c>
      <c r="E1383" s="7">
        <f t="shared" ref="E1383:F1383" si="1381">C1383/C1382-1</f>
        <v>0.00737665196</v>
      </c>
      <c r="F1383" s="7">
        <f t="shared" si="1381"/>
        <v>0.01839662718</v>
      </c>
    </row>
    <row r="1384">
      <c r="A1384" s="3">
        <f>IFERROR(__xludf.DUMMYFUNCTION("""COMPUTED_VALUE"""),44263.66666666667)</f>
        <v>44263.66667</v>
      </c>
      <c r="B1384" s="5">
        <f>IFERROR(__xludf.DUMMYFUNCTION("""COMPUTED_VALUE"""),11.59)</f>
        <v>11.59</v>
      </c>
      <c r="C1384" s="5">
        <v>11.5620336532592</v>
      </c>
      <c r="D1384" s="5">
        <v>358.370300292968</v>
      </c>
      <c r="E1384" s="7">
        <f t="shared" ref="E1384:F1384" si="1382">C1384/C1383-1</f>
        <v>-0.06967469269</v>
      </c>
      <c r="F1384" s="7">
        <f t="shared" si="1382"/>
        <v>-0.004978885492</v>
      </c>
    </row>
    <row r="1385">
      <c r="A1385" s="3">
        <f>IFERROR(__xludf.DUMMYFUNCTION("""COMPUTED_VALUE"""),44264.66666666667)</f>
        <v>44264.66667</v>
      </c>
      <c r="B1385" s="5">
        <f>IFERROR(__xludf.DUMMYFUNCTION("""COMPUTED_VALUE"""),12.52)</f>
        <v>12.52</v>
      </c>
      <c r="C1385" s="5">
        <v>12.4908475875854</v>
      </c>
      <c r="D1385" s="5">
        <v>363.48696899414</v>
      </c>
      <c r="E1385" s="7">
        <f t="shared" ref="E1385:F1385" si="1383">C1385/C1384-1</f>
        <v>0.08033309383</v>
      </c>
      <c r="F1385" s="7">
        <f t="shared" si="1383"/>
        <v>0.01427760252</v>
      </c>
    </row>
    <row r="1386">
      <c r="A1386" s="3">
        <f>IFERROR(__xludf.DUMMYFUNCTION("""COMPUTED_VALUE"""),44265.66666666667)</f>
        <v>44265.66667</v>
      </c>
      <c r="B1386" s="5">
        <f>IFERROR(__xludf.DUMMYFUNCTION("""COMPUTED_VALUE"""),12.47)</f>
        <v>12.47</v>
      </c>
      <c r="C1386" s="5">
        <v>12.4389715194702</v>
      </c>
      <c r="D1386" s="5">
        <v>365.74951171875</v>
      </c>
      <c r="E1386" s="7">
        <f t="shared" ref="E1386:F1386" si="1384">C1386/C1385-1</f>
        <v>-0.004153126339</v>
      </c>
      <c r="F1386" s="7">
        <f t="shared" si="1384"/>
        <v>0.006224549757</v>
      </c>
    </row>
    <row r="1387">
      <c r="A1387" s="3">
        <f>IFERROR(__xludf.DUMMYFUNCTION("""COMPUTED_VALUE"""),44266.66666666667)</f>
        <v>44266.66667</v>
      </c>
      <c r="B1387" s="5">
        <f>IFERROR(__xludf.DUMMYFUNCTION("""COMPUTED_VALUE"""),12.99)</f>
        <v>12.99</v>
      </c>
      <c r="C1387" s="5">
        <v>12.9629859924316</v>
      </c>
      <c r="D1387" s="5">
        <v>369.457885742187</v>
      </c>
      <c r="E1387" s="7">
        <f t="shared" ref="E1387:F1387" si="1385">C1387/C1386-1</f>
        <v>0.04212683276</v>
      </c>
      <c r="F1387" s="7">
        <f t="shared" si="1385"/>
        <v>0.01013910861</v>
      </c>
    </row>
    <row r="1388">
      <c r="A1388" s="3">
        <f>IFERROR(__xludf.DUMMYFUNCTION("""COMPUTED_VALUE"""),44267.66666666667)</f>
        <v>44267.66667</v>
      </c>
      <c r="B1388" s="5">
        <f>IFERROR(__xludf.DUMMYFUNCTION("""COMPUTED_VALUE"""),12.86)</f>
        <v>12.86</v>
      </c>
      <c r="C1388" s="5">
        <v>12.8258094787597</v>
      </c>
      <c r="D1388" s="5">
        <v>369.955505371093</v>
      </c>
      <c r="E1388" s="7">
        <f t="shared" ref="E1388:F1388" si="1386">C1388/C1387-1</f>
        <v>-0.0105821694</v>
      </c>
      <c r="F1388" s="7">
        <f t="shared" si="1386"/>
        <v>0.001346891346</v>
      </c>
    </row>
    <row r="1389">
      <c r="A1389" s="3">
        <f>IFERROR(__xludf.DUMMYFUNCTION("""COMPUTED_VALUE"""),44270.66666666667)</f>
        <v>44270.66667</v>
      </c>
      <c r="B1389" s="5">
        <f>IFERROR(__xludf.DUMMYFUNCTION("""COMPUTED_VALUE"""),13.19)</f>
        <v>13.19</v>
      </c>
      <c r="C1389" s="5">
        <v>13.1602735519409</v>
      </c>
      <c r="D1389" s="5">
        <v>372.161712646484</v>
      </c>
      <c r="E1389" s="7">
        <f t="shared" ref="E1389:F1389" si="1387">C1389/C1388-1</f>
        <v>0.0260774241</v>
      </c>
      <c r="F1389" s="7">
        <f t="shared" si="1387"/>
        <v>0.005963439504</v>
      </c>
    </row>
    <row r="1390">
      <c r="A1390" s="3">
        <f>IFERROR(__xludf.DUMMYFUNCTION("""COMPUTED_VALUE"""),44271.66666666667)</f>
        <v>44271.66667</v>
      </c>
      <c r="B1390" s="5">
        <f>IFERROR(__xludf.DUMMYFUNCTION("""COMPUTED_VALUE"""),13.29)</f>
        <v>13.29</v>
      </c>
      <c r="C1390" s="5">
        <v>13.2600374221801</v>
      </c>
      <c r="D1390" s="5">
        <v>371.692321777343</v>
      </c>
      <c r="E1390" s="7">
        <f t="shared" ref="E1390:F1390" si="1388">C1390/C1389-1</f>
        <v>0.007580683627</v>
      </c>
      <c r="F1390" s="7">
        <f t="shared" si="1388"/>
        <v>-0.00126125513</v>
      </c>
    </row>
    <row r="1391">
      <c r="A1391" s="3">
        <f>IFERROR(__xludf.DUMMYFUNCTION("""COMPUTED_VALUE"""),44272.66666666667)</f>
        <v>44272.66667</v>
      </c>
      <c r="B1391" s="5">
        <f>IFERROR(__xludf.DUMMYFUNCTION("""COMPUTED_VALUE"""),13.34)</f>
        <v>13.34</v>
      </c>
      <c r="C1391" s="5">
        <v>13.3099212646484</v>
      </c>
      <c r="D1391" s="5">
        <v>372.959777832031</v>
      </c>
      <c r="E1391" s="7">
        <f t="shared" ref="E1391:F1391" si="1389">C1391/C1390-1</f>
        <v>0.003761968453</v>
      </c>
      <c r="F1391" s="7">
        <f t="shared" si="1389"/>
        <v>0.003409960283</v>
      </c>
    </row>
    <row r="1392">
      <c r="A1392" s="3">
        <f>IFERROR(__xludf.DUMMYFUNCTION("""COMPUTED_VALUE"""),44273.66666666667)</f>
        <v>44273.66667</v>
      </c>
      <c r="B1392" s="5">
        <f>IFERROR(__xludf.DUMMYFUNCTION("""COMPUTED_VALUE"""),12.72)</f>
        <v>12.72</v>
      </c>
      <c r="C1392" s="5">
        <v>12.692624092102</v>
      </c>
      <c r="D1392" s="5">
        <v>367.533264160156</v>
      </c>
      <c r="E1392" s="7">
        <f t="shared" ref="E1392:F1392" si="1390">C1392/C1391-1</f>
        <v>-0.04637872458</v>
      </c>
      <c r="F1392" s="7">
        <f t="shared" si="1390"/>
        <v>-0.014549863</v>
      </c>
    </row>
    <row r="1393">
      <c r="A1393" s="3">
        <f>IFERROR(__xludf.DUMMYFUNCTION("""COMPUTED_VALUE"""),44274.66666666667)</f>
        <v>44274.66667</v>
      </c>
      <c r="B1393" s="5">
        <f>IFERROR(__xludf.DUMMYFUNCTION("""COMPUTED_VALUE"""),12.85)</f>
        <v>12.85</v>
      </c>
      <c r="C1393" s="5">
        <v>12.8155832290649</v>
      </c>
      <c r="D1393" s="5">
        <v>366.853332519531</v>
      </c>
      <c r="E1393" s="7">
        <f t="shared" ref="E1393:F1393" si="1391">C1393/C1392-1</f>
        <v>0.009687448086</v>
      </c>
      <c r="F1393" s="7">
        <f t="shared" si="1391"/>
        <v>-0.001849986673</v>
      </c>
    </row>
    <row r="1394">
      <c r="A1394" s="3">
        <f>IFERROR(__xludf.DUMMYFUNCTION("""COMPUTED_VALUE"""),44277.66666666667)</f>
        <v>44277.66667</v>
      </c>
      <c r="B1394" s="5">
        <f>IFERROR(__xludf.DUMMYFUNCTION("""COMPUTED_VALUE"""),13.19)</f>
        <v>13.19</v>
      </c>
      <c r="C1394" s="5">
        <v>13.1552848815917</v>
      </c>
      <c r="D1394" s="5">
        <v>369.782531738281</v>
      </c>
      <c r="E1394" s="7">
        <f t="shared" ref="E1394:F1394" si="1392">C1394/C1393-1</f>
        <v>0.02650692102</v>
      </c>
      <c r="F1394" s="7">
        <f t="shared" si="1392"/>
        <v>0.007984660242</v>
      </c>
    </row>
    <row r="1395">
      <c r="A1395" s="3">
        <f>IFERROR(__xludf.DUMMYFUNCTION("""COMPUTED_VALUE"""),44278.66666666667)</f>
        <v>44278.66667</v>
      </c>
      <c r="B1395" s="5">
        <f>IFERROR(__xludf.DUMMYFUNCTION("""COMPUTED_VALUE"""),13.07)</f>
        <v>13.07</v>
      </c>
      <c r="C1395" s="5">
        <v>13.040057182312</v>
      </c>
      <c r="D1395" s="5">
        <v>366.872100830078</v>
      </c>
      <c r="E1395" s="7">
        <f t="shared" ref="E1395:F1395" si="1393">C1395/C1394-1</f>
        <v>-0.008759042493</v>
      </c>
      <c r="F1395" s="7">
        <f t="shared" si="1393"/>
        <v>-0.007870655476</v>
      </c>
    </row>
    <row r="1396">
      <c r="A1396" s="3">
        <f>IFERROR(__xludf.DUMMYFUNCTION("""COMPUTED_VALUE"""),44279.66666666667)</f>
        <v>44279.66667</v>
      </c>
      <c r="B1396" s="5">
        <f>IFERROR(__xludf.DUMMYFUNCTION("""COMPUTED_VALUE"""),12.64)</f>
        <v>12.64</v>
      </c>
      <c r="C1396" s="5">
        <v>12.6133098602294</v>
      </c>
      <c r="D1396" s="5">
        <v>365.007080078125</v>
      </c>
      <c r="E1396" s="7">
        <f t="shared" ref="E1396:F1396" si="1394">C1396/C1395-1</f>
        <v>-0.03272587812</v>
      </c>
      <c r="F1396" s="7">
        <f t="shared" si="1394"/>
        <v>-0.005083572034</v>
      </c>
    </row>
    <row r="1397">
      <c r="A1397" s="3">
        <f>IFERROR(__xludf.DUMMYFUNCTION("""COMPUTED_VALUE"""),44280.66666666667)</f>
        <v>44280.66667</v>
      </c>
      <c r="B1397" s="5">
        <f>IFERROR(__xludf.DUMMYFUNCTION("""COMPUTED_VALUE"""),12.54)</f>
        <v>12.54</v>
      </c>
      <c r="C1397" s="5">
        <v>12.5058135986328</v>
      </c>
      <c r="D1397" s="5">
        <v>367.060455322265</v>
      </c>
      <c r="E1397" s="7">
        <f t="shared" ref="E1397:F1397" si="1395">C1397/C1396-1</f>
        <v>-0.008522446748</v>
      </c>
      <c r="F1397" s="7">
        <f t="shared" si="1395"/>
        <v>0.005625576478</v>
      </c>
    </row>
    <row r="1398">
      <c r="A1398" s="3">
        <f>IFERROR(__xludf.DUMMYFUNCTION("""COMPUTED_VALUE"""),44281.66666666667)</f>
        <v>44281.66667</v>
      </c>
      <c r="B1398" s="5">
        <f>IFERROR(__xludf.DUMMYFUNCTION("""COMPUTED_VALUE"""),12.84)</f>
        <v>12.84</v>
      </c>
      <c r="C1398" s="5">
        <v>12.8090991973876</v>
      </c>
      <c r="D1398" s="5">
        <v>372.975616455078</v>
      </c>
      <c r="E1398" s="7">
        <f t="shared" ref="E1398:F1398" si="1396">C1398/C1397-1</f>
        <v>0.02425156879</v>
      </c>
      <c r="F1398" s="7">
        <f t="shared" si="1396"/>
        <v>0.01611495068</v>
      </c>
    </row>
    <row r="1399">
      <c r="A1399" s="3">
        <f>IFERROR(__xludf.DUMMYFUNCTION("""COMPUTED_VALUE"""),44284.66666666667)</f>
        <v>44284.66667</v>
      </c>
      <c r="B1399" s="5">
        <f>IFERROR(__xludf.DUMMYFUNCTION("""COMPUTED_VALUE"""),12.95)</f>
        <v>12.95</v>
      </c>
      <c r="C1399" s="5">
        <v>12.9178428649902</v>
      </c>
      <c r="D1399" s="5">
        <v>372.787322998046</v>
      </c>
      <c r="E1399" s="7">
        <f t="shared" ref="E1399:F1399" si="1397">C1399/C1398-1</f>
        <v>0.008489564014</v>
      </c>
      <c r="F1399" s="7">
        <f t="shared" si="1397"/>
        <v>-0.000504841198</v>
      </c>
    </row>
    <row r="1400">
      <c r="A1400" s="3">
        <f>IFERROR(__xludf.DUMMYFUNCTION("""COMPUTED_VALUE"""),44285.66666666667)</f>
        <v>44285.66667</v>
      </c>
      <c r="B1400" s="5">
        <f>IFERROR(__xludf.DUMMYFUNCTION("""COMPUTED_VALUE"""),12.87)</f>
        <v>12.87</v>
      </c>
      <c r="C1400" s="5">
        <v>12.8415222167968</v>
      </c>
      <c r="D1400" s="5">
        <v>371.798248291015</v>
      </c>
      <c r="E1400" s="7">
        <f t="shared" ref="E1400:F1400" si="1398">C1400/C1399-1</f>
        <v>-0.005908157344</v>
      </c>
      <c r="F1400" s="7">
        <f t="shared" si="1398"/>
        <v>-0.002653187611</v>
      </c>
    </row>
    <row r="1401">
      <c r="A1401" s="3">
        <f>IFERROR(__xludf.DUMMYFUNCTION("""COMPUTED_VALUE"""),44286.66666666667)</f>
        <v>44286.66667</v>
      </c>
      <c r="B1401" s="5">
        <f>IFERROR(__xludf.DUMMYFUNCTION("""COMPUTED_VALUE"""),13.35)</f>
        <v>13.35</v>
      </c>
      <c r="C1401" s="5">
        <v>13.3169050216674</v>
      </c>
      <c r="D1401" s="5">
        <v>373.305236816406</v>
      </c>
      <c r="E1401" s="7">
        <f t="shared" ref="E1401:F1401" si="1399">C1401/C1400-1</f>
        <v>0.03701919421</v>
      </c>
      <c r="F1401" s="7">
        <f t="shared" si="1399"/>
        <v>0.004053242672</v>
      </c>
    </row>
    <row r="1402">
      <c r="A1402" s="3">
        <f>IFERROR(__xludf.DUMMYFUNCTION("""COMPUTED_VALUE"""),44287.66666666667)</f>
        <v>44287.66667</v>
      </c>
      <c r="B1402" s="5">
        <f>IFERROR(__xludf.DUMMYFUNCTION("""COMPUTED_VALUE"""),13.81)</f>
        <v>13.81</v>
      </c>
      <c r="C1402" s="5">
        <v>13.7793159484863</v>
      </c>
      <c r="D1402" s="5">
        <v>377.336547851562</v>
      </c>
      <c r="E1402" s="7">
        <f t="shared" ref="E1402:F1402" si="1400">C1402/C1401-1</f>
        <v>0.03472360327</v>
      </c>
      <c r="F1402" s="7">
        <f t="shared" si="1400"/>
        <v>0.01079896727</v>
      </c>
    </row>
    <row r="1403">
      <c r="A1403" s="3">
        <f>IFERROR(__xludf.DUMMYFUNCTION("""COMPUTED_VALUE"""),44291.66666666667)</f>
        <v>44291.66667</v>
      </c>
      <c r="B1403" s="5">
        <f>IFERROR(__xludf.DUMMYFUNCTION("""COMPUTED_VALUE"""),13.99)</f>
        <v>13.99</v>
      </c>
      <c r="C1403" s="5">
        <v>13.9546527862548</v>
      </c>
      <c r="D1403" s="5">
        <v>382.75259399414</v>
      </c>
      <c r="E1403" s="7">
        <f t="shared" ref="E1403:F1403" si="1401">C1403/C1402-1</f>
        <v>0.01272464021</v>
      </c>
      <c r="F1403" s="7">
        <f t="shared" si="1401"/>
        <v>0.0143533569</v>
      </c>
    </row>
    <row r="1404">
      <c r="A1404" s="3">
        <f>IFERROR(__xludf.DUMMYFUNCTION("""COMPUTED_VALUE"""),44292.66666666667)</f>
        <v>44292.66667</v>
      </c>
      <c r="B1404" s="5">
        <f>IFERROR(__xludf.DUMMYFUNCTION("""COMPUTED_VALUE"""),13.86)</f>
        <v>13.86</v>
      </c>
      <c r="C1404" s="5">
        <v>13.8289489746093</v>
      </c>
      <c r="D1404" s="5">
        <v>382.526611328125</v>
      </c>
      <c r="E1404" s="7">
        <f t="shared" ref="E1404:F1404" si="1402">C1404/C1403-1</f>
        <v>-0.009008021451</v>
      </c>
      <c r="F1404" s="7">
        <f t="shared" si="1402"/>
        <v>-0.0005904144598</v>
      </c>
    </row>
    <row r="1405">
      <c r="A1405" s="3">
        <f>IFERROR(__xludf.DUMMYFUNCTION("""COMPUTED_VALUE"""),44293.66666666667)</f>
        <v>44293.66667</v>
      </c>
      <c r="B1405" s="5">
        <f>IFERROR(__xludf.DUMMYFUNCTION("""COMPUTED_VALUE"""),14.14)</f>
        <v>14.14</v>
      </c>
      <c r="C1405" s="5">
        <v>14.1102857589721</v>
      </c>
      <c r="D1405" s="5">
        <v>382.969207763671</v>
      </c>
      <c r="E1405" s="7">
        <f t="shared" ref="E1405:F1405" si="1403">C1405/C1404-1</f>
        <v>0.02034404674</v>
      </c>
      <c r="F1405" s="7">
        <f t="shared" si="1403"/>
        <v>0.001157034367</v>
      </c>
    </row>
    <row r="1406">
      <c r="A1406" s="3">
        <f>IFERROR(__xludf.DUMMYFUNCTION("""COMPUTED_VALUE"""),44294.66666666667)</f>
        <v>44294.66667</v>
      </c>
      <c r="B1406" s="5">
        <f>IFERROR(__xludf.DUMMYFUNCTION("""COMPUTED_VALUE"""),14.32)</f>
        <v>14.32</v>
      </c>
      <c r="C1406" s="5">
        <v>14.2833814620971</v>
      </c>
      <c r="D1406" s="5">
        <v>384.787078857421</v>
      </c>
      <c r="E1406" s="7">
        <f t="shared" ref="E1406:F1406" si="1404">C1406/C1405-1</f>
        <v>0.01226734214</v>
      </c>
      <c r="F1406" s="7">
        <f t="shared" si="1404"/>
        <v>0.004746781352</v>
      </c>
    </row>
    <row r="1407">
      <c r="A1407" s="3">
        <f>IFERROR(__xludf.DUMMYFUNCTION("""COMPUTED_VALUE"""),44295.66666666667)</f>
        <v>44295.66667</v>
      </c>
      <c r="B1407" s="5">
        <f>IFERROR(__xludf.DUMMYFUNCTION("""COMPUTED_VALUE"""),14.4)</f>
        <v>14.4</v>
      </c>
      <c r="C1407" s="5">
        <v>14.3661842346191</v>
      </c>
      <c r="D1407" s="5">
        <v>387.584564208984</v>
      </c>
      <c r="E1407" s="7">
        <f t="shared" ref="E1407:F1407" si="1405">C1407/C1406-1</f>
        <v>0.005797140736</v>
      </c>
      <c r="F1407" s="7">
        <f t="shared" si="1405"/>
        <v>0.007270216453</v>
      </c>
    </row>
    <row r="1408">
      <c r="A1408" s="3">
        <f>IFERROR(__xludf.DUMMYFUNCTION("""COMPUTED_VALUE"""),44298.66666666667)</f>
        <v>44298.66667</v>
      </c>
      <c r="B1408" s="5">
        <f>IFERROR(__xludf.DUMMYFUNCTION("""COMPUTED_VALUE"""),15.21)</f>
        <v>15.21</v>
      </c>
      <c r="C1408" s="5">
        <v>15.1732854843139</v>
      </c>
      <c r="D1408" s="5">
        <v>387.725891113281</v>
      </c>
      <c r="E1408" s="7">
        <f t="shared" ref="E1408:F1408" si="1406">C1408/C1407-1</f>
        <v>0.05618062782</v>
      </c>
      <c r="F1408" s="7">
        <f t="shared" si="1406"/>
        <v>0.0003646350174</v>
      </c>
    </row>
    <row r="1409">
      <c r="A1409" s="3">
        <f>IFERROR(__xludf.DUMMYFUNCTION("""COMPUTED_VALUE"""),44299.66666666667)</f>
        <v>44299.66667</v>
      </c>
      <c r="B1409" s="5">
        <f>IFERROR(__xludf.DUMMYFUNCTION("""COMPUTED_VALUE"""),15.68)</f>
        <v>15.68</v>
      </c>
      <c r="C1409" s="5">
        <v>15.6426782608032</v>
      </c>
      <c r="D1409" s="5">
        <v>388.874969482421</v>
      </c>
      <c r="E1409" s="7">
        <f t="shared" ref="E1409:F1409" si="1407">C1409/C1408-1</f>
        <v>0.03093547386</v>
      </c>
      <c r="F1409" s="7">
        <f t="shared" si="1407"/>
        <v>0.002963635897</v>
      </c>
    </row>
    <row r="1410">
      <c r="A1410" s="3">
        <f>IFERROR(__xludf.DUMMYFUNCTION("""COMPUTED_VALUE"""),44300.66666666667)</f>
        <v>44300.66667</v>
      </c>
      <c r="B1410" s="5">
        <f>IFERROR(__xludf.DUMMYFUNCTION("""COMPUTED_VALUE"""),15.28)</f>
        <v>15.28</v>
      </c>
      <c r="C1410" s="5">
        <v>15.2411251068115</v>
      </c>
      <c r="D1410" s="5">
        <v>387.546936035156</v>
      </c>
      <c r="E1410" s="7">
        <f t="shared" ref="E1410:F1410" si="1408">C1410/C1409-1</f>
        <v>-0.02567035819</v>
      </c>
      <c r="F1410" s="7">
        <f t="shared" si="1408"/>
        <v>-0.003415065385</v>
      </c>
    </row>
    <row r="1411">
      <c r="A1411" s="3">
        <f>IFERROR(__xludf.DUMMYFUNCTION("""COMPUTED_VALUE"""),44301.66666666667)</f>
        <v>44301.66667</v>
      </c>
      <c r="B1411" s="5">
        <f>IFERROR(__xludf.DUMMYFUNCTION("""COMPUTED_VALUE"""),16.14)</f>
        <v>16.14</v>
      </c>
      <c r="C1411" s="5">
        <v>16.0993556976318</v>
      </c>
      <c r="D1411" s="5">
        <v>391.71011352539</v>
      </c>
      <c r="E1411" s="7">
        <f t="shared" ref="E1411:F1411" si="1409">C1411/C1410-1</f>
        <v>0.05631018608</v>
      </c>
      <c r="F1411" s="7">
        <f t="shared" si="1409"/>
        <v>0.01074238267</v>
      </c>
    </row>
    <row r="1412">
      <c r="A1412" s="3">
        <f>IFERROR(__xludf.DUMMYFUNCTION("""COMPUTED_VALUE"""),44302.66666666667)</f>
        <v>44302.66667</v>
      </c>
      <c r="B1412" s="5">
        <f>IFERROR(__xludf.DUMMYFUNCTION("""COMPUTED_VALUE"""),15.91)</f>
        <v>15.91</v>
      </c>
      <c r="C1412" s="5">
        <v>15.8751325607299</v>
      </c>
      <c r="D1412" s="5">
        <v>393.019378662109</v>
      </c>
      <c r="E1412" s="7">
        <f t="shared" ref="E1412:F1412" si="1410">C1412/C1411-1</f>
        <v>-0.01392746027</v>
      </c>
      <c r="F1412" s="7">
        <f t="shared" si="1410"/>
        <v>0.003342433834</v>
      </c>
    </row>
    <row r="1413">
      <c r="A1413" s="3">
        <f>IFERROR(__xludf.DUMMYFUNCTION("""COMPUTED_VALUE"""),44305.66666666667)</f>
        <v>44305.66667</v>
      </c>
      <c r="B1413" s="5">
        <f>IFERROR(__xludf.DUMMYFUNCTION("""COMPUTED_VALUE"""),15.36)</f>
        <v>15.36</v>
      </c>
      <c r="C1413" s="5">
        <v>15.3256740570068</v>
      </c>
      <c r="D1413" s="5">
        <v>391.088409423828</v>
      </c>
      <c r="E1413" s="7">
        <f t="shared" ref="E1413:F1413" si="1411">C1413/C1412-1</f>
        <v>-0.03461127028</v>
      </c>
      <c r="F1413" s="7">
        <f t="shared" si="1411"/>
        <v>-0.004913165465</v>
      </c>
    </row>
    <row r="1414">
      <c r="A1414" s="3">
        <f>IFERROR(__xludf.DUMMYFUNCTION("""COMPUTED_VALUE"""),44306.66666666667)</f>
        <v>44306.66667</v>
      </c>
      <c r="B1414" s="5">
        <f>IFERROR(__xludf.DUMMYFUNCTION("""COMPUTED_VALUE"""),15.17)</f>
        <v>15.17</v>
      </c>
      <c r="C1414" s="5">
        <v>15.1356220245361</v>
      </c>
      <c r="D1414" s="5">
        <v>388.225128173828</v>
      </c>
      <c r="E1414" s="7">
        <f t="shared" ref="E1414:F1414" si="1412">C1414/C1413-1</f>
        <v>-0.01240089224</v>
      </c>
      <c r="F1414" s="7">
        <f t="shared" si="1412"/>
        <v>-0.007321314519</v>
      </c>
    </row>
    <row r="1415">
      <c r="A1415" s="3">
        <f>IFERROR(__xludf.DUMMYFUNCTION("""COMPUTED_VALUE"""),44307.66666666667)</f>
        <v>44307.66667</v>
      </c>
      <c r="B1415" s="5">
        <f>IFERROR(__xludf.DUMMYFUNCTION("""COMPUTED_VALUE"""),15.36)</f>
        <v>15.36</v>
      </c>
      <c r="C1415" s="5">
        <v>15.3244276046752</v>
      </c>
      <c r="D1415" s="5">
        <v>391.898498535156</v>
      </c>
      <c r="E1415" s="7">
        <f t="shared" ref="E1415:F1415" si="1413">C1415/C1414-1</f>
        <v>0.01247425311</v>
      </c>
      <c r="F1415" s="7">
        <f t="shared" si="1413"/>
        <v>0.009461959298</v>
      </c>
    </row>
    <row r="1416">
      <c r="A1416" s="3">
        <f>IFERROR(__xludf.DUMMYFUNCTION("""COMPUTED_VALUE"""),44308.66666666667)</f>
        <v>44308.66667</v>
      </c>
      <c r="B1416" s="5">
        <f>IFERROR(__xludf.DUMMYFUNCTION("""COMPUTED_VALUE"""),14.85)</f>
        <v>14.85</v>
      </c>
      <c r="C1416" s="5">
        <v>14.8153791427612</v>
      </c>
      <c r="D1416" s="5">
        <v>388.319213867187</v>
      </c>
      <c r="E1416" s="7">
        <f t="shared" ref="E1416:F1416" si="1414">C1416/C1415-1</f>
        <v>-0.03321810609</v>
      </c>
      <c r="F1416" s="7">
        <f t="shared" si="1414"/>
        <v>-0.009133193113</v>
      </c>
    </row>
    <row r="1417">
      <c r="A1417" s="3">
        <f>IFERROR(__xludf.DUMMYFUNCTION("""COMPUTED_VALUE"""),44309.66666666667)</f>
        <v>44309.66667</v>
      </c>
      <c r="B1417" s="5">
        <f>IFERROR(__xludf.DUMMYFUNCTION("""COMPUTED_VALUE"""),15.27)</f>
        <v>15.27</v>
      </c>
      <c r="C1417" s="5">
        <v>15.2294015884399</v>
      </c>
      <c r="D1417" s="5">
        <v>392.529510498046</v>
      </c>
      <c r="E1417" s="7">
        <f t="shared" ref="E1417:F1417" si="1415">C1417/C1416-1</f>
        <v>0.02794545058</v>
      </c>
      <c r="F1417" s="7">
        <f t="shared" si="1415"/>
        <v>0.01084235979</v>
      </c>
    </row>
    <row r="1418">
      <c r="A1418" s="3">
        <f>IFERROR(__xludf.DUMMYFUNCTION("""COMPUTED_VALUE"""),44312.66666666667)</f>
        <v>44312.66667</v>
      </c>
      <c r="B1418" s="5">
        <f>IFERROR(__xludf.DUMMYFUNCTION("""COMPUTED_VALUE"""),15.48)</f>
        <v>15.48</v>
      </c>
      <c r="C1418" s="5">
        <v>15.4416542053222</v>
      </c>
      <c r="D1418" s="5">
        <v>393.349060058593</v>
      </c>
      <c r="E1418" s="7">
        <f t="shared" ref="E1418:F1418" si="1416">C1418/C1417-1</f>
        <v>0.01393702935</v>
      </c>
      <c r="F1418" s="7">
        <f t="shared" si="1416"/>
        <v>0.00208786738</v>
      </c>
    </row>
    <row r="1419">
      <c r="A1419" s="3">
        <f>IFERROR(__xludf.DUMMYFUNCTION("""COMPUTED_VALUE"""),44313.66666666667)</f>
        <v>44313.66667</v>
      </c>
      <c r="B1419" s="5">
        <f>IFERROR(__xludf.DUMMYFUNCTION("""COMPUTED_VALUE"""),15.38)</f>
        <v>15.38</v>
      </c>
      <c r="C1419" s="5">
        <v>15.3456287384033</v>
      </c>
      <c r="D1419" s="5">
        <v>393.264251708984</v>
      </c>
      <c r="E1419" s="7">
        <f t="shared" ref="E1419:F1419" si="1417">C1419/C1418-1</f>
        <v>-0.006218599746</v>
      </c>
      <c r="F1419" s="7">
        <f t="shared" si="1417"/>
        <v>-0.0002156058275</v>
      </c>
    </row>
    <row r="1420">
      <c r="A1420" s="3">
        <f>IFERROR(__xludf.DUMMYFUNCTION("""COMPUTED_VALUE"""),44314.66666666667)</f>
        <v>44314.66667</v>
      </c>
      <c r="B1420" s="5">
        <f>IFERROR(__xludf.DUMMYFUNCTION("""COMPUTED_VALUE"""),15.28)</f>
        <v>15.28</v>
      </c>
      <c r="C1420" s="5">
        <v>15.2408761978149</v>
      </c>
      <c r="D1420" s="5">
        <v>393.151214599609</v>
      </c>
      <c r="E1420" s="7">
        <f t="shared" ref="E1420:F1420" si="1418">C1420/C1419-1</f>
        <v>-0.006826213665</v>
      </c>
      <c r="F1420" s="7">
        <f t="shared" si="1418"/>
        <v>-0.0002874329637</v>
      </c>
    </row>
    <row r="1421">
      <c r="A1421" s="3">
        <f>IFERROR(__xludf.DUMMYFUNCTION("""COMPUTED_VALUE"""),44315.66666666667)</f>
        <v>44315.66667</v>
      </c>
      <c r="B1421" s="5">
        <f>IFERROR(__xludf.DUMMYFUNCTION("""COMPUTED_VALUE"""),15.32)</f>
        <v>15.32</v>
      </c>
      <c r="C1421" s="5">
        <v>15.2887630462646</v>
      </c>
      <c r="D1421" s="5">
        <v>395.656707763671</v>
      </c>
      <c r="E1421" s="7">
        <f t="shared" ref="E1421:F1421" si="1419">C1421/C1420-1</f>
        <v>0.003142001013</v>
      </c>
      <c r="F1421" s="7">
        <f t="shared" si="1419"/>
        <v>0.006372848591</v>
      </c>
    </row>
    <row r="1422">
      <c r="A1422" s="3">
        <f>IFERROR(__xludf.DUMMYFUNCTION("""COMPUTED_VALUE"""),44316.66666666667)</f>
        <v>44316.66667</v>
      </c>
      <c r="B1422" s="5">
        <f>IFERROR(__xludf.DUMMYFUNCTION("""COMPUTED_VALUE"""),15.01)</f>
        <v>15.01</v>
      </c>
      <c r="C1422" s="5">
        <v>14.9742536544799</v>
      </c>
      <c r="D1422" s="5">
        <v>393.057037353515</v>
      </c>
      <c r="E1422" s="7">
        <f t="shared" ref="E1422:F1422" si="1420">C1422/C1421-1</f>
        <v>-0.0205712778</v>
      </c>
      <c r="F1422" s="7">
        <f t="shared" si="1420"/>
        <v>-0.006570520249</v>
      </c>
    </row>
    <row r="1423">
      <c r="A1423" s="3">
        <f>IFERROR(__xludf.DUMMYFUNCTION("""COMPUTED_VALUE"""),44319.66666666667)</f>
        <v>44319.66667</v>
      </c>
      <c r="B1423" s="5">
        <f>IFERROR(__xludf.DUMMYFUNCTION("""COMPUTED_VALUE"""),14.84)</f>
        <v>14.84</v>
      </c>
      <c r="C1423" s="5">
        <v>14.8019075393676</v>
      </c>
      <c r="D1423" s="5">
        <v>393.904815673828</v>
      </c>
      <c r="E1423" s="7">
        <f t="shared" ref="E1423:F1423" si="1421">C1423/C1422-1</f>
        <v>-0.01150949617</v>
      </c>
      <c r="F1423" s="7">
        <f t="shared" si="1421"/>
        <v>0.002156883708</v>
      </c>
    </row>
    <row r="1424">
      <c r="A1424" s="3">
        <f>IFERROR(__xludf.DUMMYFUNCTION("""COMPUTED_VALUE"""),44320.66666666667)</f>
        <v>44320.66667</v>
      </c>
      <c r="B1424" s="5">
        <f>IFERROR(__xludf.DUMMYFUNCTION("""COMPUTED_VALUE"""),14.35)</f>
        <v>14.35</v>
      </c>
      <c r="C1424" s="5">
        <v>14.317548751831</v>
      </c>
      <c r="D1424" s="5">
        <v>391.474609375</v>
      </c>
      <c r="E1424" s="7">
        <f t="shared" ref="E1424:F1424" si="1422">C1424/C1423-1</f>
        <v>-0.03272272754</v>
      </c>
      <c r="F1424" s="7">
        <f t="shared" si="1422"/>
        <v>-0.006169526754</v>
      </c>
    </row>
    <row r="1425">
      <c r="A1425" s="3">
        <f>IFERROR(__xludf.DUMMYFUNCTION("""COMPUTED_VALUE"""),44321.66666666667)</f>
        <v>44321.66667</v>
      </c>
      <c r="B1425" s="5">
        <f>IFERROR(__xludf.DUMMYFUNCTION("""COMPUTED_VALUE"""),14.46)</f>
        <v>14.46</v>
      </c>
      <c r="C1425" s="5">
        <v>14.4245481491088</v>
      </c>
      <c r="D1425" s="5">
        <v>391.597106933593</v>
      </c>
      <c r="E1425" s="7">
        <f t="shared" ref="E1425:F1425" si="1423">C1425/C1424-1</f>
        <v>0.007473304204</v>
      </c>
      <c r="F1425" s="7">
        <f t="shared" si="1423"/>
        <v>0.0003129131639</v>
      </c>
    </row>
    <row r="1426">
      <c r="A1426" s="3">
        <f>IFERROR(__xludf.DUMMYFUNCTION("""COMPUTED_VALUE"""),44322.66666666667)</f>
        <v>44322.66667</v>
      </c>
      <c r="B1426" s="5">
        <f>IFERROR(__xludf.DUMMYFUNCTION("""COMPUTED_VALUE"""),14.52)</f>
        <v>14.52</v>
      </c>
      <c r="C1426" s="5">
        <v>14.4888935089111</v>
      </c>
      <c r="D1426" s="5">
        <v>394.72427368164</v>
      </c>
      <c r="E1426" s="7">
        <f t="shared" ref="E1426:F1426" si="1424">C1426/C1425-1</f>
        <v>0.004460823253</v>
      </c>
      <c r="F1426" s="7">
        <f t="shared" si="1424"/>
        <v>0.007985673777</v>
      </c>
    </row>
    <row r="1427">
      <c r="A1427" s="3">
        <f>IFERROR(__xludf.DUMMYFUNCTION("""COMPUTED_VALUE"""),44323.66666666667)</f>
        <v>44323.66667</v>
      </c>
      <c r="B1427" s="5">
        <f>IFERROR(__xludf.DUMMYFUNCTION("""COMPUTED_VALUE"""),14.81)</f>
        <v>14.81</v>
      </c>
      <c r="C1427" s="5">
        <v>14.7774648666381</v>
      </c>
      <c r="D1427" s="5">
        <v>397.597045898437</v>
      </c>
      <c r="E1427" s="7">
        <f t="shared" ref="E1427:F1427" si="1425">C1427/C1426-1</f>
        <v>0.01991672846</v>
      </c>
      <c r="F1427" s="7">
        <f t="shared" si="1425"/>
        <v>0.007277921345</v>
      </c>
    </row>
    <row r="1428">
      <c r="A1428" s="3">
        <f>IFERROR(__xludf.DUMMYFUNCTION("""COMPUTED_VALUE"""),44326.66666666667)</f>
        <v>44326.66667</v>
      </c>
      <c r="B1428" s="5">
        <f>IFERROR(__xludf.DUMMYFUNCTION("""COMPUTED_VALUE"""),14.27)</f>
        <v>14.27</v>
      </c>
      <c r="C1428" s="5">
        <v>14.2322473526</v>
      </c>
      <c r="D1428" s="5">
        <v>393.659881591796</v>
      </c>
      <c r="E1428" s="7">
        <f t="shared" ref="E1428:F1428" si="1426">C1428/C1427-1</f>
        <v>-0.03689519948</v>
      </c>
      <c r="F1428" s="7">
        <f t="shared" si="1426"/>
        <v>-0.009902398288</v>
      </c>
    </row>
    <row r="1429">
      <c r="A1429" s="3">
        <f>IFERROR(__xludf.DUMMYFUNCTION("""COMPUTED_VALUE"""),44327.66666666667)</f>
        <v>44327.66667</v>
      </c>
      <c r="B1429" s="5">
        <f>IFERROR(__xludf.DUMMYFUNCTION("""COMPUTED_VALUE"""),14.31)</f>
        <v>14.31</v>
      </c>
      <c r="C1429" s="5">
        <v>14.2726554870605</v>
      </c>
      <c r="D1429" s="5">
        <v>390.146545410156</v>
      </c>
      <c r="E1429" s="7">
        <f t="shared" ref="E1429:F1429" si="1427">C1429/C1428-1</f>
        <v>0.002839195628</v>
      </c>
      <c r="F1429" s="7">
        <f t="shared" si="1427"/>
        <v>-0.008924801195</v>
      </c>
    </row>
    <row r="1430">
      <c r="A1430" s="3">
        <f>IFERROR(__xludf.DUMMYFUNCTION("""COMPUTED_VALUE"""),44328.66666666667)</f>
        <v>44328.66667</v>
      </c>
      <c r="B1430" s="5">
        <f>IFERROR(__xludf.DUMMYFUNCTION("""COMPUTED_VALUE"""),13.76)</f>
        <v>13.76</v>
      </c>
      <c r="C1430" s="5">
        <v>13.7261886596679</v>
      </c>
      <c r="D1430" s="5">
        <v>381.857788085937</v>
      </c>
      <c r="E1430" s="7">
        <f t="shared" ref="E1430:F1430" si="1428">C1430/C1429-1</f>
        <v>-0.03828767729</v>
      </c>
      <c r="F1430" s="7">
        <f t="shared" si="1428"/>
        <v>-0.02124524085</v>
      </c>
    </row>
    <row r="1431">
      <c r="A1431" s="3">
        <f>IFERROR(__xludf.DUMMYFUNCTION("""COMPUTED_VALUE"""),44329.66666666667)</f>
        <v>44329.66667</v>
      </c>
      <c r="B1431" s="5">
        <f>IFERROR(__xludf.DUMMYFUNCTION("""COMPUTED_VALUE"""),13.67)</f>
        <v>13.67</v>
      </c>
      <c r="C1431" s="5">
        <v>13.6331596374511</v>
      </c>
      <c r="D1431" s="5">
        <v>386.444854736328</v>
      </c>
      <c r="E1431" s="7">
        <f t="shared" ref="E1431:F1431" si="1429">C1431/C1430-1</f>
        <v>-0.006777483868</v>
      </c>
      <c r="F1431" s="7">
        <f t="shared" si="1429"/>
        <v>0.01201249992</v>
      </c>
    </row>
    <row r="1432">
      <c r="A1432" s="3">
        <f>IFERROR(__xludf.DUMMYFUNCTION("""COMPUTED_VALUE"""),44330.66666666667)</f>
        <v>44330.66667</v>
      </c>
      <c r="B1432" s="5">
        <f>IFERROR(__xludf.DUMMYFUNCTION("""COMPUTED_VALUE"""),14.24)</f>
        <v>14.24</v>
      </c>
      <c r="C1432" s="5">
        <v>14.2095518112182</v>
      </c>
      <c r="D1432" s="5">
        <v>392.378875732421</v>
      </c>
      <c r="E1432" s="7">
        <f t="shared" ref="E1432:F1432" si="1430">C1432/C1431-1</f>
        <v>0.04227869321</v>
      </c>
      <c r="F1432" s="7">
        <f t="shared" si="1430"/>
        <v>0.01535541468</v>
      </c>
    </row>
    <row r="1433">
      <c r="A1433" s="3">
        <f>IFERROR(__xludf.DUMMYFUNCTION("""COMPUTED_VALUE"""),44333.66666666667)</f>
        <v>44333.66667</v>
      </c>
      <c r="B1433" s="5">
        <f>IFERROR(__xludf.DUMMYFUNCTION("""COMPUTED_VALUE"""),14.17)</f>
        <v>14.17</v>
      </c>
      <c r="C1433" s="5">
        <v>14.1322345733642</v>
      </c>
      <c r="D1433" s="5">
        <v>391.380401611328</v>
      </c>
      <c r="E1433" s="7">
        <f t="shared" ref="E1433:F1433" si="1431">C1433/C1432-1</f>
        <v>-0.005441215802</v>
      </c>
      <c r="F1433" s="7">
        <f t="shared" si="1431"/>
        <v>-0.002544668388</v>
      </c>
    </row>
    <row r="1434">
      <c r="A1434" s="3">
        <f>IFERROR(__xludf.DUMMYFUNCTION("""COMPUTED_VALUE"""),44334.66666666667)</f>
        <v>44334.66667</v>
      </c>
      <c r="B1434" s="5">
        <f>IFERROR(__xludf.DUMMYFUNCTION("""COMPUTED_VALUE"""),14.02)</f>
        <v>14.02</v>
      </c>
      <c r="C1434" s="5">
        <v>13.9828367233276</v>
      </c>
      <c r="D1434" s="5">
        <v>388.008361816406</v>
      </c>
      <c r="E1434" s="7">
        <f t="shared" ref="E1434:F1434" si="1432">C1434/C1433-1</f>
        <v>-0.01057142445</v>
      </c>
      <c r="F1434" s="7">
        <f t="shared" si="1432"/>
        <v>-0.008615760475</v>
      </c>
    </row>
    <row r="1435">
      <c r="A1435" s="3">
        <f>IFERROR(__xludf.DUMMYFUNCTION("""COMPUTED_VALUE"""),44335.66666666667)</f>
        <v>44335.66667</v>
      </c>
      <c r="B1435" s="5">
        <f>IFERROR(__xludf.DUMMYFUNCTION("""COMPUTED_VALUE"""),14.07)</f>
        <v>14.07</v>
      </c>
      <c r="C1435" s="5">
        <v>14.0327205657958</v>
      </c>
      <c r="D1435" s="5">
        <v>386.991149902343</v>
      </c>
      <c r="E1435" s="7">
        <f t="shared" ref="E1435:F1435" si="1433">C1435/C1434-1</f>
        <v>0.003567505182</v>
      </c>
      <c r="F1435" s="7">
        <f t="shared" si="1433"/>
        <v>-0.002621623692</v>
      </c>
    </row>
    <row r="1436">
      <c r="A1436" s="3">
        <f>IFERROR(__xludf.DUMMYFUNCTION("""COMPUTED_VALUE"""),44336.66666666667)</f>
        <v>44336.66667</v>
      </c>
      <c r="B1436" s="5">
        <f>IFERROR(__xludf.DUMMYFUNCTION("""COMPUTED_VALUE"""),14.61)</f>
        <v>14.61</v>
      </c>
      <c r="C1436" s="5">
        <v>14.5781831741333</v>
      </c>
      <c r="D1436" s="5">
        <v>391.154418945312</v>
      </c>
      <c r="E1436" s="7">
        <f t="shared" ref="E1436:F1436" si="1434">C1436/C1435-1</f>
        <v>0.03887076678</v>
      </c>
      <c r="F1436" s="7">
        <f t="shared" si="1434"/>
        <v>0.01075804716</v>
      </c>
    </row>
    <row r="1437">
      <c r="A1437" s="3">
        <f>IFERROR(__xludf.DUMMYFUNCTION("""COMPUTED_VALUE"""),44337.66666666667)</f>
        <v>44337.66667</v>
      </c>
      <c r="B1437" s="5">
        <f>IFERROR(__xludf.DUMMYFUNCTION("""COMPUTED_VALUE"""),14.99)</f>
        <v>14.99</v>
      </c>
      <c r="C1437" s="5">
        <v>14.9565439224243</v>
      </c>
      <c r="D1437" s="5">
        <v>390.83413696289</v>
      </c>
      <c r="E1437" s="7">
        <f t="shared" ref="E1437:F1437" si="1435">C1437/C1436-1</f>
        <v>0.02595390274</v>
      </c>
      <c r="F1437" s="7">
        <f t="shared" si="1435"/>
        <v>-0.0008188121287</v>
      </c>
    </row>
    <row r="1438">
      <c r="A1438" s="3">
        <f>IFERROR(__xludf.DUMMYFUNCTION("""COMPUTED_VALUE"""),44340.66666666667)</f>
        <v>44340.66667</v>
      </c>
      <c r="B1438" s="5">
        <f>IFERROR(__xludf.DUMMYFUNCTION("""COMPUTED_VALUE"""),15.61)</f>
        <v>15.61</v>
      </c>
      <c r="C1438" s="5">
        <v>15.5753393173217</v>
      </c>
      <c r="D1438" s="5">
        <v>394.818389892578</v>
      </c>
      <c r="E1438" s="7">
        <f t="shared" ref="E1438:F1438" si="1436">C1438/C1437-1</f>
        <v>0.04137288655</v>
      </c>
      <c r="F1438" s="7">
        <f t="shared" si="1436"/>
        <v>0.01019422961</v>
      </c>
    </row>
    <row r="1439">
      <c r="A1439" s="3">
        <f>IFERROR(__xludf.DUMMYFUNCTION("""COMPUTED_VALUE"""),44341.66666666667)</f>
        <v>44341.66667</v>
      </c>
      <c r="B1439" s="5">
        <f>IFERROR(__xludf.DUMMYFUNCTION("""COMPUTED_VALUE"""),15.65)</f>
        <v>15.65</v>
      </c>
      <c r="C1439" s="5">
        <v>15.6110019683837</v>
      </c>
      <c r="D1439" s="5">
        <v>393.942474365234</v>
      </c>
      <c r="E1439" s="7">
        <f t="shared" ref="E1439:F1439" si="1437">C1439/C1438-1</f>
        <v>0.002289686943</v>
      </c>
      <c r="F1439" s="7">
        <f t="shared" si="1437"/>
        <v>-0.002218527682</v>
      </c>
    </row>
    <row r="1440">
      <c r="A1440" s="3">
        <f>IFERROR(__xludf.DUMMYFUNCTION("""COMPUTED_VALUE"""),44342.66666666667)</f>
        <v>44342.66667</v>
      </c>
      <c r="B1440" s="5">
        <f>IFERROR(__xludf.DUMMYFUNCTION("""COMPUTED_VALUE"""),15.7)</f>
        <v>15.7</v>
      </c>
      <c r="C1440" s="5">
        <v>15.6631317138671</v>
      </c>
      <c r="D1440" s="5">
        <v>394.72427368164</v>
      </c>
      <c r="E1440" s="7">
        <f t="shared" ref="E1440:F1440" si="1438">C1440/C1439-1</f>
        <v>0.003339295299</v>
      </c>
      <c r="F1440" s="7">
        <f t="shared" si="1438"/>
        <v>0.001984551977</v>
      </c>
    </row>
    <row r="1441">
      <c r="A1441" s="3">
        <f>IFERROR(__xludf.DUMMYFUNCTION("""COMPUTED_VALUE"""),44343.66666666667)</f>
        <v>44343.66667</v>
      </c>
      <c r="B1441" s="5">
        <f>IFERROR(__xludf.DUMMYFUNCTION("""COMPUTED_VALUE"""),15.49)</f>
        <v>15.49</v>
      </c>
      <c r="C1441" s="5">
        <v>15.4516305923461</v>
      </c>
      <c r="D1441" s="5">
        <v>394.931427001953</v>
      </c>
      <c r="E1441" s="7">
        <f t="shared" ref="E1441:F1441" si="1439">C1441/C1440-1</f>
        <v>-0.01350311837</v>
      </c>
      <c r="F1441" s="7">
        <f t="shared" si="1439"/>
        <v>0.0005248051213</v>
      </c>
    </row>
    <row r="1442">
      <c r="A1442" s="3">
        <f>IFERROR(__xludf.DUMMYFUNCTION("""COMPUTED_VALUE"""),44344.66666666667)</f>
        <v>44344.66667</v>
      </c>
      <c r="B1442" s="5">
        <f>IFERROR(__xludf.DUMMYFUNCTION("""COMPUTED_VALUE"""),16.24)</f>
        <v>16.24</v>
      </c>
      <c r="C1442" s="5">
        <v>16.2063484191894</v>
      </c>
      <c r="D1442" s="5">
        <v>395.63784790039</v>
      </c>
      <c r="E1442" s="7">
        <f t="shared" ref="E1442:F1442" si="1440">C1442/C1441-1</f>
        <v>0.0488438953</v>
      </c>
      <c r="F1442" s="7">
        <f t="shared" si="1440"/>
        <v>0.001788717864</v>
      </c>
    </row>
    <row r="1443">
      <c r="A1443" s="3">
        <f>IFERROR(__xludf.DUMMYFUNCTION("""COMPUTED_VALUE"""),44348.66666666667)</f>
        <v>44348.66667</v>
      </c>
      <c r="B1443" s="5">
        <f>IFERROR(__xludf.DUMMYFUNCTION("""COMPUTED_VALUE"""),16.26)</f>
        <v>16.26</v>
      </c>
      <c r="C1443" s="5">
        <v>16.2263011932373</v>
      </c>
      <c r="D1443" s="5">
        <v>395.289428710937</v>
      </c>
      <c r="E1443" s="7">
        <f t="shared" ref="E1443:F1443" si="1441">C1443/C1442-1</f>
        <v>0.001231170251</v>
      </c>
      <c r="F1443" s="7">
        <f t="shared" si="1441"/>
        <v>-0.0008806518166</v>
      </c>
    </row>
    <row r="1444">
      <c r="A1444" s="3">
        <f>IFERROR(__xludf.DUMMYFUNCTION("""COMPUTED_VALUE"""),44349.66666666667)</f>
        <v>44349.66667</v>
      </c>
      <c r="B1444" s="5">
        <f>IFERROR(__xludf.DUMMYFUNCTION("""COMPUTED_VALUE"""),16.78)</f>
        <v>16.78</v>
      </c>
      <c r="C1444" s="5">
        <v>16.7388477325439</v>
      </c>
      <c r="D1444" s="5">
        <v>395.910980224609</v>
      </c>
      <c r="E1444" s="7">
        <f t="shared" ref="E1444:F1444" si="1442">C1444/C1443-1</f>
        <v>0.03158739217</v>
      </c>
      <c r="F1444" s="7">
        <f t="shared" si="1442"/>
        <v>0.001572395993</v>
      </c>
    </row>
    <row r="1445">
      <c r="A1445" s="3">
        <f>IFERROR(__xludf.DUMMYFUNCTION("""COMPUTED_VALUE"""),44350.66666666667)</f>
        <v>44350.66667</v>
      </c>
      <c r="B1445" s="5">
        <f>IFERROR(__xludf.DUMMYFUNCTION("""COMPUTED_VALUE"""),16.97)</f>
        <v>16.97</v>
      </c>
      <c r="C1445" s="5">
        <v>16.9299011230468</v>
      </c>
      <c r="D1445" s="5">
        <v>394.441650390625</v>
      </c>
      <c r="E1445" s="7">
        <f t="shared" ref="E1445:F1445" si="1443">C1445/C1444-1</f>
        <v>0.01141377194</v>
      </c>
      <c r="F1445" s="7">
        <f t="shared" si="1443"/>
        <v>-0.003711263156</v>
      </c>
    </row>
    <row r="1446">
      <c r="A1446" s="3">
        <f>IFERROR(__xludf.DUMMYFUNCTION("""COMPUTED_VALUE"""),44351.66666666667)</f>
        <v>44351.66667</v>
      </c>
      <c r="B1446" s="5">
        <f>IFERROR(__xludf.DUMMYFUNCTION("""COMPUTED_VALUE"""),17.58)</f>
        <v>17.58</v>
      </c>
      <c r="C1446" s="5">
        <v>17.5369777679443</v>
      </c>
      <c r="D1446" s="5">
        <v>398.049133300781</v>
      </c>
      <c r="E1446" s="7">
        <f t="shared" ref="E1446:F1446" si="1444">C1446/C1445-1</f>
        <v>0.03585825106</v>
      </c>
      <c r="F1446" s="7">
        <f t="shared" si="1444"/>
        <v>0.009145796106</v>
      </c>
    </row>
    <row r="1447">
      <c r="A1447" s="3">
        <f>IFERROR(__xludf.DUMMYFUNCTION("""COMPUTED_VALUE"""),44354.66666666667)</f>
        <v>44354.66667</v>
      </c>
      <c r="B1447" s="5">
        <f>IFERROR(__xludf.DUMMYFUNCTION("""COMPUTED_VALUE"""),17.62)</f>
        <v>17.62</v>
      </c>
      <c r="C1447" s="5">
        <v>17.5776233673095</v>
      </c>
      <c r="D1447" s="5">
        <v>397.662902832031</v>
      </c>
      <c r="E1447" s="7">
        <f t="shared" ref="E1447:F1447" si="1445">C1447/C1446-1</f>
        <v>0.002317708325</v>
      </c>
      <c r="F1447" s="7">
        <f t="shared" si="1445"/>
        <v>-0.0009703085284</v>
      </c>
    </row>
    <row r="1448">
      <c r="A1448" s="3">
        <f>IFERROR(__xludf.DUMMYFUNCTION("""COMPUTED_VALUE"""),44355.66666666667)</f>
        <v>44355.66667</v>
      </c>
      <c r="B1448" s="5">
        <f>IFERROR(__xludf.DUMMYFUNCTION("""COMPUTED_VALUE"""),17.46)</f>
        <v>17.46</v>
      </c>
      <c r="C1448" s="5">
        <v>17.4160060882568</v>
      </c>
      <c r="D1448" s="5">
        <v>397.74771118164</v>
      </c>
      <c r="E1448" s="7">
        <f t="shared" ref="E1448:F1448" si="1446">C1448/C1447-1</f>
        <v>-0.009194489817</v>
      </c>
      <c r="F1448" s="7">
        <f t="shared" si="1446"/>
        <v>0.0002132669379</v>
      </c>
    </row>
    <row r="1449">
      <c r="A1449" s="3">
        <f>IFERROR(__xludf.DUMMYFUNCTION("""COMPUTED_VALUE"""),44356.66666666667)</f>
        <v>44356.66667</v>
      </c>
      <c r="B1449" s="5">
        <f>IFERROR(__xludf.DUMMYFUNCTION("""COMPUTED_VALUE"""),17.36)</f>
        <v>17.36</v>
      </c>
      <c r="C1449" s="5">
        <v>17.3214569091796</v>
      </c>
      <c r="D1449" s="5">
        <v>397.154357910156</v>
      </c>
      <c r="E1449" s="7">
        <f t="shared" ref="E1449:F1449" si="1447">C1449/C1448-1</f>
        <v>-0.005428866905</v>
      </c>
      <c r="F1449" s="7">
        <f t="shared" si="1447"/>
        <v>-0.001491782994</v>
      </c>
    </row>
    <row r="1450">
      <c r="A1450" s="3">
        <f>IFERROR(__xludf.DUMMYFUNCTION("""COMPUTED_VALUE"""),44357.66666666667)</f>
        <v>44357.66667</v>
      </c>
      <c r="B1450" s="5">
        <f>IFERROR(__xludf.DUMMYFUNCTION("""COMPUTED_VALUE"""),17.43)</f>
        <v>17.43</v>
      </c>
      <c r="C1450" s="5">
        <v>17.3880634307861</v>
      </c>
      <c r="D1450" s="5">
        <v>399.000457763671</v>
      </c>
      <c r="E1450" s="7">
        <f t="shared" ref="E1450:F1450" si="1448">C1450/C1449-1</f>
        <v>0.003845318668</v>
      </c>
      <c r="F1450" s="7">
        <f t="shared" si="1448"/>
        <v>0.004648318259</v>
      </c>
    </row>
    <row r="1451">
      <c r="A1451" s="3">
        <f>IFERROR(__xludf.DUMMYFUNCTION("""COMPUTED_VALUE"""),44358.66666666667)</f>
        <v>44358.66667</v>
      </c>
      <c r="B1451" s="5">
        <f>IFERROR(__xludf.DUMMYFUNCTION("""COMPUTED_VALUE"""),17.83)</f>
        <v>17.83</v>
      </c>
      <c r="C1451" s="5">
        <v>17.7874641418457</v>
      </c>
      <c r="D1451" s="5">
        <v>399.659790039062</v>
      </c>
      <c r="E1451" s="7">
        <f t="shared" ref="E1451:F1451" si="1449">C1451/C1450-1</f>
        <v>0.02296982137</v>
      </c>
      <c r="F1451" s="7">
        <f t="shared" si="1449"/>
        <v>0.001652459947</v>
      </c>
    </row>
    <row r="1452">
      <c r="A1452" s="3">
        <f>IFERROR(__xludf.DUMMYFUNCTION("""COMPUTED_VALUE"""),44361.66666666667)</f>
        <v>44361.66667</v>
      </c>
      <c r="B1452" s="5">
        <f>IFERROR(__xludf.DUMMYFUNCTION("""COMPUTED_VALUE"""),18.02)</f>
        <v>18.02</v>
      </c>
      <c r="C1452" s="5">
        <v>17.9805564880371</v>
      </c>
      <c r="D1452" s="5">
        <v>400.554595947265</v>
      </c>
      <c r="E1452" s="7">
        <f t="shared" ref="E1452:F1452" si="1450">C1452/C1451-1</f>
        <v>0.01085552975</v>
      </c>
      <c r="F1452" s="7">
        <f t="shared" si="1450"/>
        <v>0.002238919027</v>
      </c>
    </row>
    <row r="1453">
      <c r="A1453" s="3">
        <f>IFERROR(__xludf.DUMMYFUNCTION("""COMPUTED_VALUE"""),44362.66666666667)</f>
        <v>44362.66667</v>
      </c>
      <c r="B1453" s="5">
        <f>IFERROR(__xludf.DUMMYFUNCTION("""COMPUTED_VALUE"""),17.79)</f>
        <v>17.79</v>
      </c>
      <c r="C1453" s="5">
        <v>17.7507934570312</v>
      </c>
      <c r="D1453" s="5">
        <v>399.819946289062</v>
      </c>
      <c r="E1453" s="7">
        <f t="shared" ref="E1453:F1453" si="1451">C1453/C1452-1</f>
        <v>-0.01277841602</v>
      </c>
      <c r="F1453" s="7">
        <f t="shared" si="1451"/>
        <v>-0.00183408121</v>
      </c>
    </row>
    <row r="1454">
      <c r="A1454" s="3">
        <f>IFERROR(__xludf.DUMMYFUNCTION("""COMPUTED_VALUE"""),44363.66666666667)</f>
        <v>44363.66667</v>
      </c>
      <c r="B1454" s="5">
        <f>IFERROR(__xludf.DUMMYFUNCTION("""COMPUTED_VALUE"""),17.81)</f>
        <v>17.81</v>
      </c>
      <c r="C1454" s="5">
        <v>17.7724990844726</v>
      </c>
      <c r="D1454" s="5">
        <v>397.587615966796</v>
      </c>
      <c r="E1454" s="7">
        <f t="shared" ref="E1454:F1454" si="1452">C1454/C1453-1</f>
        <v>0.001222797589</v>
      </c>
      <c r="F1454" s="7">
        <f t="shared" si="1452"/>
        <v>-0.005583339058</v>
      </c>
    </row>
    <row r="1455">
      <c r="A1455" s="3">
        <f>IFERROR(__xludf.DUMMYFUNCTION("""COMPUTED_VALUE"""),44364.66666666667)</f>
        <v>44364.66667</v>
      </c>
      <c r="B1455" s="5">
        <f>IFERROR(__xludf.DUMMYFUNCTION("""COMPUTED_VALUE"""),18.66)</f>
        <v>18.66</v>
      </c>
      <c r="C1455" s="5">
        <v>18.6177024841308</v>
      </c>
      <c r="D1455" s="5">
        <v>397.455749511718</v>
      </c>
      <c r="E1455" s="7">
        <f t="shared" ref="E1455:F1455" si="1453">C1455/C1454-1</f>
        <v>0.04755681211</v>
      </c>
      <c r="F1455" s="7">
        <f t="shared" si="1453"/>
        <v>-0.0003316664045</v>
      </c>
    </row>
    <row r="1456">
      <c r="A1456" s="3">
        <f>IFERROR(__xludf.DUMMYFUNCTION("""COMPUTED_VALUE"""),44365.66666666667)</f>
        <v>44365.66667</v>
      </c>
      <c r="B1456" s="5">
        <f>IFERROR(__xludf.DUMMYFUNCTION("""COMPUTED_VALUE"""),18.64)</f>
        <v>18.64</v>
      </c>
      <c r="C1456" s="5">
        <v>18.5992412567138</v>
      </c>
      <c r="D1456" s="5">
        <v>392.093933105468</v>
      </c>
      <c r="E1456" s="7">
        <f t="shared" ref="E1456:F1456" si="1454">C1456/C1455-1</f>
        <v>-0.0009915953611</v>
      </c>
      <c r="F1456" s="7">
        <f t="shared" si="1454"/>
        <v>-0.01349034808</v>
      </c>
    </row>
    <row r="1457">
      <c r="A1457" s="3">
        <f>IFERROR(__xludf.DUMMYFUNCTION("""COMPUTED_VALUE"""),44368.66666666667)</f>
        <v>44368.66667</v>
      </c>
      <c r="B1457" s="5">
        <f>IFERROR(__xludf.DUMMYFUNCTION("""COMPUTED_VALUE"""),18.43)</f>
        <v>18.43</v>
      </c>
      <c r="C1457" s="5">
        <v>18.3881912231445</v>
      </c>
      <c r="D1457" s="5">
        <v>397.707061767578</v>
      </c>
      <c r="E1457" s="7">
        <f t="shared" ref="E1457:F1457" si="1455">C1457/C1456-1</f>
        <v>-0.01134723888</v>
      </c>
      <c r="F1457" s="7">
        <f t="shared" si="1455"/>
        <v>0.01431577535</v>
      </c>
    </row>
    <row r="1458">
      <c r="A1458" s="3">
        <f>IFERROR(__xludf.DUMMYFUNCTION("""COMPUTED_VALUE"""),44369.66666666667)</f>
        <v>44369.66667</v>
      </c>
      <c r="B1458" s="5">
        <f>IFERROR(__xludf.DUMMYFUNCTION("""COMPUTED_VALUE"""),18.89)</f>
        <v>18.89</v>
      </c>
      <c r="C1458" s="5">
        <v>18.846715927124</v>
      </c>
      <c r="D1458" s="5">
        <v>399.833282470703</v>
      </c>
      <c r="E1458" s="7">
        <f t="shared" ref="E1458:F1458" si="1456">C1458/C1457-1</f>
        <v>0.02493582422</v>
      </c>
      <c r="F1458" s="7">
        <f t="shared" si="1456"/>
        <v>0.005346198012</v>
      </c>
    </row>
    <row r="1459">
      <c r="A1459" s="3">
        <f>IFERROR(__xludf.DUMMYFUNCTION("""COMPUTED_VALUE"""),44370.66666666667)</f>
        <v>44370.66667</v>
      </c>
      <c r="B1459" s="5">
        <f>IFERROR(__xludf.DUMMYFUNCTION("""COMPUTED_VALUE"""),19.06)</f>
        <v>19.06</v>
      </c>
      <c r="C1459" s="5">
        <v>19.0168552398681</v>
      </c>
      <c r="D1459" s="5">
        <v>399.351379394531</v>
      </c>
      <c r="E1459" s="7">
        <f t="shared" ref="E1459:F1459" si="1457">C1459/C1458-1</f>
        <v>0.009027531025</v>
      </c>
      <c r="F1459" s="7">
        <f t="shared" si="1457"/>
        <v>-0.001205260035</v>
      </c>
    </row>
    <row r="1460">
      <c r="A1460" s="3">
        <f>IFERROR(__xludf.DUMMYFUNCTION("""COMPUTED_VALUE"""),44371.66666666667)</f>
        <v>44371.66667</v>
      </c>
      <c r="B1460" s="5">
        <f>IFERROR(__xludf.DUMMYFUNCTION("""COMPUTED_VALUE"""),19.21)</f>
        <v>19.21</v>
      </c>
      <c r="C1460" s="5">
        <v>19.1647930145263</v>
      </c>
      <c r="D1460" s="5">
        <v>401.713775634765</v>
      </c>
      <c r="E1460" s="7">
        <f t="shared" ref="E1460:F1460" si="1458">C1460/C1459-1</f>
        <v>0.007779297512</v>
      </c>
      <c r="F1460" s="7">
        <f t="shared" si="1458"/>
        <v>0.005915583023</v>
      </c>
    </row>
    <row r="1461">
      <c r="A1461" s="3">
        <f>IFERROR(__xludf.DUMMYFUNCTION("""COMPUTED_VALUE"""),44372.66666666667)</f>
        <v>44372.66667</v>
      </c>
      <c r="B1461" s="5">
        <f>IFERROR(__xludf.DUMMYFUNCTION("""COMPUTED_VALUE"""),19.03)</f>
        <v>19.03</v>
      </c>
      <c r="C1461" s="5">
        <v>18.9906635284423</v>
      </c>
      <c r="D1461" s="5">
        <v>403.14077758789</v>
      </c>
      <c r="E1461" s="7">
        <f t="shared" ref="E1461:F1461" si="1459">C1461/C1460-1</f>
        <v>-0.009085904865</v>
      </c>
      <c r="F1461" s="7">
        <f t="shared" si="1459"/>
        <v>0.003552285333</v>
      </c>
    </row>
    <row r="1462">
      <c r="A1462" s="3">
        <f>IFERROR(__xludf.DUMMYFUNCTION("""COMPUTED_VALUE"""),44375.66666666667)</f>
        <v>44375.66667</v>
      </c>
      <c r="B1462" s="5">
        <f>IFERROR(__xludf.DUMMYFUNCTION("""COMPUTED_VALUE"""),19.99)</f>
        <v>19.99</v>
      </c>
      <c r="C1462" s="5">
        <v>19.9426441192626</v>
      </c>
      <c r="D1462" s="5">
        <v>403.953521728515</v>
      </c>
      <c r="E1462" s="7">
        <f t="shared" ref="E1462:F1462" si="1460">C1462/C1461-1</f>
        <v>0.05012887461</v>
      </c>
      <c r="F1462" s="7">
        <f t="shared" si="1460"/>
        <v>0.002016030592</v>
      </c>
    </row>
    <row r="1463">
      <c r="A1463" s="3">
        <f>IFERROR(__xludf.DUMMYFUNCTION("""COMPUTED_VALUE"""),44376.66666666667)</f>
        <v>44376.66667</v>
      </c>
      <c r="B1463" s="5">
        <f>IFERROR(__xludf.DUMMYFUNCTION("""COMPUTED_VALUE"""),20.03)</f>
        <v>20.03</v>
      </c>
      <c r="C1463" s="5">
        <v>19.9843006134033</v>
      </c>
      <c r="D1463" s="5">
        <v>404.170806884765</v>
      </c>
      <c r="E1463" s="7">
        <f t="shared" ref="E1463:F1463" si="1461">C1463/C1462-1</f>
        <v>0.002088814998</v>
      </c>
      <c r="F1463" s="7">
        <f t="shared" si="1461"/>
        <v>0.0005378964276</v>
      </c>
    </row>
    <row r="1464">
      <c r="A1464" s="3">
        <f>IFERROR(__xludf.DUMMYFUNCTION("""COMPUTED_VALUE"""),44377.66666666667)</f>
        <v>44377.66667</v>
      </c>
      <c r="B1464" s="5">
        <f>IFERROR(__xludf.DUMMYFUNCTION("""COMPUTED_VALUE"""),20.0)</f>
        <v>20</v>
      </c>
      <c r="C1464" s="5">
        <v>19.9601001739501</v>
      </c>
      <c r="D1464" s="5">
        <v>404.510986328125</v>
      </c>
      <c r="E1464" s="7">
        <f t="shared" ref="E1464:F1464" si="1462">C1464/C1463-1</f>
        <v>-0.001210972549</v>
      </c>
      <c r="F1464" s="7">
        <f t="shared" si="1462"/>
        <v>0.000841672475</v>
      </c>
    </row>
    <row r="1465">
      <c r="A1465" s="3">
        <f>IFERROR(__xludf.DUMMYFUNCTION("""COMPUTED_VALUE"""),44378.66666666667)</f>
        <v>44378.66667</v>
      </c>
      <c r="B1465" s="5">
        <f>IFERROR(__xludf.DUMMYFUNCTION("""COMPUTED_VALUE"""),20.21)</f>
        <v>20.21</v>
      </c>
      <c r="C1465" s="5">
        <v>20.1691551208496</v>
      </c>
      <c r="D1465" s="5">
        <v>406.750579833984</v>
      </c>
      <c r="E1465" s="7">
        <f t="shared" ref="E1465:F1465" si="1463">C1465/C1464-1</f>
        <v>0.01047364217</v>
      </c>
      <c r="F1465" s="7">
        <f t="shared" si="1463"/>
        <v>0.005536545561</v>
      </c>
    </row>
    <row r="1466">
      <c r="A1466" s="3">
        <f>IFERROR(__xludf.DUMMYFUNCTION("""COMPUTED_VALUE"""),44379.66666666667)</f>
        <v>44379.66667</v>
      </c>
      <c r="B1466" s="5">
        <f>IFERROR(__xludf.DUMMYFUNCTION("""COMPUTED_VALUE"""),20.49)</f>
        <v>20.49</v>
      </c>
      <c r="C1466" s="5">
        <v>20.4435768127441</v>
      </c>
      <c r="D1466" s="5">
        <v>409.859710693359</v>
      </c>
      <c r="E1466" s="7">
        <f t="shared" ref="E1466:F1466" si="1464">C1466/C1465-1</f>
        <v>0.0136060083</v>
      </c>
      <c r="F1466" s="7">
        <f t="shared" si="1464"/>
        <v>0.007643826496</v>
      </c>
    </row>
    <row r="1467">
      <c r="A1467" s="3">
        <f>IFERROR(__xludf.DUMMYFUNCTION("""COMPUTED_VALUE"""),44383.66666666667)</f>
        <v>44383.66667</v>
      </c>
      <c r="B1467" s="5">
        <f>IFERROR(__xludf.DUMMYFUNCTION("""COMPUTED_VALUE"""),20.7)</f>
        <v>20.7</v>
      </c>
      <c r="C1467" s="5">
        <v>20.6546268463134</v>
      </c>
      <c r="D1467" s="5">
        <v>409.113098144531</v>
      </c>
      <c r="E1467" s="7">
        <f t="shared" ref="E1467:F1467" si="1465">C1467/C1466-1</f>
        <v>0.01032353758</v>
      </c>
      <c r="F1467" s="7">
        <f t="shared" si="1465"/>
        <v>-0.001821629522</v>
      </c>
    </row>
    <row r="1468">
      <c r="A1468" s="3">
        <f>IFERROR(__xludf.DUMMYFUNCTION("""COMPUTED_VALUE"""),44384.66666666667)</f>
        <v>44384.66667</v>
      </c>
      <c r="B1468" s="5">
        <f>IFERROR(__xludf.DUMMYFUNCTION("""COMPUTED_VALUE"""),20.37)</f>
        <v>20.37</v>
      </c>
      <c r="C1468" s="5">
        <v>20.3285675048828</v>
      </c>
      <c r="D1468" s="5">
        <v>410.558959960937</v>
      </c>
      <c r="E1468" s="7">
        <f t="shared" ref="E1468:F1468" si="1466">C1468/C1467-1</f>
        <v>-0.01578626154</v>
      </c>
      <c r="F1468" s="7">
        <f t="shared" si="1466"/>
        <v>0.003534137193</v>
      </c>
    </row>
    <row r="1469">
      <c r="A1469" s="3">
        <f>IFERROR(__xludf.DUMMYFUNCTION("""COMPUTED_VALUE"""),44385.66666666667)</f>
        <v>44385.66667</v>
      </c>
      <c r="B1469" s="5">
        <f>IFERROR(__xludf.DUMMYFUNCTION("""COMPUTED_VALUE"""),19.9)</f>
        <v>19.9</v>
      </c>
      <c r="C1469" s="5">
        <v>19.8605651855468</v>
      </c>
      <c r="D1469" s="5">
        <v>407.213745117187</v>
      </c>
      <c r="E1469" s="7">
        <f t="shared" ref="E1469:F1469" si="1467">C1469/C1468-1</f>
        <v>-0.0230219035</v>
      </c>
      <c r="F1469" s="7">
        <f t="shared" si="1467"/>
        <v>-0.008147952353</v>
      </c>
    </row>
    <row r="1470">
      <c r="A1470" s="3">
        <f>IFERROR(__xludf.DUMMYFUNCTION("""COMPUTED_VALUE"""),44386.66666666667)</f>
        <v>44386.66667</v>
      </c>
      <c r="B1470" s="5">
        <f>IFERROR(__xludf.DUMMYFUNCTION("""COMPUTED_VALUE"""),20.05)</f>
        <v>20.05</v>
      </c>
      <c r="C1470" s="5">
        <v>20.0077476501464</v>
      </c>
      <c r="D1470" s="5">
        <v>411.560607910156</v>
      </c>
      <c r="E1470" s="7">
        <f t="shared" ref="E1470:F1470" si="1468">C1470/C1469-1</f>
        <v>0.007410789332</v>
      </c>
      <c r="F1470" s="7">
        <f t="shared" si="1468"/>
        <v>0.01067464653</v>
      </c>
    </row>
    <row r="1471">
      <c r="A1471" s="3">
        <f>IFERROR(__xludf.DUMMYFUNCTION("""COMPUTED_VALUE"""),44389.66666666667)</f>
        <v>44389.66667</v>
      </c>
      <c r="B1471" s="5">
        <f>IFERROR(__xludf.DUMMYFUNCTION("""COMPUTED_VALUE"""),20.51)</f>
        <v>20.51</v>
      </c>
      <c r="C1471" s="5">
        <v>20.4690227508544</v>
      </c>
      <c r="D1471" s="5">
        <v>413.034790039062</v>
      </c>
      <c r="E1471" s="7">
        <f t="shared" ref="E1471:F1471" si="1469">C1471/C1470-1</f>
        <v>0.023054824</v>
      </c>
      <c r="F1471" s="7">
        <f t="shared" si="1469"/>
        <v>0.003581932043</v>
      </c>
    </row>
    <row r="1472">
      <c r="A1472" s="3">
        <f>IFERROR(__xludf.DUMMYFUNCTION("""COMPUTED_VALUE"""),44390.66666666667)</f>
        <v>44390.66667</v>
      </c>
      <c r="B1472" s="5">
        <f>IFERROR(__xludf.DUMMYFUNCTION("""COMPUTED_VALUE"""),20.25)</f>
        <v>20.25</v>
      </c>
      <c r="C1472" s="5">
        <v>20.2070789337158</v>
      </c>
      <c r="D1472" s="5">
        <v>411.626708984375</v>
      </c>
      <c r="E1472" s="7">
        <f t="shared" ref="E1472:F1472" si="1470">C1472/C1471-1</f>
        <v>-0.01279708466</v>
      </c>
      <c r="F1472" s="7">
        <f t="shared" si="1470"/>
        <v>-0.003409110052</v>
      </c>
    </row>
    <row r="1473">
      <c r="A1473" s="3">
        <f>IFERROR(__xludf.DUMMYFUNCTION("""COMPUTED_VALUE"""),44391.66666666667)</f>
        <v>44391.66667</v>
      </c>
      <c r="B1473" s="5">
        <f>IFERROR(__xludf.DUMMYFUNCTION("""COMPUTED_VALUE"""),19.84)</f>
        <v>19.84</v>
      </c>
      <c r="C1473" s="5">
        <v>19.7994403839111</v>
      </c>
      <c r="D1473" s="5">
        <v>412.240997314453</v>
      </c>
      <c r="E1473" s="7">
        <f t="shared" ref="E1473:F1473" si="1471">C1473/C1472-1</f>
        <v>-0.02017305674</v>
      </c>
      <c r="F1473" s="7">
        <f t="shared" si="1471"/>
        <v>0.001492343224</v>
      </c>
    </row>
    <row r="1474">
      <c r="A1474" s="3">
        <f>IFERROR(__xludf.DUMMYFUNCTION("""COMPUTED_VALUE"""),44392.66666666667)</f>
        <v>44392.66667</v>
      </c>
      <c r="B1474" s="5">
        <f>IFERROR(__xludf.DUMMYFUNCTION("""COMPUTED_VALUE"""),18.97)</f>
        <v>18.97</v>
      </c>
      <c r="C1474" s="5">
        <v>18.9260501861572</v>
      </c>
      <c r="D1474" s="5">
        <v>410.833038330078</v>
      </c>
      <c r="E1474" s="7">
        <f t="shared" ref="E1474:F1474" si="1472">C1474/C1473-1</f>
        <v>-0.0441118628</v>
      </c>
      <c r="F1474" s="7">
        <f t="shared" si="1472"/>
        <v>-0.003415378367</v>
      </c>
    </row>
    <row r="1475">
      <c r="A1475" s="3">
        <f>IFERROR(__xludf.DUMMYFUNCTION("""COMPUTED_VALUE"""),44393.66666666667)</f>
        <v>44393.66667</v>
      </c>
      <c r="B1475" s="5">
        <f>IFERROR(__xludf.DUMMYFUNCTION("""COMPUTED_VALUE"""),18.16)</f>
        <v>18.16</v>
      </c>
      <c r="C1475" s="5">
        <v>18.1224994659423</v>
      </c>
      <c r="D1475" s="5">
        <v>407.610565185546</v>
      </c>
      <c r="E1475" s="7">
        <f t="shared" ref="E1475:F1475" si="1473">C1475/C1474-1</f>
        <v>-0.04245739139</v>
      </c>
      <c r="F1475" s="7">
        <f t="shared" si="1473"/>
        <v>-0.007843753651</v>
      </c>
    </row>
    <row r="1476">
      <c r="A1476" s="3">
        <f>IFERROR(__xludf.DUMMYFUNCTION("""COMPUTED_VALUE"""),44396.66666666667)</f>
        <v>44396.66667</v>
      </c>
      <c r="B1476" s="5">
        <f>IFERROR(__xludf.DUMMYFUNCTION("""COMPUTED_VALUE"""),18.78)</f>
        <v>18.78</v>
      </c>
      <c r="C1476" s="5">
        <v>18.7399444580078</v>
      </c>
      <c r="D1476" s="5">
        <v>401.591033935546</v>
      </c>
      <c r="E1476" s="7">
        <f t="shared" ref="E1476:F1476" si="1474">C1476/C1475-1</f>
        <v>0.034070631</v>
      </c>
      <c r="F1476" s="7">
        <f t="shared" si="1474"/>
        <v>-0.01476784893</v>
      </c>
    </row>
    <row r="1477">
      <c r="A1477" s="3">
        <f>IFERROR(__xludf.DUMMYFUNCTION("""COMPUTED_VALUE"""),44397.66666666667)</f>
        <v>44397.66667</v>
      </c>
      <c r="B1477" s="5">
        <f>IFERROR(__xludf.DUMMYFUNCTION("""COMPUTED_VALUE"""),18.61)</f>
        <v>18.61</v>
      </c>
      <c r="C1477" s="5">
        <v>18.5725517272949</v>
      </c>
      <c r="D1477" s="5">
        <v>407.345977783203</v>
      </c>
      <c r="E1477" s="7">
        <f t="shared" ref="E1477:F1477" si="1475">C1477/C1476-1</f>
        <v>-0.008932402713</v>
      </c>
      <c r="F1477" s="7">
        <f t="shared" si="1475"/>
        <v>0.0143303594</v>
      </c>
    </row>
    <row r="1478">
      <c r="A1478" s="3">
        <f>IFERROR(__xludf.DUMMYFUNCTION("""COMPUTED_VALUE"""),44398.66666666667)</f>
        <v>44398.66667</v>
      </c>
      <c r="B1478" s="5">
        <f>IFERROR(__xludf.DUMMYFUNCTION("""COMPUTED_VALUE"""),19.41)</f>
        <v>19.41</v>
      </c>
      <c r="C1478" s="5">
        <v>19.368854522705</v>
      </c>
      <c r="D1478" s="5">
        <v>410.643951416015</v>
      </c>
      <c r="E1478" s="7">
        <f t="shared" ref="E1478:F1478" si="1476">C1478/C1477-1</f>
        <v>0.04287524984</v>
      </c>
      <c r="F1478" s="7">
        <f t="shared" si="1476"/>
        <v>0.008096246956</v>
      </c>
    </row>
    <row r="1479">
      <c r="A1479" s="3">
        <f>IFERROR(__xludf.DUMMYFUNCTION("""COMPUTED_VALUE"""),44399.66666666667)</f>
        <v>44399.66667</v>
      </c>
      <c r="B1479" s="5">
        <f>IFERROR(__xludf.DUMMYFUNCTION("""COMPUTED_VALUE"""),19.59)</f>
        <v>19.59</v>
      </c>
      <c r="C1479" s="5">
        <v>19.5524673461914</v>
      </c>
      <c r="D1479" s="5">
        <v>411.503845214843</v>
      </c>
      <c r="E1479" s="7">
        <f t="shared" ref="E1479:F1479" si="1477">C1479/C1478-1</f>
        <v>0.009479797748</v>
      </c>
      <c r="F1479" s="7">
        <f t="shared" si="1477"/>
        <v>0.002094013064</v>
      </c>
    </row>
    <row r="1480">
      <c r="A1480" s="3">
        <f>IFERROR(__xludf.DUMMYFUNCTION("""COMPUTED_VALUE"""),44400.66666666667)</f>
        <v>44400.66667</v>
      </c>
      <c r="B1480" s="5">
        <f>IFERROR(__xludf.DUMMYFUNCTION("""COMPUTED_VALUE"""),19.56)</f>
        <v>19.56</v>
      </c>
      <c r="C1480" s="5">
        <v>19.5165386199951</v>
      </c>
      <c r="D1480" s="5">
        <v>415.73745727539</v>
      </c>
      <c r="E1480" s="7">
        <f t="shared" ref="E1480:F1480" si="1478">C1480/C1479-1</f>
        <v>-0.001837554594</v>
      </c>
      <c r="F1480" s="7">
        <f t="shared" si="1478"/>
        <v>0.01028814702</v>
      </c>
    </row>
    <row r="1481">
      <c r="A1481" s="3">
        <f>IFERROR(__xludf.DUMMYFUNCTION("""COMPUTED_VALUE"""),44403.66666666667)</f>
        <v>44403.66667</v>
      </c>
      <c r="B1481" s="5">
        <f>IFERROR(__xludf.DUMMYFUNCTION("""COMPUTED_VALUE"""),19.29)</f>
        <v>19.29</v>
      </c>
      <c r="C1481" s="5">
        <v>19.2531070709228</v>
      </c>
      <c r="D1481" s="5">
        <v>416.758026123046</v>
      </c>
      <c r="E1481" s="7">
        <f t="shared" ref="E1481:F1481" si="1479">C1481/C1480-1</f>
        <v>-0.01349786221</v>
      </c>
      <c r="F1481" s="7">
        <f t="shared" si="1479"/>
        <v>0.002454839779</v>
      </c>
    </row>
    <row r="1482">
      <c r="A1482" s="3">
        <f>IFERROR(__xludf.DUMMYFUNCTION("""COMPUTED_VALUE"""),44404.66666666667)</f>
        <v>44404.66667</v>
      </c>
      <c r="B1482" s="5">
        <f>IFERROR(__xludf.DUMMYFUNCTION("""COMPUTED_VALUE"""),19.21)</f>
        <v>19.21</v>
      </c>
      <c r="C1482" s="5">
        <v>19.1672821044921</v>
      </c>
      <c r="D1482" s="5">
        <v>414.858612060546</v>
      </c>
      <c r="E1482" s="7">
        <f t="shared" ref="E1482:F1482" si="1480">C1482/C1481-1</f>
        <v>-0.004457720311</v>
      </c>
      <c r="F1482" s="7">
        <f t="shared" si="1480"/>
        <v>-0.00455759444</v>
      </c>
    </row>
    <row r="1483">
      <c r="A1483" s="3">
        <f>IFERROR(__xludf.DUMMYFUNCTION("""COMPUTED_VALUE"""),44405.66666666667)</f>
        <v>44405.66667</v>
      </c>
      <c r="B1483" s="5">
        <f>IFERROR(__xludf.DUMMYFUNCTION("""COMPUTED_VALUE"""),19.5)</f>
        <v>19.5</v>
      </c>
      <c r="C1483" s="5">
        <v>19.4616584777832</v>
      </c>
      <c r="D1483" s="5">
        <v>414.688537597656</v>
      </c>
      <c r="E1483" s="7">
        <f t="shared" ref="E1483:F1483" si="1481">C1483/C1482-1</f>
        <v>0.01535827415</v>
      </c>
      <c r="F1483" s="7">
        <f t="shared" si="1481"/>
        <v>-0.0004099576529</v>
      </c>
    </row>
    <row r="1484">
      <c r="A1484" s="3">
        <f>IFERROR(__xludf.DUMMYFUNCTION("""COMPUTED_VALUE"""),44406.66666666667)</f>
        <v>44406.66667</v>
      </c>
      <c r="B1484" s="5">
        <f>IFERROR(__xludf.DUMMYFUNCTION("""COMPUTED_VALUE"""),19.66)</f>
        <v>19.66</v>
      </c>
      <c r="C1484" s="5">
        <v>19.6203231811523</v>
      </c>
      <c r="D1484" s="5">
        <v>416.408325195312</v>
      </c>
      <c r="E1484" s="7">
        <f t="shared" ref="E1484:F1484" si="1482">C1484/C1483-1</f>
        <v>0.008152681517</v>
      </c>
      <c r="F1484" s="7">
        <f t="shared" si="1482"/>
        <v>0.004147179007</v>
      </c>
    </row>
    <row r="1485">
      <c r="A1485" s="3">
        <f>IFERROR(__xludf.DUMMYFUNCTION("""COMPUTED_VALUE"""),44407.66666666667)</f>
        <v>44407.66667</v>
      </c>
      <c r="B1485" s="5">
        <f>IFERROR(__xludf.DUMMYFUNCTION("""COMPUTED_VALUE"""),19.5)</f>
        <v>19.5</v>
      </c>
      <c r="C1485" s="5">
        <v>19.4576702117919</v>
      </c>
      <c r="D1485" s="5">
        <v>414.386138916015</v>
      </c>
      <c r="E1485" s="7">
        <f t="shared" ref="E1485:F1485" si="1483">C1485/C1484-1</f>
        <v>-0.008290024984</v>
      </c>
      <c r="F1485" s="7">
        <f t="shared" si="1483"/>
        <v>-0.004856258045</v>
      </c>
    </row>
    <row r="1486">
      <c r="A1486" s="3">
        <f>IFERROR(__xludf.DUMMYFUNCTION("""COMPUTED_VALUE"""),44410.66666666667)</f>
        <v>44410.66667</v>
      </c>
      <c r="B1486" s="5">
        <f>IFERROR(__xludf.DUMMYFUNCTION("""COMPUTED_VALUE"""),19.75)</f>
        <v>19.75</v>
      </c>
      <c r="C1486" s="5">
        <v>19.7081356048584</v>
      </c>
      <c r="D1486" s="5">
        <v>413.51675415039</v>
      </c>
      <c r="E1486" s="7">
        <f t="shared" ref="E1486:F1486" si="1484">C1486/C1485-1</f>
        <v>0.01287232183</v>
      </c>
      <c r="F1486" s="7">
        <f t="shared" si="1484"/>
        <v>-0.002098006386</v>
      </c>
    </row>
    <row r="1487">
      <c r="A1487" s="3">
        <f>IFERROR(__xludf.DUMMYFUNCTION("""COMPUTED_VALUE"""),44411.66666666667)</f>
        <v>44411.66667</v>
      </c>
      <c r="B1487" s="5">
        <f>IFERROR(__xludf.DUMMYFUNCTION("""COMPUTED_VALUE"""),19.82)</f>
        <v>19.82</v>
      </c>
      <c r="C1487" s="5">
        <v>19.7729988098144</v>
      </c>
      <c r="D1487" s="5">
        <v>416.880859375</v>
      </c>
      <c r="E1487" s="7">
        <f t="shared" ref="E1487:F1487" si="1485">C1487/C1486-1</f>
        <v>0.003291189296</v>
      </c>
      <c r="F1487" s="7">
        <f t="shared" si="1485"/>
        <v>0.008135354108</v>
      </c>
    </row>
    <row r="1488">
      <c r="A1488" s="3">
        <f>IFERROR(__xludf.DUMMYFUNCTION("""COMPUTED_VALUE"""),44412.66666666667)</f>
        <v>44412.66667</v>
      </c>
      <c r="B1488" s="5">
        <f>IFERROR(__xludf.DUMMYFUNCTION("""COMPUTED_VALUE"""),20.27)</f>
        <v>20.27</v>
      </c>
      <c r="C1488" s="5">
        <v>20.2310276031494</v>
      </c>
      <c r="D1488" s="5">
        <v>414.830291748046</v>
      </c>
      <c r="E1488" s="7">
        <f t="shared" ref="E1488:F1488" si="1486">C1488/C1487-1</f>
        <v>0.02316435649</v>
      </c>
      <c r="F1488" s="7">
        <f t="shared" si="1486"/>
        <v>-0.004918833717</v>
      </c>
    </row>
    <row r="1489">
      <c r="A1489" s="3">
        <f>IFERROR(__xludf.DUMMYFUNCTION("""COMPUTED_VALUE"""),44413.66666666667)</f>
        <v>44413.66667</v>
      </c>
      <c r="B1489" s="5">
        <f>IFERROR(__xludf.DUMMYFUNCTION("""COMPUTED_VALUE"""),20.64)</f>
        <v>20.64</v>
      </c>
      <c r="C1489" s="5">
        <v>20.5932521820068</v>
      </c>
      <c r="D1489" s="5">
        <v>417.457366943359</v>
      </c>
      <c r="E1489" s="7">
        <f t="shared" ref="E1489:F1489" si="1487">C1489/C1488-1</f>
        <v>0.01790440832</v>
      </c>
      <c r="F1489" s="7">
        <f t="shared" si="1487"/>
        <v>0.00633289142</v>
      </c>
    </row>
    <row r="1490">
      <c r="A1490" s="3">
        <f>IFERROR(__xludf.DUMMYFUNCTION("""COMPUTED_VALUE"""),44414.66666666667)</f>
        <v>44414.66667</v>
      </c>
      <c r="B1490" s="5">
        <f>IFERROR(__xludf.DUMMYFUNCTION("""COMPUTED_VALUE"""),20.37)</f>
        <v>20.37</v>
      </c>
      <c r="C1490" s="5">
        <v>20.3228321075439</v>
      </c>
      <c r="D1490" s="5">
        <v>418.147155761718</v>
      </c>
      <c r="E1490" s="7">
        <f t="shared" ref="E1490:F1490" si="1488">C1490/C1489-1</f>
        <v>-0.01313148948</v>
      </c>
      <c r="F1490" s="7">
        <f t="shared" si="1488"/>
        <v>0.001652357517</v>
      </c>
    </row>
    <row r="1491">
      <c r="A1491" s="3">
        <f>IFERROR(__xludf.DUMMYFUNCTION("""COMPUTED_VALUE"""),44417.66666666667)</f>
        <v>44417.66667</v>
      </c>
      <c r="B1491" s="5">
        <f>IFERROR(__xludf.DUMMYFUNCTION("""COMPUTED_VALUE"""),20.3)</f>
        <v>20.3</v>
      </c>
      <c r="C1491" s="5">
        <v>20.2519836425781</v>
      </c>
      <c r="D1491" s="5">
        <v>417.806945800781</v>
      </c>
      <c r="E1491" s="7">
        <f t="shared" ref="E1491:F1491" si="1489">C1491/C1490-1</f>
        <v>-0.003486151172</v>
      </c>
      <c r="F1491" s="7">
        <f t="shared" si="1489"/>
        <v>-0.0008136129978</v>
      </c>
    </row>
    <row r="1492">
      <c r="A1492" s="3">
        <f>IFERROR(__xludf.DUMMYFUNCTION("""COMPUTED_VALUE"""),44418.66666666667)</f>
        <v>44418.66667</v>
      </c>
      <c r="B1492" s="5">
        <f>IFERROR(__xludf.DUMMYFUNCTION("""COMPUTED_VALUE"""),19.94)</f>
        <v>19.94</v>
      </c>
      <c r="C1492" s="5">
        <v>19.8937435150146</v>
      </c>
      <c r="D1492" s="5">
        <v>418.326751708984</v>
      </c>
      <c r="E1492" s="7">
        <f t="shared" ref="E1492:F1492" si="1490">C1492/C1491-1</f>
        <v>-0.01768913771</v>
      </c>
      <c r="F1492" s="7">
        <f t="shared" si="1490"/>
        <v>0.001244129408</v>
      </c>
    </row>
    <row r="1493">
      <c r="A1493" s="3">
        <f>IFERROR(__xludf.DUMMYFUNCTION("""COMPUTED_VALUE"""),44419.66666666667)</f>
        <v>44419.66667</v>
      </c>
      <c r="B1493" s="5">
        <f>IFERROR(__xludf.DUMMYFUNCTION("""COMPUTED_VALUE"""),19.7)</f>
        <v>19.7</v>
      </c>
      <c r="C1493" s="5">
        <v>19.657241821289</v>
      </c>
      <c r="D1493" s="5">
        <v>419.3662109375</v>
      </c>
      <c r="E1493" s="7">
        <f t="shared" ref="E1493:F1493" si="1491">C1493/C1492-1</f>
        <v>-0.01188824484</v>
      </c>
      <c r="F1493" s="7">
        <f t="shared" si="1491"/>
        <v>0.002484802189</v>
      </c>
    </row>
    <row r="1494">
      <c r="A1494" s="3">
        <f>IFERROR(__xludf.DUMMYFUNCTION("""COMPUTED_VALUE"""),44420.66666666667)</f>
        <v>44420.66667</v>
      </c>
      <c r="B1494" s="5">
        <f>IFERROR(__xludf.DUMMYFUNCTION("""COMPUTED_VALUE"""),19.91)</f>
        <v>19.91</v>
      </c>
      <c r="C1494" s="5">
        <v>19.862808227539</v>
      </c>
      <c r="D1494" s="5">
        <v>420.623016357421</v>
      </c>
      <c r="E1494" s="7">
        <f t="shared" ref="E1494:F1494" si="1492">C1494/C1493-1</f>
        <v>0.01045754069</v>
      </c>
      <c r="F1494" s="7">
        <f t="shared" si="1492"/>
        <v>0.002996916268</v>
      </c>
    </row>
    <row r="1495">
      <c r="A1495" s="3">
        <f>IFERROR(__xludf.DUMMYFUNCTION("""COMPUTED_VALUE"""),44421.66666666667)</f>
        <v>44421.66667</v>
      </c>
      <c r="B1495" s="5">
        <f>IFERROR(__xludf.DUMMYFUNCTION("""COMPUTED_VALUE"""),20.19)</f>
        <v>20.19</v>
      </c>
      <c r="C1495" s="5">
        <v>20.145206451416</v>
      </c>
      <c r="D1495" s="5">
        <v>421.388458251953</v>
      </c>
      <c r="E1495" s="7">
        <f t="shared" ref="E1495:F1495" si="1493">C1495/C1494-1</f>
        <v>0.01421743696</v>
      </c>
      <c r="F1495" s="7">
        <f t="shared" si="1493"/>
        <v>0.001819781288</v>
      </c>
    </row>
    <row r="1496">
      <c r="A1496" s="3">
        <f>IFERROR(__xludf.DUMMYFUNCTION("""COMPUTED_VALUE"""),44424.66666666667)</f>
        <v>44424.66667</v>
      </c>
      <c r="B1496" s="5">
        <f>IFERROR(__xludf.DUMMYFUNCTION("""COMPUTED_VALUE"""),19.95)</f>
        <v>19.95</v>
      </c>
      <c r="C1496" s="5">
        <v>19.9077110290527</v>
      </c>
      <c r="D1496" s="5">
        <v>422.380676269531</v>
      </c>
      <c r="E1496" s="7">
        <f t="shared" ref="E1496:F1496" si="1494">C1496/C1495-1</f>
        <v>-0.01178917788</v>
      </c>
      <c r="F1496" s="7">
        <f t="shared" si="1494"/>
        <v>0.002354639759</v>
      </c>
    </row>
    <row r="1497">
      <c r="A1497" s="3">
        <f>IFERROR(__xludf.DUMMYFUNCTION("""COMPUTED_VALUE"""),44425.66666666667)</f>
        <v>44425.66667</v>
      </c>
      <c r="B1497" s="5">
        <f>IFERROR(__xludf.DUMMYFUNCTION("""COMPUTED_VALUE"""),19.46)</f>
        <v>19.46</v>
      </c>
      <c r="C1497" s="5">
        <v>19.4167537689209</v>
      </c>
      <c r="D1497" s="5">
        <v>419.611907958984</v>
      </c>
      <c r="E1497" s="7">
        <f t="shared" ref="E1497:F1497" si="1495">C1497/C1496-1</f>
        <v>-0.02466166298</v>
      </c>
      <c r="F1497" s="7">
        <f t="shared" si="1495"/>
        <v>-0.006555149102</v>
      </c>
    </row>
    <row r="1498">
      <c r="A1498" s="3">
        <f>IFERROR(__xludf.DUMMYFUNCTION("""COMPUTED_VALUE"""),44426.66666666667)</f>
        <v>44426.66667</v>
      </c>
      <c r="B1498" s="5">
        <f>IFERROR(__xludf.DUMMYFUNCTION("""COMPUTED_VALUE"""),19.04)</f>
        <v>19.04</v>
      </c>
      <c r="C1498" s="5">
        <v>18.999641418457</v>
      </c>
      <c r="D1498" s="5">
        <v>415.019287109375</v>
      </c>
      <c r="E1498" s="7">
        <f t="shared" ref="E1498:F1498" si="1496">C1498/C1497-1</f>
        <v>-0.02148208477</v>
      </c>
      <c r="F1498" s="7">
        <f t="shared" si="1496"/>
        <v>-0.01094492497</v>
      </c>
    </row>
    <row r="1499">
      <c r="A1499" s="3">
        <f>IFERROR(__xludf.DUMMYFUNCTION("""COMPUTED_VALUE"""),44427.66666666667)</f>
        <v>44427.66667</v>
      </c>
      <c r="B1499" s="5">
        <f>IFERROR(__xludf.DUMMYFUNCTION("""COMPUTED_VALUE"""),19.8)</f>
        <v>19.8</v>
      </c>
      <c r="C1499" s="5">
        <v>19.7560367584228</v>
      </c>
      <c r="D1499" s="5">
        <v>415.661895751953</v>
      </c>
      <c r="E1499" s="7">
        <f t="shared" ref="E1499:F1499" si="1497">C1499/C1498-1</f>
        <v>0.03981103239</v>
      </c>
      <c r="F1499" s="7">
        <f t="shared" si="1497"/>
        <v>0.001548382599</v>
      </c>
    </row>
    <row r="1500">
      <c r="A1500" s="3">
        <f>IFERROR(__xludf.DUMMYFUNCTION("""COMPUTED_VALUE"""),44428.66666666667)</f>
        <v>44428.66667</v>
      </c>
      <c r="B1500" s="5">
        <f>IFERROR(__xludf.DUMMYFUNCTION("""COMPUTED_VALUE"""),20.82)</f>
        <v>20.82</v>
      </c>
      <c r="C1500" s="5">
        <v>20.7718753814697</v>
      </c>
      <c r="D1500" s="5">
        <v>418.969299316406</v>
      </c>
      <c r="E1500" s="7">
        <f t="shared" ref="E1500:F1500" si="1498">C1500/C1499-1</f>
        <v>0.05141915028</v>
      </c>
      <c r="F1500" s="7">
        <f t="shared" si="1498"/>
        <v>0.007956956359</v>
      </c>
    </row>
    <row r="1501">
      <c r="A1501" s="3">
        <f>IFERROR(__xludf.DUMMYFUNCTION("""COMPUTED_VALUE"""),44431.66666666667)</f>
        <v>44431.66667</v>
      </c>
      <c r="B1501" s="5">
        <f>IFERROR(__xludf.DUMMYFUNCTION("""COMPUTED_VALUE"""),21.96)</f>
        <v>21.96</v>
      </c>
      <c r="C1501" s="5">
        <v>21.9114532470703</v>
      </c>
      <c r="D1501" s="5">
        <v>422.654754638671</v>
      </c>
      <c r="E1501" s="7">
        <f t="shared" ref="E1501:F1501" si="1499">C1501/C1500-1</f>
        <v>0.0548615782</v>
      </c>
      <c r="F1501" s="7">
        <f t="shared" si="1499"/>
        <v>0.008796480621</v>
      </c>
    </row>
    <row r="1502">
      <c r="A1502" s="3">
        <f>IFERROR(__xludf.DUMMYFUNCTION("""COMPUTED_VALUE"""),44432.66666666667)</f>
        <v>44432.66667</v>
      </c>
      <c r="B1502" s="5">
        <f>IFERROR(__xludf.DUMMYFUNCTION("""COMPUTED_VALUE"""),21.79)</f>
        <v>21.79</v>
      </c>
      <c r="C1502" s="5">
        <v>21.7468070983886</v>
      </c>
      <c r="D1502" s="5">
        <v>423.325653076171</v>
      </c>
      <c r="E1502" s="7">
        <f t="shared" ref="E1502:F1502" si="1500">C1502/C1501-1</f>
        <v>-0.007514159231</v>
      </c>
      <c r="F1502" s="7">
        <f t="shared" si="1500"/>
        <v>0.001587343879</v>
      </c>
    </row>
    <row r="1503">
      <c r="A1503" s="3">
        <f>IFERROR(__xludf.DUMMYFUNCTION("""COMPUTED_VALUE"""),44433.66666666667)</f>
        <v>44433.66667</v>
      </c>
      <c r="B1503" s="5">
        <f>IFERROR(__xludf.DUMMYFUNCTION("""COMPUTED_VALUE"""),22.21)</f>
        <v>22.21</v>
      </c>
      <c r="C1503" s="5">
        <v>22.1659145355224</v>
      </c>
      <c r="D1503" s="5">
        <v>424.213989257812</v>
      </c>
      <c r="E1503" s="7">
        <f t="shared" ref="E1503:F1503" si="1501">C1503/C1502-1</f>
        <v>0.01927213661</v>
      </c>
      <c r="F1503" s="7">
        <f t="shared" si="1501"/>
        <v>0.002098469996</v>
      </c>
    </row>
    <row r="1504">
      <c r="A1504" s="3">
        <f>IFERROR(__xludf.DUMMYFUNCTION("""COMPUTED_VALUE"""),44434.66666666667)</f>
        <v>44434.66667</v>
      </c>
      <c r="B1504" s="5">
        <f>IFERROR(__xludf.DUMMYFUNCTION("""COMPUTED_VALUE"""),22.07)</f>
        <v>22.07</v>
      </c>
      <c r="C1504" s="5">
        <v>22.0212249755859</v>
      </c>
      <c r="D1504" s="5">
        <v>421.709808349609</v>
      </c>
      <c r="E1504" s="7">
        <f t="shared" ref="E1504:F1504" si="1502">C1504/C1503-1</f>
        <v>-0.006527570054</v>
      </c>
      <c r="F1504" s="7">
        <f t="shared" si="1502"/>
        <v>-0.005903107798</v>
      </c>
    </row>
    <row r="1505">
      <c r="A1505" s="3">
        <f>IFERROR(__xludf.DUMMYFUNCTION("""COMPUTED_VALUE"""),44435.66666666667)</f>
        <v>44435.66667</v>
      </c>
      <c r="B1505" s="5">
        <f>IFERROR(__xludf.DUMMYFUNCTION("""COMPUTED_VALUE"""),22.64)</f>
        <v>22.64</v>
      </c>
      <c r="C1505" s="5">
        <v>22.5880241394042</v>
      </c>
      <c r="D1505" s="5">
        <v>425.480255126953</v>
      </c>
      <c r="E1505" s="7">
        <f t="shared" ref="E1505:F1505" si="1503">C1505/C1504-1</f>
        <v>0.02573876632</v>
      </c>
      <c r="F1505" s="7">
        <f t="shared" si="1503"/>
        <v>0.008940856254</v>
      </c>
    </row>
    <row r="1506">
      <c r="A1506" s="3">
        <f>IFERROR(__xludf.DUMMYFUNCTION("""COMPUTED_VALUE"""),44438.66666666667)</f>
        <v>44438.66667</v>
      </c>
      <c r="B1506" s="5">
        <f>IFERROR(__xludf.DUMMYFUNCTION("""COMPUTED_VALUE"""),22.69)</f>
        <v>22.69</v>
      </c>
      <c r="C1506" s="5">
        <v>22.639907836914</v>
      </c>
      <c r="D1506" s="5">
        <v>427.351379394531</v>
      </c>
      <c r="E1506" s="7">
        <f t="shared" ref="E1506:F1506" si="1504">C1506/C1505-1</f>
        <v>0.002296955997</v>
      </c>
      <c r="F1506" s="7">
        <f t="shared" si="1504"/>
        <v>0.004397675909</v>
      </c>
    </row>
    <row r="1507">
      <c r="A1507" s="3">
        <f>IFERROR(__xludf.DUMMYFUNCTION("""COMPUTED_VALUE"""),44439.66666666667)</f>
        <v>44439.66667</v>
      </c>
      <c r="B1507" s="5">
        <f>IFERROR(__xludf.DUMMYFUNCTION("""COMPUTED_VALUE"""),22.39)</f>
        <v>22.39</v>
      </c>
      <c r="C1507" s="5">
        <v>22.3414936065673</v>
      </c>
      <c r="D1507" s="5">
        <v>426.718170166015</v>
      </c>
      <c r="E1507" s="7">
        <f t="shared" ref="E1507:F1507" si="1505">C1507/C1506-1</f>
        <v>-0.01318089422</v>
      </c>
      <c r="F1507" s="7">
        <f t="shared" si="1505"/>
        <v>-0.001481706294</v>
      </c>
    </row>
    <row r="1508">
      <c r="A1508" s="3">
        <f>IFERROR(__xludf.DUMMYFUNCTION("""COMPUTED_VALUE"""),44440.66666666667)</f>
        <v>44440.66667</v>
      </c>
      <c r="B1508" s="5">
        <f>IFERROR(__xludf.DUMMYFUNCTION("""COMPUTED_VALUE"""),22.44)</f>
        <v>22.44</v>
      </c>
      <c r="C1508" s="5">
        <v>22.3973846435546</v>
      </c>
      <c r="D1508" s="5">
        <v>426.945007324218</v>
      </c>
      <c r="E1508" s="7">
        <f t="shared" ref="E1508:F1508" si="1506">C1508/C1507-1</f>
        <v>0.002501669672</v>
      </c>
      <c r="F1508" s="7">
        <f t="shared" si="1506"/>
        <v>0.0005315854212</v>
      </c>
    </row>
    <row r="1509">
      <c r="A1509" s="3">
        <f>IFERROR(__xludf.DUMMYFUNCTION("""COMPUTED_VALUE"""),44441.66666666667)</f>
        <v>44441.66667</v>
      </c>
      <c r="B1509" s="5">
        <f>IFERROR(__xludf.DUMMYFUNCTION("""COMPUTED_VALUE"""),22.4)</f>
        <v>22.4</v>
      </c>
      <c r="C1509" s="5">
        <v>22.3524723052978</v>
      </c>
      <c r="D1509" s="5">
        <v>428.258514404296</v>
      </c>
      <c r="E1509" s="7">
        <f t="shared" ref="E1509:F1509" si="1507">C1509/C1508-1</f>
        <v>-0.002005249228</v>
      </c>
      <c r="F1509" s="7">
        <f t="shared" si="1507"/>
        <v>0.003076525214</v>
      </c>
    </row>
    <row r="1510">
      <c r="A1510" s="3">
        <f>IFERROR(__xludf.DUMMYFUNCTION("""COMPUTED_VALUE"""),44442.66666666667)</f>
        <v>44442.66667</v>
      </c>
      <c r="B1510" s="5">
        <f>IFERROR(__xludf.DUMMYFUNCTION("""COMPUTED_VALUE"""),22.84)</f>
        <v>22.84</v>
      </c>
      <c r="C1510" s="5">
        <v>22.7986011505126</v>
      </c>
      <c r="D1510" s="5">
        <v>428.154541015625</v>
      </c>
      <c r="E1510" s="7">
        <f t="shared" ref="E1510:F1510" si="1508">C1510/C1509-1</f>
        <v>0.01995881436</v>
      </c>
      <c r="F1510" s="7">
        <f t="shared" si="1508"/>
        <v>-0.0002427818366</v>
      </c>
    </row>
    <row r="1511">
      <c r="A1511" s="3">
        <f>IFERROR(__xludf.DUMMYFUNCTION("""COMPUTED_VALUE"""),44446.66666666667)</f>
        <v>44446.66667</v>
      </c>
      <c r="B1511" s="5">
        <f>IFERROR(__xludf.DUMMYFUNCTION("""COMPUTED_VALUE"""),22.66)</f>
        <v>22.66</v>
      </c>
      <c r="C1511" s="5">
        <v>22.6179504394531</v>
      </c>
      <c r="D1511" s="5">
        <v>426.62368774414</v>
      </c>
      <c r="E1511" s="7">
        <f t="shared" ref="E1511:F1511" si="1509">C1511/C1510-1</f>
        <v>-0.007923762948</v>
      </c>
      <c r="F1511" s="7">
        <f t="shared" si="1509"/>
        <v>-0.00357546896</v>
      </c>
    </row>
    <row r="1512">
      <c r="A1512" s="3">
        <f>IFERROR(__xludf.DUMMYFUNCTION("""COMPUTED_VALUE"""),44447.66666666667)</f>
        <v>44447.66667</v>
      </c>
      <c r="B1512" s="5">
        <f>IFERROR(__xludf.DUMMYFUNCTION("""COMPUTED_VALUE"""),22.34)</f>
        <v>22.34</v>
      </c>
      <c r="C1512" s="5">
        <v>22.2955799102783</v>
      </c>
      <c r="D1512" s="5">
        <v>426.103942871093</v>
      </c>
      <c r="E1512" s="7">
        <f t="shared" ref="E1512:F1512" si="1510">C1512/C1511-1</f>
        <v>-0.01425286213</v>
      </c>
      <c r="F1512" s="7">
        <f t="shared" si="1510"/>
        <v>-0.001218274765</v>
      </c>
    </row>
    <row r="1513">
      <c r="A1513" s="3">
        <f>IFERROR(__xludf.DUMMYFUNCTION("""COMPUTED_VALUE"""),44448.66666666667)</f>
        <v>44448.66667</v>
      </c>
      <c r="B1513" s="5">
        <f>IFERROR(__xludf.DUMMYFUNCTION("""COMPUTED_VALUE"""),22.18)</f>
        <v>22.18</v>
      </c>
      <c r="C1513" s="5">
        <v>22.1338920593261</v>
      </c>
      <c r="D1513" s="5">
        <v>424.280181884765</v>
      </c>
      <c r="E1513" s="7">
        <f t="shared" ref="E1513:F1513" si="1511">C1513/C1512-1</f>
        <v>-0.0072520137</v>
      </c>
      <c r="F1513" s="7">
        <f t="shared" si="1511"/>
        <v>-0.004280084747</v>
      </c>
    </row>
    <row r="1514">
      <c r="A1514" s="3">
        <f>IFERROR(__xludf.DUMMYFUNCTION("""COMPUTED_VALUE"""),44449.66666666667)</f>
        <v>44449.66667</v>
      </c>
      <c r="B1514" s="5">
        <f>IFERROR(__xludf.DUMMYFUNCTION("""COMPUTED_VALUE"""),22.48)</f>
        <v>22.48</v>
      </c>
      <c r="C1514" s="5">
        <v>22.4343128204345</v>
      </c>
      <c r="D1514" s="5">
        <v>420.934875488281</v>
      </c>
      <c r="E1514" s="7">
        <f t="shared" ref="E1514:F1514" si="1512">C1514/C1513-1</f>
        <v>0.01357288453</v>
      </c>
      <c r="F1514" s="7">
        <f t="shared" si="1512"/>
        <v>-0.007884663341</v>
      </c>
    </row>
    <row r="1515">
      <c r="A1515" s="3">
        <f>IFERROR(__xludf.DUMMYFUNCTION("""COMPUTED_VALUE"""),44452.66666666667)</f>
        <v>44452.66667</v>
      </c>
      <c r="B1515" s="5">
        <f>IFERROR(__xludf.DUMMYFUNCTION("""COMPUTED_VALUE"""),22.15)</f>
        <v>22.15</v>
      </c>
      <c r="C1515" s="5">
        <v>22.1089439392089</v>
      </c>
      <c r="D1515" s="5">
        <v>422.012176513671</v>
      </c>
      <c r="E1515" s="7">
        <f t="shared" ref="E1515:F1515" si="1513">C1515/C1514-1</f>
        <v>-0.01450318019</v>
      </c>
      <c r="F1515" s="7">
        <f t="shared" si="1513"/>
        <v>0.002559305698</v>
      </c>
    </row>
    <row r="1516">
      <c r="A1516" s="3">
        <f>IFERROR(__xludf.DUMMYFUNCTION("""COMPUTED_VALUE"""),44453.66666666667)</f>
        <v>44453.66667</v>
      </c>
      <c r="B1516" s="5">
        <f>IFERROR(__xludf.DUMMYFUNCTION("""COMPUTED_VALUE"""),22.24)</f>
        <v>22.24</v>
      </c>
      <c r="C1516" s="5">
        <v>22.1987705230712</v>
      </c>
      <c r="D1516" s="5">
        <v>419.734741210937</v>
      </c>
      <c r="E1516" s="7">
        <f t="shared" ref="E1516:F1516" si="1514">C1516/C1515-1</f>
        <v>0.004062907035</v>
      </c>
      <c r="F1516" s="7">
        <f t="shared" si="1514"/>
        <v>-0.005396610405</v>
      </c>
    </row>
    <row r="1517">
      <c r="A1517" s="3">
        <f>IFERROR(__xludf.DUMMYFUNCTION("""COMPUTED_VALUE"""),44454.66666666667)</f>
        <v>44454.66667</v>
      </c>
      <c r="B1517" s="5">
        <f>IFERROR(__xludf.DUMMYFUNCTION("""COMPUTED_VALUE"""),22.34)</f>
        <v>22.34</v>
      </c>
      <c r="C1517" s="5">
        <v>22.2975749969482</v>
      </c>
      <c r="D1517" s="5">
        <v>423.240661621093</v>
      </c>
      <c r="E1517" s="7">
        <f t="shared" ref="E1517:F1517" si="1515">C1517/C1516-1</f>
        <v>0.004450898475</v>
      </c>
      <c r="F1517" s="7">
        <f t="shared" si="1515"/>
        <v>0.008352704854</v>
      </c>
    </row>
    <row r="1518">
      <c r="A1518" s="3">
        <f>IFERROR(__xludf.DUMMYFUNCTION("""COMPUTED_VALUE"""),44455.66666666667)</f>
        <v>44455.66667</v>
      </c>
      <c r="B1518" s="5">
        <f>IFERROR(__xludf.DUMMYFUNCTION("""COMPUTED_VALUE"""),22.24)</f>
        <v>22.24</v>
      </c>
      <c r="C1518" s="5">
        <v>22.1987705230712</v>
      </c>
      <c r="D1518" s="5">
        <v>422.569702148437</v>
      </c>
      <c r="E1518" s="7">
        <f t="shared" ref="E1518:F1518" si="1516">C1518/C1517-1</f>
        <v>-0.004431175762</v>
      </c>
      <c r="F1518" s="7">
        <f t="shared" si="1516"/>
        <v>-0.001585290671</v>
      </c>
    </row>
    <row r="1519">
      <c r="A1519" s="3">
        <f>IFERROR(__xludf.DUMMYFUNCTION("""COMPUTED_VALUE"""),44456.66666666667)</f>
        <v>44456.66667</v>
      </c>
      <c r="B1519" s="5">
        <f>IFERROR(__xludf.DUMMYFUNCTION("""COMPUTED_VALUE"""),21.9)</f>
        <v>21.9</v>
      </c>
      <c r="C1519" s="5">
        <v>21.8574333190917</v>
      </c>
      <c r="D1519" s="5">
        <v>418.453399658203</v>
      </c>
      <c r="E1519" s="7">
        <f t="shared" ref="E1519:F1519" si="1517">C1519/C1518-1</f>
        <v>-0.0153764013</v>
      </c>
      <c r="F1519" s="7">
        <f t="shared" si="1517"/>
        <v>-0.009741120741</v>
      </c>
    </row>
    <row r="1520">
      <c r="A1520" s="3">
        <f>IFERROR(__xludf.DUMMYFUNCTION("""COMPUTED_VALUE"""),44459.66666666667)</f>
        <v>44459.66667</v>
      </c>
      <c r="B1520" s="5">
        <f>IFERROR(__xludf.DUMMYFUNCTION("""COMPUTED_VALUE"""),21.11)</f>
        <v>21.11</v>
      </c>
      <c r="C1520" s="5">
        <v>21.0719661712646</v>
      </c>
      <c r="D1520" s="5">
        <v>411.47607421875</v>
      </c>
      <c r="E1520" s="7">
        <f t="shared" ref="E1520:F1520" si="1518">C1520/C1519-1</f>
        <v>-0.0359359279</v>
      </c>
      <c r="F1520" s="7">
        <f t="shared" si="1518"/>
        <v>-0.01667407995</v>
      </c>
    </row>
    <row r="1521">
      <c r="A1521" s="3">
        <f>IFERROR(__xludf.DUMMYFUNCTION("""COMPUTED_VALUE"""),44460.66666666667)</f>
        <v>44460.66667</v>
      </c>
      <c r="B1521" s="5">
        <f>IFERROR(__xludf.DUMMYFUNCTION("""COMPUTED_VALUE"""),21.25)</f>
        <v>21.25</v>
      </c>
      <c r="C1521" s="5">
        <v>21.2047080993652</v>
      </c>
      <c r="D1521" s="5">
        <v>411.087310791015</v>
      </c>
      <c r="E1521" s="7">
        <f t="shared" ref="E1521:F1521" si="1519">C1521/C1520-1</f>
        <v>0.006299456207</v>
      </c>
      <c r="F1521" s="7">
        <f t="shared" si="1519"/>
        <v>-0.000944802024</v>
      </c>
    </row>
    <row r="1522">
      <c r="A1522" s="3">
        <f>IFERROR(__xludf.DUMMYFUNCTION("""COMPUTED_VALUE"""),44461.66666666667)</f>
        <v>44461.66667</v>
      </c>
      <c r="B1522" s="5">
        <f>IFERROR(__xludf.DUMMYFUNCTION("""COMPUTED_VALUE"""),21.94)</f>
        <v>21.94</v>
      </c>
      <c r="C1522" s="5">
        <v>21.8983554840087</v>
      </c>
      <c r="D1522" s="5">
        <v>415.097503662109</v>
      </c>
      <c r="E1522" s="7">
        <f t="shared" ref="E1522:F1522" si="1520">C1522/C1521-1</f>
        <v>0.03271195158</v>
      </c>
      <c r="F1522" s="7">
        <f t="shared" si="1520"/>
        <v>0.009755087948</v>
      </c>
    </row>
    <row r="1523">
      <c r="A1523" s="3">
        <f>IFERROR(__xludf.DUMMYFUNCTION("""COMPUTED_VALUE"""),44462.66666666667)</f>
        <v>44462.66667</v>
      </c>
      <c r="B1523" s="5">
        <f>IFERROR(__xludf.DUMMYFUNCTION("""COMPUTED_VALUE"""),22.48)</f>
        <v>22.48</v>
      </c>
      <c r="C1523" s="5">
        <v>22.438304901123</v>
      </c>
      <c r="D1523" s="5">
        <v>420.140899658203</v>
      </c>
      <c r="E1523" s="7">
        <f t="shared" ref="E1523:F1523" si="1521">C1523/C1522-1</f>
        <v>0.02465707608</v>
      </c>
      <c r="F1523" s="7">
        <f t="shared" si="1521"/>
        <v>0.01214990683</v>
      </c>
    </row>
    <row r="1524">
      <c r="A1524" s="3">
        <f>IFERROR(__xludf.DUMMYFUNCTION("""COMPUTED_VALUE"""),44463.66666666667)</f>
        <v>44463.66667</v>
      </c>
      <c r="B1524" s="5">
        <f>IFERROR(__xludf.DUMMYFUNCTION("""COMPUTED_VALUE"""),22.08)</f>
        <v>22.08</v>
      </c>
      <c r="C1524" s="5">
        <v>22.0380783081054</v>
      </c>
      <c r="D1524" s="5">
        <v>420.8330078125</v>
      </c>
      <c r="E1524" s="7">
        <f t="shared" ref="E1524:F1524" si="1522">C1524/C1523-1</f>
        <v>-0.01783675704</v>
      </c>
      <c r="F1524" s="7">
        <f t="shared" si="1522"/>
        <v>0.001647323921</v>
      </c>
    </row>
    <row r="1525">
      <c r="A1525" s="3">
        <f>IFERROR(__xludf.DUMMYFUNCTION("""COMPUTED_VALUE"""),44466.66666666667)</f>
        <v>44466.66667</v>
      </c>
      <c r="B1525" s="5">
        <f>IFERROR(__xludf.DUMMYFUNCTION("""COMPUTED_VALUE"""),21.66)</f>
        <v>21.66</v>
      </c>
      <c r="C1525" s="5">
        <v>21.61789894104</v>
      </c>
      <c r="D1525" s="5">
        <v>419.628936767578</v>
      </c>
      <c r="E1525" s="7">
        <f t="shared" ref="E1525:F1525" si="1523">C1525/C1524-1</f>
        <v>-0.01906606199</v>
      </c>
      <c r="F1525" s="7">
        <f t="shared" si="1523"/>
        <v>-0.002861161132</v>
      </c>
    </row>
    <row r="1526">
      <c r="A1526" s="3">
        <f>IFERROR(__xludf.DUMMYFUNCTION("""COMPUTED_VALUE"""),44467.66666666667)</f>
        <v>44467.66667</v>
      </c>
      <c r="B1526" s="5">
        <f>IFERROR(__xludf.DUMMYFUNCTION("""COMPUTED_VALUE"""),20.7)</f>
        <v>20.7</v>
      </c>
      <c r="C1526" s="5">
        <v>20.6587677001953</v>
      </c>
      <c r="D1526" s="5">
        <v>411.172729492187</v>
      </c>
      <c r="E1526" s="7">
        <f t="shared" ref="E1526:F1526" si="1524">C1526/C1525-1</f>
        <v>-0.04436745881</v>
      </c>
      <c r="F1526" s="7">
        <f t="shared" si="1524"/>
        <v>-0.02015163049</v>
      </c>
    </row>
    <row r="1527">
      <c r="A1527" s="3">
        <f>IFERROR(__xludf.DUMMYFUNCTION("""COMPUTED_VALUE"""),44468.66666666667)</f>
        <v>44468.66667</v>
      </c>
      <c r="B1527" s="5">
        <f>IFERROR(__xludf.DUMMYFUNCTION("""COMPUTED_VALUE"""),20.52)</f>
        <v>20.52</v>
      </c>
      <c r="C1527" s="5">
        <v>20.477123260498</v>
      </c>
      <c r="D1527" s="5">
        <v>411.864715576171</v>
      </c>
      <c r="E1527" s="7">
        <f t="shared" ref="E1527:F1527" si="1525">C1527/C1526-1</f>
        <v>-0.008792607688</v>
      </c>
      <c r="F1527" s="7">
        <f t="shared" si="1525"/>
        <v>0.001682957148</v>
      </c>
    </row>
    <row r="1528">
      <c r="A1528" s="3">
        <f>IFERROR(__xludf.DUMMYFUNCTION("""COMPUTED_VALUE"""),44469.66666666667)</f>
        <v>44469.66667</v>
      </c>
      <c r="B1528" s="5">
        <f>IFERROR(__xludf.DUMMYFUNCTION("""COMPUTED_VALUE"""),20.72)</f>
        <v>20.72</v>
      </c>
      <c r="C1528" s="5">
        <v>20.6757335662841</v>
      </c>
      <c r="D1528" s="5">
        <v>406.830780029296</v>
      </c>
      <c r="E1528" s="7">
        <f t="shared" ref="E1528:F1528" si="1526">C1528/C1527-1</f>
        <v>0.009699131233</v>
      </c>
      <c r="F1528" s="7">
        <f t="shared" si="1526"/>
        <v>-0.01222230348</v>
      </c>
    </row>
    <row r="1529">
      <c r="A1529" s="3">
        <f>IFERROR(__xludf.DUMMYFUNCTION("""COMPUTED_VALUE"""),44470.66666666667)</f>
        <v>44470.66667</v>
      </c>
      <c r="B1529" s="5">
        <f>IFERROR(__xludf.DUMMYFUNCTION("""COMPUTED_VALUE"""),20.74)</f>
        <v>20.74</v>
      </c>
      <c r="C1529" s="5">
        <v>20.7016868591308</v>
      </c>
      <c r="D1529" s="5">
        <v>411.66567993164</v>
      </c>
      <c r="E1529" s="7">
        <f t="shared" ref="E1529:F1529" si="1527">C1529/C1528-1</f>
        <v>0.001255253786</v>
      </c>
      <c r="F1529" s="7">
        <f t="shared" si="1527"/>
        <v>0.01188430212</v>
      </c>
    </row>
    <row r="1530">
      <c r="A1530" s="3">
        <f>IFERROR(__xludf.DUMMYFUNCTION("""COMPUTED_VALUE"""),44473.66666666667)</f>
        <v>44473.66667</v>
      </c>
      <c r="B1530" s="5">
        <f>IFERROR(__xludf.DUMMYFUNCTION("""COMPUTED_VALUE"""),19.73)</f>
        <v>19.73</v>
      </c>
      <c r="C1530" s="5">
        <v>19.6936492919921</v>
      </c>
      <c r="D1530" s="5">
        <v>406.356811523437</v>
      </c>
      <c r="E1530" s="7">
        <f t="shared" ref="E1530:F1530" si="1528">C1530/C1529-1</f>
        <v>-0.04869349894</v>
      </c>
      <c r="F1530" s="7">
        <f t="shared" si="1528"/>
        <v>-0.01289606753</v>
      </c>
    </row>
    <row r="1531">
      <c r="A1531" s="3">
        <f>IFERROR(__xludf.DUMMYFUNCTION("""COMPUTED_VALUE"""),44474.66666666667)</f>
        <v>44474.66667</v>
      </c>
      <c r="B1531" s="5">
        <f>IFERROR(__xludf.DUMMYFUNCTION("""COMPUTED_VALUE"""),20.45)</f>
        <v>20.45</v>
      </c>
      <c r="C1531" s="5">
        <v>20.4112510681152</v>
      </c>
      <c r="D1531" s="5">
        <v>410.584930419921</v>
      </c>
      <c r="E1531" s="7">
        <f t="shared" ref="E1531:F1531" si="1529">C1531/C1530-1</f>
        <v>0.03643823273</v>
      </c>
      <c r="F1531" s="7">
        <f t="shared" si="1529"/>
        <v>0.01040494161</v>
      </c>
    </row>
    <row r="1532">
      <c r="A1532" s="3">
        <f>IFERROR(__xludf.DUMMYFUNCTION("""COMPUTED_VALUE"""),44475.66666666667)</f>
        <v>44475.66667</v>
      </c>
      <c r="B1532" s="5">
        <f>IFERROR(__xludf.DUMMYFUNCTION("""COMPUTED_VALUE"""),20.7)</f>
        <v>20.7</v>
      </c>
      <c r="C1532" s="5">
        <v>20.6597633361816</v>
      </c>
      <c r="D1532" s="5">
        <v>412.291320800781</v>
      </c>
      <c r="E1532" s="7">
        <f t="shared" ref="E1532:F1532" si="1530">C1532/C1531-1</f>
        <v>0.01217525899</v>
      </c>
      <c r="F1532" s="7">
        <f t="shared" si="1530"/>
        <v>0.004155998563</v>
      </c>
    </row>
    <row r="1533">
      <c r="A1533" s="3">
        <f>IFERROR(__xludf.DUMMYFUNCTION("""COMPUTED_VALUE"""),44476.66666666667)</f>
        <v>44476.66667</v>
      </c>
      <c r="B1533" s="5">
        <f>IFERROR(__xludf.DUMMYFUNCTION("""COMPUTED_VALUE"""),21.08)</f>
        <v>21.08</v>
      </c>
      <c r="C1533" s="5">
        <v>21.0340366363525</v>
      </c>
      <c r="D1533" s="5">
        <v>415.855926513671</v>
      </c>
      <c r="E1533" s="7">
        <f t="shared" ref="E1533:F1533" si="1531">C1533/C1532-1</f>
        <v>0.01811604974</v>
      </c>
      <c r="F1533" s="7">
        <f t="shared" si="1531"/>
        <v>0.008645842231</v>
      </c>
    </row>
    <row r="1534">
      <c r="A1534" s="3">
        <f>IFERROR(__xludf.DUMMYFUNCTION("""COMPUTED_VALUE"""),44477.66666666667)</f>
        <v>44477.66667</v>
      </c>
      <c r="B1534" s="5">
        <f>IFERROR(__xludf.DUMMYFUNCTION("""COMPUTED_VALUE"""),20.83)</f>
        <v>20.83</v>
      </c>
      <c r="C1534" s="5">
        <v>20.7905139923095</v>
      </c>
      <c r="D1534" s="5">
        <v>415.097503662109</v>
      </c>
      <c r="E1534" s="7">
        <f t="shared" ref="E1534:F1534" si="1532">C1534/C1533-1</f>
        <v>-0.01157755158</v>
      </c>
      <c r="F1534" s="7">
        <f t="shared" si="1532"/>
        <v>-0.00182376348</v>
      </c>
    </row>
    <row r="1535">
      <c r="A1535" s="3">
        <f>IFERROR(__xludf.DUMMYFUNCTION("""COMPUTED_VALUE"""),44480.66666666667)</f>
        <v>44480.66667</v>
      </c>
      <c r="B1535" s="5">
        <f>IFERROR(__xludf.DUMMYFUNCTION("""COMPUTED_VALUE"""),20.7)</f>
        <v>20.7</v>
      </c>
      <c r="C1535" s="5">
        <v>20.6547756195068</v>
      </c>
      <c r="D1535" s="5">
        <v>412.092254638671</v>
      </c>
      <c r="E1535" s="7">
        <f t="shared" ref="E1535:F1535" si="1533">C1535/C1534-1</f>
        <v>-0.006528860847</v>
      </c>
      <c r="F1535" s="7">
        <f t="shared" si="1533"/>
        <v>-0.007239862916</v>
      </c>
    </row>
    <row r="1536">
      <c r="A1536" s="3">
        <f>IFERROR(__xludf.DUMMYFUNCTION("""COMPUTED_VALUE"""),44481.66666666667)</f>
        <v>44481.66667</v>
      </c>
      <c r="B1536" s="5">
        <f>IFERROR(__xludf.DUMMYFUNCTION("""COMPUTED_VALUE"""),20.67)</f>
        <v>20.67</v>
      </c>
      <c r="C1536" s="5">
        <v>20.6308212280273</v>
      </c>
      <c r="D1536" s="5">
        <v>411.077911376953</v>
      </c>
      <c r="E1536" s="7">
        <f t="shared" ref="E1536:F1536" si="1534">C1536/C1535-1</f>
        <v>-0.001159750748</v>
      </c>
      <c r="F1536" s="7">
        <f t="shared" si="1534"/>
        <v>-0.002461447043</v>
      </c>
    </row>
    <row r="1537">
      <c r="A1537" s="3">
        <f>IFERROR(__xludf.DUMMYFUNCTION("""COMPUTED_VALUE"""),44482.66666666667)</f>
        <v>44482.66667</v>
      </c>
      <c r="B1537" s="5">
        <f>IFERROR(__xludf.DUMMYFUNCTION("""COMPUTED_VALUE"""),20.94)</f>
        <v>20.94</v>
      </c>
      <c r="C1537" s="5">
        <v>20.8982963562011</v>
      </c>
      <c r="D1537" s="5">
        <v>412.556823730468</v>
      </c>
      <c r="E1537" s="7">
        <f t="shared" ref="E1537:F1537" si="1535">C1537/C1536-1</f>
        <v>0.01296483185</v>
      </c>
      <c r="F1537" s="7">
        <f t="shared" si="1535"/>
        <v>0.003597644905</v>
      </c>
    </row>
    <row r="1538">
      <c r="A1538" s="3">
        <f>IFERROR(__xludf.DUMMYFUNCTION("""COMPUTED_VALUE"""),44483.66666666667)</f>
        <v>44483.66667</v>
      </c>
      <c r="B1538" s="5">
        <f>IFERROR(__xludf.DUMMYFUNCTION("""COMPUTED_VALUE"""),21.75)</f>
        <v>21.75</v>
      </c>
      <c r="C1538" s="5">
        <v>21.7037334442138</v>
      </c>
      <c r="D1538" s="5">
        <v>419.496276855468</v>
      </c>
      <c r="E1538" s="7">
        <f t="shared" ref="E1538:F1538" si="1536">C1538/C1537-1</f>
        <v>0.03854080133</v>
      </c>
      <c r="F1538" s="7">
        <f t="shared" si="1536"/>
        <v>0.01682059955</v>
      </c>
    </row>
    <row r="1539">
      <c r="A1539" s="3">
        <f>IFERROR(__xludf.DUMMYFUNCTION("""COMPUTED_VALUE"""),44484.66666666667)</f>
        <v>44484.66667</v>
      </c>
      <c r="B1539" s="5">
        <f>IFERROR(__xludf.DUMMYFUNCTION("""COMPUTED_VALUE"""),21.86)</f>
        <v>21.86</v>
      </c>
      <c r="C1539" s="5">
        <v>21.8195056915283</v>
      </c>
      <c r="D1539" s="5">
        <v>422.69107055664</v>
      </c>
      <c r="E1539" s="7">
        <f t="shared" ref="E1539:F1539" si="1537">C1539/C1538-1</f>
        <v>0.005334208864</v>
      </c>
      <c r="F1539" s="7">
        <f t="shared" si="1537"/>
        <v>0.007615785592</v>
      </c>
    </row>
    <row r="1540">
      <c r="A1540" s="3">
        <f>IFERROR(__xludf.DUMMYFUNCTION("""COMPUTED_VALUE"""),44487.66666666667)</f>
        <v>44487.66667</v>
      </c>
      <c r="B1540" s="5">
        <f>IFERROR(__xludf.DUMMYFUNCTION("""COMPUTED_VALUE"""),22.22)</f>
        <v>22.22</v>
      </c>
      <c r="C1540" s="5">
        <v>22.178804397583</v>
      </c>
      <c r="D1540" s="5">
        <v>423.942474365234</v>
      </c>
      <c r="E1540" s="7">
        <f t="shared" ref="E1540:F1540" si="1538">C1540/C1539-1</f>
        <v>0.01646685819</v>
      </c>
      <c r="F1540" s="7">
        <f t="shared" si="1538"/>
        <v>0.002960563626</v>
      </c>
    </row>
    <row r="1541">
      <c r="A1541" s="3">
        <f>IFERROR(__xludf.DUMMYFUNCTION("""COMPUTED_VALUE"""),44488.66666666667)</f>
        <v>44488.66667</v>
      </c>
      <c r="B1541" s="5">
        <f>IFERROR(__xludf.DUMMYFUNCTION("""COMPUTED_VALUE"""),22.29)</f>
        <v>22.29</v>
      </c>
      <c r="C1541" s="5">
        <v>22.2466735839843</v>
      </c>
      <c r="D1541" s="5">
        <v>427.213104248046</v>
      </c>
      <c r="E1541" s="7">
        <f t="shared" ref="E1541:F1541" si="1539">C1541/C1540-1</f>
        <v>0.003060092203</v>
      </c>
      <c r="F1541" s="7">
        <f t="shared" si="1539"/>
        <v>0.007714796418</v>
      </c>
    </row>
    <row r="1542">
      <c r="A1542" s="3">
        <f>IFERROR(__xludf.DUMMYFUNCTION("""COMPUTED_VALUE"""),44489.66666666667)</f>
        <v>44489.66667</v>
      </c>
      <c r="B1542" s="5">
        <f>IFERROR(__xludf.DUMMYFUNCTION("""COMPUTED_VALUE"""),22.1)</f>
        <v>22.1</v>
      </c>
      <c r="C1542" s="5">
        <v>22.0600395202636</v>
      </c>
      <c r="D1542" s="5">
        <v>428.891082763671</v>
      </c>
      <c r="E1542" s="7">
        <f t="shared" ref="E1542:F1542" si="1540">C1542/C1541-1</f>
        <v>-0.008389302024</v>
      </c>
      <c r="F1542" s="7">
        <f t="shared" si="1540"/>
        <v>0.003927731848</v>
      </c>
    </row>
    <row r="1543">
      <c r="A1543" s="3">
        <f>IFERROR(__xludf.DUMMYFUNCTION("""COMPUTED_VALUE"""),44490.66666666667)</f>
        <v>44490.66667</v>
      </c>
      <c r="B1543" s="5">
        <f>IFERROR(__xludf.DUMMYFUNCTION("""COMPUTED_VALUE"""),22.69)</f>
        <v>22.69</v>
      </c>
      <c r="C1543" s="5">
        <v>22.647891998291</v>
      </c>
      <c r="D1543" s="5">
        <v>430.009765625</v>
      </c>
      <c r="E1543" s="7">
        <f t="shared" ref="E1543:F1543" si="1541">C1543/C1542-1</f>
        <v>0.02664784338</v>
      </c>
      <c r="F1543" s="7">
        <f t="shared" si="1541"/>
        <v>0.002608314573</v>
      </c>
    </row>
    <row r="1544">
      <c r="A1544" s="3">
        <f>IFERROR(__xludf.DUMMYFUNCTION("""COMPUTED_VALUE"""),44491.66666666667)</f>
        <v>44491.66667</v>
      </c>
      <c r="B1544" s="5">
        <f>IFERROR(__xludf.DUMMYFUNCTION("""COMPUTED_VALUE"""),22.73)</f>
        <v>22.73</v>
      </c>
      <c r="C1544" s="5">
        <v>22.6818256378173</v>
      </c>
      <c r="D1544" s="5">
        <v>429.564208984375</v>
      </c>
      <c r="E1544" s="7">
        <f t="shared" ref="E1544:F1544" si="1542">C1544/C1543-1</f>
        <v>0.001498313376</v>
      </c>
      <c r="F1544" s="7">
        <f t="shared" si="1542"/>
        <v>-0.001036154702</v>
      </c>
    </row>
    <row r="1545">
      <c r="A1545" s="3">
        <f>IFERROR(__xludf.DUMMYFUNCTION("""COMPUTED_VALUE"""),44494.66666666667)</f>
        <v>44494.66667</v>
      </c>
      <c r="B1545" s="5">
        <f>IFERROR(__xludf.DUMMYFUNCTION("""COMPUTED_VALUE"""),23.17)</f>
        <v>23.17</v>
      </c>
      <c r="C1545" s="5">
        <v>23.1209716796875</v>
      </c>
      <c r="D1545" s="5">
        <v>431.86782836914</v>
      </c>
      <c r="E1545" s="7">
        <f t="shared" ref="E1545:F1545" si="1543">C1545/C1544-1</f>
        <v>0.01936114177</v>
      </c>
      <c r="F1545" s="7">
        <f t="shared" si="1543"/>
        <v>0.005362689294</v>
      </c>
    </row>
    <row r="1546">
      <c r="A1546" s="3">
        <f>IFERROR(__xludf.DUMMYFUNCTION("""COMPUTED_VALUE"""),44495.66666666667)</f>
        <v>44495.66667</v>
      </c>
      <c r="B1546" s="5">
        <f>IFERROR(__xludf.DUMMYFUNCTION("""COMPUTED_VALUE"""),24.72)</f>
        <v>24.72</v>
      </c>
      <c r="C1546" s="5">
        <v>24.6689567565917</v>
      </c>
      <c r="D1546" s="5">
        <v>432.256439208984</v>
      </c>
      <c r="E1546" s="7">
        <f t="shared" ref="E1546:F1546" si="1544">C1546/C1545-1</f>
        <v>0.06695155802</v>
      </c>
      <c r="F1546" s="7">
        <f t="shared" si="1544"/>
        <v>0.0008998374371</v>
      </c>
    </row>
    <row r="1547">
      <c r="A1547" s="3">
        <f>IFERROR(__xludf.DUMMYFUNCTION("""COMPUTED_VALUE"""),44496.66666666667)</f>
        <v>44496.66667</v>
      </c>
      <c r="B1547" s="5">
        <f>IFERROR(__xludf.DUMMYFUNCTION("""COMPUTED_VALUE"""),24.45)</f>
        <v>24.45</v>
      </c>
      <c r="C1547" s="5">
        <v>24.4034729003906</v>
      </c>
      <c r="D1547" s="5">
        <v>430.341552734375</v>
      </c>
      <c r="E1547" s="7">
        <f t="shared" ref="E1547:F1547" si="1545">C1547/C1546-1</f>
        <v>-0.01076185989</v>
      </c>
      <c r="F1547" s="7">
        <f t="shared" si="1545"/>
        <v>-0.004429977904</v>
      </c>
    </row>
    <row r="1548">
      <c r="A1548" s="3">
        <f>IFERROR(__xludf.DUMMYFUNCTION("""COMPUTED_VALUE"""),44497.66666666667)</f>
        <v>44497.66667</v>
      </c>
      <c r="B1548" s="5">
        <f>IFERROR(__xludf.DUMMYFUNCTION("""COMPUTED_VALUE"""),24.94)</f>
        <v>24.94</v>
      </c>
      <c r="C1548" s="5">
        <v>24.892520904541</v>
      </c>
      <c r="D1548" s="5">
        <v>434.493896484375</v>
      </c>
      <c r="E1548" s="7">
        <f t="shared" ref="E1548:F1548" si="1546">C1548/C1547-1</f>
        <v>0.02004009864</v>
      </c>
      <c r="F1548" s="7">
        <f t="shared" si="1546"/>
        <v>0.009648949128</v>
      </c>
    </row>
    <row r="1549">
      <c r="A1549" s="3">
        <f>IFERROR(__xludf.DUMMYFUNCTION("""COMPUTED_VALUE"""),44498.66666666667)</f>
        <v>44498.66667</v>
      </c>
      <c r="B1549" s="5">
        <f>IFERROR(__xludf.DUMMYFUNCTION("""COMPUTED_VALUE"""),25.57)</f>
        <v>25.57</v>
      </c>
      <c r="C1549" s="5">
        <v>25.5173091888427</v>
      </c>
      <c r="D1549" s="5">
        <v>435.37548828125</v>
      </c>
      <c r="E1549" s="7">
        <f t="shared" ref="E1549:F1549" si="1547">C1549/C1548-1</f>
        <v>0.02509943797</v>
      </c>
      <c r="F1549" s="7">
        <f t="shared" si="1547"/>
        <v>0.002029008472</v>
      </c>
    </row>
    <row r="1550">
      <c r="A1550" s="3">
        <f>IFERROR(__xludf.DUMMYFUNCTION("""COMPUTED_VALUE"""),44501.66666666667)</f>
        <v>44501.66667</v>
      </c>
      <c r="B1550" s="5">
        <f>IFERROR(__xludf.DUMMYFUNCTION("""COMPUTED_VALUE"""),25.83)</f>
        <v>25.83</v>
      </c>
      <c r="C1550" s="5">
        <v>25.7768001556396</v>
      </c>
      <c r="D1550" s="5">
        <v>436.124389648437</v>
      </c>
      <c r="E1550" s="7">
        <f t="shared" ref="E1550:F1550" si="1548">C1550/C1549-1</f>
        <v>0.01016921357</v>
      </c>
      <c r="F1550" s="7">
        <f t="shared" si="1548"/>
        <v>0.001720127539</v>
      </c>
    </row>
    <row r="1551">
      <c r="A1551" s="3">
        <f>IFERROR(__xludf.DUMMYFUNCTION("""COMPUTED_VALUE"""),44502.66666666667)</f>
        <v>44502.66667</v>
      </c>
      <c r="B1551" s="5">
        <f>IFERROR(__xludf.DUMMYFUNCTION("""COMPUTED_VALUE"""),26.4)</f>
        <v>26.4</v>
      </c>
      <c r="C1551" s="5">
        <v>26.3496799468994</v>
      </c>
      <c r="D1551" s="5">
        <v>437.8876953125</v>
      </c>
      <c r="E1551" s="7">
        <f t="shared" ref="E1551:F1551" si="1549">C1551/C1550-1</f>
        <v>0.02222462787</v>
      </c>
      <c r="F1551" s="7">
        <f t="shared" si="1549"/>
        <v>0.004043125553</v>
      </c>
    </row>
    <row r="1552">
      <c r="A1552" s="3">
        <f>IFERROR(__xludf.DUMMYFUNCTION("""COMPUTED_VALUE"""),44503.66666666667)</f>
        <v>44503.66667</v>
      </c>
      <c r="B1552" s="5">
        <f>IFERROR(__xludf.DUMMYFUNCTION("""COMPUTED_VALUE"""),26.6)</f>
        <v>26.6</v>
      </c>
      <c r="C1552" s="5">
        <v>26.5462989807128</v>
      </c>
      <c r="D1552" s="5">
        <v>440.561157226562</v>
      </c>
      <c r="E1552" s="7">
        <f t="shared" ref="E1552:F1552" si="1550">C1552/C1551-1</f>
        <v>0.007461913549</v>
      </c>
      <c r="F1552" s="7">
        <f t="shared" si="1550"/>
        <v>0.006105359759</v>
      </c>
    </row>
    <row r="1553">
      <c r="A1553" s="3">
        <f>IFERROR(__xludf.DUMMYFUNCTION("""COMPUTED_VALUE"""),44504.66666666667)</f>
        <v>44504.66667</v>
      </c>
      <c r="B1553" s="5">
        <f>IFERROR(__xludf.DUMMYFUNCTION("""COMPUTED_VALUE"""),29.8)</f>
        <v>29.8</v>
      </c>
      <c r="C1553" s="5">
        <v>29.7430763244628</v>
      </c>
      <c r="D1553" s="5">
        <v>442.637329101562</v>
      </c>
      <c r="E1553" s="7">
        <f t="shared" ref="E1553:F1553" si="1551">C1553/C1552-1</f>
        <v>0.120422713</v>
      </c>
      <c r="F1553" s="7">
        <f t="shared" si="1551"/>
        <v>0.004712562242</v>
      </c>
    </row>
    <row r="1554">
      <c r="A1554" s="3">
        <f>IFERROR(__xludf.DUMMYFUNCTION("""COMPUTED_VALUE"""),44505.66666666667)</f>
        <v>44505.66667</v>
      </c>
      <c r="B1554" s="5">
        <f>IFERROR(__xludf.DUMMYFUNCTION("""COMPUTED_VALUE"""),29.75)</f>
        <v>29.75</v>
      </c>
      <c r="C1554" s="5">
        <v>29.6941699981689</v>
      </c>
      <c r="D1554" s="5">
        <v>444.173095703125</v>
      </c>
      <c r="E1554" s="7">
        <f t="shared" ref="E1554:F1554" si="1552">C1554/C1553-1</f>
        <v>-0.001644292801</v>
      </c>
      <c r="F1554" s="7">
        <f t="shared" si="1552"/>
        <v>0.003469582208</v>
      </c>
    </row>
    <row r="1555">
      <c r="A1555" s="3">
        <f>IFERROR(__xludf.DUMMYFUNCTION("""COMPUTED_VALUE"""),44508.66666666667)</f>
        <v>44508.66667</v>
      </c>
      <c r="B1555" s="5">
        <f>IFERROR(__xludf.DUMMYFUNCTION("""COMPUTED_VALUE"""),30.8)</f>
        <v>30.8</v>
      </c>
      <c r="C1555" s="5">
        <v>30.7441253662109</v>
      </c>
      <c r="D1555" s="5">
        <v>444.55224609375</v>
      </c>
      <c r="E1555" s="7">
        <f t="shared" ref="E1555:F1555" si="1553">C1555/C1554-1</f>
        <v>0.03535897343</v>
      </c>
      <c r="F1555" s="7">
        <f t="shared" si="1553"/>
        <v>0.0008536095371</v>
      </c>
    </row>
    <row r="1556">
      <c r="A1556" s="3">
        <f>IFERROR(__xludf.DUMMYFUNCTION("""COMPUTED_VALUE"""),44509.66666666667)</f>
        <v>44509.66667</v>
      </c>
      <c r="B1556" s="5">
        <f>IFERROR(__xludf.DUMMYFUNCTION("""COMPUTED_VALUE"""),30.66)</f>
        <v>30.66</v>
      </c>
      <c r="C1556" s="5">
        <v>30.5974102020263</v>
      </c>
      <c r="D1556" s="5">
        <v>443.082916259765</v>
      </c>
      <c r="E1556" s="7">
        <f t="shared" ref="E1556:F1556" si="1554">C1556/C1555-1</f>
        <v>-0.004772136544</v>
      </c>
      <c r="F1556" s="7">
        <f t="shared" si="1554"/>
        <v>-0.00330519044</v>
      </c>
    </row>
    <row r="1557">
      <c r="A1557" s="3">
        <f>IFERROR(__xludf.DUMMYFUNCTION("""COMPUTED_VALUE"""),44510.66666666667)</f>
        <v>44510.66667</v>
      </c>
      <c r="B1557" s="5">
        <f>IFERROR(__xludf.DUMMYFUNCTION("""COMPUTED_VALUE"""),29.46)</f>
        <v>29.46</v>
      </c>
      <c r="C1557" s="5">
        <v>29.4017391204834</v>
      </c>
      <c r="D1557" s="5">
        <v>439.518280029296</v>
      </c>
      <c r="E1557" s="7">
        <f t="shared" ref="E1557:F1557" si="1555">C1557/C1556-1</f>
        <v>-0.03907752564</v>
      </c>
      <c r="F1557" s="7">
        <f t="shared" si="1555"/>
        <v>-0.008045077117</v>
      </c>
    </row>
    <row r="1558">
      <c r="A1558" s="3">
        <f>IFERROR(__xludf.DUMMYFUNCTION("""COMPUTED_VALUE"""),44511.66666666667)</f>
        <v>44511.66667</v>
      </c>
      <c r="B1558" s="5">
        <f>IFERROR(__xludf.DUMMYFUNCTION("""COMPUTED_VALUE"""),30.39)</f>
        <v>30.39</v>
      </c>
      <c r="C1558" s="5">
        <v>30.3309326171875</v>
      </c>
      <c r="D1558" s="5">
        <v>439.660461425781</v>
      </c>
      <c r="E1558" s="7">
        <f t="shared" ref="E1558:F1558" si="1556">C1558/C1557-1</f>
        <v>0.03160335152</v>
      </c>
      <c r="F1558" s="7">
        <f t="shared" si="1556"/>
        <v>0.0003234937042</v>
      </c>
    </row>
    <row r="1559">
      <c r="A1559" s="3">
        <f>IFERROR(__xludf.DUMMYFUNCTION("""COMPUTED_VALUE"""),44512.66666666667)</f>
        <v>44512.66667</v>
      </c>
      <c r="B1559" s="5">
        <f>IFERROR(__xludf.DUMMYFUNCTION("""COMPUTED_VALUE"""),30.39)</f>
        <v>30.39</v>
      </c>
      <c r="C1559" s="5">
        <v>30.3309326171875</v>
      </c>
      <c r="D1559" s="5">
        <v>442.978637695312</v>
      </c>
      <c r="E1559" s="7">
        <f t="shared" ref="E1559:F1559" si="1557">C1559/C1558-1</f>
        <v>0</v>
      </c>
      <c r="F1559" s="7">
        <f t="shared" si="1557"/>
        <v>0.007547133665</v>
      </c>
    </row>
    <row r="1560">
      <c r="A1560" s="3">
        <f>IFERROR(__xludf.DUMMYFUNCTION("""COMPUTED_VALUE"""),44515.66666666667)</f>
        <v>44515.66667</v>
      </c>
      <c r="B1560" s="5">
        <f>IFERROR(__xludf.DUMMYFUNCTION("""COMPUTED_VALUE"""),30.03)</f>
        <v>30.03</v>
      </c>
      <c r="C1560" s="5">
        <v>29.9666385650634</v>
      </c>
      <c r="D1560" s="5">
        <v>443.130279541015</v>
      </c>
      <c r="E1560" s="7">
        <f t="shared" ref="E1560:F1560" si="1558">C1560/C1559-1</f>
        <v>-0.0120106446</v>
      </c>
      <c r="F1560" s="7">
        <f t="shared" si="1558"/>
        <v>0.0003423231569</v>
      </c>
    </row>
    <row r="1561">
      <c r="A1561" s="3">
        <f>IFERROR(__xludf.DUMMYFUNCTION("""COMPUTED_VALUE"""),44516.66666666667)</f>
        <v>44516.66667</v>
      </c>
      <c r="B1561" s="5">
        <f>IFERROR(__xludf.DUMMYFUNCTION("""COMPUTED_VALUE"""),30.2)</f>
        <v>30.2</v>
      </c>
      <c r="C1561" s="5">
        <v>30.1442966461181</v>
      </c>
      <c r="D1561" s="5">
        <v>444.884033203125</v>
      </c>
      <c r="E1561" s="7">
        <f t="shared" ref="E1561:F1561" si="1559">C1561/C1560-1</f>
        <v>0.005928528843</v>
      </c>
      <c r="F1561" s="7">
        <f t="shared" si="1559"/>
        <v>0.003957647994</v>
      </c>
    </row>
    <row r="1562">
      <c r="A1562" s="3">
        <f>IFERROR(__xludf.DUMMYFUNCTION("""COMPUTED_VALUE"""),44517.66666666667)</f>
        <v>44517.66667</v>
      </c>
      <c r="B1562" s="5">
        <f>IFERROR(__xludf.DUMMYFUNCTION("""COMPUTED_VALUE"""),29.26)</f>
        <v>29.26</v>
      </c>
      <c r="C1562" s="5">
        <v>29.2041225433349</v>
      </c>
      <c r="D1562" s="5">
        <v>443.803344726562</v>
      </c>
      <c r="E1562" s="7">
        <f t="shared" ref="E1562:F1562" si="1560">C1562/C1561-1</f>
        <v>-0.03118912058</v>
      </c>
      <c r="F1562" s="7">
        <f t="shared" si="1560"/>
        <v>-0.002429146465</v>
      </c>
    </row>
    <row r="1563">
      <c r="A1563" s="3">
        <f>IFERROR(__xludf.DUMMYFUNCTION("""COMPUTED_VALUE"""),44518.66666666667)</f>
        <v>44518.66667</v>
      </c>
      <c r="B1563" s="5">
        <f>IFERROR(__xludf.DUMMYFUNCTION("""COMPUTED_VALUE"""),31.68)</f>
        <v>31.68</v>
      </c>
      <c r="C1563" s="5">
        <v>31.6134300231933</v>
      </c>
      <c r="D1563" s="5">
        <v>445.310729980468</v>
      </c>
      <c r="E1563" s="7">
        <f t="shared" ref="E1563:F1563" si="1561">C1563/C1562-1</f>
        <v>0.08249888269</v>
      </c>
      <c r="F1563" s="7">
        <f t="shared" si="1561"/>
        <v>0.003396516209</v>
      </c>
    </row>
    <row r="1564">
      <c r="A1564" s="3">
        <f>IFERROR(__xludf.DUMMYFUNCTION("""COMPUTED_VALUE"""),44519.66666666667)</f>
        <v>44519.66667</v>
      </c>
      <c r="B1564" s="5">
        <f>IFERROR(__xludf.DUMMYFUNCTION("""COMPUTED_VALUE"""),32.99)</f>
        <v>32.99</v>
      </c>
      <c r="C1564" s="5">
        <v>32.9208908081054</v>
      </c>
      <c r="D1564" s="5">
        <v>444.514343261718</v>
      </c>
      <c r="E1564" s="7">
        <f t="shared" ref="E1564:F1564" si="1562">C1564/C1563-1</f>
        <v>0.04135776421</v>
      </c>
      <c r="F1564" s="7">
        <f t="shared" si="1562"/>
        <v>-0.001788384301</v>
      </c>
    </row>
    <row r="1565">
      <c r="A1565" s="3">
        <f>IFERROR(__xludf.DUMMYFUNCTION("""COMPUTED_VALUE"""),44522.66666666667)</f>
        <v>44522.66667</v>
      </c>
      <c r="B1565" s="5">
        <f>IFERROR(__xludf.DUMMYFUNCTION("""COMPUTED_VALUE"""),31.96)</f>
        <v>31.96</v>
      </c>
      <c r="C1565" s="5">
        <v>31.8938865661621</v>
      </c>
      <c r="D1565" s="5">
        <v>443.262969970703</v>
      </c>
      <c r="E1565" s="7">
        <f t="shared" ref="E1565:F1565" si="1563">C1565/C1564-1</f>
        <v>-0.03119612552</v>
      </c>
      <c r="F1565" s="7">
        <f t="shared" si="1563"/>
        <v>-0.00281514716</v>
      </c>
    </row>
    <row r="1566">
      <c r="A1566" s="3">
        <f>IFERROR(__xludf.DUMMYFUNCTION("""COMPUTED_VALUE"""),44523.66666666667)</f>
        <v>44523.66667</v>
      </c>
      <c r="B1566" s="5">
        <f>IFERROR(__xludf.DUMMYFUNCTION("""COMPUTED_VALUE"""),31.75)</f>
        <v>31.75</v>
      </c>
      <c r="C1566" s="5">
        <v>31.6842937469482</v>
      </c>
      <c r="D1566" s="5">
        <v>443.85073852539</v>
      </c>
      <c r="E1566" s="7">
        <f t="shared" ref="E1566:F1566" si="1564">C1566/C1565-1</f>
        <v>-0.006571567212</v>
      </c>
      <c r="F1566" s="7">
        <f t="shared" si="1564"/>
        <v>0.001326004188</v>
      </c>
    </row>
    <row r="1567">
      <c r="A1567" s="3">
        <f>IFERROR(__xludf.DUMMYFUNCTION("""COMPUTED_VALUE"""),44524.66666666667)</f>
        <v>44524.66667</v>
      </c>
      <c r="B1567" s="5">
        <f>IFERROR(__xludf.DUMMYFUNCTION("""COMPUTED_VALUE"""),32.67)</f>
        <v>32.67</v>
      </c>
      <c r="C1567" s="5">
        <v>32.6104888916015</v>
      </c>
      <c r="D1567" s="5">
        <v>445.035766601562</v>
      </c>
      <c r="E1567" s="7">
        <f t="shared" ref="E1567:F1567" si="1565">C1567/C1566-1</f>
        <v>0.02923199589</v>
      </c>
      <c r="F1567" s="7">
        <f t="shared" si="1565"/>
        <v>0.002669879699</v>
      </c>
    </row>
    <row r="1568">
      <c r="A1568" s="3">
        <f>IFERROR(__xludf.DUMMYFUNCTION("""COMPUTED_VALUE"""),44526.54166666667)</f>
        <v>44526.54167</v>
      </c>
      <c r="B1568" s="5">
        <f>IFERROR(__xludf.DUMMYFUNCTION("""COMPUTED_VALUE"""),31.5)</f>
        <v>31.5</v>
      </c>
      <c r="C1568" s="5">
        <v>31.4417667388916</v>
      </c>
      <c r="D1568" s="5">
        <v>435.110107421875</v>
      </c>
      <c r="E1568" s="7">
        <f t="shared" ref="E1568:F1568" si="1566">C1568/C1567-1</f>
        <v>-0.03583884181</v>
      </c>
      <c r="F1568" s="7">
        <f t="shared" si="1566"/>
        <v>-0.02230305949</v>
      </c>
    </row>
    <row r="1569">
      <c r="A1569" s="3">
        <f>IFERROR(__xludf.DUMMYFUNCTION("""COMPUTED_VALUE"""),44529.66666666667)</f>
        <v>44529.66667</v>
      </c>
      <c r="B1569" s="5">
        <f>IFERROR(__xludf.DUMMYFUNCTION("""COMPUTED_VALUE"""),33.38)</f>
        <v>33.38</v>
      </c>
      <c r="C1569" s="5">
        <v>33.3111267089843</v>
      </c>
      <c r="D1569" s="5">
        <v>440.447357177734</v>
      </c>
      <c r="E1569" s="7">
        <f t="shared" ref="E1569:F1569" si="1567">C1569/C1568-1</f>
        <v>0.05945467332</v>
      </c>
      <c r="F1569" s="7">
        <f t="shared" si="1567"/>
        <v>0.01226643478</v>
      </c>
    </row>
    <row r="1570">
      <c r="A1570" s="3">
        <f>IFERROR(__xludf.DUMMYFUNCTION("""COMPUTED_VALUE"""),44530.66666666667)</f>
        <v>44530.66667</v>
      </c>
      <c r="B1570" s="5">
        <f>IFERROR(__xludf.DUMMYFUNCTION("""COMPUTED_VALUE"""),32.68)</f>
        <v>32.68</v>
      </c>
      <c r="C1570" s="5">
        <v>32.6124877929687</v>
      </c>
      <c r="D1570" s="5">
        <v>431.877349853515</v>
      </c>
      <c r="E1570" s="7">
        <f t="shared" ref="E1570:F1570" si="1568">C1570/C1569-1</f>
        <v>-0.02097313976</v>
      </c>
      <c r="F1570" s="7">
        <f t="shared" si="1568"/>
        <v>-0.01945750652</v>
      </c>
    </row>
    <row r="1571">
      <c r="A1571" s="3">
        <f>IFERROR(__xludf.DUMMYFUNCTION("""COMPUTED_VALUE"""),44531.66666666667)</f>
        <v>44531.66667</v>
      </c>
      <c r="B1571" s="5">
        <f>IFERROR(__xludf.DUMMYFUNCTION("""COMPUTED_VALUE"""),31.44)</f>
        <v>31.44</v>
      </c>
      <c r="C1571" s="5">
        <v>31.3777427673339</v>
      </c>
      <c r="D1571" s="5">
        <v>427.080322265625</v>
      </c>
      <c r="E1571" s="7">
        <f t="shared" ref="E1571:F1571" si="1569">C1571/C1570-1</f>
        <v>-0.03786111116</v>
      </c>
      <c r="F1571" s="7">
        <f t="shared" si="1569"/>
        <v>-0.01110738405</v>
      </c>
    </row>
    <row r="1572">
      <c r="A1572" s="3">
        <f>IFERROR(__xludf.DUMMYFUNCTION("""COMPUTED_VALUE"""),44532.66666666667)</f>
        <v>44532.66667</v>
      </c>
      <c r="B1572" s="5">
        <f>IFERROR(__xludf.DUMMYFUNCTION("""COMPUTED_VALUE"""),32.13)</f>
        <v>32.13</v>
      </c>
      <c r="C1572" s="5">
        <v>32.0674819946289</v>
      </c>
      <c r="D1572" s="5">
        <v>433.621704101562</v>
      </c>
      <c r="E1572" s="7">
        <f t="shared" ref="E1572:F1572" si="1570">C1572/C1571-1</f>
        <v>0.02198179877</v>
      </c>
      <c r="F1572" s="7">
        <f t="shared" si="1570"/>
        <v>0.01531651424</v>
      </c>
    </row>
    <row r="1573">
      <c r="A1573" s="3">
        <f>IFERROR(__xludf.DUMMYFUNCTION("""COMPUTED_VALUE"""),44533.66666666667)</f>
        <v>44533.66667</v>
      </c>
      <c r="B1573" s="5">
        <f>IFERROR(__xludf.DUMMYFUNCTION("""COMPUTED_VALUE"""),30.69)</f>
        <v>30.69</v>
      </c>
      <c r="C1573" s="5">
        <v>30.637092590332</v>
      </c>
      <c r="D1573" s="5">
        <v>429.848571777343</v>
      </c>
      <c r="E1573" s="7">
        <f t="shared" ref="E1573:F1573" si="1571">C1573/C1572-1</f>
        <v>-0.04460560404</v>
      </c>
      <c r="F1573" s="7">
        <f t="shared" si="1571"/>
        <v>-0.008701437886</v>
      </c>
    </row>
    <row r="1574">
      <c r="A1574" s="3">
        <f>IFERROR(__xludf.DUMMYFUNCTION("""COMPUTED_VALUE"""),44536.66666666667)</f>
        <v>44536.66667</v>
      </c>
      <c r="B1574" s="5">
        <f>IFERROR(__xludf.DUMMYFUNCTION("""COMPUTED_VALUE"""),30.04)</f>
        <v>30.04</v>
      </c>
      <c r="C1574" s="5">
        <v>29.9822902679443</v>
      </c>
      <c r="D1574" s="5">
        <v>434.939422607421</v>
      </c>
      <c r="E1574" s="7">
        <f t="shared" ref="E1574:F1574" si="1572">C1574/C1573-1</f>
        <v>-0.02137286103</v>
      </c>
      <c r="F1574" s="7">
        <f t="shared" si="1572"/>
        <v>0.01184335872</v>
      </c>
    </row>
    <row r="1575">
      <c r="A1575" s="3">
        <f>IFERROR(__xludf.DUMMYFUNCTION("""COMPUTED_VALUE"""),44537.66666666667)</f>
        <v>44537.66667</v>
      </c>
      <c r="B1575" s="5">
        <f>IFERROR(__xludf.DUMMYFUNCTION("""COMPUTED_VALUE"""),32.43)</f>
        <v>32.43</v>
      </c>
      <c r="C1575" s="5">
        <v>32.3679313659668</v>
      </c>
      <c r="D1575" s="5">
        <v>443.936065673828</v>
      </c>
      <c r="E1575" s="7">
        <f t="shared" ref="E1575:F1575" si="1573">C1575/C1574-1</f>
        <v>0.07956834107</v>
      </c>
      <c r="F1575" s="7">
        <f t="shared" si="1573"/>
        <v>0.02068481862</v>
      </c>
    </row>
    <row r="1576">
      <c r="A1576" s="3">
        <f>IFERROR(__xludf.DUMMYFUNCTION("""COMPUTED_VALUE"""),44538.66666666667)</f>
        <v>44538.66667</v>
      </c>
      <c r="B1576" s="5">
        <f>IFERROR(__xludf.DUMMYFUNCTION("""COMPUTED_VALUE"""),31.83)</f>
        <v>31.83</v>
      </c>
      <c r="C1576" s="5">
        <v>31.7680282592773</v>
      </c>
      <c r="D1576" s="5">
        <v>445.111541748046</v>
      </c>
      <c r="E1576" s="7">
        <f t="shared" ref="E1576:F1576" si="1574">C1576/C1575-1</f>
        <v>-0.0185338723</v>
      </c>
      <c r="F1576" s="7">
        <f t="shared" si="1574"/>
        <v>0.002647849916</v>
      </c>
    </row>
    <row r="1577">
      <c r="A1577" s="3">
        <f>IFERROR(__xludf.DUMMYFUNCTION("""COMPUTED_VALUE"""),44539.66666666667)</f>
        <v>44539.66667</v>
      </c>
      <c r="B1577" s="5">
        <f>IFERROR(__xludf.DUMMYFUNCTION("""COMPUTED_VALUE"""),30.49)</f>
        <v>30.49</v>
      </c>
      <c r="C1577" s="5">
        <v>30.4344596862792</v>
      </c>
      <c r="D1577" s="5">
        <v>442.106384277343</v>
      </c>
      <c r="E1577" s="7">
        <f t="shared" ref="E1577:F1577" si="1575">C1577/C1576-1</f>
        <v>-0.04197832368</v>
      </c>
      <c r="F1577" s="7">
        <f t="shared" si="1575"/>
        <v>-0.006751470562</v>
      </c>
    </row>
    <row r="1578">
      <c r="A1578" s="3">
        <f>IFERROR(__xludf.DUMMYFUNCTION("""COMPUTED_VALUE"""),44540.66666666667)</f>
        <v>44540.66667</v>
      </c>
      <c r="B1578" s="5">
        <f>IFERROR(__xludf.DUMMYFUNCTION("""COMPUTED_VALUE"""),30.2)</f>
        <v>30.2</v>
      </c>
      <c r="C1578" s="5">
        <v>30.1429939270019</v>
      </c>
      <c r="D1578" s="5">
        <v>446.268157958984</v>
      </c>
      <c r="E1578" s="7">
        <f t="shared" ref="E1578:F1578" si="1576">C1578/C1577-1</f>
        <v>-0.009576833704</v>
      </c>
      <c r="F1578" s="7">
        <f t="shared" si="1576"/>
        <v>0.009413511837</v>
      </c>
    </row>
    <row r="1579">
      <c r="A1579" s="3">
        <f>IFERROR(__xludf.DUMMYFUNCTION("""COMPUTED_VALUE"""),44543.66666666667)</f>
        <v>44543.66667</v>
      </c>
      <c r="B1579" s="5">
        <f>IFERROR(__xludf.DUMMYFUNCTION("""COMPUTED_VALUE"""),28.16)</f>
        <v>28.16</v>
      </c>
      <c r="C1579" s="5">
        <v>28.1097011566162</v>
      </c>
      <c r="D1579" s="5">
        <v>442.314971923828</v>
      </c>
      <c r="E1579" s="7">
        <f t="shared" ref="E1579:F1579" si="1577">C1579/C1578-1</f>
        <v>-0.06745490429</v>
      </c>
      <c r="F1579" s="7">
        <f t="shared" si="1577"/>
        <v>-0.008858319745</v>
      </c>
    </row>
    <row r="1580">
      <c r="A1580" s="3">
        <f>IFERROR(__xludf.DUMMYFUNCTION("""COMPUTED_VALUE"""),44544.66666666667)</f>
        <v>44544.66667</v>
      </c>
      <c r="B1580" s="5">
        <f>IFERROR(__xludf.DUMMYFUNCTION("""COMPUTED_VALUE"""),28.34)</f>
        <v>28.34</v>
      </c>
      <c r="C1580" s="5">
        <v>28.2853832244873</v>
      </c>
      <c r="D1580" s="5">
        <v>439.271881103515</v>
      </c>
      <c r="E1580" s="7">
        <f t="shared" ref="E1580:F1580" si="1578">C1580/C1579-1</f>
        <v>0.006249873198</v>
      </c>
      <c r="F1580" s="7">
        <f t="shared" si="1578"/>
        <v>-0.006879918188</v>
      </c>
    </row>
    <row r="1581">
      <c r="A1581" s="3">
        <f>IFERROR(__xludf.DUMMYFUNCTION("""COMPUTED_VALUE"""),44545.66666666667)</f>
        <v>44545.66667</v>
      </c>
      <c r="B1581" s="5">
        <f>IFERROR(__xludf.DUMMYFUNCTION("""COMPUTED_VALUE"""),30.46)</f>
        <v>30.46</v>
      </c>
      <c r="C1581" s="5">
        <v>30.4035205841064</v>
      </c>
      <c r="D1581" s="5">
        <v>446.135375976562</v>
      </c>
      <c r="E1581" s="7">
        <f t="shared" ref="E1581:F1581" si="1579">C1581/C1580-1</f>
        <v>0.07488452049</v>
      </c>
      <c r="F1581" s="7">
        <f t="shared" si="1579"/>
        <v>0.015624708</v>
      </c>
    </row>
    <row r="1582">
      <c r="A1582" s="3">
        <f>IFERROR(__xludf.DUMMYFUNCTION("""COMPUTED_VALUE"""),44546.66666666667)</f>
        <v>44546.66667</v>
      </c>
      <c r="B1582" s="5">
        <f>IFERROR(__xludf.DUMMYFUNCTION("""COMPUTED_VALUE"""),28.39)</f>
        <v>28.39</v>
      </c>
      <c r="C1582" s="5">
        <v>28.3352909088134</v>
      </c>
      <c r="D1582" s="5">
        <v>442.201171875</v>
      </c>
      <c r="E1582" s="7">
        <f t="shared" ref="E1582:F1582" si="1580">C1582/C1581-1</f>
        <v>-0.0680259929</v>
      </c>
      <c r="F1582" s="7">
        <f t="shared" si="1580"/>
        <v>-0.008818408746</v>
      </c>
    </row>
    <row r="1583">
      <c r="A1583" s="3">
        <f>IFERROR(__xludf.DUMMYFUNCTION("""COMPUTED_VALUE"""),44547.66666666667)</f>
        <v>44547.66667</v>
      </c>
      <c r="B1583" s="5">
        <f>IFERROR(__xludf.DUMMYFUNCTION("""COMPUTED_VALUE"""),27.8)</f>
        <v>27.8</v>
      </c>
      <c r="C1583" s="5">
        <v>27.7503585815429</v>
      </c>
      <c r="D1583" s="5">
        <v>437.494873046875</v>
      </c>
      <c r="E1583" s="7">
        <f t="shared" ref="E1583:F1583" si="1581">C1583/C1582-1</f>
        <v>-0.02064324411</v>
      </c>
      <c r="F1583" s="7">
        <f t="shared" si="1581"/>
        <v>-0.0106428909</v>
      </c>
    </row>
    <row r="1584">
      <c r="A1584" s="3">
        <f>IFERROR(__xludf.DUMMYFUNCTION("""COMPUTED_VALUE"""),44550.66666666667)</f>
        <v>44550.66667</v>
      </c>
      <c r="B1584" s="5">
        <f>IFERROR(__xludf.DUMMYFUNCTION("""COMPUTED_VALUE"""),27.72)</f>
        <v>27.72</v>
      </c>
      <c r="C1584" s="5">
        <v>27.668508529663</v>
      </c>
      <c r="D1584" s="5">
        <v>432.8427734375</v>
      </c>
      <c r="E1584" s="7">
        <f t="shared" ref="E1584:F1584" si="1582">C1584/C1583-1</f>
        <v>-0.002949513306</v>
      </c>
      <c r="F1584" s="7">
        <f t="shared" si="1582"/>
        <v>-0.01063349515</v>
      </c>
    </row>
    <row r="1585">
      <c r="A1585" s="3">
        <f>IFERROR(__xludf.DUMMYFUNCTION("""COMPUTED_VALUE"""),44551.66666666667)</f>
        <v>44551.66667</v>
      </c>
      <c r="B1585" s="5">
        <f>IFERROR(__xludf.DUMMYFUNCTION("""COMPUTED_VALUE"""),29.08)</f>
        <v>29.08</v>
      </c>
      <c r="C1585" s="5">
        <v>29.0220394134521</v>
      </c>
      <c r="D1585" s="5">
        <v>440.529663085937</v>
      </c>
      <c r="E1585" s="7">
        <f t="shared" ref="E1585:F1585" si="1583">C1585/C1584-1</f>
        <v>0.04891954629</v>
      </c>
      <c r="F1585" s="7">
        <f t="shared" si="1583"/>
        <v>0.01775908048</v>
      </c>
    </row>
    <row r="1586">
      <c r="A1586" s="3">
        <f>IFERROR(__xludf.DUMMYFUNCTION("""COMPUTED_VALUE"""),44552.66666666667)</f>
        <v>44552.66667</v>
      </c>
      <c r="B1586" s="5">
        <f>IFERROR(__xludf.DUMMYFUNCTION("""COMPUTED_VALUE"""),29.4)</f>
        <v>29.4</v>
      </c>
      <c r="C1586" s="5">
        <v>29.3464450836181</v>
      </c>
      <c r="D1586" s="5">
        <v>444.934387207031</v>
      </c>
      <c r="E1586" s="7">
        <f t="shared" ref="E1586:F1586" si="1584">C1586/C1585-1</f>
        <v>0.01117790744</v>
      </c>
      <c r="F1586" s="7">
        <f t="shared" si="1584"/>
        <v>0.009998700406</v>
      </c>
    </row>
    <row r="1587">
      <c r="A1587" s="3">
        <f>IFERROR(__xludf.DUMMYFUNCTION("""COMPUTED_VALUE"""),44553.66666666667)</f>
        <v>44553.66667</v>
      </c>
      <c r="B1587" s="5">
        <f>IFERROR(__xludf.DUMMYFUNCTION("""COMPUTED_VALUE"""),29.64)</f>
        <v>29.64</v>
      </c>
      <c r="C1587" s="5">
        <v>29.5860080718994</v>
      </c>
      <c r="D1587" s="5">
        <v>447.702758789062</v>
      </c>
      <c r="E1587" s="7">
        <f t="shared" ref="E1587:F1587" si="1585">C1587/C1586-1</f>
        <v>0.008163271142</v>
      </c>
      <c r="F1587" s="7">
        <f t="shared" si="1585"/>
        <v>0.006221977131</v>
      </c>
    </row>
    <row r="1588">
      <c r="A1588" s="3">
        <f>IFERROR(__xludf.DUMMYFUNCTION("""COMPUTED_VALUE"""),44557.66666666667)</f>
        <v>44557.66667</v>
      </c>
      <c r="B1588" s="5">
        <f>IFERROR(__xludf.DUMMYFUNCTION("""COMPUTED_VALUE"""),30.95)</f>
        <v>30.95</v>
      </c>
      <c r="C1588" s="5">
        <v>30.8886356353759</v>
      </c>
      <c r="D1588" s="5">
        <v>454.038757324218</v>
      </c>
      <c r="E1588" s="7">
        <f t="shared" ref="E1588:F1588" si="1586">C1588/C1587-1</f>
        <v>0.04402850024</v>
      </c>
      <c r="F1588" s="7">
        <f t="shared" si="1586"/>
        <v>0.01415224367</v>
      </c>
    </row>
    <row r="1589">
      <c r="A1589" s="3">
        <f>IFERROR(__xludf.DUMMYFUNCTION("""COMPUTED_VALUE"""),44558.66666666667)</f>
        <v>44558.66667</v>
      </c>
      <c r="B1589" s="5">
        <f>IFERROR(__xludf.DUMMYFUNCTION("""COMPUTED_VALUE"""),30.32)</f>
        <v>30.32</v>
      </c>
      <c r="C1589" s="5">
        <v>30.266767501831</v>
      </c>
      <c r="D1589" s="5">
        <v>453.667785644531</v>
      </c>
      <c r="E1589" s="7">
        <f t="shared" ref="E1589:F1589" si="1587">C1589/C1588-1</f>
        <v>-0.02013258665</v>
      </c>
      <c r="F1589" s="7">
        <f t="shared" si="1587"/>
        <v>-0.0008170484869</v>
      </c>
    </row>
    <row r="1590">
      <c r="A1590" s="3">
        <f>IFERROR(__xludf.DUMMYFUNCTION("""COMPUTED_VALUE"""),44559.66666666667)</f>
        <v>44559.66667</v>
      </c>
      <c r="B1590" s="5">
        <f>IFERROR(__xludf.DUMMYFUNCTION("""COMPUTED_VALUE"""),30.0)</f>
        <v>30</v>
      </c>
      <c r="C1590" s="5">
        <v>29.9463500976562</v>
      </c>
      <c r="D1590" s="5">
        <v>454.248077392578</v>
      </c>
      <c r="E1590" s="7">
        <f t="shared" ref="E1590:F1590" si="1588">C1590/C1589-1</f>
        <v>-0.01058644284</v>
      </c>
      <c r="F1590" s="7">
        <f t="shared" si="1588"/>
        <v>0.001279111646</v>
      </c>
    </row>
    <row r="1591">
      <c r="A1591" s="3">
        <f>IFERROR(__xludf.DUMMYFUNCTION("""COMPUTED_VALUE"""),44560.66666666667)</f>
        <v>44560.66667</v>
      </c>
      <c r="B1591" s="5">
        <f>IFERROR(__xludf.DUMMYFUNCTION("""COMPUTED_VALUE"""),29.59)</f>
        <v>29.59</v>
      </c>
      <c r="C1591" s="5">
        <v>29.5321044921875</v>
      </c>
      <c r="D1591" s="5">
        <v>452.99234008789</v>
      </c>
      <c r="E1591" s="7">
        <f t="shared" ref="E1591:F1591" si="1589">C1591/C1590-1</f>
        <v>-0.01383292468</v>
      </c>
      <c r="F1591" s="7">
        <f t="shared" si="1589"/>
        <v>-0.002764430643</v>
      </c>
    </row>
    <row r="1592">
      <c r="A1592" s="3">
        <f>IFERROR(__xludf.DUMMYFUNCTION("""COMPUTED_VALUE"""),44561.66666666667)</f>
        <v>44561.66667</v>
      </c>
      <c r="B1592" s="5">
        <f>IFERROR(__xludf.DUMMYFUNCTION("""COMPUTED_VALUE"""),29.41)</f>
        <v>29.41</v>
      </c>
      <c r="C1592" s="5">
        <v>29.3574295043945</v>
      </c>
      <c r="D1592" s="5">
        <v>451.850708007812</v>
      </c>
      <c r="E1592" s="7">
        <f t="shared" ref="E1592:F1592" si="1590">C1592/C1591-1</f>
        <v>-0.005914749077</v>
      </c>
      <c r="F1592" s="7">
        <f t="shared" si="1590"/>
        <v>-0.002520201732</v>
      </c>
    </row>
    <row r="1593">
      <c r="A1593" s="3">
        <f>IFERROR(__xludf.DUMMYFUNCTION("""COMPUTED_VALUE"""),44564.66666666667)</f>
        <v>44564.66667</v>
      </c>
      <c r="B1593" s="5">
        <f>IFERROR(__xludf.DUMMYFUNCTION("""COMPUTED_VALUE"""),30.12)</f>
        <v>30.12</v>
      </c>
      <c r="C1593" s="5">
        <v>30.0661373138427</v>
      </c>
      <c r="D1593" s="5">
        <v>454.466888427734</v>
      </c>
      <c r="E1593" s="7">
        <f t="shared" ref="E1593:F1593" si="1591">C1593/C1592-1</f>
        <v>0.02414066291</v>
      </c>
      <c r="F1593" s="7">
        <f t="shared" si="1591"/>
        <v>0.005789922144</v>
      </c>
    </row>
    <row r="1594">
      <c r="A1594" s="3">
        <f>IFERROR(__xludf.DUMMYFUNCTION("""COMPUTED_VALUE"""),44565.66666666667)</f>
        <v>44565.66667</v>
      </c>
      <c r="B1594" s="5">
        <f>IFERROR(__xludf.DUMMYFUNCTION("""COMPUTED_VALUE"""),29.29)</f>
        <v>29.29</v>
      </c>
      <c r="C1594" s="5">
        <v>29.2366504669189</v>
      </c>
      <c r="D1594" s="5">
        <v>454.314666748046</v>
      </c>
      <c r="E1594" s="7">
        <f t="shared" ref="E1594:F1594" si="1592">C1594/C1593-1</f>
        <v>-0.02758874006</v>
      </c>
      <c r="F1594" s="7">
        <f t="shared" si="1592"/>
        <v>-0.0003349455891</v>
      </c>
    </row>
    <row r="1595">
      <c r="A1595" s="3">
        <f>IFERROR(__xludf.DUMMYFUNCTION("""COMPUTED_VALUE"""),44566.66666666667)</f>
        <v>44566.66667</v>
      </c>
      <c r="B1595" s="5">
        <f>IFERROR(__xludf.DUMMYFUNCTION("""COMPUTED_VALUE"""),27.6)</f>
        <v>27.6</v>
      </c>
      <c r="C1595" s="5">
        <v>27.5537204742431</v>
      </c>
      <c r="D1595" s="5">
        <v>445.590850830078</v>
      </c>
      <c r="E1595" s="7">
        <f t="shared" ref="E1595:F1595" si="1593">C1595/C1594-1</f>
        <v>-0.05756233925</v>
      </c>
      <c r="F1595" s="7">
        <f t="shared" si="1593"/>
        <v>-0.01920214458</v>
      </c>
    </row>
    <row r="1596">
      <c r="A1596" s="3">
        <f>IFERROR(__xludf.DUMMYFUNCTION("""COMPUTED_VALUE"""),44567.66666666667)</f>
        <v>44567.66667</v>
      </c>
      <c r="B1596" s="5">
        <f>IFERROR(__xludf.DUMMYFUNCTION("""COMPUTED_VALUE"""),28.18)</f>
        <v>28.18</v>
      </c>
      <c r="C1596" s="5">
        <v>28.1266765594482</v>
      </c>
      <c r="D1596" s="5">
        <v>445.172180175781</v>
      </c>
      <c r="E1596" s="7">
        <f t="shared" ref="E1596:F1596" si="1594">C1596/C1595-1</f>
        <v>0.02079414596</v>
      </c>
      <c r="F1596" s="7">
        <f t="shared" si="1594"/>
        <v>-0.0009395853921</v>
      </c>
    </row>
    <row r="1597">
      <c r="A1597" s="3">
        <f>IFERROR(__xludf.DUMMYFUNCTION("""COMPUTED_VALUE"""),44568.66666666667)</f>
        <v>44568.66667</v>
      </c>
      <c r="B1597" s="5">
        <f>IFERROR(__xludf.DUMMYFUNCTION("""COMPUTED_VALUE"""),27.25)</f>
        <v>27.25</v>
      </c>
      <c r="C1597" s="5">
        <v>27.1973648071289</v>
      </c>
      <c r="D1597" s="5">
        <v>443.41226196289</v>
      </c>
      <c r="E1597" s="7">
        <f t="shared" ref="E1597:F1597" si="1595">C1597/C1596-1</f>
        <v>-0.03304022608</v>
      </c>
      <c r="F1597" s="7">
        <f t="shared" si="1595"/>
        <v>-0.003953342754</v>
      </c>
    </row>
    <row r="1598">
      <c r="A1598" s="3">
        <f>IFERROR(__xludf.DUMMYFUNCTION("""COMPUTED_VALUE"""),44571.66666666667)</f>
        <v>44571.66667</v>
      </c>
      <c r="B1598" s="5">
        <f>IFERROR(__xludf.DUMMYFUNCTION("""COMPUTED_VALUE"""),27.4)</f>
        <v>27.4</v>
      </c>
      <c r="C1598" s="5">
        <v>27.3500919342041</v>
      </c>
      <c r="D1598" s="5">
        <v>442.86050415039</v>
      </c>
      <c r="E1598" s="7">
        <f t="shared" ref="E1598:F1598" si="1596">C1598/C1597-1</f>
        <v>0.00561551195</v>
      </c>
      <c r="F1598" s="7">
        <f t="shared" si="1596"/>
        <v>-0.001244344958</v>
      </c>
    </row>
    <row r="1599">
      <c r="A1599" s="3">
        <f>IFERROR(__xludf.DUMMYFUNCTION("""COMPUTED_VALUE"""),44572.66666666667)</f>
        <v>44572.66667</v>
      </c>
      <c r="B1599" s="5">
        <f>IFERROR(__xludf.DUMMYFUNCTION("""COMPUTED_VALUE"""),27.82)</f>
        <v>27.82</v>
      </c>
      <c r="C1599" s="5">
        <v>27.7663345336914</v>
      </c>
      <c r="D1599" s="5">
        <v>446.89419555664</v>
      </c>
      <c r="E1599" s="7">
        <f t="shared" ref="E1599:F1599" si="1597">C1599/C1598-1</f>
        <v>0.01521905669</v>
      </c>
      <c r="F1599" s="7">
        <f t="shared" si="1597"/>
        <v>0.009108266302</v>
      </c>
    </row>
    <row r="1600">
      <c r="A1600" s="3">
        <f>IFERROR(__xludf.DUMMYFUNCTION("""COMPUTED_VALUE"""),44573.66666666667)</f>
        <v>44573.66667</v>
      </c>
      <c r="B1600" s="5">
        <f>IFERROR(__xludf.DUMMYFUNCTION("""COMPUTED_VALUE"""),28.0)</f>
        <v>28</v>
      </c>
      <c r="C1600" s="5">
        <v>27.9479999542236</v>
      </c>
      <c r="D1600" s="5">
        <v>448.102416992187</v>
      </c>
      <c r="E1600" s="7">
        <f t="shared" ref="E1600:F1600" si="1598">C1600/C1599-1</f>
        <v>0.006542650428</v>
      </c>
      <c r="F1600" s="7">
        <f t="shared" si="1598"/>
        <v>0.00270359617</v>
      </c>
    </row>
    <row r="1601">
      <c r="A1601" s="3">
        <f>IFERROR(__xludf.DUMMYFUNCTION("""COMPUTED_VALUE"""),44574.66666666667)</f>
        <v>44574.66667</v>
      </c>
      <c r="B1601" s="5">
        <f>IFERROR(__xludf.DUMMYFUNCTION("""COMPUTED_VALUE"""),26.58)</f>
        <v>26.58</v>
      </c>
      <c r="C1601" s="5">
        <v>26.5265960693359</v>
      </c>
      <c r="D1601" s="5">
        <v>441.928253173828</v>
      </c>
      <c r="E1601" s="7">
        <f t="shared" ref="E1601:F1601" si="1599">C1601/C1600-1</f>
        <v>-0.05085887674</v>
      </c>
      <c r="F1601" s="7">
        <f t="shared" si="1599"/>
        <v>-0.01377846578</v>
      </c>
    </row>
    <row r="1602">
      <c r="A1602" s="3">
        <f>IFERROR(__xludf.DUMMYFUNCTION("""COMPUTED_VALUE"""),44575.66666666667)</f>
        <v>44575.66667</v>
      </c>
      <c r="B1602" s="5">
        <f>IFERROR(__xludf.DUMMYFUNCTION("""COMPUTED_VALUE"""),26.94)</f>
        <v>26.94</v>
      </c>
      <c r="C1602" s="5">
        <v>26.8929252624511</v>
      </c>
      <c r="D1602" s="5">
        <v>442.108978271484</v>
      </c>
      <c r="E1602" s="7">
        <f t="shared" ref="E1602:F1602" si="1600">C1602/C1601-1</f>
        <v>0.01380988319</v>
      </c>
      <c r="F1602" s="7">
        <f t="shared" si="1600"/>
        <v>0.0004089466929</v>
      </c>
    </row>
    <row r="1603">
      <c r="A1603" s="3">
        <f>IFERROR(__xludf.DUMMYFUNCTION("""COMPUTED_VALUE"""),44579.66666666667)</f>
        <v>44579.66667</v>
      </c>
      <c r="B1603" s="5">
        <f>IFERROR(__xludf.DUMMYFUNCTION("""COMPUTED_VALUE"""),25.9)</f>
        <v>25.9</v>
      </c>
      <c r="C1603" s="5">
        <v>25.8558158874511</v>
      </c>
      <c r="D1603" s="5">
        <v>434.279357910156</v>
      </c>
      <c r="E1603" s="7">
        <f t="shared" ref="E1603:F1603" si="1601">C1603/C1602-1</f>
        <v>-0.03856439435</v>
      </c>
      <c r="F1603" s="7">
        <f t="shared" si="1601"/>
        <v>-0.01770970676</v>
      </c>
    </row>
    <row r="1604">
      <c r="A1604" s="3">
        <f>IFERROR(__xludf.DUMMYFUNCTION("""COMPUTED_VALUE"""),44580.66666666667)</f>
        <v>44580.66667</v>
      </c>
      <c r="B1604" s="5">
        <f>IFERROR(__xludf.DUMMYFUNCTION("""COMPUTED_VALUE"""),25.07)</f>
        <v>25.07</v>
      </c>
      <c r="C1604" s="5">
        <v>25.0213375091552</v>
      </c>
      <c r="D1604" s="5">
        <v>429.769958496093</v>
      </c>
      <c r="E1604" s="7">
        <f t="shared" ref="E1604:F1604" si="1602">C1604/C1603-1</f>
        <v>-0.03227430076</v>
      </c>
      <c r="F1604" s="7">
        <f t="shared" si="1602"/>
        <v>-0.01038363747</v>
      </c>
    </row>
    <row r="1605">
      <c r="A1605" s="3">
        <f>IFERROR(__xludf.DUMMYFUNCTION("""COMPUTED_VALUE"""),44581.66666666667)</f>
        <v>44581.66667</v>
      </c>
      <c r="B1605" s="5">
        <f>IFERROR(__xludf.DUMMYFUNCTION("""COMPUTED_VALUE"""),24.15)</f>
        <v>24.15</v>
      </c>
      <c r="C1605" s="5">
        <v>24.1060123443603</v>
      </c>
      <c r="D1605" s="5">
        <v>425.013214111328</v>
      </c>
      <c r="E1605" s="7">
        <f t="shared" ref="E1605:F1605" si="1603">C1605/C1604-1</f>
        <v>-0.03658178403</v>
      </c>
      <c r="F1605" s="7">
        <f t="shared" si="1603"/>
        <v>-0.01106811747</v>
      </c>
    </row>
    <row r="1606">
      <c r="A1606" s="3">
        <f>IFERROR(__xludf.DUMMYFUNCTION("""COMPUTED_VALUE"""),44582.66666666667)</f>
        <v>44582.66667</v>
      </c>
      <c r="B1606" s="5">
        <f>IFERROR(__xludf.DUMMYFUNCTION("""COMPUTED_VALUE"""),23.37)</f>
        <v>23.37</v>
      </c>
      <c r="C1606" s="5">
        <v>23.3314266204834</v>
      </c>
      <c r="D1606" s="5">
        <v>416.669982910156</v>
      </c>
      <c r="E1606" s="7">
        <f t="shared" ref="E1606:F1606" si="1604">C1606/C1605-1</f>
        <v>-0.03213247022</v>
      </c>
      <c r="F1606" s="7">
        <f t="shared" si="1604"/>
        <v>-0.01963052189</v>
      </c>
    </row>
    <row r="1607">
      <c r="A1607" s="3">
        <f>IFERROR(__xludf.DUMMYFUNCTION("""COMPUTED_VALUE"""),44585.66666666667)</f>
        <v>44585.66667</v>
      </c>
      <c r="B1607" s="5">
        <f>IFERROR(__xludf.DUMMYFUNCTION("""COMPUTED_VALUE"""),23.37)</f>
        <v>23.37</v>
      </c>
      <c r="C1607" s="5">
        <v>23.3294258117675</v>
      </c>
      <c r="D1607" s="5">
        <v>418.439544677734</v>
      </c>
      <c r="E1607" s="7">
        <f t="shared" ref="E1607:F1607" si="1605">C1607/C1606-1</f>
        <v>-0.00008575595262</v>
      </c>
      <c r="F1607" s="7">
        <f t="shared" si="1605"/>
        <v>0.004246914441</v>
      </c>
    </row>
    <row r="1608">
      <c r="A1608" s="3">
        <f>IFERROR(__xludf.DUMMYFUNCTION("""COMPUTED_VALUE"""),44586.66666666667)</f>
        <v>44586.66667</v>
      </c>
      <c r="B1608" s="5">
        <f>IFERROR(__xludf.DUMMYFUNCTION("""COMPUTED_VALUE"""),22.32)</f>
        <v>22.32</v>
      </c>
      <c r="C1608" s="5">
        <v>22.2833366394042</v>
      </c>
      <c r="D1608" s="5">
        <v>413.330749511718</v>
      </c>
      <c r="E1608" s="7">
        <f t="shared" ref="E1608:F1608" si="1606">C1608/C1607-1</f>
        <v>-0.04483990222</v>
      </c>
      <c r="F1608" s="7">
        <f t="shared" si="1606"/>
        <v>-0.01220915956</v>
      </c>
    </row>
    <row r="1609">
      <c r="A1609" s="3">
        <f>IFERROR(__xludf.DUMMYFUNCTION("""COMPUTED_VALUE"""),44587.66666666667)</f>
        <v>44587.66667</v>
      </c>
      <c r="B1609" s="5">
        <f>IFERROR(__xludf.DUMMYFUNCTION("""COMPUTED_VALUE"""),22.77)</f>
        <v>22.77</v>
      </c>
      <c r="C1609" s="5">
        <v>22.7305183410644</v>
      </c>
      <c r="D1609" s="5">
        <v>412.293762207031</v>
      </c>
      <c r="E1609" s="7">
        <f t="shared" ref="E1609:F1609" si="1607">C1609/C1608-1</f>
        <v>0.02006798663</v>
      </c>
      <c r="F1609" s="7">
        <f t="shared" si="1607"/>
        <v>-0.002508855937</v>
      </c>
    </row>
    <row r="1610">
      <c r="A1610" s="3">
        <f>IFERROR(__xludf.DUMMYFUNCTION("""COMPUTED_VALUE"""),44588.66666666667)</f>
        <v>44588.66667</v>
      </c>
      <c r="B1610" s="5">
        <f>IFERROR(__xludf.DUMMYFUNCTION("""COMPUTED_VALUE"""),21.94)</f>
        <v>21.94</v>
      </c>
      <c r="C1610" s="5">
        <v>21.90403175354</v>
      </c>
      <c r="D1610" s="5">
        <v>410.257904052734</v>
      </c>
      <c r="E1610" s="7">
        <f t="shared" ref="E1610:F1610" si="1608">C1610/C1609-1</f>
        <v>-0.03636021736</v>
      </c>
      <c r="F1610" s="7">
        <f t="shared" si="1608"/>
        <v>-0.004937882503</v>
      </c>
    </row>
    <row r="1611">
      <c r="A1611" s="3">
        <f>IFERROR(__xludf.DUMMYFUNCTION("""COMPUTED_VALUE"""),44589.66666666667)</f>
        <v>44589.66667</v>
      </c>
      <c r="B1611" s="5">
        <f>IFERROR(__xludf.DUMMYFUNCTION("""COMPUTED_VALUE"""),22.84)</f>
        <v>22.84</v>
      </c>
      <c r="C1611" s="5">
        <v>22.7983970642089</v>
      </c>
      <c r="D1611" s="5">
        <v>420.446838378906</v>
      </c>
      <c r="E1611" s="7">
        <f t="shared" ref="E1611:F1611" si="1609">C1611/C1610-1</f>
        <v>0.04083108173</v>
      </c>
      <c r="F1611" s="7">
        <f t="shared" si="1609"/>
        <v>0.02483543699</v>
      </c>
    </row>
    <row r="1612">
      <c r="A1612" s="3">
        <f>IFERROR(__xludf.DUMMYFUNCTION("""COMPUTED_VALUE"""),44592.66666666667)</f>
        <v>44592.66667</v>
      </c>
      <c r="B1612" s="5">
        <f>IFERROR(__xludf.DUMMYFUNCTION("""COMPUTED_VALUE"""),24.49)</f>
        <v>24.49</v>
      </c>
      <c r="C1612" s="5">
        <v>24.4413967132568</v>
      </c>
      <c r="D1612" s="5">
        <v>428.019500732421</v>
      </c>
      <c r="E1612" s="7">
        <f t="shared" ref="E1612:F1612" si="1610">C1612/C1611-1</f>
        <v>0.07206645469</v>
      </c>
      <c r="F1612" s="7">
        <f t="shared" si="1610"/>
        <v>0.01801098656</v>
      </c>
    </row>
    <row r="1613">
      <c r="A1613" s="3">
        <f>IFERROR(__xludf.DUMMYFUNCTION("""COMPUTED_VALUE"""),44593.66666666667)</f>
        <v>44593.66667</v>
      </c>
      <c r="B1613" s="5">
        <f>IFERROR(__xludf.DUMMYFUNCTION("""COMPUTED_VALUE"""),24.64)</f>
        <v>24.64</v>
      </c>
      <c r="C1613" s="5">
        <v>24.5931243896484</v>
      </c>
      <c r="D1613" s="5">
        <v>430.911651611328</v>
      </c>
      <c r="E1613" s="7">
        <f t="shared" ref="E1613:F1613" si="1611">C1613/C1612-1</f>
        <v>0.006207815297</v>
      </c>
      <c r="F1613" s="7">
        <f t="shared" si="1611"/>
        <v>0.006757053999</v>
      </c>
    </row>
    <row r="1614">
      <c r="A1614" s="3">
        <f>IFERROR(__xludf.DUMMYFUNCTION("""COMPUTED_VALUE"""),44594.66666666667)</f>
        <v>44594.66667</v>
      </c>
      <c r="B1614" s="5">
        <f>IFERROR(__xludf.DUMMYFUNCTION("""COMPUTED_VALUE"""),25.24)</f>
        <v>25.24</v>
      </c>
      <c r="C1614" s="5">
        <v>25.1960258483886</v>
      </c>
      <c r="D1614" s="5">
        <v>435.097534179687</v>
      </c>
      <c r="E1614" s="7">
        <f t="shared" ref="E1614:F1614" si="1612">C1614/C1613-1</f>
        <v>0.02451504124</v>
      </c>
      <c r="F1614" s="7">
        <f t="shared" si="1612"/>
        <v>0.009714015745</v>
      </c>
    </row>
    <row r="1615">
      <c r="A1615" s="3">
        <f>IFERROR(__xludf.DUMMYFUNCTION("""COMPUTED_VALUE"""),44595.66666666667)</f>
        <v>44595.66667</v>
      </c>
      <c r="B1615" s="5">
        <f>IFERROR(__xludf.DUMMYFUNCTION("""COMPUTED_VALUE"""),23.95)</f>
        <v>23.95</v>
      </c>
      <c r="C1615" s="5">
        <v>23.9043769836425</v>
      </c>
      <c r="D1615" s="5">
        <v>424.870544433593</v>
      </c>
      <c r="E1615" s="7">
        <f t="shared" ref="E1615:F1615" si="1613">C1615/C1614-1</f>
        <v>-0.05126399189</v>
      </c>
      <c r="F1615" s="7">
        <f t="shared" si="1613"/>
        <v>-0.02350505103</v>
      </c>
    </row>
    <row r="1616">
      <c r="A1616" s="3">
        <f>IFERROR(__xludf.DUMMYFUNCTION("""COMPUTED_VALUE"""),44596.66666666667)</f>
        <v>44596.66667</v>
      </c>
      <c r="B1616" s="5">
        <f>IFERROR(__xludf.DUMMYFUNCTION("""COMPUTED_VALUE"""),24.32)</f>
        <v>24.32</v>
      </c>
      <c r="C1616" s="5">
        <v>24.2747001647949</v>
      </c>
      <c r="D1616" s="5">
        <v>426.868408203125</v>
      </c>
      <c r="E1616" s="7">
        <f t="shared" ref="E1616:F1616" si="1614">C1616/C1615-1</f>
        <v>0.01549185663</v>
      </c>
      <c r="F1616" s="7">
        <f t="shared" si="1614"/>
        <v>0.004702288252</v>
      </c>
    </row>
    <row r="1617">
      <c r="A1617" s="3">
        <f>IFERROR(__xludf.DUMMYFUNCTION("""COMPUTED_VALUE"""),44599.66666666667)</f>
        <v>44599.66667</v>
      </c>
      <c r="B1617" s="5">
        <f>IFERROR(__xludf.DUMMYFUNCTION("""COMPUTED_VALUE"""),24.73)</f>
        <v>24.73</v>
      </c>
      <c r="C1617" s="5">
        <v>24.6829586029052</v>
      </c>
      <c r="D1617" s="5">
        <v>425.498474121093</v>
      </c>
      <c r="E1617" s="7">
        <f t="shared" ref="E1617:F1617" si="1615">C1617/C1616-1</f>
        <v>0.01681826903</v>
      </c>
      <c r="F1617" s="7">
        <f t="shared" si="1615"/>
        <v>-0.003209265562</v>
      </c>
    </row>
    <row r="1618">
      <c r="A1618" s="3">
        <f>IFERROR(__xludf.DUMMYFUNCTION("""COMPUTED_VALUE"""),44600.66666666667)</f>
        <v>44600.66667</v>
      </c>
      <c r="B1618" s="5">
        <f>IFERROR(__xludf.DUMMYFUNCTION("""COMPUTED_VALUE"""),25.11)</f>
        <v>25.11</v>
      </c>
      <c r="C1618" s="5">
        <v>25.0622653961181</v>
      </c>
      <c r="D1618" s="5">
        <v>428.999420166015</v>
      </c>
      <c r="E1618" s="7">
        <f t="shared" ref="E1618:F1618" si="1616">C1618/C1617-1</f>
        <v>0.01536715267</v>
      </c>
      <c r="F1618" s="7">
        <f t="shared" si="1616"/>
        <v>0.008227869799</v>
      </c>
    </row>
    <row r="1619">
      <c r="A1619" s="3">
        <f>IFERROR(__xludf.DUMMYFUNCTION("""COMPUTED_VALUE"""),44601.66666666667)</f>
        <v>44601.66667</v>
      </c>
      <c r="B1619" s="5">
        <f>IFERROR(__xludf.DUMMYFUNCTION("""COMPUTED_VALUE"""),26.71)</f>
        <v>26.71</v>
      </c>
      <c r="C1619" s="5">
        <v>26.656358718872</v>
      </c>
      <c r="D1619" s="5">
        <v>435.278259277343</v>
      </c>
      <c r="E1619" s="7">
        <f t="shared" ref="E1619:F1619" si="1617">C1619/C1618-1</f>
        <v>0.0636053165</v>
      </c>
      <c r="F1619" s="7">
        <f t="shared" si="1617"/>
        <v>0.01463600839</v>
      </c>
    </row>
    <row r="1620">
      <c r="A1620" s="3">
        <f>IFERROR(__xludf.DUMMYFUNCTION("""COMPUTED_VALUE"""),44602.66666666667)</f>
        <v>44602.66667</v>
      </c>
      <c r="B1620" s="5">
        <f>IFERROR(__xludf.DUMMYFUNCTION("""COMPUTED_VALUE"""),25.82)</f>
        <v>25.82</v>
      </c>
      <c r="C1620" s="5">
        <v>25.776964187622</v>
      </c>
      <c r="D1620" s="5">
        <v>427.458221435546</v>
      </c>
      <c r="E1620" s="7">
        <f t="shared" ref="E1620:F1620" si="1618">C1620/C1619-1</f>
        <v>-0.03299004716</v>
      </c>
      <c r="F1620" s="7">
        <f t="shared" si="1618"/>
        <v>-0.01796560631</v>
      </c>
    </row>
    <row r="1621">
      <c r="A1621" s="3">
        <f>IFERROR(__xludf.DUMMYFUNCTION("""COMPUTED_VALUE"""),44603.66666666667)</f>
        <v>44603.66667</v>
      </c>
      <c r="B1621" s="5">
        <f>IFERROR(__xludf.DUMMYFUNCTION("""COMPUTED_VALUE"""),23.95)</f>
        <v>23.95</v>
      </c>
      <c r="C1621" s="5">
        <v>23.9053745269775</v>
      </c>
      <c r="D1621" s="5">
        <v>419.029266357421</v>
      </c>
      <c r="E1621" s="7">
        <f t="shared" ref="E1621:F1621" si="1619">C1621/C1620-1</f>
        <v>-0.07260706292</v>
      </c>
      <c r="F1621" s="7">
        <f t="shared" si="1619"/>
        <v>-0.01971878105</v>
      </c>
    </row>
    <row r="1622">
      <c r="A1622" s="3">
        <f>IFERROR(__xludf.DUMMYFUNCTION("""COMPUTED_VALUE"""),44606.66666666667)</f>
        <v>44606.66667</v>
      </c>
      <c r="B1622" s="5">
        <f>IFERROR(__xludf.DUMMYFUNCTION("""COMPUTED_VALUE"""),24.27)</f>
        <v>24.27</v>
      </c>
      <c r="C1622" s="5">
        <v>24.2227993011474</v>
      </c>
      <c r="D1622" s="5">
        <v>417.659393310546</v>
      </c>
      <c r="E1622" s="7">
        <f t="shared" ref="E1622:F1622" si="1620">C1622/C1621-1</f>
        <v>0.01327838532</v>
      </c>
      <c r="F1622" s="7">
        <f t="shared" si="1620"/>
        <v>-0.003269158402</v>
      </c>
    </row>
    <row r="1623">
      <c r="A1623" s="3">
        <f>IFERROR(__xludf.DUMMYFUNCTION("""COMPUTED_VALUE"""),44607.66666666667)</f>
        <v>44607.66667</v>
      </c>
      <c r="B1623" s="5">
        <f>IFERROR(__xludf.DUMMYFUNCTION("""COMPUTED_VALUE"""),26.5)</f>
        <v>26.5</v>
      </c>
      <c r="C1623" s="5">
        <v>26.4467411041259</v>
      </c>
      <c r="D1623" s="5">
        <v>424.394805908203</v>
      </c>
      <c r="E1623" s="7">
        <f t="shared" ref="E1623:F1623" si="1621">C1623/C1622-1</f>
        <v>0.09181192377</v>
      </c>
      <c r="F1623" s="7">
        <f t="shared" si="1621"/>
        <v>0.01612656798</v>
      </c>
    </row>
    <row r="1624">
      <c r="A1624" s="3">
        <f>IFERROR(__xludf.DUMMYFUNCTION("""COMPUTED_VALUE"""),44608.66666666667)</f>
        <v>44608.66667</v>
      </c>
      <c r="B1624" s="5">
        <f>IFERROR(__xludf.DUMMYFUNCTION("""COMPUTED_VALUE"""),26.51)</f>
        <v>26.51</v>
      </c>
      <c r="C1624" s="5">
        <v>26.4627094268798</v>
      </c>
      <c r="D1624" s="5">
        <v>424.870544433593</v>
      </c>
      <c r="E1624" s="7">
        <f t="shared" ref="E1624:F1624" si="1622">C1624/C1623-1</f>
        <v>0.0006037916994</v>
      </c>
      <c r="F1624" s="7">
        <f t="shared" si="1622"/>
        <v>0.001120981027</v>
      </c>
    </row>
    <row r="1625">
      <c r="A1625" s="3">
        <f>IFERROR(__xludf.DUMMYFUNCTION("""COMPUTED_VALUE"""),44609.66666666667)</f>
        <v>44609.66667</v>
      </c>
      <c r="B1625" s="5">
        <f>IFERROR(__xludf.DUMMYFUNCTION("""COMPUTED_VALUE"""),24.51)</f>
        <v>24.51</v>
      </c>
      <c r="C1625" s="5">
        <v>24.4623565673828</v>
      </c>
      <c r="D1625" s="5">
        <v>415.794738769531</v>
      </c>
      <c r="E1625" s="7">
        <f t="shared" ref="E1625:F1625" si="1623">C1625/C1624-1</f>
        <v>-0.07559138512</v>
      </c>
      <c r="F1625" s="7">
        <f t="shared" si="1623"/>
        <v>-0.02136134355</v>
      </c>
    </row>
    <row r="1626">
      <c r="A1626" s="3">
        <f>IFERROR(__xludf.DUMMYFUNCTION("""COMPUTED_VALUE"""),44610.66666666667)</f>
        <v>44610.66667</v>
      </c>
      <c r="B1626" s="5">
        <f>IFERROR(__xludf.DUMMYFUNCTION("""COMPUTED_VALUE"""),23.64)</f>
        <v>23.64</v>
      </c>
      <c r="C1626" s="5">
        <v>23.5989398956298</v>
      </c>
      <c r="D1626" s="5">
        <v>413.102416992187</v>
      </c>
      <c r="E1626" s="7">
        <f t="shared" ref="E1626:F1626" si="1624">C1626/C1625-1</f>
        <v>-0.03529572751</v>
      </c>
      <c r="F1626" s="7">
        <f t="shared" si="1624"/>
        <v>-0.006475122281</v>
      </c>
    </row>
    <row r="1627">
      <c r="A1627" s="3">
        <f>IFERROR(__xludf.DUMMYFUNCTION("""COMPUTED_VALUE"""),44614.66666666667)</f>
        <v>44614.66667</v>
      </c>
      <c r="B1627" s="5">
        <f>IFERROR(__xludf.DUMMYFUNCTION("""COMPUTED_VALUE"""),23.39)</f>
        <v>23.39</v>
      </c>
      <c r="C1627" s="5">
        <v>23.3473949432373</v>
      </c>
      <c r="D1627" s="5">
        <v>408.669189453125</v>
      </c>
      <c r="E1627" s="7">
        <f t="shared" ref="E1627:F1627" si="1625">C1627/C1626-1</f>
        <v>-0.01065916323</v>
      </c>
      <c r="F1627" s="7">
        <f t="shared" si="1625"/>
        <v>-0.01073154588</v>
      </c>
    </row>
    <row r="1628">
      <c r="A1628" s="3">
        <f>IFERROR(__xludf.DUMMYFUNCTION("""COMPUTED_VALUE"""),44615.66666666667)</f>
        <v>44615.66667</v>
      </c>
      <c r="B1628" s="5">
        <f>IFERROR(__xludf.DUMMYFUNCTION("""COMPUTED_VALUE"""),22.39)</f>
        <v>22.39</v>
      </c>
      <c r="C1628" s="5">
        <v>22.3462238311767</v>
      </c>
      <c r="D1628" s="5">
        <v>401.419921875</v>
      </c>
      <c r="E1628" s="7">
        <f t="shared" ref="E1628:F1628" si="1626">C1628/C1627-1</f>
        <v>-0.04288149125</v>
      </c>
      <c r="F1628" s="7">
        <f t="shared" si="1626"/>
        <v>-0.01773871817</v>
      </c>
    </row>
    <row r="1629">
      <c r="A1629" s="3">
        <f>IFERROR(__xludf.DUMMYFUNCTION("""COMPUTED_VALUE"""),44616.66666666667)</f>
        <v>44616.66667</v>
      </c>
      <c r="B1629" s="5">
        <f>IFERROR(__xludf.DUMMYFUNCTION("""COMPUTED_VALUE"""),23.75)</f>
        <v>23.75</v>
      </c>
      <c r="C1629" s="5">
        <v>23.7047405242919</v>
      </c>
      <c r="D1629" s="5">
        <v>407.4609375</v>
      </c>
      <c r="E1629" s="7">
        <f t="shared" ref="E1629:F1629" si="1627">C1629/C1628-1</f>
        <v>0.06079401618</v>
      </c>
      <c r="F1629" s="7">
        <f t="shared" si="1627"/>
        <v>0.01504911763</v>
      </c>
    </row>
    <row r="1630">
      <c r="A1630" s="3">
        <f>IFERROR(__xludf.DUMMYFUNCTION("""COMPUTED_VALUE"""),44617.66666666667)</f>
        <v>44617.66667</v>
      </c>
      <c r="B1630" s="5">
        <f>IFERROR(__xludf.DUMMYFUNCTION("""COMPUTED_VALUE"""),24.16)</f>
        <v>24.16</v>
      </c>
      <c r="C1630" s="5">
        <v>24.1129989624023</v>
      </c>
      <c r="D1630" s="5">
        <v>416.451141357421</v>
      </c>
      <c r="E1630" s="7">
        <f t="shared" ref="E1630:F1630" si="1628">C1630/C1629-1</f>
        <v>0.01722264952</v>
      </c>
      <c r="F1630" s="7">
        <f t="shared" si="1628"/>
        <v>0.02206396498</v>
      </c>
    </row>
    <row r="1631">
      <c r="A1631" s="3">
        <f>IFERROR(__xludf.DUMMYFUNCTION("""COMPUTED_VALUE"""),44620.66666666667)</f>
        <v>44620.66667</v>
      </c>
      <c r="B1631" s="5">
        <f>IFERROR(__xludf.DUMMYFUNCTION("""COMPUTED_VALUE"""),24.39)</f>
        <v>24.39</v>
      </c>
      <c r="C1631" s="5">
        <v>24.3405857086181</v>
      </c>
      <c r="D1631" s="5">
        <v>415.385650634765</v>
      </c>
      <c r="E1631" s="7">
        <f t="shared" ref="E1631:F1631" si="1629">C1631/C1630-1</f>
        <v>0.009438342637</v>
      </c>
      <c r="F1631" s="7">
        <f t="shared" si="1629"/>
        <v>-0.002558501147</v>
      </c>
    </row>
    <row r="1632">
      <c r="A1632" s="3">
        <f>IFERROR(__xludf.DUMMYFUNCTION("""COMPUTED_VALUE"""),44621.66666666667)</f>
        <v>44621.66667</v>
      </c>
      <c r="B1632" s="5">
        <f>IFERROR(__xludf.DUMMYFUNCTION("""COMPUTED_VALUE"""),23.48)</f>
        <v>23.48</v>
      </c>
      <c r="C1632" s="5">
        <v>23.4342346191406</v>
      </c>
      <c r="D1632" s="5">
        <v>409.059204101562</v>
      </c>
      <c r="E1632" s="7">
        <f t="shared" ref="E1632:F1632" si="1630">C1632/C1631-1</f>
        <v>-0.03723620706</v>
      </c>
      <c r="F1632" s="7">
        <f t="shared" si="1630"/>
        <v>-0.01523029629</v>
      </c>
    </row>
    <row r="1633">
      <c r="A1633" s="3">
        <f>IFERROR(__xludf.DUMMYFUNCTION("""COMPUTED_VALUE"""),44622.66666666667)</f>
        <v>44622.66667</v>
      </c>
      <c r="B1633" s="5">
        <f>IFERROR(__xludf.DUMMYFUNCTION("""COMPUTED_VALUE"""),24.22)</f>
        <v>24.22</v>
      </c>
      <c r="C1633" s="5">
        <v>24.180004119873</v>
      </c>
      <c r="D1633" s="5">
        <v>416.584381103515</v>
      </c>
      <c r="E1633" s="7">
        <f t="shared" ref="E1633:F1633" si="1631">C1633/C1632-1</f>
        <v>0.0318239325</v>
      </c>
      <c r="F1633" s="7">
        <f t="shared" si="1631"/>
        <v>0.01839630285</v>
      </c>
    </row>
    <row r="1634">
      <c r="A1634" s="3">
        <f>IFERROR(__xludf.DUMMYFUNCTION("""COMPUTED_VALUE"""),44623.66666666667)</f>
        <v>44623.66667</v>
      </c>
      <c r="B1634" s="5">
        <f>IFERROR(__xludf.DUMMYFUNCTION("""COMPUTED_VALUE"""),23.71)</f>
        <v>23.71</v>
      </c>
      <c r="C1634" s="5">
        <v>23.674840927124</v>
      </c>
      <c r="D1634" s="5">
        <v>414.510467529296</v>
      </c>
      <c r="E1634" s="7">
        <f t="shared" ref="E1634:F1634" si="1632">C1634/C1633-1</f>
        <v>-0.02089177447</v>
      </c>
      <c r="F1634" s="7">
        <f t="shared" si="1632"/>
        <v>-0.004978375734</v>
      </c>
    </row>
    <row r="1635">
      <c r="A1635" s="3">
        <f>IFERROR(__xludf.DUMMYFUNCTION("""COMPUTED_VALUE"""),44624.66666666667)</f>
        <v>44624.66667</v>
      </c>
      <c r="B1635" s="5">
        <f>IFERROR(__xludf.DUMMYFUNCTION("""COMPUTED_VALUE"""),22.94)</f>
        <v>22.94</v>
      </c>
      <c r="C1635" s="5">
        <v>22.8981246948242</v>
      </c>
      <c r="D1635" s="5">
        <v>411.142700195312</v>
      </c>
      <c r="E1635" s="7">
        <f t="shared" ref="E1635:F1635" si="1633">C1635/C1634-1</f>
        <v>-0.03280766425</v>
      </c>
      <c r="F1635" s="7">
        <f t="shared" si="1633"/>
        <v>-0.008124685859</v>
      </c>
    </row>
    <row r="1636">
      <c r="A1636" s="3">
        <f>IFERROR(__xludf.DUMMYFUNCTION("""COMPUTED_VALUE"""),44627.66666666667)</f>
        <v>44627.66667</v>
      </c>
      <c r="B1636" s="5">
        <f>IFERROR(__xludf.DUMMYFUNCTION("""COMPUTED_VALUE"""),21.35)</f>
        <v>21.35</v>
      </c>
      <c r="C1636" s="5">
        <v>21.3167381286621</v>
      </c>
      <c r="D1636" s="5">
        <v>399.022521972656</v>
      </c>
      <c r="E1636" s="7">
        <f t="shared" ref="E1636:F1636" si="1634">C1636/C1635-1</f>
        <v>-0.06906183748</v>
      </c>
      <c r="F1636" s="7">
        <f t="shared" si="1634"/>
        <v>-0.02947924946</v>
      </c>
    </row>
    <row r="1637">
      <c r="A1637" s="3">
        <f>IFERROR(__xludf.DUMMYFUNCTION("""COMPUTED_VALUE"""),44628.66666666667)</f>
        <v>44628.66667</v>
      </c>
      <c r="B1637" s="5">
        <f>IFERROR(__xludf.DUMMYFUNCTION("""COMPUTED_VALUE"""),21.51)</f>
        <v>21.51</v>
      </c>
      <c r="C1637" s="5">
        <v>21.4784717559814</v>
      </c>
      <c r="D1637" s="5">
        <v>395.997253417968</v>
      </c>
      <c r="E1637" s="7">
        <f t="shared" ref="E1637:F1637" si="1635">C1637/C1636-1</f>
        <v>0.007587165839</v>
      </c>
      <c r="F1637" s="7">
        <f t="shared" si="1635"/>
        <v>-0.007581698747</v>
      </c>
    </row>
    <row r="1638">
      <c r="A1638" s="3">
        <f>IFERROR(__xludf.DUMMYFUNCTION("""COMPUTED_VALUE"""),44629.66666666667)</f>
        <v>44629.66667</v>
      </c>
      <c r="B1638" s="5">
        <f>IFERROR(__xludf.DUMMYFUNCTION("""COMPUTED_VALUE"""),23.01)</f>
        <v>23.01</v>
      </c>
      <c r="C1638" s="5">
        <v>22.9759922027587</v>
      </c>
      <c r="D1638" s="5">
        <v>406.614227294921</v>
      </c>
      <c r="E1638" s="7">
        <f t="shared" ref="E1638:F1638" si="1636">C1638/C1637-1</f>
        <v>0.06972192732</v>
      </c>
      <c r="F1638" s="7">
        <f t="shared" si="1636"/>
        <v>0.02681072605</v>
      </c>
    </row>
    <row r="1639">
      <c r="A1639" s="3">
        <f>IFERROR(__xludf.DUMMYFUNCTION("""COMPUTED_VALUE"""),44630.66666666667)</f>
        <v>44630.66667</v>
      </c>
      <c r="B1639" s="5">
        <f>IFERROR(__xludf.DUMMYFUNCTION("""COMPUTED_VALUE"""),22.66)</f>
        <v>22.66</v>
      </c>
      <c r="C1639" s="5">
        <v>22.6205825805664</v>
      </c>
      <c r="D1639" s="5">
        <v>404.778167724609</v>
      </c>
      <c r="E1639" s="7">
        <f t="shared" ref="E1639:F1639" si="1637">C1639/C1638-1</f>
        <v>-0.01546873881</v>
      </c>
      <c r="F1639" s="7">
        <f t="shared" si="1637"/>
        <v>-0.004515482851</v>
      </c>
    </row>
    <row r="1640">
      <c r="A1640" s="3">
        <f>IFERROR(__xludf.DUMMYFUNCTION("""COMPUTED_VALUE"""),44631.66666666667)</f>
        <v>44631.66667</v>
      </c>
      <c r="B1640" s="5">
        <f>IFERROR(__xludf.DUMMYFUNCTION("""COMPUTED_VALUE"""),22.1)</f>
        <v>22.1</v>
      </c>
      <c r="C1640" s="5">
        <v>22.0635051727294</v>
      </c>
      <c r="D1640" s="5">
        <v>399.631317138671</v>
      </c>
      <c r="E1640" s="7">
        <f t="shared" ref="E1640:F1640" si="1638">C1640/C1639-1</f>
        <v>-0.02462701417</v>
      </c>
      <c r="F1640" s="7">
        <f t="shared" si="1638"/>
        <v>-0.01271523762</v>
      </c>
    </row>
    <row r="1641">
      <c r="A1641" s="3">
        <f>IFERROR(__xludf.DUMMYFUNCTION("""COMPUTED_VALUE"""),44634.66666666667)</f>
        <v>44634.66667</v>
      </c>
      <c r="B1641" s="5">
        <f>IFERROR(__xludf.DUMMYFUNCTION("""COMPUTED_VALUE"""),21.33)</f>
        <v>21.33</v>
      </c>
      <c r="C1641" s="5">
        <v>21.2947769165039</v>
      </c>
      <c r="D1641" s="5">
        <v>396.710754394531</v>
      </c>
      <c r="E1641" s="7">
        <f t="shared" ref="E1641:F1641" si="1639">C1641/C1640-1</f>
        <v>-0.03484161969</v>
      </c>
      <c r="F1641" s="7">
        <f t="shared" si="1639"/>
        <v>-0.007308142828</v>
      </c>
    </row>
    <row r="1642">
      <c r="A1642" s="3">
        <f>IFERROR(__xludf.DUMMYFUNCTION("""COMPUTED_VALUE"""),44635.66666666667)</f>
        <v>44635.66667</v>
      </c>
      <c r="B1642" s="5">
        <f>IFERROR(__xludf.DUMMYFUNCTION("""COMPUTED_VALUE"""),22.97)</f>
        <v>22.97</v>
      </c>
      <c r="C1642" s="5">
        <v>22.9350605010986</v>
      </c>
      <c r="D1642" s="5">
        <v>405.434600830078</v>
      </c>
      <c r="E1642" s="7">
        <f t="shared" ref="E1642:F1642" si="1640">C1642/C1641-1</f>
        <v>0.07702750731</v>
      </c>
      <c r="F1642" s="7">
        <f t="shared" si="1640"/>
        <v>0.02199044603</v>
      </c>
    </row>
    <row r="1643">
      <c r="A1643" s="3">
        <f>IFERROR(__xludf.DUMMYFUNCTION("""COMPUTED_VALUE"""),44636.66666666667)</f>
        <v>44636.66667</v>
      </c>
      <c r="B1643" s="5">
        <f>IFERROR(__xludf.DUMMYFUNCTION("""COMPUTED_VALUE"""),24.5)</f>
        <v>24.5</v>
      </c>
      <c r="C1643" s="5">
        <v>24.4555473327636</v>
      </c>
      <c r="D1643" s="5">
        <v>414.424835205078</v>
      </c>
      <c r="E1643" s="7">
        <f t="shared" ref="E1643:F1643" si="1641">C1643/C1642-1</f>
        <v>0.06629530502</v>
      </c>
      <c r="F1643" s="7">
        <f t="shared" si="1641"/>
        <v>0.02217431457</v>
      </c>
    </row>
    <row r="1644">
      <c r="A1644" s="3">
        <f>IFERROR(__xludf.DUMMYFUNCTION("""COMPUTED_VALUE"""),44637.66666666667)</f>
        <v>44637.66667</v>
      </c>
      <c r="B1644" s="5">
        <f>IFERROR(__xludf.DUMMYFUNCTION("""COMPUTED_VALUE"""),24.77)</f>
        <v>24.77</v>
      </c>
      <c r="C1644" s="5">
        <v>24.7251014709472</v>
      </c>
      <c r="D1644" s="5">
        <v>419.609619140625</v>
      </c>
      <c r="E1644" s="7">
        <f t="shared" ref="E1644:F1644" si="1642">C1644/C1643-1</f>
        <v>0.01102220836</v>
      </c>
      <c r="F1644" s="7">
        <f t="shared" si="1642"/>
        <v>0.01251079447</v>
      </c>
    </row>
    <row r="1645">
      <c r="A1645" s="3">
        <f>IFERROR(__xludf.DUMMYFUNCTION("""COMPUTED_VALUE"""),44638.66666666667)</f>
        <v>44638.66667</v>
      </c>
      <c r="B1645" s="5">
        <f>IFERROR(__xludf.DUMMYFUNCTION("""COMPUTED_VALUE"""),26.45)</f>
        <v>26.45</v>
      </c>
      <c r="C1645" s="5">
        <v>26.4093132019042</v>
      </c>
      <c r="D1645" s="5">
        <v>424.205535888671</v>
      </c>
      <c r="E1645" s="7">
        <f t="shared" ref="E1645:F1645" si="1643">C1645/C1644-1</f>
        <v>0.0681174851</v>
      </c>
      <c r="F1645" s="7">
        <f t="shared" si="1643"/>
        <v>0.01095283935</v>
      </c>
    </row>
    <row r="1646">
      <c r="A1646" s="3">
        <f>IFERROR(__xludf.DUMMYFUNCTION("""COMPUTED_VALUE"""),44641.66666666667)</f>
        <v>44641.66667</v>
      </c>
      <c r="B1646" s="5">
        <f>IFERROR(__xludf.DUMMYFUNCTION("""COMPUTED_VALUE"""),26.73)</f>
        <v>26.73</v>
      </c>
      <c r="C1646" s="5">
        <v>26.6898498535156</v>
      </c>
      <c r="D1646" s="5">
        <v>424.081420898437</v>
      </c>
      <c r="E1646" s="7">
        <f t="shared" ref="E1646:F1646" si="1644">C1646/C1645-1</f>
        <v>0.01062264094</v>
      </c>
      <c r="F1646" s="7">
        <f t="shared" si="1644"/>
        <v>-0.000292582203</v>
      </c>
    </row>
    <row r="1647">
      <c r="A1647" s="3">
        <f>IFERROR(__xludf.DUMMYFUNCTION("""COMPUTED_VALUE"""),44642.66666666667)</f>
        <v>44642.66667</v>
      </c>
      <c r="B1647" s="5">
        <f>IFERROR(__xludf.DUMMYFUNCTION("""COMPUTED_VALUE"""),26.52)</f>
        <v>26.52</v>
      </c>
      <c r="C1647" s="5">
        <v>26.4801959991455</v>
      </c>
      <c r="D1647" s="5">
        <v>429.043823242187</v>
      </c>
      <c r="E1647" s="7">
        <f t="shared" ref="E1647:F1647" si="1645">C1647/C1646-1</f>
        <v>-0.007855190476</v>
      </c>
      <c r="F1647" s="7">
        <f t="shared" si="1645"/>
        <v>0.01170153206</v>
      </c>
    </row>
    <row r="1648">
      <c r="A1648" s="3">
        <f>IFERROR(__xludf.DUMMYFUNCTION("""COMPUTED_VALUE"""),44643.66666666667)</f>
        <v>44643.66667</v>
      </c>
      <c r="B1648" s="5">
        <f>IFERROR(__xludf.DUMMYFUNCTION("""COMPUTED_VALUE"""),25.63)</f>
        <v>25.63</v>
      </c>
      <c r="C1648" s="5">
        <v>25.5916671752929</v>
      </c>
      <c r="D1648" s="5">
        <v>423.518432617187</v>
      </c>
      <c r="E1648" s="7">
        <f t="shared" ref="E1648:F1648" si="1646">C1648/C1647-1</f>
        <v>-0.03355446553</v>
      </c>
      <c r="F1648" s="7">
        <f t="shared" si="1646"/>
        <v>-0.01287838287</v>
      </c>
    </row>
    <row r="1649">
      <c r="A1649" s="3">
        <f>IFERROR(__xludf.DUMMYFUNCTION("""COMPUTED_VALUE"""),44644.66666666667)</f>
        <v>44644.66667</v>
      </c>
      <c r="B1649" s="5">
        <f>IFERROR(__xludf.DUMMYFUNCTION("""COMPUTED_VALUE"""),28.15)</f>
        <v>28.15</v>
      </c>
      <c r="C1649" s="5">
        <v>28.1035137176513</v>
      </c>
      <c r="D1649" s="5">
        <v>429.902709960937</v>
      </c>
      <c r="E1649" s="7">
        <f t="shared" ref="E1649:F1649" si="1647">C1649/C1648-1</f>
        <v>0.09815095379</v>
      </c>
      <c r="F1649" s="7">
        <f t="shared" si="1647"/>
        <v>0.01507437895</v>
      </c>
    </row>
    <row r="1650">
      <c r="A1650" s="3">
        <f>IFERROR(__xludf.DUMMYFUNCTION("""COMPUTED_VALUE"""),44645.66666666667)</f>
        <v>44645.66667</v>
      </c>
      <c r="B1650" s="5">
        <f>IFERROR(__xludf.DUMMYFUNCTION("""COMPUTED_VALUE"""),27.69)</f>
        <v>27.69</v>
      </c>
      <c r="C1650" s="5">
        <v>27.6462650299072</v>
      </c>
      <c r="D1650" s="5">
        <v>432.002136230468</v>
      </c>
      <c r="E1650" s="7">
        <f t="shared" ref="E1650:F1650" si="1648">C1650/C1649-1</f>
        <v>-0.01627016082</v>
      </c>
      <c r="F1650" s="7">
        <f t="shared" si="1648"/>
        <v>0.004883491592</v>
      </c>
    </row>
    <row r="1651">
      <c r="A1651" s="3">
        <f>IFERROR(__xludf.DUMMYFUNCTION("""COMPUTED_VALUE"""),44648.66666666667)</f>
        <v>44648.66667</v>
      </c>
      <c r="B1651" s="5">
        <f>IFERROR(__xludf.DUMMYFUNCTION("""COMPUTED_VALUE"""),28.22)</f>
        <v>28.22</v>
      </c>
      <c r="C1651" s="5">
        <v>28.1723957061767</v>
      </c>
      <c r="D1651" s="5">
        <v>435.074981689453</v>
      </c>
      <c r="E1651" s="7">
        <f t="shared" ref="E1651:F1651" si="1649">C1651/C1650-1</f>
        <v>0.01903080491</v>
      </c>
      <c r="F1651" s="7">
        <f t="shared" si="1649"/>
        <v>0.007113033018</v>
      </c>
    </row>
    <row r="1652">
      <c r="A1652" s="3">
        <f>IFERROR(__xludf.DUMMYFUNCTION("""COMPUTED_VALUE"""),44649.66666666667)</f>
        <v>44649.66667</v>
      </c>
      <c r="B1652" s="5">
        <f>IFERROR(__xludf.DUMMYFUNCTION("""COMPUTED_VALUE"""),28.66)</f>
        <v>28.66</v>
      </c>
      <c r="C1652" s="5">
        <v>28.6086769104003</v>
      </c>
      <c r="D1652" s="5">
        <v>440.457214355468</v>
      </c>
      <c r="E1652" s="7">
        <f t="shared" ref="E1652:F1652" si="1650">C1652/C1651-1</f>
        <v>0.01548612368</v>
      </c>
      <c r="F1652" s="7">
        <f t="shared" si="1650"/>
        <v>0.01237081628</v>
      </c>
    </row>
    <row r="1653">
      <c r="A1653" s="3">
        <f>IFERROR(__xludf.DUMMYFUNCTION("""COMPUTED_VALUE"""),44650.66666666667)</f>
        <v>44650.66667</v>
      </c>
      <c r="B1653" s="5">
        <f>IFERROR(__xludf.DUMMYFUNCTION("""COMPUTED_VALUE"""),27.69)</f>
        <v>27.69</v>
      </c>
      <c r="C1653" s="5">
        <v>27.6442718505859</v>
      </c>
      <c r="D1653" s="5">
        <v>437.737518310546</v>
      </c>
      <c r="E1653" s="7">
        <f t="shared" ref="E1653:F1653" si="1651">C1653/C1652-1</f>
        <v>-0.03371022934</v>
      </c>
      <c r="F1653" s="7">
        <f t="shared" si="1651"/>
        <v>-0.006174711087</v>
      </c>
    </row>
    <row r="1654">
      <c r="A1654" s="3">
        <f>IFERROR(__xludf.DUMMYFUNCTION("""COMPUTED_VALUE"""),44651.66666666667)</f>
        <v>44651.66667</v>
      </c>
      <c r="B1654" s="5">
        <f>IFERROR(__xludf.DUMMYFUNCTION("""COMPUTED_VALUE"""),27.29)</f>
        <v>27.29</v>
      </c>
      <c r="C1654" s="5">
        <v>27.2409362792968</v>
      </c>
      <c r="D1654" s="5">
        <v>431.000213623046</v>
      </c>
      <c r="E1654" s="7">
        <f t="shared" ref="E1654:F1654" si="1652">C1654/C1653-1</f>
        <v>-0.0145902042</v>
      </c>
      <c r="F1654" s="7">
        <f t="shared" si="1652"/>
        <v>-0.01539119771</v>
      </c>
    </row>
    <row r="1655">
      <c r="A1655" s="3">
        <f>IFERROR(__xludf.DUMMYFUNCTION("""COMPUTED_VALUE"""),44652.66666666667)</f>
        <v>44652.66667</v>
      </c>
      <c r="B1655" s="5">
        <f>IFERROR(__xludf.DUMMYFUNCTION("""COMPUTED_VALUE"""),26.71)</f>
        <v>26.71</v>
      </c>
      <c r="C1655" s="5">
        <v>26.6678867340087</v>
      </c>
      <c r="D1655" s="5">
        <v>432.221740722656</v>
      </c>
      <c r="E1655" s="7">
        <f t="shared" ref="E1655:F1655" si="1653">C1655/C1654-1</f>
        <v>-0.02103633808</v>
      </c>
      <c r="F1655" s="7">
        <f t="shared" si="1653"/>
        <v>0.0028341682</v>
      </c>
    </row>
    <row r="1656">
      <c r="A1656" s="3">
        <f>IFERROR(__xludf.DUMMYFUNCTION("""COMPUTED_VALUE"""),44655.66666666667)</f>
        <v>44655.66667</v>
      </c>
      <c r="B1656" s="5">
        <f>IFERROR(__xludf.DUMMYFUNCTION("""COMPUTED_VALUE"""),27.36)</f>
        <v>27.36</v>
      </c>
      <c r="C1656" s="5">
        <v>27.3148193359375</v>
      </c>
      <c r="D1656" s="5">
        <v>435.924285888671</v>
      </c>
      <c r="E1656" s="7">
        <f t="shared" ref="E1656:F1656" si="1654">C1656/C1655-1</f>
        <v>0.02425886267</v>
      </c>
      <c r="F1656" s="7">
        <f t="shared" si="1654"/>
        <v>0.008566309413</v>
      </c>
    </row>
    <row r="1657">
      <c r="A1657" s="3">
        <f>IFERROR(__xludf.DUMMYFUNCTION("""COMPUTED_VALUE"""),44656.66666666667)</f>
        <v>44656.66667</v>
      </c>
      <c r="B1657" s="5">
        <f>IFERROR(__xludf.DUMMYFUNCTION("""COMPUTED_VALUE"""),25.93)</f>
        <v>25.93</v>
      </c>
      <c r="C1657" s="5">
        <v>25.8881797790527</v>
      </c>
      <c r="D1657" s="5">
        <v>430.417999267578</v>
      </c>
      <c r="E1657" s="7">
        <f t="shared" ref="E1657:F1657" si="1655">C1657/C1656-1</f>
        <v>-0.05222950734</v>
      </c>
      <c r="F1657" s="7">
        <f t="shared" si="1655"/>
        <v>-0.01263129126</v>
      </c>
    </row>
    <row r="1658">
      <c r="A1658" s="3">
        <f>IFERROR(__xludf.DUMMYFUNCTION("""COMPUTED_VALUE"""),44657.66666666667)</f>
        <v>44657.66667</v>
      </c>
      <c r="B1658" s="5">
        <f>IFERROR(__xludf.DUMMYFUNCTION("""COMPUTED_VALUE"""),24.41)</f>
        <v>24.41</v>
      </c>
      <c r="C1658" s="5">
        <v>24.3666954040527</v>
      </c>
      <c r="D1658" s="5">
        <v>426.114105224609</v>
      </c>
      <c r="E1658" s="7">
        <f t="shared" ref="E1658:F1658" si="1656">C1658/C1657-1</f>
        <v>-0.0587713925</v>
      </c>
      <c r="F1658" s="7">
        <f t="shared" si="1656"/>
        <v>-0.009999335646</v>
      </c>
    </row>
    <row r="1659">
      <c r="A1659" s="3">
        <f>IFERROR(__xludf.DUMMYFUNCTION("""COMPUTED_VALUE"""),44658.66666666667)</f>
        <v>44658.66667</v>
      </c>
      <c r="B1659" s="5">
        <f>IFERROR(__xludf.DUMMYFUNCTION("""COMPUTED_VALUE"""),24.21)</f>
        <v>24.21</v>
      </c>
      <c r="C1659" s="5">
        <v>24.1680240631103</v>
      </c>
      <c r="D1659" s="5">
        <v>428.261352539062</v>
      </c>
      <c r="E1659" s="7">
        <f t="shared" ref="E1659:F1659" si="1657">C1659/C1658-1</f>
        <v>-0.008153396989</v>
      </c>
      <c r="F1659" s="7">
        <f t="shared" si="1657"/>
        <v>0.005039136908</v>
      </c>
    </row>
    <row r="1660">
      <c r="A1660" s="3">
        <f>IFERROR(__xludf.DUMMYFUNCTION("""COMPUTED_VALUE"""),44659.66666666667)</f>
        <v>44659.66667</v>
      </c>
      <c r="B1660" s="5">
        <f>IFERROR(__xludf.DUMMYFUNCTION("""COMPUTED_VALUE"""),23.12)</f>
        <v>23.12</v>
      </c>
      <c r="C1660" s="5">
        <v>23.0808181762695</v>
      </c>
      <c r="D1660" s="5">
        <v>427.116149902343</v>
      </c>
      <c r="E1660" s="7">
        <f t="shared" ref="E1660:F1660" si="1658">C1660/C1659-1</f>
        <v>-0.04498530306</v>
      </c>
      <c r="F1660" s="7">
        <f t="shared" si="1658"/>
        <v>-0.002674074207</v>
      </c>
    </row>
    <row r="1661">
      <c r="A1661" s="3">
        <f>IFERROR(__xludf.DUMMYFUNCTION("""COMPUTED_VALUE"""),44662.66666666667)</f>
        <v>44662.66667</v>
      </c>
      <c r="B1661" s="5">
        <f>IFERROR(__xludf.DUMMYFUNCTION("""COMPUTED_VALUE"""),21.92)</f>
        <v>21.92</v>
      </c>
      <c r="C1661" s="5">
        <v>21.8808040618896</v>
      </c>
      <c r="D1661" s="5">
        <v>419.815765380859</v>
      </c>
      <c r="E1661" s="7">
        <f t="shared" ref="E1661:F1661" si="1659">C1661/C1660-1</f>
        <v>-0.05199183604</v>
      </c>
      <c r="F1661" s="7">
        <f t="shared" si="1659"/>
        <v>-0.01709226992</v>
      </c>
    </row>
    <row r="1662">
      <c r="A1662" s="3">
        <f>IFERROR(__xludf.DUMMYFUNCTION("""COMPUTED_VALUE"""),44663.66666666667)</f>
        <v>44663.66667</v>
      </c>
      <c r="B1662" s="5">
        <f>IFERROR(__xludf.DUMMYFUNCTION("""COMPUTED_VALUE"""),21.5)</f>
        <v>21.5</v>
      </c>
      <c r="C1662" s="5">
        <v>21.4684867858886</v>
      </c>
      <c r="D1662" s="5">
        <v>418.26025390625</v>
      </c>
      <c r="E1662" s="7">
        <f t="shared" ref="E1662:F1662" si="1660">C1662/C1661-1</f>
        <v>-0.01884378996</v>
      </c>
      <c r="F1662" s="7">
        <f t="shared" si="1660"/>
        <v>-0.00370522406</v>
      </c>
    </row>
    <row r="1663">
      <c r="A1663" s="3">
        <f>IFERROR(__xludf.DUMMYFUNCTION("""COMPUTED_VALUE"""),44664.66666666667)</f>
        <v>44664.66667</v>
      </c>
      <c r="B1663" s="5">
        <f>IFERROR(__xludf.DUMMYFUNCTION("""COMPUTED_VALUE"""),22.2)</f>
        <v>22.2</v>
      </c>
      <c r="C1663" s="5">
        <v>22.166332244873</v>
      </c>
      <c r="D1663" s="5">
        <v>423.050811767578</v>
      </c>
      <c r="E1663" s="7">
        <f t="shared" ref="E1663:F1663" si="1661">C1663/C1662-1</f>
        <v>0.03250557275</v>
      </c>
      <c r="F1663" s="7">
        <f t="shared" si="1661"/>
        <v>0.01145353358</v>
      </c>
    </row>
    <row r="1664">
      <c r="A1664" s="3">
        <f>IFERROR(__xludf.DUMMYFUNCTION("""COMPUTED_VALUE"""),44665.66666666667)</f>
        <v>44665.66667</v>
      </c>
      <c r="B1664" s="5">
        <f>IFERROR(__xludf.DUMMYFUNCTION("""COMPUTED_VALUE"""),21.26)</f>
        <v>21.26</v>
      </c>
      <c r="C1664" s="5">
        <v>21.2228908538818</v>
      </c>
      <c r="D1664" s="5">
        <v>417.783111572265</v>
      </c>
      <c r="E1664" s="7">
        <f t="shared" ref="E1664:F1664" si="1662">C1664/C1663-1</f>
        <v>-0.04256190788</v>
      </c>
      <c r="F1664" s="7">
        <f t="shared" si="1662"/>
        <v>-0.01245169622</v>
      </c>
    </row>
    <row r="1665">
      <c r="A1665" s="3">
        <f>IFERROR(__xludf.DUMMYFUNCTION("""COMPUTED_VALUE"""),44669.66666666667)</f>
        <v>44669.66667</v>
      </c>
      <c r="B1665" s="5">
        <f>IFERROR(__xludf.DUMMYFUNCTION("""COMPUTED_VALUE"""),21.78)</f>
        <v>21.78</v>
      </c>
      <c r="C1665" s="5">
        <v>21.74702835083</v>
      </c>
      <c r="D1665" s="5">
        <v>417.954925537109</v>
      </c>
      <c r="E1665" s="7">
        <f t="shared" ref="E1665:F1665" si="1663">C1665/C1664-1</f>
        <v>0.02469680029</v>
      </c>
      <c r="F1665" s="7">
        <f t="shared" si="1663"/>
        <v>0.0004112515803</v>
      </c>
    </row>
    <row r="1666">
      <c r="A1666" s="3">
        <f>IFERROR(__xludf.DUMMYFUNCTION("""COMPUTED_VALUE"""),44670.66666666667)</f>
        <v>44670.66667</v>
      </c>
      <c r="B1666" s="5">
        <f>IFERROR(__xludf.DUMMYFUNCTION("""COMPUTED_VALUE"""),22.2)</f>
        <v>22.2</v>
      </c>
      <c r="C1666" s="5">
        <v>22.1613426208496</v>
      </c>
      <c r="D1666" s="5">
        <v>424.701721191406</v>
      </c>
      <c r="E1666" s="7">
        <f t="shared" ref="E1666:F1666" si="1664">C1666/C1665-1</f>
        <v>0.01905153492</v>
      </c>
      <c r="F1666" s="7">
        <f t="shared" si="1664"/>
        <v>0.01614240015</v>
      </c>
    </row>
    <row r="1667">
      <c r="A1667" s="3">
        <f>IFERROR(__xludf.DUMMYFUNCTION("""COMPUTED_VALUE"""),44671.66666666667)</f>
        <v>44671.66667</v>
      </c>
      <c r="B1667" s="5">
        <f>IFERROR(__xludf.DUMMYFUNCTION("""COMPUTED_VALUE"""),21.48)</f>
        <v>21.48</v>
      </c>
      <c r="C1667" s="5">
        <v>21.4465255737304</v>
      </c>
      <c r="D1667" s="5">
        <v>424.386810302734</v>
      </c>
      <c r="E1667" s="7">
        <f t="shared" ref="E1667:F1667" si="1665">C1667/C1666-1</f>
        <v>-0.0322551327</v>
      </c>
      <c r="F1667" s="7">
        <f t="shared" si="1665"/>
        <v>-0.0007414871967</v>
      </c>
    </row>
    <row r="1668">
      <c r="A1668" s="3">
        <f>IFERROR(__xludf.DUMMYFUNCTION("""COMPUTED_VALUE"""),44672.66666666667)</f>
        <v>44672.66667</v>
      </c>
      <c r="B1668" s="5">
        <f>IFERROR(__xludf.DUMMYFUNCTION("""COMPUTED_VALUE"""),20.18)</f>
        <v>20.18</v>
      </c>
      <c r="C1668" s="5">
        <v>20.1496658325195</v>
      </c>
      <c r="D1668" s="5">
        <v>418.040740966796</v>
      </c>
      <c r="E1668" s="7">
        <f t="shared" ref="E1668:F1668" si="1666">C1668/C1667-1</f>
        <v>-0.06046945631</v>
      </c>
      <c r="F1668" s="7">
        <f t="shared" si="1666"/>
        <v>-0.01495350275</v>
      </c>
    </row>
    <row r="1669">
      <c r="A1669" s="3">
        <f>IFERROR(__xludf.DUMMYFUNCTION("""COMPUTED_VALUE"""),44673.66666666667)</f>
        <v>44673.66667</v>
      </c>
      <c r="B1669" s="5">
        <f>IFERROR(__xludf.DUMMYFUNCTION("""COMPUTED_VALUE"""),19.52)</f>
        <v>19.52</v>
      </c>
      <c r="C1669" s="5">
        <v>19.4827690124511</v>
      </c>
      <c r="D1669" s="5">
        <v>406.570037841796</v>
      </c>
      <c r="E1669" s="7">
        <f t="shared" ref="E1669:F1669" si="1667">C1669/C1668-1</f>
        <v>-0.03309716526</v>
      </c>
      <c r="F1669" s="7">
        <f t="shared" si="1667"/>
        <v>-0.0274391991</v>
      </c>
    </row>
    <row r="1670">
      <c r="A1670" s="3">
        <f>IFERROR(__xludf.DUMMYFUNCTION("""COMPUTED_VALUE"""),44676.66666666667)</f>
        <v>44676.66667</v>
      </c>
      <c r="B1670" s="5">
        <f>IFERROR(__xludf.DUMMYFUNCTION("""COMPUTED_VALUE"""),19.9)</f>
        <v>19.9</v>
      </c>
      <c r="C1670" s="5">
        <v>19.8691310882568</v>
      </c>
      <c r="D1670" s="5">
        <v>408.927215576171</v>
      </c>
      <c r="E1670" s="7">
        <f t="shared" ref="E1670:F1670" si="1668">C1670/C1669-1</f>
        <v>0.01983096322</v>
      </c>
      <c r="F1670" s="7">
        <f t="shared" si="1668"/>
        <v>0.005797716297</v>
      </c>
    </row>
    <row r="1671">
      <c r="A1671" s="3">
        <f>IFERROR(__xludf.DUMMYFUNCTION("""COMPUTED_VALUE"""),44677.66666666667)</f>
        <v>44677.66667</v>
      </c>
      <c r="B1671" s="5">
        <f>IFERROR(__xludf.DUMMYFUNCTION("""COMPUTED_VALUE"""),18.79)</f>
        <v>18.79</v>
      </c>
      <c r="C1671" s="5">
        <v>18.7569732666015</v>
      </c>
      <c r="D1671" s="5">
        <v>397.084259033203</v>
      </c>
      <c r="E1671" s="7">
        <f t="shared" ref="E1671:F1671" si="1669">C1671/C1670-1</f>
        <v>-0.05597415492</v>
      </c>
      <c r="F1671" s="7">
        <f t="shared" si="1669"/>
        <v>-0.02896103779</v>
      </c>
    </row>
    <row r="1672">
      <c r="A1672" s="3">
        <f>IFERROR(__xludf.DUMMYFUNCTION("""COMPUTED_VALUE"""),44678.66666666667)</f>
        <v>44678.66667</v>
      </c>
      <c r="B1672" s="5">
        <f>IFERROR(__xludf.DUMMYFUNCTION("""COMPUTED_VALUE"""),18.42)</f>
        <v>18.42</v>
      </c>
      <c r="C1672" s="5">
        <v>18.3845863342285</v>
      </c>
      <c r="D1672" s="5">
        <v>398.20083618164</v>
      </c>
      <c r="E1672" s="7">
        <f t="shared" ref="E1672:F1672" si="1670">C1672/C1671-1</f>
        <v>-0.01985325282</v>
      </c>
      <c r="F1672" s="7">
        <f t="shared" si="1670"/>
        <v>0.002811940093</v>
      </c>
    </row>
    <row r="1673">
      <c r="A1673" s="3">
        <f>IFERROR(__xludf.DUMMYFUNCTION("""COMPUTED_VALUE"""),44679.66666666667)</f>
        <v>44679.66667</v>
      </c>
      <c r="B1673" s="5">
        <f>IFERROR(__xludf.DUMMYFUNCTION("""COMPUTED_VALUE"""),19.78)</f>
        <v>19.78</v>
      </c>
      <c r="C1673" s="5">
        <v>19.7493305206298</v>
      </c>
      <c r="D1673" s="5">
        <v>408.259155273437</v>
      </c>
      <c r="E1673" s="7">
        <f t="shared" ref="E1673:F1673" si="1671">C1673/C1672-1</f>
        <v>0.07423306468</v>
      </c>
      <c r="F1673" s="7">
        <f t="shared" si="1671"/>
        <v>0.02525941228</v>
      </c>
    </row>
    <row r="1674">
      <c r="A1674" s="3">
        <f>IFERROR(__xludf.DUMMYFUNCTION("""COMPUTED_VALUE"""),44680.66666666667)</f>
        <v>44680.66667</v>
      </c>
      <c r="B1674" s="5">
        <f>IFERROR(__xludf.DUMMYFUNCTION("""COMPUTED_VALUE"""),18.55)</f>
        <v>18.55</v>
      </c>
      <c r="C1674" s="5">
        <v>18.5163745880126</v>
      </c>
      <c r="D1674" s="5">
        <v>393.171661376953</v>
      </c>
      <c r="E1674" s="7">
        <f t="shared" ref="E1674:F1674" si="1672">C1674/C1673-1</f>
        <v>-0.06243026473</v>
      </c>
      <c r="F1674" s="7">
        <f t="shared" si="1672"/>
        <v>-0.03695567803</v>
      </c>
    </row>
    <row r="1675">
      <c r="A1675" s="3">
        <f>IFERROR(__xludf.DUMMYFUNCTION("""COMPUTED_VALUE"""),44683.66666666667)</f>
        <v>44683.66667</v>
      </c>
      <c r="B1675" s="5">
        <f>IFERROR(__xludf.DUMMYFUNCTION("""COMPUTED_VALUE"""),19.53)</f>
        <v>19.53</v>
      </c>
      <c r="C1675" s="5">
        <v>19.5007400512695</v>
      </c>
      <c r="D1675" s="5">
        <v>395.538330078125</v>
      </c>
      <c r="E1675" s="7">
        <f t="shared" ref="E1675:F1675" si="1673">C1675/C1674-1</f>
        <v>0.05316188969</v>
      </c>
      <c r="F1675" s="7">
        <f t="shared" si="1673"/>
        <v>0.006019428493</v>
      </c>
    </row>
    <row r="1676">
      <c r="A1676" s="3">
        <f>IFERROR(__xludf.DUMMYFUNCTION("""COMPUTED_VALUE"""),44684.66666666667)</f>
        <v>44684.66667</v>
      </c>
      <c r="B1676" s="5">
        <f>IFERROR(__xludf.DUMMYFUNCTION("""COMPUTED_VALUE"""),19.6)</f>
        <v>19.6</v>
      </c>
      <c r="C1676" s="5">
        <v>19.5696277618408</v>
      </c>
      <c r="D1676" s="5">
        <v>397.351531982421</v>
      </c>
      <c r="E1676" s="7">
        <f t="shared" ref="E1676:F1676" si="1674">C1676/C1675-1</f>
        <v>0.00353256904</v>
      </c>
      <c r="F1676" s="7">
        <f t="shared" si="1674"/>
        <v>0.004584137026</v>
      </c>
    </row>
    <row r="1677">
      <c r="A1677" s="3">
        <f>IFERROR(__xludf.DUMMYFUNCTION("""COMPUTED_VALUE"""),44685.66666666667)</f>
        <v>44685.66667</v>
      </c>
      <c r="B1677" s="5">
        <f>IFERROR(__xludf.DUMMYFUNCTION("""COMPUTED_VALUE"""),20.33)</f>
        <v>20.33</v>
      </c>
      <c r="C1677" s="5">
        <v>20.300422668457</v>
      </c>
      <c r="D1677" s="5">
        <v>409.452056884765</v>
      </c>
      <c r="E1677" s="7">
        <f t="shared" ref="E1677:F1677" si="1675">C1677/C1676-1</f>
        <v>0.03734332178</v>
      </c>
      <c r="F1677" s="7">
        <f t="shared" si="1675"/>
        <v>0.03045294639</v>
      </c>
    </row>
    <row r="1678">
      <c r="A1678" s="3">
        <f>IFERROR(__xludf.DUMMYFUNCTION("""COMPUTED_VALUE"""),44686.66666666667)</f>
        <v>44686.66667</v>
      </c>
      <c r="B1678" s="5">
        <f>IFERROR(__xludf.DUMMYFUNCTION("""COMPUTED_VALUE"""),18.84)</f>
        <v>18.84</v>
      </c>
      <c r="C1678" s="5">
        <v>18.8128814697265</v>
      </c>
      <c r="D1678" s="5">
        <v>394.898956298828</v>
      </c>
      <c r="E1678" s="7">
        <f t="shared" ref="E1678:F1678" si="1676">C1678/C1677-1</f>
        <v>-0.07327636587</v>
      </c>
      <c r="F1678" s="7">
        <f t="shared" si="1676"/>
        <v>-0.03554286843</v>
      </c>
    </row>
    <row r="1679">
      <c r="A1679" s="3">
        <f>IFERROR(__xludf.DUMMYFUNCTION("""COMPUTED_VALUE"""),44687.66666666667)</f>
        <v>44687.66667</v>
      </c>
      <c r="B1679" s="5">
        <f>IFERROR(__xludf.DUMMYFUNCTION("""COMPUTED_VALUE"""),18.68)</f>
        <v>18.68</v>
      </c>
      <c r="C1679" s="5">
        <v>18.6441593170166</v>
      </c>
      <c r="D1679" s="5">
        <v>392.541839599609</v>
      </c>
      <c r="E1679" s="7">
        <f t="shared" ref="E1679:F1679" si="1677">C1679/C1678-1</f>
        <v>-0.008968437556</v>
      </c>
      <c r="F1679" s="7">
        <f t="shared" si="1677"/>
        <v>-0.005968910937</v>
      </c>
    </row>
    <row r="1680">
      <c r="A1680" s="3">
        <f>IFERROR(__xludf.DUMMYFUNCTION("""COMPUTED_VALUE"""),44690.66666666667)</f>
        <v>44690.66667</v>
      </c>
      <c r="B1680" s="5">
        <f>IFERROR(__xludf.DUMMYFUNCTION("""COMPUTED_VALUE"""),16.95)</f>
        <v>16.95</v>
      </c>
      <c r="C1680" s="5">
        <v>16.9220085144042</v>
      </c>
      <c r="D1680" s="5">
        <v>379.973724365234</v>
      </c>
      <c r="E1680" s="7">
        <f t="shared" ref="E1680:F1680" si="1678">C1680/C1679-1</f>
        <v>-0.09236945326</v>
      </c>
      <c r="F1680" s="7">
        <f t="shared" si="1678"/>
        <v>-0.03201726279</v>
      </c>
    </row>
    <row r="1681">
      <c r="A1681" s="3">
        <f>IFERROR(__xludf.DUMMYFUNCTION("""COMPUTED_VALUE"""),44691.66666666667)</f>
        <v>44691.66667</v>
      </c>
      <c r="B1681" s="5">
        <f>IFERROR(__xludf.DUMMYFUNCTION("""COMPUTED_VALUE"""),17.6)</f>
        <v>17.6</v>
      </c>
      <c r="C1681" s="5">
        <v>17.5659465789794</v>
      </c>
      <c r="D1681" s="5">
        <v>380.851623535156</v>
      </c>
      <c r="E1681" s="7">
        <f t="shared" ref="E1681:F1681" si="1679">C1681/C1680-1</f>
        <v>0.03805328806</v>
      </c>
      <c r="F1681" s="7">
        <f t="shared" si="1679"/>
        <v>0.002310420731</v>
      </c>
    </row>
    <row r="1682">
      <c r="A1682" s="3">
        <f>IFERROR(__xludf.DUMMYFUNCTION("""COMPUTED_VALUE"""),44692.66666666667)</f>
        <v>44692.66667</v>
      </c>
      <c r="B1682" s="5">
        <f>IFERROR(__xludf.DUMMYFUNCTION("""COMPUTED_VALUE"""),16.63)</f>
        <v>16.63</v>
      </c>
      <c r="C1682" s="5">
        <v>16.6025371551513</v>
      </c>
      <c r="D1682" s="5">
        <v>374.80142211914</v>
      </c>
      <c r="E1682" s="7">
        <f t="shared" ref="E1682:F1682" si="1680">C1682/C1681-1</f>
        <v>-0.05484528941</v>
      </c>
      <c r="F1682" s="7">
        <f t="shared" si="1680"/>
        <v>-0.01588598037</v>
      </c>
    </row>
    <row r="1683">
      <c r="A1683" s="3">
        <f>IFERROR(__xludf.DUMMYFUNCTION("""COMPUTED_VALUE"""),44693.66666666667)</f>
        <v>44693.66667</v>
      </c>
      <c r="B1683" s="5">
        <f>IFERROR(__xludf.DUMMYFUNCTION("""COMPUTED_VALUE"""),16.18)</f>
        <v>16.18</v>
      </c>
      <c r="C1683" s="5">
        <v>16.1482887268066</v>
      </c>
      <c r="D1683" s="5">
        <v>374.410186767578</v>
      </c>
      <c r="E1683" s="7">
        <f t="shared" ref="E1683:F1683" si="1681">C1683/C1682-1</f>
        <v>-0.0273601814</v>
      </c>
      <c r="F1683" s="7">
        <f t="shared" si="1681"/>
        <v>-0.001043847031</v>
      </c>
    </row>
    <row r="1684">
      <c r="A1684" s="3">
        <f>IFERROR(__xludf.DUMMYFUNCTION("""COMPUTED_VALUE"""),44694.66666666667)</f>
        <v>44694.66667</v>
      </c>
      <c r="B1684" s="5">
        <f>IFERROR(__xludf.DUMMYFUNCTION("""COMPUTED_VALUE"""),17.71)</f>
        <v>17.71</v>
      </c>
      <c r="C1684" s="5">
        <v>17.6767597198486</v>
      </c>
      <c r="D1684" s="5">
        <v>383.36148071289</v>
      </c>
      <c r="E1684" s="7">
        <f t="shared" ref="E1684:F1684" si="1682">C1684/C1683-1</f>
        <v>0.09465219621</v>
      </c>
      <c r="F1684" s="7">
        <f t="shared" si="1682"/>
        <v>0.02390772009</v>
      </c>
    </row>
    <row r="1685">
      <c r="A1685" s="3">
        <f>IFERROR(__xludf.DUMMYFUNCTION("""COMPUTED_VALUE"""),44697.66666666667)</f>
        <v>44697.66667</v>
      </c>
      <c r="B1685" s="5">
        <f>IFERROR(__xludf.DUMMYFUNCTION("""COMPUTED_VALUE"""),17.26)</f>
        <v>17.26</v>
      </c>
      <c r="C1685" s="5">
        <v>17.2354946136474</v>
      </c>
      <c r="D1685" s="5">
        <v>381.805999755859</v>
      </c>
      <c r="E1685" s="7">
        <f t="shared" ref="E1685:F1685" si="1683">C1685/C1684-1</f>
        <v>-0.02496300867</v>
      </c>
      <c r="F1685" s="7">
        <f t="shared" si="1683"/>
        <v>-0.004057478477</v>
      </c>
    </row>
    <row r="1686">
      <c r="A1686" s="3">
        <f>IFERROR(__xludf.DUMMYFUNCTION("""COMPUTED_VALUE"""),44698.66666666667)</f>
        <v>44698.66667</v>
      </c>
      <c r="B1686" s="5">
        <f>IFERROR(__xludf.DUMMYFUNCTION("""COMPUTED_VALUE"""),18.18)</f>
        <v>18.18</v>
      </c>
      <c r="C1686" s="5">
        <v>18.1469783782959</v>
      </c>
      <c r="D1686" s="5">
        <v>389.659912109375</v>
      </c>
      <c r="E1686" s="7">
        <f t="shared" ref="E1686:F1686" si="1684">C1686/C1685-1</f>
        <v>0.05288410835</v>
      </c>
      <c r="F1686" s="7">
        <f t="shared" si="1684"/>
        <v>0.02057042676</v>
      </c>
    </row>
    <row r="1687">
      <c r="A1687" s="3">
        <f>IFERROR(__xludf.DUMMYFUNCTION("""COMPUTED_VALUE"""),44699.66666666667)</f>
        <v>44699.66667</v>
      </c>
      <c r="B1687" s="5">
        <f>IFERROR(__xludf.DUMMYFUNCTION("""COMPUTED_VALUE"""),16.94)</f>
        <v>16.94</v>
      </c>
      <c r="C1687" s="5">
        <v>16.9100265502929</v>
      </c>
      <c r="D1687" s="5">
        <v>373.952087402343</v>
      </c>
      <c r="E1687" s="7">
        <f t="shared" ref="E1687:F1687" si="1685">C1687/C1686-1</f>
        <v>-0.06816296367</v>
      </c>
      <c r="F1687" s="7">
        <f t="shared" si="1685"/>
        <v>-0.04031162616</v>
      </c>
    </row>
    <row r="1688">
      <c r="A1688" s="3">
        <f>IFERROR(__xludf.DUMMYFUNCTION("""COMPUTED_VALUE"""),44700.66666666667)</f>
        <v>44700.66667</v>
      </c>
      <c r="B1688" s="5">
        <f>IFERROR(__xludf.DUMMYFUNCTION("""COMPUTED_VALUE"""),17.12)</f>
        <v>17.12</v>
      </c>
      <c r="C1688" s="5">
        <v>17.0957202911376</v>
      </c>
      <c r="D1688" s="5">
        <v>371.66177368164</v>
      </c>
      <c r="E1688" s="7">
        <f t="shared" ref="E1688:F1688" si="1686">C1688/C1687-1</f>
        <v>0.01098128027</v>
      </c>
      <c r="F1688" s="7">
        <f t="shared" si="1686"/>
        <v>-0.006124618094</v>
      </c>
    </row>
    <row r="1689">
      <c r="A1689" s="3">
        <f>IFERROR(__xludf.DUMMYFUNCTION("""COMPUTED_VALUE"""),44701.66666666667)</f>
        <v>44701.66667</v>
      </c>
      <c r="B1689" s="5">
        <f>IFERROR(__xludf.DUMMYFUNCTION("""COMPUTED_VALUE"""),16.69)</f>
        <v>16.69</v>
      </c>
      <c r="C1689" s="5">
        <v>16.6664276123046</v>
      </c>
      <c r="D1689" s="5">
        <v>371.824035644531</v>
      </c>
      <c r="E1689" s="7">
        <f t="shared" ref="E1689:F1689" si="1687">C1689/C1688-1</f>
        <v>-0.02511111971</v>
      </c>
      <c r="F1689" s="7">
        <f t="shared" si="1687"/>
        <v>0.00043658502</v>
      </c>
    </row>
    <row r="1690">
      <c r="A1690" s="3">
        <f>IFERROR(__xludf.DUMMYFUNCTION("""COMPUTED_VALUE"""),44704.66666666667)</f>
        <v>44704.66667</v>
      </c>
      <c r="B1690" s="5">
        <f>IFERROR(__xludf.DUMMYFUNCTION("""COMPUTED_VALUE"""),16.9)</f>
        <v>16.9</v>
      </c>
      <c r="C1690" s="5">
        <v>16.8700942993164</v>
      </c>
      <c r="D1690" s="5">
        <v>378.780792236328</v>
      </c>
      <c r="E1690" s="7">
        <f t="shared" ref="E1690:F1690" si="1688">C1690/C1689-1</f>
        <v>0.0122201765</v>
      </c>
      <c r="F1690" s="7">
        <f t="shared" si="1688"/>
        <v>0.01870980874</v>
      </c>
    </row>
    <row r="1691">
      <c r="A1691" s="3">
        <f>IFERROR(__xludf.DUMMYFUNCTION("""COMPUTED_VALUE"""),44705.66666666667)</f>
        <v>44705.66667</v>
      </c>
      <c r="B1691" s="5">
        <f>IFERROR(__xludf.DUMMYFUNCTION("""COMPUTED_VALUE"""),16.15)</f>
        <v>16.15</v>
      </c>
      <c r="C1691" s="5">
        <v>16.1273212432861</v>
      </c>
      <c r="D1691" s="5">
        <v>375.889282226562</v>
      </c>
      <c r="E1691" s="7">
        <f t="shared" ref="E1691:F1691" si="1689">C1691/C1690-1</f>
        <v>-0.04402898068</v>
      </c>
      <c r="F1691" s="7">
        <f t="shared" si="1689"/>
        <v>-0.007633729241</v>
      </c>
    </row>
    <row r="1692">
      <c r="A1692" s="3">
        <f>IFERROR(__xludf.DUMMYFUNCTION("""COMPUTED_VALUE"""),44706.66666666667)</f>
        <v>44706.66667</v>
      </c>
      <c r="B1692" s="5">
        <f>IFERROR(__xludf.DUMMYFUNCTION("""COMPUTED_VALUE"""),16.98)</f>
        <v>16.98</v>
      </c>
      <c r="C1692" s="5">
        <v>16.9469623565673</v>
      </c>
      <c r="D1692" s="5">
        <v>379.210266113281</v>
      </c>
      <c r="E1692" s="7">
        <f t="shared" ref="E1692:F1692" si="1690">C1692/C1691-1</f>
        <v>0.05082314049</v>
      </c>
      <c r="F1692" s="7">
        <f t="shared" si="1690"/>
        <v>0.008835005529</v>
      </c>
    </row>
    <row r="1693">
      <c r="A1693" s="3">
        <f>IFERROR(__xludf.DUMMYFUNCTION("""COMPUTED_VALUE"""),44707.66666666667)</f>
        <v>44707.66667</v>
      </c>
      <c r="B1693" s="5">
        <f>IFERROR(__xludf.DUMMYFUNCTION("""COMPUTED_VALUE"""),17.85)</f>
        <v>17.85</v>
      </c>
      <c r="C1693" s="5">
        <v>17.8215179443359</v>
      </c>
      <c r="D1693" s="5">
        <v>386.787414550781</v>
      </c>
      <c r="E1693" s="7">
        <f t="shared" ref="E1693:F1693" si="1691">C1693/C1692-1</f>
        <v>0.05160544818</v>
      </c>
      <c r="F1693" s="7">
        <f t="shared" si="1691"/>
        <v>0.01998139058</v>
      </c>
    </row>
    <row r="1694">
      <c r="A1694" s="3">
        <f>IFERROR(__xludf.DUMMYFUNCTION("""COMPUTED_VALUE"""),44708.66666666667)</f>
        <v>44708.66667</v>
      </c>
      <c r="B1694" s="5">
        <f>IFERROR(__xludf.DUMMYFUNCTION("""COMPUTED_VALUE"""),18.81)</f>
        <v>18.81</v>
      </c>
      <c r="C1694" s="5">
        <v>18.7799377441406</v>
      </c>
      <c r="D1694" s="5">
        <v>396.282684326171</v>
      </c>
      <c r="E1694" s="7">
        <f t="shared" ref="E1694:F1694" si="1692">C1694/C1693-1</f>
        <v>0.05377879723</v>
      </c>
      <c r="F1694" s="7">
        <f t="shared" si="1692"/>
        <v>0.02454906602</v>
      </c>
    </row>
    <row r="1695">
      <c r="A1695" s="3">
        <f>IFERROR(__xludf.DUMMYFUNCTION("""COMPUTED_VALUE"""),44712.66666666667)</f>
        <v>44712.66667</v>
      </c>
      <c r="B1695" s="5">
        <f>IFERROR(__xludf.DUMMYFUNCTION("""COMPUTED_VALUE"""),18.67)</f>
        <v>18.67</v>
      </c>
      <c r="C1695" s="5">
        <v>18.641164779663</v>
      </c>
      <c r="D1695" s="5">
        <v>394.059173583984</v>
      </c>
      <c r="E1695" s="7">
        <f t="shared" ref="E1695:F1695" si="1693">C1695/C1694-1</f>
        <v>-0.007389426225</v>
      </c>
      <c r="F1695" s="7">
        <f t="shared" si="1693"/>
        <v>-0.005610920765</v>
      </c>
    </row>
    <row r="1696">
      <c r="A1696" s="3">
        <f>IFERROR(__xludf.DUMMYFUNCTION("""COMPUTED_VALUE"""),44713.66666666667)</f>
        <v>44713.66667</v>
      </c>
      <c r="B1696" s="5">
        <f>IFERROR(__xludf.DUMMYFUNCTION("""COMPUTED_VALUE"""),18.32)</f>
        <v>18.32</v>
      </c>
      <c r="C1696" s="5">
        <v>18.2897453308105</v>
      </c>
      <c r="D1696" s="5">
        <v>390.871856689453</v>
      </c>
      <c r="E1696" s="7">
        <f t="shared" ref="E1696:F1696" si="1694">C1696/C1695-1</f>
        <v>-0.01885179671</v>
      </c>
      <c r="F1696" s="7">
        <f t="shared" si="1694"/>
        <v>-0.008088422014</v>
      </c>
    </row>
    <row r="1697">
      <c r="A1697" s="3">
        <f>IFERROR(__xludf.DUMMYFUNCTION("""COMPUTED_VALUE"""),44714.66666666667)</f>
        <v>44714.66667</v>
      </c>
      <c r="B1697" s="5">
        <f>IFERROR(__xludf.DUMMYFUNCTION("""COMPUTED_VALUE"""),19.59)</f>
        <v>19.59</v>
      </c>
      <c r="C1697" s="5">
        <v>19.5596466064453</v>
      </c>
      <c r="D1697" s="5">
        <v>398.315399169921</v>
      </c>
      <c r="E1697" s="7">
        <f t="shared" ref="E1697:F1697" si="1695">C1697/C1696-1</f>
        <v>0.06943241979</v>
      </c>
      <c r="F1697" s="7">
        <f t="shared" si="1695"/>
        <v>0.01904343419</v>
      </c>
    </row>
    <row r="1698">
      <c r="A1698" s="3">
        <f>IFERROR(__xludf.DUMMYFUNCTION("""COMPUTED_VALUE"""),44715.66666666667)</f>
        <v>44715.66667</v>
      </c>
      <c r="B1698" s="5">
        <f>IFERROR(__xludf.DUMMYFUNCTION("""COMPUTED_VALUE"""),18.72)</f>
        <v>18.72</v>
      </c>
      <c r="C1698" s="5">
        <v>18.6890850067138</v>
      </c>
      <c r="D1698" s="5">
        <v>391.778442382812</v>
      </c>
      <c r="E1698" s="7">
        <f t="shared" ref="E1698:F1698" si="1696">C1698/C1697-1</f>
        <v>-0.04450804338</v>
      </c>
      <c r="F1698" s="7">
        <f t="shared" si="1696"/>
        <v>-0.01641150907</v>
      </c>
    </row>
    <row r="1699">
      <c r="A1699" s="3">
        <f>IFERROR(__xludf.DUMMYFUNCTION("""COMPUTED_VALUE"""),44718.66666666667)</f>
        <v>44718.66667</v>
      </c>
      <c r="B1699" s="5">
        <f>IFERROR(__xludf.DUMMYFUNCTION("""COMPUTED_VALUE"""),18.79)</f>
        <v>18.79</v>
      </c>
      <c r="C1699" s="5">
        <v>18.7549743652343</v>
      </c>
      <c r="D1699" s="5">
        <v>392.971282958984</v>
      </c>
      <c r="E1699" s="7">
        <f t="shared" ref="E1699:F1699" si="1697">C1699/C1698-1</f>
        <v>0.003525552936</v>
      </c>
      <c r="F1699" s="7">
        <f t="shared" si="1697"/>
        <v>0.003044681501</v>
      </c>
    </row>
    <row r="1700">
      <c r="A1700" s="3">
        <f>IFERROR(__xludf.DUMMYFUNCTION("""COMPUTED_VALUE"""),44719.66666666667)</f>
        <v>44719.66667</v>
      </c>
      <c r="B1700" s="5">
        <f>IFERROR(__xludf.DUMMYFUNCTION("""COMPUTED_VALUE"""),18.93)</f>
        <v>18.93</v>
      </c>
      <c r="C1700" s="5">
        <v>18.8947448730468</v>
      </c>
      <c r="D1700" s="5">
        <v>396.74072265625</v>
      </c>
      <c r="E1700" s="7">
        <f t="shared" ref="E1700:F1700" si="1698">C1700/C1699-1</f>
        <v>0.007452449952</v>
      </c>
      <c r="F1700" s="7">
        <f t="shared" si="1698"/>
        <v>0.009592150523</v>
      </c>
    </row>
    <row r="1701">
      <c r="A1701" s="3">
        <f>IFERROR(__xludf.DUMMYFUNCTION("""COMPUTED_VALUE"""),44720.66666666667)</f>
        <v>44720.66667</v>
      </c>
      <c r="B1701" s="5">
        <f>IFERROR(__xludf.DUMMYFUNCTION("""COMPUTED_VALUE"""),18.65)</f>
        <v>18.65</v>
      </c>
      <c r="C1701" s="5">
        <v>18.6211414337158</v>
      </c>
      <c r="D1701" s="5">
        <v>392.427307128906</v>
      </c>
      <c r="E1701" s="7">
        <f t="shared" ref="E1701:F1701" si="1699">C1701/C1700-1</f>
        <v>-0.01448039871</v>
      </c>
      <c r="F1701" s="7">
        <f t="shared" si="1699"/>
        <v>-0.01087212701</v>
      </c>
    </row>
    <row r="1702">
      <c r="A1702" s="3">
        <f>IFERROR(__xludf.DUMMYFUNCTION("""COMPUTED_VALUE"""),44721.66666666667)</f>
        <v>44721.66667</v>
      </c>
      <c r="B1702" s="5">
        <f>IFERROR(__xludf.DUMMYFUNCTION("""COMPUTED_VALUE"""),18.05)</f>
        <v>18.05</v>
      </c>
      <c r="C1702" s="5">
        <v>18.0220050811767</v>
      </c>
      <c r="D1702" s="5">
        <v>383.094268798828</v>
      </c>
      <c r="E1702" s="7">
        <f t="shared" ref="E1702:F1702" si="1700">C1702/C1701-1</f>
        <v>-0.03217506052</v>
      </c>
      <c r="F1702" s="7">
        <f t="shared" si="1700"/>
        <v>-0.0237828463</v>
      </c>
    </row>
    <row r="1703">
      <c r="A1703" s="3">
        <f>IFERROR(__xludf.DUMMYFUNCTION("""COMPUTED_VALUE"""),44722.66666666667)</f>
        <v>44722.66667</v>
      </c>
      <c r="B1703" s="5">
        <f>IFERROR(__xludf.DUMMYFUNCTION("""COMPUTED_VALUE"""),16.97)</f>
        <v>16.97</v>
      </c>
      <c r="C1703" s="5">
        <v>16.9495487213134</v>
      </c>
      <c r="D1703" s="5">
        <v>371.986236572265</v>
      </c>
      <c r="E1703" s="7">
        <f t="shared" ref="E1703:F1703" si="1701">C1703/C1702-1</f>
        <v>-0.05950815989</v>
      </c>
      <c r="F1703" s="7">
        <f t="shared" si="1701"/>
        <v>-0.02899555836</v>
      </c>
    </row>
    <row r="1704">
      <c r="A1704" s="3">
        <f>IFERROR(__xludf.DUMMYFUNCTION("""COMPUTED_VALUE"""),44725.66666666667)</f>
        <v>44725.66667</v>
      </c>
      <c r="B1704" s="5">
        <f>IFERROR(__xludf.DUMMYFUNCTION("""COMPUTED_VALUE"""),15.65)</f>
        <v>15.65</v>
      </c>
      <c r="C1704" s="5">
        <v>15.6244630813598</v>
      </c>
      <c r="D1704" s="5">
        <v>357.862609863281</v>
      </c>
      <c r="E1704" s="7">
        <f t="shared" ref="E1704:F1704" si="1702">C1704/C1703-1</f>
        <v>-0.07817822538</v>
      </c>
      <c r="F1704" s="7">
        <f t="shared" si="1702"/>
        <v>-0.03796814323</v>
      </c>
    </row>
    <row r="1705">
      <c r="A1705" s="3">
        <f>IFERROR(__xludf.DUMMYFUNCTION("""COMPUTED_VALUE"""),44726.66666666667)</f>
        <v>44726.66667</v>
      </c>
      <c r="B1705" s="5">
        <f>IFERROR(__xludf.DUMMYFUNCTION("""COMPUTED_VALUE"""),15.84)</f>
        <v>15.84</v>
      </c>
      <c r="C1705" s="5">
        <v>15.813190460205</v>
      </c>
      <c r="D1705" s="5">
        <v>356.784210205078</v>
      </c>
      <c r="E1705" s="7">
        <f t="shared" ref="E1705:F1705" si="1703">C1705/C1704-1</f>
        <v>0.01207896731</v>
      </c>
      <c r="F1705" s="7">
        <f t="shared" si="1703"/>
        <v>-0.003013446022</v>
      </c>
    </row>
    <row r="1706">
      <c r="A1706" s="3">
        <f>IFERROR(__xludf.DUMMYFUNCTION("""COMPUTED_VALUE"""),44727.66666666667)</f>
        <v>44727.66667</v>
      </c>
      <c r="B1706" s="5">
        <f>IFERROR(__xludf.DUMMYFUNCTION("""COMPUTED_VALUE"""),16.53)</f>
        <v>16.53</v>
      </c>
      <c r="C1706" s="5">
        <v>16.5031929016113</v>
      </c>
      <c r="D1706" s="5">
        <v>361.870666503906</v>
      </c>
      <c r="E1706" s="7">
        <f t="shared" ref="E1706:F1706" si="1704">C1706/C1705-1</f>
        <v>0.04363461271</v>
      </c>
      <c r="F1706" s="7">
        <f t="shared" si="1704"/>
        <v>0.01425639407</v>
      </c>
    </row>
    <row r="1707">
      <c r="A1707" s="3">
        <f>IFERROR(__xludf.DUMMYFUNCTION("""COMPUTED_VALUE"""),44728.66666666667)</f>
        <v>44728.66667</v>
      </c>
      <c r="B1707" s="5">
        <f>IFERROR(__xludf.DUMMYFUNCTION("""COMPUTED_VALUE"""),15.6)</f>
        <v>15.6</v>
      </c>
      <c r="C1707" s="5">
        <v>15.5785264968872</v>
      </c>
      <c r="D1707" s="5">
        <v>349.894165039062</v>
      </c>
      <c r="E1707" s="7">
        <f t="shared" ref="E1707:F1707" si="1705">C1707/C1706-1</f>
        <v>-0.05602954593</v>
      </c>
      <c r="F1707" s="7">
        <f t="shared" si="1705"/>
        <v>-0.03309608259</v>
      </c>
    </row>
    <row r="1708">
      <c r="A1708" s="3">
        <f>IFERROR(__xludf.DUMMYFUNCTION("""COMPUTED_VALUE"""),44729.66666666667)</f>
        <v>44729.66667</v>
      </c>
      <c r="B1708" s="5">
        <f>IFERROR(__xludf.DUMMYFUNCTION("""COMPUTED_VALUE"""),15.88)</f>
        <v>15.88</v>
      </c>
      <c r="C1708" s="5">
        <v>15.8571252822875</v>
      </c>
      <c r="D1708" s="5">
        <v>350.6484375</v>
      </c>
      <c r="E1708" s="7">
        <f t="shared" ref="E1708:F1708" si="1706">C1708/C1707-1</f>
        <v>0.01788351327</v>
      </c>
      <c r="F1708" s="7">
        <f t="shared" si="1706"/>
        <v>0.002155716032</v>
      </c>
    </row>
    <row r="1709">
      <c r="A1709" s="3">
        <f>IFERROR(__xludf.DUMMYFUNCTION("""COMPUTED_VALUE"""),44733.66666666667)</f>
        <v>44733.66667</v>
      </c>
      <c r="B1709" s="5">
        <f>IFERROR(__xludf.DUMMYFUNCTION("""COMPUTED_VALUE"""),16.57)</f>
        <v>16.57</v>
      </c>
      <c r="C1709" s="5">
        <v>16.5421390533447</v>
      </c>
      <c r="D1709" s="5">
        <v>359.4755859375</v>
      </c>
      <c r="E1709" s="7">
        <f t="shared" ref="E1709:F1709" si="1707">C1709/C1708-1</f>
        <v>0.04319911452</v>
      </c>
      <c r="F1709" s="7">
        <f t="shared" si="1707"/>
        <v>0.02517378517</v>
      </c>
    </row>
    <row r="1710">
      <c r="A1710" s="3">
        <f>IFERROR(__xludf.DUMMYFUNCTION("""COMPUTED_VALUE"""),44734.66666666667)</f>
        <v>44734.66667</v>
      </c>
      <c r="B1710" s="5">
        <f>IFERROR(__xludf.DUMMYFUNCTION("""COMPUTED_VALUE"""),16.36)</f>
        <v>16.36</v>
      </c>
      <c r="C1710" s="5">
        <v>16.3364353179931</v>
      </c>
      <c r="D1710" s="5">
        <v>358.823822021484</v>
      </c>
      <c r="E1710" s="7">
        <f t="shared" ref="E1710:F1710" si="1708">C1710/C1709-1</f>
        <v>-0.01243513518</v>
      </c>
      <c r="F1710" s="7">
        <f t="shared" si="1708"/>
        <v>-0.00181309647</v>
      </c>
    </row>
    <row r="1711">
      <c r="A1711" s="3">
        <f>IFERROR(__xludf.DUMMYFUNCTION("""COMPUTED_VALUE"""),44735.66666666667)</f>
        <v>44735.66667</v>
      </c>
      <c r="B1711" s="5">
        <f>IFERROR(__xludf.DUMMYFUNCTION("""COMPUTED_VALUE"""),16.23)</f>
        <v>16.23</v>
      </c>
      <c r="C1711" s="5">
        <v>16.2016296386718</v>
      </c>
      <c r="D1711" s="5">
        <v>362.341186523437</v>
      </c>
      <c r="E1711" s="7">
        <f t="shared" ref="E1711:F1711" si="1709">C1711/C1710-1</f>
        <v>-0.008251841769</v>
      </c>
      <c r="F1711" s="7">
        <f t="shared" si="1709"/>
        <v>0.009802483241</v>
      </c>
    </row>
    <row r="1712">
      <c r="A1712" s="3">
        <f>IFERROR(__xludf.DUMMYFUNCTION("""COMPUTED_VALUE"""),44736.66666666667)</f>
        <v>44736.66667</v>
      </c>
      <c r="B1712" s="5">
        <f>IFERROR(__xludf.DUMMYFUNCTION("""COMPUTED_VALUE"""),17.13)</f>
        <v>17.13</v>
      </c>
      <c r="C1712" s="5">
        <v>17.1013317108154</v>
      </c>
      <c r="D1712" s="5">
        <v>373.86148071289</v>
      </c>
      <c r="E1712" s="7">
        <f t="shared" ref="E1712:F1712" si="1710">C1712/C1711-1</f>
        <v>0.05553157875</v>
      </c>
      <c r="F1712" s="7">
        <f t="shared" si="1710"/>
        <v>0.03179405107</v>
      </c>
    </row>
    <row r="1713">
      <c r="A1713" s="3">
        <f>IFERROR(__xludf.DUMMYFUNCTION("""COMPUTED_VALUE"""),44739.66666666667)</f>
        <v>44739.66667</v>
      </c>
      <c r="B1713" s="5">
        <f>IFERROR(__xludf.DUMMYFUNCTION("""COMPUTED_VALUE"""),16.87)</f>
        <v>16.87</v>
      </c>
      <c r="C1713" s="5">
        <v>16.844705581665</v>
      </c>
      <c r="D1713" s="5">
        <v>372.433380126953</v>
      </c>
      <c r="E1713" s="7">
        <f t="shared" ref="E1713:F1713" si="1711">C1713/C1712-1</f>
        <v>-0.01500620732</v>
      </c>
      <c r="F1713" s="7">
        <f t="shared" si="1711"/>
        <v>-0.003819865537</v>
      </c>
    </row>
    <row r="1714">
      <c r="A1714" s="3">
        <f>IFERROR(__xludf.DUMMYFUNCTION("""COMPUTED_VALUE"""),44740.66666666667)</f>
        <v>44740.66667</v>
      </c>
      <c r="B1714" s="5">
        <f>IFERROR(__xludf.DUMMYFUNCTION("""COMPUTED_VALUE"""),15.98)</f>
        <v>15.98</v>
      </c>
      <c r="C1714" s="5">
        <v>15.9589805603027</v>
      </c>
      <c r="D1714" s="5">
        <v>364.823486328125</v>
      </c>
      <c r="E1714" s="7">
        <f t="shared" ref="E1714:F1714" si="1712">C1714/C1713-1</f>
        <v>-0.05258180483</v>
      </c>
      <c r="F1714" s="7">
        <f t="shared" si="1712"/>
        <v>-0.02043289943</v>
      </c>
    </row>
    <row r="1715">
      <c r="A1715" s="3">
        <f>IFERROR(__xludf.DUMMYFUNCTION("""COMPUTED_VALUE"""),44741.66666666667)</f>
        <v>44741.66667</v>
      </c>
      <c r="B1715" s="5">
        <f>IFERROR(__xludf.DUMMYFUNCTION("""COMPUTED_VALUE"""),15.54)</f>
        <v>15.54</v>
      </c>
      <c r="C1715" s="5">
        <v>15.5196142196655</v>
      </c>
      <c r="D1715" s="5">
        <v>364.5263671875</v>
      </c>
      <c r="E1715" s="7">
        <f t="shared" ref="E1715:F1715" si="1713">C1715/C1714-1</f>
        <v>-0.02753097787</v>
      </c>
      <c r="F1715" s="7">
        <f t="shared" si="1713"/>
        <v>-0.0008144188951</v>
      </c>
    </row>
    <row r="1716">
      <c r="A1716" s="3">
        <f>IFERROR(__xludf.DUMMYFUNCTION("""COMPUTED_VALUE"""),44742.66666666667)</f>
        <v>44742.66667</v>
      </c>
      <c r="B1716" s="5">
        <f>IFERROR(__xludf.DUMMYFUNCTION("""COMPUTED_VALUE"""),15.16)</f>
        <v>15.16</v>
      </c>
      <c r="C1716" s="5">
        <v>15.13716506958</v>
      </c>
      <c r="D1716" s="5">
        <v>361.564849853515</v>
      </c>
      <c r="E1716" s="7">
        <f t="shared" ref="E1716:F1716" si="1714">C1716/C1715-1</f>
        <v>-0.02464295469</v>
      </c>
      <c r="F1716" s="7">
        <f t="shared" si="1714"/>
        <v>-0.008124288393</v>
      </c>
    </row>
    <row r="1717">
      <c r="A1717" s="3">
        <f>IFERROR(__xludf.DUMMYFUNCTION("""COMPUTED_VALUE"""),44743.66666666667)</f>
        <v>44743.66667</v>
      </c>
      <c r="B1717" s="5">
        <f>IFERROR(__xludf.DUMMYFUNCTION("""COMPUTED_VALUE"""),14.52)</f>
        <v>14.52</v>
      </c>
      <c r="C1717" s="5">
        <v>14.502079963684</v>
      </c>
      <c r="D1717" s="5">
        <v>365.389038085937</v>
      </c>
      <c r="E1717" s="7">
        <f t="shared" ref="E1717:F1717" si="1715">C1717/C1716-1</f>
        <v>-0.04195535313</v>
      </c>
      <c r="F1717" s="7">
        <f t="shared" si="1715"/>
        <v>0.01057676993</v>
      </c>
    </row>
    <row r="1718">
      <c r="A1718" s="3">
        <f>IFERROR(__xludf.DUMMYFUNCTION("""COMPUTED_VALUE"""),44747.66666666667)</f>
        <v>44747.66667</v>
      </c>
      <c r="B1718" s="5">
        <f>IFERROR(__xludf.DUMMYFUNCTION("""COMPUTED_VALUE"""),14.96)</f>
        <v>14.96</v>
      </c>
      <c r="C1718" s="5">
        <v>14.9424448013305</v>
      </c>
      <c r="D1718" s="5">
        <v>366.079071044921</v>
      </c>
      <c r="E1718" s="7">
        <f t="shared" ref="E1718:F1718" si="1716">C1718/C1717-1</f>
        <v>0.03036563298</v>
      </c>
      <c r="F1718" s="7">
        <f t="shared" si="1716"/>
        <v>0.001888488397</v>
      </c>
    </row>
    <row r="1719">
      <c r="A1719" s="3">
        <f>IFERROR(__xludf.DUMMYFUNCTION("""COMPUTED_VALUE"""),44748.66666666667)</f>
        <v>44748.66667</v>
      </c>
      <c r="B1719" s="5">
        <f>IFERROR(__xludf.DUMMYFUNCTION("""COMPUTED_VALUE"""),15.13)</f>
        <v>15.13</v>
      </c>
      <c r="C1719" s="5">
        <v>15.1082077026367</v>
      </c>
      <c r="D1719" s="5">
        <v>367.3154296875</v>
      </c>
      <c r="E1719" s="7">
        <f t="shared" ref="E1719:F1719" si="1717">C1719/C1718-1</f>
        <v>0.01109342571</v>
      </c>
      <c r="F1719" s="7">
        <f t="shared" si="1717"/>
        <v>0.003377299443</v>
      </c>
    </row>
    <row r="1720">
      <c r="A1720" s="3">
        <f>IFERROR(__xludf.DUMMYFUNCTION("""COMPUTED_VALUE"""),44749.66666666667)</f>
        <v>44749.66667</v>
      </c>
      <c r="B1720" s="5">
        <f>IFERROR(__xludf.DUMMYFUNCTION("""COMPUTED_VALUE"""),15.86)</f>
        <v>15.86</v>
      </c>
      <c r="C1720" s="5">
        <v>15.8351593017578</v>
      </c>
      <c r="D1720" s="5">
        <v>372.816741943359</v>
      </c>
      <c r="E1720" s="7">
        <f t="shared" ref="E1720:F1720" si="1718">C1720/C1719-1</f>
        <v>0.04811633606</v>
      </c>
      <c r="F1720" s="7">
        <f t="shared" si="1718"/>
        <v>0.01497707913</v>
      </c>
    </row>
    <row r="1721">
      <c r="A1721" s="3">
        <f>IFERROR(__xludf.DUMMYFUNCTION("""COMPUTED_VALUE"""),44750.66666666667)</f>
        <v>44750.66667</v>
      </c>
      <c r="B1721" s="5">
        <f>IFERROR(__xludf.DUMMYFUNCTION("""COMPUTED_VALUE"""),15.84)</f>
        <v>15.84</v>
      </c>
      <c r="C1721" s="5">
        <v>15.8151874542236</v>
      </c>
      <c r="D1721" s="5">
        <v>372.510101318359</v>
      </c>
      <c r="E1721" s="7">
        <f t="shared" ref="E1721:F1721" si="1719">C1721/C1720-1</f>
        <v>-0.001261234393</v>
      </c>
      <c r="F1721" s="7">
        <f t="shared" si="1719"/>
        <v>-0.0008224969281</v>
      </c>
    </row>
    <row r="1722">
      <c r="A1722" s="3">
        <f>IFERROR(__xludf.DUMMYFUNCTION("""COMPUTED_VALUE"""),44753.66666666667)</f>
        <v>44753.66667</v>
      </c>
      <c r="B1722" s="5">
        <f>IFERROR(__xludf.DUMMYFUNCTION("""COMPUTED_VALUE"""),15.15)</f>
        <v>15.15</v>
      </c>
      <c r="C1722" s="5">
        <v>15.1301755905151</v>
      </c>
      <c r="D1722" s="5">
        <v>368.254638671875</v>
      </c>
      <c r="E1722" s="7">
        <f t="shared" ref="E1722:F1722" si="1720">C1722/C1721-1</f>
        <v>-0.04331354691</v>
      </c>
      <c r="F1722" s="7">
        <f t="shared" si="1720"/>
        <v>-0.01142375101</v>
      </c>
    </row>
    <row r="1723">
      <c r="A1723" s="3">
        <f>IFERROR(__xludf.DUMMYFUNCTION("""COMPUTED_VALUE"""),44754.66666666667)</f>
        <v>44754.66667</v>
      </c>
      <c r="B1723" s="5">
        <f>IFERROR(__xludf.DUMMYFUNCTION("""COMPUTED_VALUE"""),15.08)</f>
        <v>15.08</v>
      </c>
      <c r="C1723" s="5">
        <v>15.0602769851684</v>
      </c>
      <c r="D1723" s="5">
        <v>364.996002197265</v>
      </c>
      <c r="E1723" s="7">
        <f t="shared" ref="E1723:F1723" si="1721">C1723/C1722-1</f>
        <v>-0.004619814551</v>
      </c>
      <c r="F1723" s="7">
        <f t="shared" si="1721"/>
        <v>-0.008848867421</v>
      </c>
    </row>
    <row r="1724">
      <c r="A1724" s="3">
        <f>IFERROR(__xludf.DUMMYFUNCTION("""COMPUTED_VALUE"""),44755.66666666667)</f>
        <v>44755.66667</v>
      </c>
      <c r="B1724" s="5">
        <f>IFERROR(__xludf.DUMMYFUNCTION("""COMPUTED_VALUE"""),15.16)</f>
        <v>15.16</v>
      </c>
      <c r="C1724" s="5">
        <v>15.1421585083007</v>
      </c>
      <c r="D1724" s="5">
        <v>363.079193115234</v>
      </c>
      <c r="E1724" s="7">
        <f t="shared" ref="E1724:F1724" si="1722">C1724/C1723-1</f>
        <v>0.005436920132</v>
      </c>
      <c r="F1724" s="7">
        <f t="shared" si="1722"/>
        <v>-0.005251589252</v>
      </c>
    </row>
    <row r="1725">
      <c r="A1725" s="3">
        <f>IFERROR(__xludf.DUMMYFUNCTION("""COMPUTED_VALUE"""),44756.66666666667)</f>
        <v>44756.66667</v>
      </c>
      <c r="B1725" s="5">
        <f>IFERROR(__xludf.DUMMYFUNCTION("""COMPUTED_VALUE"""),15.37)</f>
        <v>15.37</v>
      </c>
      <c r="C1725" s="5">
        <v>15.3498582839965</v>
      </c>
      <c r="D1725" s="5">
        <v>362.19741821289</v>
      </c>
      <c r="E1725" s="7">
        <f t="shared" ref="E1725:F1725" si="1723">C1725/C1724-1</f>
        <v>0.01371665576</v>
      </c>
      <c r="F1725" s="7">
        <f t="shared" si="1723"/>
        <v>-0.002428602132</v>
      </c>
    </row>
    <row r="1726">
      <c r="A1726" s="3">
        <f>IFERROR(__xludf.DUMMYFUNCTION("""COMPUTED_VALUE"""),44757.66666666667)</f>
        <v>44757.66667</v>
      </c>
      <c r="B1726" s="5">
        <f>IFERROR(__xludf.DUMMYFUNCTION("""COMPUTED_VALUE"""),15.76)</f>
        <v>15.76</v>
      </c>
      <c r="C1726" s="5">
        <v>15.7392959594726</v>
      </c>
      <c r="D1726" s="5">
        <v>369.117370605468</v>
      </c>
      <c r="E1726" s="7">
        <f t="shared" ref="E1726:F1726" si="1724">C1726/C1725-1</f>
        <v>0.02537076684</v>
      </c>
      <c r="F1726" s="7">
        <f t="shared" si="1724"/>
        <v>0.01910547134</v>
      </c>
    </row>
    <row r="1727">
      <c r="A1727" s="3">
        <f>IFERROR(__xludf.DUMMYFUNCTION("""COMPUTED_VALUE"""),44760.66666666667)</f>
        <v>44760.66667</v>
      </c>
      <c r="B1727" s="5">
        <f>IFERROR(__xludf.DUMMYFUNCTION("""COMPUTED_VALUE"""),16.1)</f>
        <v>16.1</v>
      </c>
      <c r="C1727" s="5">
        <v>16.0778102874755</v>
      </c>
      <c r="D1727" s="5">
        <v>366.069519042968</v>
      </c>
      <c r="E1727" s="7">
        <f t="shared" ref="E1727:F1727" si="1725">C1727/C1726-1</f>
        <v>0.02150759023</v>
      </c>
      <c r="F1727" s="7">
        <f t="shared" si="1725"/>
        <v>-0.008257133923</v>
      </c>
    </row>
    <row r="1728">
      <c r="A1728" s="3">
        <f>IFERROR(__xludf.DUMMYFUNCTION("""COMPUTED_VALUE"""),44761.66666666667)</f>
        <v>44761.66667</v>
      </c>
      <c r="B1728" s="5">
        <f>IFERROR(__xludf.DUMMYFUNCTION("""COMPUTED_VALUE"""),16.99)</f>
        <v>16.99</v>
      </c>
      <c r="C1728" s="5">
        <v>16.9675254821777</v>
      </c>
      <c r="D1728" s="5">
        <v>375.960418701171</v>
      </c>
      <c r="E1728" s="7">
        <f t="shared" ref="E1728:F1728" si="1726">C1728/C1727-1</f>
        <v>0.05533808266</v>
      </c>
      <c r="F1728" s="7">
        <f t="shared" si="1726"/>
        <v>0.02701918391</v>
      </c>
    </row>
    <row r="1729">
      <c r="A1729" s="3">
        <f>IFERROR(__xludf.DUMMYFUNCTION("""COMPUTED_VALUE"""),44762.66666666667)</f>
        <v>44762.66667</v>
      </c>
      <c r="B1729" s="5">
        <f>IFERROR(__xludf.DUMMYFUNCTION("""COMPUTED_VALUE"""),17.81)</f>
        <v>17.81</v>
      </c>
      <c r="C1729" s="5">
        <v>17.7813491821289</v>
      </c>
      <c r="D1729" s="5">
        <v>378.356414794921</v>
      </c>
      <c r="E1729" s="7">
        <f t="shared" ref="E1729:F1729" si="1727">C1729/C1728-1</f>
        <v>0.04796360558</v>
      </c>
      <c r="F1729" s="7">
        <f t="shared" si="1727"/>
        <v>0.006373000919</v>
      </c>
    </row>
    <row r="1730">
      <c r="A1730" s="3">
        <f>IFERROR(__xludf.DUMMYFUNCTION("""COMPUTED_VALUE"""),44763.66666666667)</f>
        <v>44763.66667</v>
      </c>
      <c r="B1730" s="5">
        <f>IFERROR(__xludf.DUMMYFUNCTION("""COMPUTED_VALUE"""),18.05)</f>
        <v>18.05</v>
      </c>
      <c r="C1730" s="5">
        <v>18.0240020751953</v>
      </c>
      <c r="D1730" s="5">
        <v>382.209350585937</v>
      </c>
      <c r="E1730" s="7">
        <f t="shared" ref="E1730:F1730" si="1728">C1730/C1729-1</f>
        <v>0.01364648377</v>
      </c>
      <c r="F1730" s="7">
        <f t="shared" si="1728"/>
        <v>0.01018334999</v>
      </c>
    </row>
    <row r="1731">
      <c r="A1731" s="3">
        <f>IFERROR(__xludf.DUMMYFUNCTION("""COMPUTED_VALUE"""),44764.66666666667)</f>
        <v>44764.66667</v>
      </c>
      <c r="B1731" s="5">
        <f>IFERROR(__xludf.DUMMYFUNCTION("""COMPUTED_VALUE"""),17.32)</f>
        <v>17.32</v>
      </c>
      <c r="C1731" s="5">
        <v>17.294054031372</v>
      </c>
      <c r="D1731" s="5">
        <v>378.663177490234</v>
      </c>
      <c r="E1731" s="7">
        <f t="shared" ref="E1731:F1731" si="1729">C1731/C1730-1</f>
        <v>-0.04049866621</v>
      </c>
      <c r="F1731" s="7">
        <f t="shared" si="1729"/>
        <v>-0.009278090895</v>
      </c>
    </row>
    <row r="1732">
      <c r="A1732" s="3">
        <f>IFERROR(__xludf.DUMMYFUNCTION("""COMPUTED_VALUE"""),44767.66666666667)</f>
        <v>44767.66667</v>
      </c>
      <c r="B1732" s="5">
        <f>IFERROR(__xludf.DUMMYFUNCTION("""COMPUTED_VALUE"""),17.02)</f>
        <v>17.02</v>
      </c>
      <c r="C1732" s="5">
        <v>16.9994812011718</v>
      </c>
      <c r="D1732" s="5">
        <v>379.12319946289</v>
      </c>
      <c r="E1732" s="7">
        <f t="shared" ref="E1732:F1732" si="1730">C1732/C1731-1</f>
        <v>-0.01703318549</v>
      </c>
      <c r="F1732" s="7">
        <f t="shared" si="1730"/>
        <v>0.001214857953</v>
      </c>
    </row>
    <row r="1733">
      <c r="A1733" s="3">
        <f>IFERROR(__xludf.DUMMYFUNCTION("""COMPUTED_VALUE"""),44768.66666666667)</f>
        <v>44768.66667</v>
      </c>
      <c r="B1733" s="5">
        <f>IFERROR(__xludf.DUMMYFUNCTION("""COMPUTED_VALUE"""),16.53)</f>
        <v>16.53</v>
      </c>
      <c r="C1733" s="5">
        <v>16.5091876983642</v>
      </c>
      <c r="D1733" s="5">
        <v>374.637756347656</v>
      </c>
      <c r="E1733" s="7">
        <f t="shared" ref="E1733:F1733" si="1731">C1733/C1732-1</f>
        <v>-0.02884167446</v>
      </c>
      <c r="F1733" s="7">
        <f t="shared" si="1731"/>
        <v>-0.01183109639</v>
      </c>
    </row>
    <row r="1734">
      <c r="A1734" s="3">
        <f>IFERROR(__xludf.DUMMYFUNCTION("""COMPUTED_VALUE"""),44769.66666666667)</f>
        <v>44769.66667</v>
      </c>
      <c r="B1734" s="5">
        <f>IFERROR(__xludf.DUMMYFUNCTION("""COMPUTED_VALUE"""),17.79)</f>
        <v>17.79</v>
      </c>
      <c r="C1734" s="5">
        <v>17.7643756866455</v>
      </c>
      <c r="D1734" s="5">
        <v>384.365753173828</v>
      </c>
      <c r="E1734" s="7">
        <f t="shared" ref="E1734:F1734" si="1732">C1734/C1733-1</f>
        <v>0.07602966368</v>
      </c>
      <c r="F1734" s="7">
        <f t="shared" si="1732"/>
        <v>0.02596640798</v>
      </c>
    </row>
    <row r="1735">
      <c r="A1735" s="3">
        <f>IFERROR(__xludf.DUMMYFUNCTION("""COMPUTED_VALUE"""),44770.66666666667)</f>
        <v>44770.66667</v>
      </c>
      <c r="B1735" s="5">
        <f>IFERROR(__xludf.DUMMYFUNCTION("""COMPUTED_VALUE"""),17.98)</f>
        <v>17.98</v>
      </c>
      <c r="C1735" s="5">
        <v>17.9580974578857</v>
      </c>
      <c r="D1735" s="5">
        <v>389.186614990234</v>
      </c>
      <c r="E1735" s="7">
        <f t="shared" ref="E1735:F1735" si="1733">C1735/C1734-1</f>
        <v>0.01090507061</v>
      </c>
      <c r="F1735" s="7">
        <f t="shared" si="1733"/>
        <v>0.01254238125</v>
      </c>
    </row>
    <row r="1736">
      <c r="A1736" s="3">
        <f>IFERROR(__xludf.DUMMYFUNCTION("""COMPUTED_VALUE"""),44771.66666666667)</f>
        <v>44771.66667</v>
      </c>
      <c r="B1736" s="5">
        <f>IFERROR(__xludf.DUMMYFUNCTION("""COMPUTED_VALUE"""),18.16)</f>
        <v>18.16</v>
      </c>
      <c r="C1736" s="5">
        <v>18.1368389129638</v>
      </c>
      <c r="D1736" s="5">
        <v>394.86050415039</v>
      </c>
      <c r="E1736" s="7">
        <f t="shared" ref="E1736:F1736" si="1734">C1736/C1735-1</f>
        <v>0.0099532512</v>
      </c>
      <c r="F1736" s="7">
        <f t="shared" si="1734"/>
        <v>0.01457883941</v>
      </c>
    </row>
    <row r="1737">
      <c r="A1737" s="3">
        <f>IFERROR(__xludf.DUMMYFUNCTION("""COMPUTED_VALUE"""),44774.66666666667)</f>
        <v>44774.66667</v>
      </c>
      <c r="B1737" s="5">
        <f>IFERROR(__xludf.DUMMYFUNCTION("""COMPUTED_VALUE"""),18.44)</f>
        <v>18.44</v>
      </c>
      <c r="C1737" s="5">
        <v>18.4144401550292</v>
      </c>
      <c r="D1737" s="5">
        <v>393.691192626953</v>
      </c>
      <c r="E1737" s="7">
        <f t="shared" ref="E1737:F1737" si="1735">C1737/C1736-1</f>
        <v>0.01530593305</v>
      </c>
      <c r="F1737" s="7">
        <f t="shared" si="1735"/>
        <v>-0.002961328143</v>
      </c>
    </row>
    <row r="1738">
      <c r="A1738" s="3">
        <f>IFERROR(__xludf.DUMMYFUNCTION("""COMPUTED_VALUE"""),44775.66666666667)</f>
        <v>44775.66667</v>
      </c>
      <c r="B1738" s="5">
        <f>IFERROR(__xludf.DUMMYFUNCTION("""COMPUTED_VALUE"""),18.53)</f>
        <v>18.53</v>
      </c>
      <c r="C1738" s="5">
        <v>18.4993133544921</v>
      </c>
      <c r="D1738" s="5">
        <v>391.09390258789</v>
      </c>
      <c r="E1738" s="7">
        <f t="shared" ref="E1738:F1738" si="1736">C1738/C1737-1</f>
        <v>0.004609056737</v>
      </c>
      <c r="F1738" s="7">
        <f t="shared" si="1736"/>
        <v>-0.00659727748</v>
      </c>
    </row>
    <row r="1739">
      <c r="A1739" s="3">
        <f>IFERROR(__xludf.DUMMYFUNCTION("""COMPUTED_VALUE"""),44776.66666666667)</f>
        <v>44776.66667</v>
      </c>
      <c r="B1739" s="5">
        <f>IFERROR(__xludf.DUMMYFUNCTION("""COMPUTED_VALUE"""),18.89)</f>
        <v>18.89</v>
      </c>
      <c r="C1739" s="5">
        <v>18.8657875061035</v>
      </c>
      <c r="D1739" s="5">
        <v>397.218231201171</v>
      </c>
      <c r="E1739" s="7">
        <f t="shared" ref="E1739:F1739" si="1737">C1739/C1738-1</f>
        <v>0.01981014887</v>
      </c>
      <c r="F1739" s="7">
        <f t="shared" si="1737"/>
        <v>0.01565948375</v>
      </c>
    </row>
    <row r="1740">
      <c r="A1740" s="3">
        <f>IFERROR(__xludf.DUMMYFUNCTION("""COMPUTED_VALUE"""),44777.66666666667)</f>
        <v>44777.66667</v>
      </c>
      <c r="B1740" s="5">
        <f>IFERROR(__xludf.DUMMYFUNCTION("""COMPUTED_VALUE"""),19.22)</f>
        <v>19.22</v>
      </c>
      <c r="C1740" s="5">
        <v>19.1873245239257</v>
      </c>
      <c r="D1740" s="5">
        <v>396.94985961914</v>
      </c>
      <c r="E1740" s="7">
        <f t="shared" ref="E1740:F1740" si="1738">C1740/C1739-1</f>
        <v>0.01704339232</v>
      </c>
      <c r="F1740" s="7">
        <f t="shared" si="1738"/>
        <v>-0.0006756275542</v>
      </c>
    </row>
    <row r="1741">
      <c r="A1741" s="3">
        <f>IFERROR(__xludf.DUMMYFUNCTION("""COMPUTED_VALUE"""),44778.66666666667)</f>
        <v>44778.66667</v>
      </c>
      <c r="B1741" s="5">
        <f>IFERROR(__xludf.DUMMYFUNCTION("""COMPUTED_VALUE"""),18.99)</f>
        <v>18.99</v>
      </c>
      <c r="C1741" s="5">
        <v>18.9616451263427</v>
      </c>
      <c r="D1741" s="5">
        <v>396.27896118164</v>
      </c>
      <c r="E1741" s="7">
        <f t="shared" ref="E1741:F1741" si="1739">C1741/C1740-1</f>
        <v>-0.01176190027</v>
      </c>
      <c r="F1741" s="7">
        <f t="shared" si="1739"/>
        <v>-0.001690133958</v>
      </c>
    </row>
    <row r="1742">
      <c r="A1742" s="3">
        <f>IFERROR(__xludf.DUMMYFUNCTION("""COMPUTED_VALUE"""),44781.66666666667)</f>
        <v>44781.66667</v>
      </c>
      <c r="B1742" s="5">
        <f>IFERROR(__xludf.DUMMYFUNCTION("""COMPUTED_VALUE"""),17.79)</f>
        <v>17.79</v>
      </c>
      <c r="C1742" s="5">
        <v>17.7673721313476</v>
      </c>
      <c r="D1742" s="5">
        <v>395.818908691406</v>
      </c>
      <c r="E1742" s="7">
        <f t="shared" ref="E1742:F1742" si="1740">C1742/C1741-1</f>
        <v>-0.06298361704</v>
      </c>
      <c r="F1742" s="7">
        <f t="shared" si="1740"/>
        <v>-0.001160930898</v>
      </c>
    </row>
    <row r="1743">
      <c r="A1743" s="3">
        <f>IFERROR(__xludf.DUMMYFUNCTION("""COMPUTED_VALUE"""),44782.66666666667)</f>
        <v>44782.66667</v>
      </c>
      <c r="B1743" s="5">
        <f>IFERROR(__xludf.DUMMYFUNCTION("""COMPUTED_VALUE"""),17.09)</f>
        <v>17.09</v>
      </c>
      <c r="C1743" s="5">
        <v>17.061388015747</v>
      </c>
      <c r="D1743" s="5">
        <v>394.247039794921</v>
      </c>
      <c r="E1743" s="7">
        <f t="shared" ref="E1743:F1743" si="1741">C1743/C1742-1</f>
        <v>-0.03973486402</v>
      </c>
      <c r="F1743" s="7">
        <f t="shared" si="1741"/>
        <v>-0.003971181927</v>
      </c>
    </row>
    <row r="1744">
      <c r="A1744" s="3">
        <f>IFERROR(__xludf.DUMMYFUNCTION("""COMPUTED_VALUE"""),44783.66666666667)</f>
        <v>44783.66667</v>
      </c>
      <c r="B1744" s="5">
        <f>IFERROR(__xludf.DUMMYFUNCTION("""COMPUTED_VALUE"""),18.1)</f>
        <v>18.1</v>
      </c>
      <c r="C1744" s="5">
        <v>18.0709342956542</v>
      </c>
      <c r="D1744" s="5">
        <v>402.527893066406</v>
      </c>
      <c r="E1744" s="7">
        <f t="shared" ref="E1744:F1744" si="1742">C1744/C1743-1</f>
        <v>0.05917140381</v>
      </c>
      <c r="F1744" s="7">
        <f t="shared" si="1742"/>
        <v>0.02100422435</v>
      </c>
    </row>
    <row r="1745">
      <c r="A1745" s="3">
        <f>IFERROR(__xludf.DUMMYFUNCTION("""COMPUTED_VALUE"""),44784.66666666667)</f>
        <v>44784.66667</v>
      </c>
      <c r="B1745" s="5">
        <f>IFERROR(__xludf.DUMMYFUNCTION("""COMPUTED_VALUE"""),17.94)</f>
        <v>17.94</v>
      </c>
      <c r="C1745" s="5">
        <v>17.9161586761474</v>
      </c>
      <c r="D1745" s="5">
        <v>402.527893066406</v>
      </c>
      <c r="E1745" s="7">
        <f t="shared" ref="E1745:F1745" si="1743">C1745/C1744-1</f>
        <v>-0.008564893047</v>
      </c>
      <c r="F1745" s="7">
        <f t="shared" si="1743"/>
        <v>0</v>
      </c>
    </row>
    <row r="1746">
      <c r="A1746" s="3">
        <f>IFERROR(__xludf.DUMMYFUNCTION("""COMPUTED_VALUE"""),44785.66666666667)</f>
        <v>44785.66667</v>
      </c>
      <c r="B1746" s="5">
        <f>IFERROR(__xludf.DUMMYFUNCTION("""COMPUTED_VALUE"""),18.71)</f>
        <v>18.71</v>
      </c>
      <c r="C1746" s="5">
        <v>18.6820468902587</v>
      </c>
      <c r="D1746" s="5">
        <v>409.34228515625</v>
      </c>
      <c r="E1746" s="7">
        <f t="shared" ref="E1746:F1746" si="1744">C1746/C1745-1</f>
        <v>0.04274846121</v>
      </c>
      <c r="F1746" s="7">
        <f t="shared" si="1744"/>
        <v>0.01692899351</v>
      </c>
    </row>
    <row r="1747">
      <c r="A1747" s="3">
        <f>IFERROR(__xludf.DUMMYFUNCTION("""COMPUTED_VALUE"""),44788.66666666667)</f>
        <v>44788.66667</v>
      </c>
      <c r="B1747" s="5">
        <f>IFERROR(__xludf.DUMMYFUNCTION("""COMPUTED_VALUE"""),19.03)</f>
        <v>19.03</v>
      </c>
      <c r="C1747" s="5">
        <v>19.0045852661132</v>
      </c>
      <c r="D1747" s="5">
        <v>411.029022216796</v>
      </c>
      <c r="E1747" s="7">
        <f t="shared" ref="E1747:F1747" si="1745">C1747/C1746-1</f>
        <v>0.01726461655</v>
      </c>
      <c r="F1747" s="7">
        <f t="shared" si="1745"/>
        <v>0.00412060303</v>
      </c>
    </row>
    <row r="1748">
      <c r="A1748" s="3">
        <f>IFERROR(__xludf.DUMMYFUNCTION("""COMPUTED_VALUE"""),44789.66666666667)</f>
        <v>44789.66667</v>
      </c>
      <c r="B1748" s="5">
        <f>IFERROR(__xludf.DUMMYFUNCTION("""COMPUTED_VALUE"""),18.88)</f>
        <v>18.88</v>
      </c>
      <c r="C1748" s="5">
        <v>18.851806640625</v>
      </c>
      <c r="D1748" s="5">
        <v>411.834167480468</v>
      </c>
      <c r="E1748" s="7">
        <f t="shared" ref="E1748:F1748" si="1746">C1748/C1747-1</f>
        <v>-0.008039040229</v>
      </c>
      <c r="F1748" s="7">
        <f t="shared" si="1746"/>
        <v>0.001958852587</v>
      </c>
    </row>
    <row r="1749">
      <c r="A1749" s="3">
        <f>IFERROR(__xludf.DUMMYFUNCTION("""COMPUTED_VALUE"""),44790.66666666667)</f>
        <v>44790.66667</v>
      </c>
      <c r="B1749" s="5">
        <f>IFERROR(__xludf.DUMMYFUNCTION("""COMPUTED_VALUE"""),18.34)</f>
        <v>18.34</v>
      </c>
      <c r="C1749" s="5">
        <v>18.3085880279541</v>
      </c>
      <c r="D1749" s="5">
        <v>408.910949707031</v>
      </c>
      <c r="E1749" s="7">
        <f t="shared" ref="E1749:F1749" si="1747">C1749/C1748-1</f>
        <v>-0.0288152018</v>
      </c>
      <c r="F1749" s="7">
        <f t="shared" si="1747"/>
        <v>-0.007098045777</v>
      </c>
    </row>
    <row r="1750">
      <c r="A1750" s="3">
        <f>IFERROR(__xludf.DUMMYFUNCTION("""COMPUTED_VALUE"""),44791.66666666667)</f>
        <v>44791.66667</v>
      </c>
      <c r="B1750" s="5">
        <f>IFERROR(__xludf.DUMMYFUNCTION("""COMPUTED_VALUE"""),18.77)</f>
        <v>18.77</v>
      </c>
      <c r="C1750" s="5">
        <v>18.7459602355957</v>
      </c>
      <c r="D1750" s="5">
        <v>410.099365234375</v>
      </c>
      <c r="E1750" s="7">
        <f t="shared" ref="E1750:F1750" si="1748">C1750/C1749-1</f>
        <v>0.02388890978</v>
      </c>
      <c r="F1750" s="7">
        <f t="shared" si="1748"/>
        <v>0.002906294214</v>
      </c>
    </row>
    <row r="1751">
      <c r="A1751" s="3">
        <f>IFERROR(__xludf.DUMMYFUNCTION("""COMPUTED_VALUE"""),44792.66666666667)</f>
        <v>44792.66667</v>
      </c>
      <c r="B1751" s="5">
        <f>IFERROR(__xludf.DUMMYFUNCTION("""COMPUTED_VALUE"""),17.85)</f>
        <v>17.85</v>
      </c>
      <c r="C1751" s="5">
        <v>17.8232917785644</v>
      </c>
      <c r="D1751" s="5">
        <v>404.588470458984</v>
      </c>
      <c r="E1751" s="7">
        <f t="shared" ref="E1751:F1751" si="1749">C1751/C1750-1</f>
        <v>-0.04921958894</v>
      </c>
      <c r="F1751" s="7">
        <f t="shared" si="1749"/>
        <v>-0.01343795003</v>
      </c>
    </row>
    <row r="1752">
      <c r="A1752" s="3">
        <f>IFERROR(__xludf.DUMMYFUNCTION("""COMPUTED_VALUE"""),44795.66666666667)</f>
        <v>44795.66667</v>
      </c>
      <c r="B1752" s="5">
        <f>IFERROR(__xludf.DUMMYFUNCTION("""COMPUTED_VALUE"""),17.03)</f>
        <v>17.03</v>
      </c>
      <c r="C1752" s="5">
        <v>17.0094623565673</v>
      </c>
      <c r="D1752" s="5">
        <v>396.163970947265</v>
      </c>
      <c r="E1752" s="7">
        <f t="shared" ref="E1752:F1752" si="1750">C1752/C1751-1</f>
        <v>-0.04566100539</v>
      </c>
      <c r="F1752" s="7">
        <f t="shared" si="1750"/>
        <v>-0.02082239146</v>
      </c>
    </row>
    <row r="1753">
      <c r="A1753" s="3">
        <f>IFERROR(__xludf.DUMMYFUNCTION("""COMPUTED_VALUE"""),44796.66666666667)</f>
        <v>44796.66667</v>
      </c>
      <c r="B1753" s="5">
        <f>IFERROR(__xludf.DUMMYFUNCTION("""COMPUTED_VALUE"""),17.18)</f>
        <v>17.18</v>
      </c>
      <c r="C1753" s="5">
        <v>17.1562557220459</v>
      </c>
      <c r="D1753" s="5">
        <v>395.205474853515</v>
      </c>
      <c r="E1753" s="7">
        <f t="shared" ref="E1753:F1753" si="1751">C1753/C1752-1</f>
        <v>0.008630100258</v>
      </c>
      <c r="F1753" s="7">
        <f t="shared" si="1751"/>
        <v>-0.002419442867</v>
      </c>
    </row>
    <row r="1754">
      <c r="A1754" s="3">
        <f>IFERROR(__xludf.DUMMYFUNCTION("""COMPUTED_VALUE"""),44797.66666666667)</f>
        <v>44797.66667</v>
      </c>
      <c r="B1754" s="5">
        <f>IFERROR(__xludf.DUMMYFUNCTION("""COMPUTED_VALUE"""),17.22)</f>
        <v>17.22</v>
      </c>
      <c r="C1754" s="5">
        <v>17.1971950531005</v>
      </c>
      <c r="D1754" s="5">
        <v>396.470672607421</v>
      </c>
      <c r="E1754" s="7">
        <f t="shared" ref="E1754:F1754" si="1752">C1754/C1753-1</f>
        <v>0.002386262581</v>
      </c>
      <c r="F1754" s="7">
        <f t="shared" si="1752"/>
        <v>0.003201366971</v>
      </c>
    </row>
    <row r="1755">
      <c r="A1755" s="3">
        <f>IFERROR(__xludf.DUMMYFUNCTION("""COMPUTED_VALUE"""),44798.66666666667)</f>
        <v>44798.66667</v>
      </c>
      <c r="B1755" s="5">
        <f>IFERROR(__xludf.DUMMYFUNCTION("""COMPUTED_VALUE"""),17.91)</f>
        <v>17.91</v>
      </c>
      <c r="C1755" s="5">
        <v>17.8871994018554</v>
      </c>
      <c r="D1755" s="5">
        <v>402.067901611328</v>
      </c>
      <c r="E1755" s="7">
        <f t="shared" ref="E1755:F1755" si="1753">C1755/C1754-1</f>
        <v>0.04012307511</v>
      </c>
      <c r="F1755" s="7">
        <f t="shared" si="1753"/>
        <v>0.01411763692</v>
      </c>
    </row>
    <row r="1756">
      <c r="A1756" s="3">
        <f>IFERROR(__xludf.DUMMYFUNCTION("""COMPUTED_VALUE"""),44799.66666666667)</f>
        <v>44799.66667</v>
      </c>
      <c r="B1756" s="5">
        <f>IFERROR(__xludf.DUMMYFUNCTION("""COMPUTED_VALUE"""),16.26)</f>
        <v>16.26</v>
      </c>
      <c r="C1756" s="5">
        <v>16.2365798950195</v>
      </c>
      <c r="D1756" s="5">
        <v>388.458221435546</v>
      </c>
      <c r="E1756" s="7">
        <f t="shared" ref="E1756:F1756" si="1754">C1756/C1755-1</f>
        <v>-0.09227937084</v>
      </c>
      <c r="F1756" s="7">
        <f t="shared" si="1754"/>
        <v>-0.03384920836</v>
      </c>
    </row>
    <row r="1757">
      <c r="A1757" s="3">
        <f>IFERROR(__xludf.DUMMYFUNCTION("""COMPUTED_VALUE"""),44802.66666666667)</f>
        <v>44802.66667</v>
      </c>
      <c r="B1757" s="5">
        <f>IFERROR(__xludf.DUMMYFUNCTION("""COMPUTED_VALUE"""),15.8)</f>
        <v>15.8</v>
      </c>
      <c r="C1757" s="5">
        <v>15.7782402038574</v>
      </c>
      <c r="D1757" s="5">
        <v>385.889678955078</v>
      </c>
      <c r="E1757" s="7">
        <f t="shared" ref="E1757:F1757" si="1755">C1757/C1756-1</f>
        <v>-0.02822883231</v>
      </c>
      <c r="F1757" s="7">
        <f t="shared" si="1755"/>
        <v>-0.006612146014</v>
      </c>
    </row>
    <row r="1758">
      <c r="A1758" s="3">
        <f>IFERROR(__xludf.DUMMYFUNCTION("""COMPUTED_VALUE"""),44803.66666666667)</f>
        <v>44803.66667</v>
      </c>
      <c r="B1758" s="5">
        <f>IFERROR(__xludf.DUMMYFUNCTION("""COMPUTED_VALUE"""),15.47)</f>
        <v>15.47</v>
      </c>
      <c r="C1758" s="5">
        <v>15.445722579956</v>
      </c>
      <c r="D1758" s="5">
        <v>381.653411865234</v>
      </c>
      <c r="E1758" s="7">
        <f t="shared" ref="E1758:F1758" si="1756">C1758/C1757-1</f>
        <v>-0.02107444301</v>
      </c>
      <c r="F1758" s="7">
        <f t="shared" si="1756"/>
        <v>-0.01097792276</v>
      </c>
    </row>
    <row r="1759">
      <c r="A1759" s="3">
        <f>IFERROR(__xludf.DUMMYFUNCTION("""COMPUTED_VALUE"""),44804.66666666667)</f>
        <v>44804.66667</v>
      </c>
      <c r="B1759" s="5">
        <f>IFERROR(__xludf.DUMMYFUNCTION("""COMPUTED_VALUE"""),15.09)</f>
        <v>15.09</v>
      </c>
      <c r="C1759" s="5">
        <v>15.0722579956054</v>
      </c>
      <c r="D1759" s="5">
        <v>378.749389648437</v>
      </c>
      <c r="E1759" s="7">
        <f t="shared" ref="E1759:F1759" si="1757">C1759/C1758-1</f>
        <v>-0.02417915914</v>
      </c>
      <c r="F1759" s="7">
        <f t="shared" si="1757"/>
        <v>-0.007609056087</v>
      </c>
    </row>
    <row r="1760">
      <c r="A1760" s="3">
        <f>IFERROR(__xludf.DUMMYFUNCTION("""COMPUTED_VALUE"""),44805.66666666667)</f>
        <v>44805.66667</v>
      </c>
      <c r="B1760" s="5">
        <f>IFERROR(__xludf.DUMMYFUNCTION("""COMPUTED_VALUE"""),13.94)</f>
        <v>13.94</v>
      </c>
      <c r="C1760" s="5">
        <v>13.9169254302978</v>
      </c>
      <c r="D1760" s="5">
        <v>379.937835693359</v>
      </c>
      <c r="E1760" s="7">
        <f t="shared" ref="E1760:F1760" si="1758">C1760/C1759-1</f>
        <v>-0.0766529186</v>
      </c>
      <c r="F1760" s="7">
        <f t="shared" si="1758"/>
        <v>0.003137816396</v>
      </c>
    </row>
    <row r="1761">
      <c r="A1761" s="3">
        <f>IFERROR(__xludf.DUMMYFUNCTION("""COMPUTED_VALUE"""),44806.66666666667)</f>
        <v>44806.66667</v>
      </c>
      <c r="B1761" s="5">
        <f>IFERROR(__xludf.DUMMYFUNCTION("""COMPUTED_VALUE"""),13.65)</f>
        <v>13.65</v>
      </c>
      <c r="C1761" s="5">
        <v>13.6273441314697</v>
      </c>
      <c r="D1761" s="5">
        <v>375.931671142578</v>
      </c>
      <c r="E1761" s="7">
        <f t="shared" ref="E1761:F1761" si="1759">C1761/C1760-1</f>
        <v>-0.02080785014</v>
      </c>
      <c r="F1761" s="7">
        <f t="shared" si="1759"/>
        <v>-0.01054426323</v>
      </c>
    </row>
    <row r="1762">
      <c r="A1762" s="3">
        <f>IFERROR(__xludf.DUMMYFUNCTION("""COMPUTED_VALUE"""),44810.66666666667)</f>
        <v>44810.66667</v>
      </c>
      <c r="B1762" s="5">
        <f>IFERROR(__xludf.DUMMYFUNCTION("""COMPUTED_VALUE"""),13.47)</f>
        <v>13.47</v>
      </c>
      <c r="C1762" s="5">
        <v>13.4456062316894</v>
      </c>
      <c r="D1762" s="5">
        <v>374.51318359375</v>
      </c>
      <c r="E1762" s="7">
        <f t="shared" ref="E1762:F1762" si="1760">C1762/C1761-1</f>
        <v>-0.013336267</v>
      </c>
      <c r="F1762" s="7">
        <f t="shared" si="1760"/>
        <v>-0.003773258966</v>
      </c>
    </row>
    <row r="1763">
      <c r="A1763" s="3">
        <f>IFERROR(__xludf.DUMMYFUNCTION("""COMPUTED_VALUE"""),44811.66666666667)</f>
        <v>44811.66667</v>
      </c>
      <c r="B1763" s="5">
        <f>IFERROR(__xludf.DUMMYFUNCTION("""COMPUTED_VALUE"""),13.71)</f>
        <v>13.71</v>
      </c>
      <c r="C1763" s="5">
        <v>13.6983156204223</v>
      </c>
      <c r="D1763" s="5">
        <v>381.241302490234</v>
      </c>
      <c r="E1763" s="7">
        <f t="shared" ref="E1763:F1763" si="1761">C1763/C1762-1</f>
        <v>0.01879494196</v>
      </c>
      <c r="F1763" s="7">
        <f t="shared" si="1761"/>
        <v>0.01796497211</v>
      </c>
    </row>
    <row r="1764">
      <c r="A1764" s="3">
        <f>IFERROR(__xludf.DUMMYFUNCTION("""COMPUTED_VALUE"""),44812.66666666667)</f>
        <v>44812.66667</v>
      </c>
      <c r="B1764" s="5">
        <f>IFERROR(__xludf.DUMMYFUNCTION("""COMPUTED_VALUE"""),13.99)</f>
        <v>13.99</v>
      </c>
      <c r="C1764" s="5">
        <v>13.9739999771118</v>
      </c>
      <c r="D1764" s="5">
        <v>383.733215332031</v>
      </c>
      <c r="E1764" s="7">
        <f t="shared" ref="E1764:F1764" si="1762">C1764/C1763-1</f>
        <v>0.02012542011</v>
      </c>
      <c r="F1764" s="7">
        <f t="shared" si="1762"/>
        <v>0.006536313945</v>
      </c>
    </row>
    <row r="1765">
      <c r="A1765" s="3">
        <f>IFERROR(__xludf.DUMMYFUNCTION("""COMPUTED_VALUE"""),44813.66666666667)</f>
        <v>44813.66667</v>
      </c>
      <c r="B1765" s="5">
        <f>IFERROR(__xludf.DUMMYFUNCTION("""COMPUTED_VALUE"""),14.39)</f>
        <v>14.39</v>
      </c>
      <c r="C1765" s="5">
        <v>14.3705472946167</v>
      </c>
      <c r="D1765" s="5">
        <v>389.694580078125</v>
      </c>
      <c r="E1765" s="7">
        <f t="shared" ref="E1765:F1765" si="1763">C1765/C1764-1</f>
        <v>0.02837750953</v>
      </c>
      <c r="F1765" s="7">
        <f t="shared" si="1763"/>
        <v>0.01553518045</v>
      </c>
      <c r="G1765" s="9" t="s">
        <v>8</v>
      </c>
    </row>
    <row r="1766">
      <c r="A1766" s="3">
        <f>IFERROR(__xludf.DUMMYFUNCTION("""COMPUTED_VALUE"""),44816.66666666667)</f>
        <v>44816.66667</v>
      </c>
      <c r="B1766" s="5">
        <f>IFERROR(__xludf.DUMMYFUNCTION("""COMPUTED_VALUE"""),14.51)</f>
        <v>14.51</v>
      </c>
      <c r="C1766" s="5">
        <v>14.488410949707</v>
      </c>
      <c r="D1766" s="5">
        <v>393.882904052734</v>
      </c>
      <c r="E1766" s="7">
        <f t="shared" ref="E1766:F1766" si="1764">C1766/C1765-1</f>
        <v>0.008201751309</v>
      </c>
      <c r="F1766" s="7">
        <f t="shared" si="1764"/>
        <v>0.01074770907</v>
      </c>
    </row>
    <row r="1767">
      <c r="A1767" s="3">
        <f>IFERROR(__xludf.DUMMYFUNCTION("""COMPUTED_VALUE"""),44817.66666666667)</f>
        <v>44817.66667</v>
      </c>
      <c r="B1767" s="5">
        <f>IFERROR(__xludf.DUMMYFUNCTION("""COMPUTED_VALUE"""),13.13)</f>
        <v>13.13</v>
      </c>
      <c r="C1767" s="5">
        <v>13.115982055664</v>
      </c>
      <c r="D1767" s="5">
        <v>376.755920410156</v>
      </c>
      <c r="E1767" s="7">
        <f t="shared" ref="E1767:F1767" si="1765">C1767/C1766-1</f>
        <v>-0.0947259778</v>
      </c>
      <c r="F1767" s="7">
        <f t="shared" si="1765"/>
        <v>-0.04348242451</v>
      </c>
    </row>
    <row r="1768">
      <c r="A1768" s="3">
        <f>IFERROR(__xludf.DUMMYFUNCTION("""COMPUTED_VALUE"""),44818.66666666667)</f>
        <v>44818.66667</v>
      </c>
      <c r="B1768" s="5">
        <f>IFERROR(__xludf.DUMMYFUNCTION("""COMPUTED_VALUE"""),13.13)</f>
        <v>13.13</v>
      </c>
      <c r="C1768" s="5">
        <v>13.1129865646362</v>
      </c>
      <c r="D1768" s="5">
        <v>378.19351196289</v>
      </c>
      <c r="E1768" s="7">
        <f t="shared" ref="E1768:F1768" si="1766">C1768/C1767-1</f>
        <v>-0.0002283848068</v>
      </c>
      <c r="F1768" s="7">
        <f t="shared" si="1766"/>
        <v>0.003815710583</v>
      </c>
    </row>
    <row r="1769">
      <c r="A1769" s="3">
        <f>IFERROR(__xludf.DUMMYFUNCTION("""COMPUTED_VALUE"""),44819.66666666667)</f>
        <v>44819.66667</v>
      </c>
      <c r="B1769" s="5">
        <f>IFERROR(__xludf.DUMMYFUNCTION("""COMPUTED_VALUE"""),12.93)</f>
        <v>12.93</v>
      </c>
      <c r="C1769" s="5">
        <v>12.9142141342163</v>
      </c>
      <c r="D1769" s="5">
        <v>373.899780273437</v>
      </c>
      <c r="E1769" s="7">
        <f t="shared" ref="E1769:F1769" si="1767">C1769/C1768-1</f>
        <v>-0.01515844079</v>
      </c>
      <c r="F1769" s="7">
        <f t="shared" si="1767"/>
        <v>-0.01135326639</v>
      </c>
    </row>
    <row r="1770">
      <c r="A1770" s="3">
        <f>IFERROR(__xludf.DUMMYFUNCTION("""COMPUTED_VALUE"""),44820.66666666667)</f>
        <v>44820.66667</v>
      </c>
      <c r="B1770" s="5">
        <f>IFERROR(__xludf.DUMMYFUNCTION("""COMPUTED_VALUE"""),13.2)</f>
        <v>13.2</v>
      </c>
      <c r="C1770" s="5">
        <v>13.1829051971435</v>
      </c>
      <c r="D1770" s="5">
        <v>371.047302246093</v>
      </c>
      <c r="E1770" s="7">
        <f t="shared" ref="E1770:F1770" si="1768">C1770/C1769-1</f>
        <v>0.02080583922</v>
      </c>
      <c r="F1770" s="7">
        <f t="shared" si="1768"/>
        <v>-0.007628990916</v>
      </c>
    </row>
    <row r="1771">
      <c r="A1771" s="3">
        <f>IFERROR(__xludf.DUMMYFUNCTION("""COMPUTED_VALUE"""),44823.66666666667)</f>
        <v>44823.66667</v>
      </c>
      <c r="B1771" s="5">
        <f>IFERROR(__xludf.DUMMYFUNCTION("""COMPUTED_VALUE"""),13.38)</f>
        <v>13.38</v>
      </c>
      <c r="C1771" s="5">
        <v>13.3666954040527</v>
      </c>
      <c r="D1771" s="5">
        <v>373.924774169921</v>
      </c>
      <c r="E1771" s="7">
        <f t="shared" ref="E1771:F1771" si="1769">C1771/C1770-1</f>
        <v>0.01394155569</v>
      </c>
      <c r="F1771" s="7">
        <f t="shared" si="1769"/>
        <v>0.007755000256</v>
      </c>
    </row>
    <row r="1772">
      <c r="A1772" s="3">
        <f>IFERROR(__xludf.DUMMYFUNCTION("""COMPUTED_VALUE"""),44824.66666666667)</f>
        <v>44824.66667</v>
      </c>
      <c r="B1772" s="5">
        <f>IFERROR(__xludf.DUMMYFUNCTION("""COMPUTED_VALUE"""),13.18)</f>
        <v>13.18</v>
      </c>
      <c r="C1772" s="5">
        <v>13.1609315872192</v>
      </c>
      <c r="D1772" s="5">
        <v>369.632659912109</v>
      </c>
      <c r="E1772" s="7">
        <f t="shared" ref="E1772:F1772" si="1770">C1772/C1771-1</f>
        <v>-0.01539376866</v>
      </c>
      <c r="F1772" s="7">
        <f t="shared" si="1770"/>
        <v>-0.01147855011</v>
      </c>
    </row>
    <row r="1773">
      <c r="A1773" s="3">
        <f>IFERROR(__xludf.DUMMYFUNCTION("""COMPUTED_VALUE"""),44825.66666666667)</f>
        <v>44825.66667</v>
      </c>
      <c r="B1773" s="5">
        <f>IFERROR(__xludf.DUMMYFUNCTION("""COMPUTED_VALUE"""),13.26)</f>
        <v>13.26</v>
      </c>
      <c r="C1773" s="5">
        <v>13.2458333969116</v>
      </c>
      <c r="D1773" s="5">
        <v>363.184906005859</v>
      </c>
      <c r="E1773" s="7">
        <f t="shared" ref="E1773:F1773" si="1771">C1773/C1772-1</f>
        <v>0.006451048631</v>
      </c>
      <c r="F1773" s="7">
        <f t="shared" si="1771"/>
        <v>-0.01744368019</v>
      </c>
    </row>
    <row r="1774">
      <c r="A1774" s="3">
        <f>IFERROR(__xludf.DUMMYFUNCTION("""COMPUTED_VALUE"""),44826.66666666667)</f>
        <v>44826.66667</v>
      </c>
      <c r="B1774" s="5">
        <f>IFERROR(__xludf.DUMMYFUNCTION("""COMPUTED_VALUE"""),12.56)</f>
        <v>12.56</v>
      </c>
      <c r="C1774" s="5">
        <v>12.5466356277465</v>
      </c>
      <c r="D1774" s="5">
        <v>360.134185791015</v>
      </c>
      <c r="E1774" s="7">
        <f t="shared" ref="E1774:F1774" si="1772">C1774/C1773-1</f>
        <v>-0.05278624215</v>
      </c>
      <c r="F1774" s="7">
        <f t="shared" si="1772"/>
        <v>-0.008399909149</v>
      </c>
    </row>
    <row r="1775">
      <c r="A1775" s="3">
        <f>IFERROR(__xludf.DUMMYFUNCTION("""COMPUTED_VALUE"""),44827.66666666667)</f>
        <v>44827.66667</v>
      </c>
      <c r="B1775" s="5">
        <f>IFERROR(__xludf.DUMMYFUNCTION("""COMPUTED_VALUE"""),12.52)</f>
        <v>12.52</v>
      </c>
      <c r="C1775" s="5">
        <v>12.5016860961914</v>
      </c>
      <c r="D1775" s="5">
        <v>354.100189208984</v>
      </c>
      <c r="E1775" s="7">
        <f t="shared" ref="E1775:F1775" si="1773">C1775/C1774-1</f>
        <v>-0.003582596394</v>
      </c>
      <c r="F1775" s="7">
        <f t="shared" si="1773"/>
        <v>-0.01675485644</v>
      </c>
    </row>
    <row r="1776">
      <c r="A1776" s="3">
        <f>IFERROR(__xludf.DUMMYFUNCTION("""COMPUTED_VALUE"""),44830.66666666667)</f>
        <v>44830.66667</v>
      </c>
      <c r="B1776" s="5">
        <f>IFERROR(__xludf.DUMMYFUNCTION("""COMPUTED_VALUE"""),12.23)</f>
        <v>12.23</v>
      </c>
      <c r="C1776" s="5">
        <v>12.2140140533447</v>
      </c>
      <c r="D1776" s="5">
        <v>350.597259521484</v>
      </c>
      <c r="E1776" s="7">
        <f t="shared" ref="E1776:F1776" si="1774">C1776/C1775-1</f>
        <v>-0.02301065957</v>
      </c>
      <c r="F1776" s="7">
        <f t="shared" si="1774"/>
        <v>-0.009892481829</v>
      </c>
    </row>
    <row r="1777">
      <c r="A1777" s="3">
        <f>IFERROR(__xludf.DUMMYFUNCTION("""COMPUTED_VALUE"""),44831.66666666667)</f>
        <v>44831.66667</v>
      </c>
      <c r="B1777" s="5">
        <f>IFERROR(__xludf.DUMMYFUNCTION("""COMPUTED_VALUE"""),12.41)</f>
        <v>12.41</v>
      </c>
      <c r="C1777" s="5">
        <v>12.3988027572631</v>
      </c>
      <c r="D1777" s="5">
        <v>349.702209472656</v>
      </c>
      <c r="E1777" s="7">
        <f t="shared" ref="E1777:F1777" si="1775">C1777/C1776-1</f>
        <v>0.01512923623</v>
      </c>
      <c r="F1777" s="7">
        <f t="shared" si="1775"/>
        <v>-0.002552929393</v>
      </c>
    </row>
    <row r="1778">
      <c r="A1778" s="3">
        <f>IFERROR(__xludf.DUMMYFUNCTION("""COMPUTED_VALUE"""),44832.66666666667)</f>
        <v>44832.66667</v>
      </c>
      <c r="B1778" s="5">
        <f>IFERROR(__xludf.DUMMYFUNCTION("""COMPUTED_VALUE"""),12.74)</f>
        <v>12.74</v>
      </c>
      <c r="C1778" s="5">
        <v>12.7214345932006</v>
      </c>
      <c r="D1778" s="5">
        <v>356.583068847656</v>
      </c>
      <c r="E1778" s="7">
        <f t="shared" ref="E1778:F1778" si="1776">C1778/C1777-1</f>
        <v>0.02602120884</v>
      </c>
      <c r="F1778" s="7">
        <f t="shared" si="1776"/>
        <v>0.01967633944</v>
      </c>
    </row>
    <row r="1779">
      <c r="A1779" s="3">
        <f>IFERROR(__xludf.DUMMYFUNCTION("""COMPUTED_VALUE"""),44833.66666666667)</f>
        <v>44833.66667</v>
      </c>
      <c r="B1779" s="5">
        <f>IFERROR(__xludf.DUMMYFUNCTION("""COMPUTED_VALUE"""),12.22)</f>
        <v>12.22</v>
      </c>
      <c r="C1779" s="5">
        <v>12.2060251235961</v>
      </c>
      <c r="D1779" s="5">
        <v>349.134399414062</v>
      </c>
      <c r="E1779" s="7">
        <f t="shared" ref="E1779:F1779" si="1777">C1779/C1778-1</f>
        <v>-0.040515043</v>
      </c>
      <c r="F1779" s="7">
        <f t="shared" si="1777"/>
        <v>-0.02088901601</v>
      </c>
    </row>
    <row r="1780">
      <c r="A1780" s="3">
        <f>IFERROR(__xludf.DUMMYFUNCTION("""COMPUTED_VALUE"""),44834.66666666667)</f>
        <v>44834.66667</v>
      </c>
      <c r="B1780" s="5">
        <f>IFERROR(__xludf.DUMMYFUNCTION("""COMPUTED_VALUE"""),12.14)</f>
        <v>12.14</v>
      </c>
      <c r="C1780" s="5">
        <v>12.1251153945922</v>
      </c>
      <c r="D1780" s="5">
        <v>343.735565185546</v>
      </c>
      <c r="E1780" s="7">
        <f t="shared" ref="E1780:F1780" si="1778">C1780/C1779-1</f>
        <v>-0.006628671348</v>
      </c>
      <c r="F1780" s="7">
        <f t="shared" si="1778"/>
        <v>-0.01546348408</v>
      </c>
    </row>
    <row r="1781">
      <c r="A1781" s="3">
        <f>IFERROR(__xludf.DUMMYFUNCTION("""COMPUTED_VALUE"""),44837.66666666667)</f>
        <v>44837.66667</v>
      </c>
      <c r="B1781" s="5">
        <f>IFERROR(__xludf.DUMMYFUNCTION("""COMPUTED_VALUE"""),12.51)</f>
        <v>12.51</v>
      </c>
      <c r="C1781" s="5">
        <v>12.4976892471313</v>
      </c>
      <c r="D1781" s="5">
        <v>352.810607910156</v>
      </c>
      <c r="E1781" s="7">
        <f t="shared" ref="E1781:F1781" si="1779">C1781/C1780-1</f>
        <v>0.03072744798</v>
      </c>
      <c r="F1781" s="7">
        <f t="shared" si="1779"/>
        <v>0.02640123294</v>
      </c>
    </row>
    <row r="1782">
      <c r="A1782" s="3">
        <f>IFERROR(__xludf.DUMMYFUNCTION("""COMPUTED_VALUE"""),44838.66666666667)</f>
        <v>44838.66667</v>
      </c>
      <c r="B1782" s="5">
        <f>IFERROR(__xludf.DUMMYFUNCTION("""COMPUTED_VALUE"""),13.17)</f>
        <v>13.17</v>
      </c>
      <c r="C1782" s="5">
        <v>13.1519403457641</v>
      </c>
      <c r="D1782" s="5">
        <v>363.743072509765</v>
      </c>
      <c r="E1782" s="7">
        <f t="shared" ref="E1782:F1782" si="1780">C1782/C1781-1</f>
        <v>0.05234976528</v>
      </c>
      <c r="F1782" s="7">
        <f t="shared" si="1780"/>
        <v>0.03098677975</v>
      </c>
    </row>
    <row r="1783">
      <c r="A1783" s="3">
        <f>IFERROR(__xludf.DUMMYFUNCTION("""COMPUTED_VALUE"""),44839.66666666667)</f>
        <v>44839.66667</v>
      </c>
      <c r="B1783" s="5">
        <f>IFERROR(__xludf.DUMMYFUNCTION("""COMPUTED_VALUE"""),13.21)</f>
        <v>13.21</v>
      </c>
      <c r="C1783" s="5">
        <v>13.1938924789428</v>
      </c>
      <c r="D1783" s="5">
        <v>362.896118164062</v>
      </c>
      <c r="E1783" s="7">
        <f t="shared" ref="E1783:F1783" si="1781">C1783/C1782-1</f>
        <v>0.003189805616</v>
      </c>
      <c r="F1783" s="7">
        <f t="shared" si="1781"/>
        <v>-0.002328441171</v>
      </c>
    </row>
    <row r="1784">
      <c r="A1784" s="3">
        <f>IFERROR(__xludf.DUMMYFUNCTION("""COMPUTED_VALUE"""),44840.66666666667)</f>
        <v>44840.66667</v>
      </c>
      <c r="B1784" s="5">
        <f>IFERROR(__xludf.DUMMYFUNCTION("""COMPUTED_VALUE"""),13.13)</f>
        <v>13.13</v>
      </c>
      <c r="C1784" s="5">
        <v>13.1149854660034</v>
      </c>
      <c r="D1784" s="5">
        <v>359.152587890625</v>
      </c>
      <c r="E1784" s="7">
        <f t="shared" ref="E1784:F1784" si="1782">C1784/C1783-1</f>
        <v>-0.005980571167</v>
      </c>
      <c r="F1784" s="7">
        <f t="shared" si="1782"/>
        <v>-0.01031570768</v>
      </c>
    </row>
    <row r="1785">
      <c r="A1785" s="3">
        <f>IFERROR(__xludf.DUMMYFUNCTION("""COMPUTED_VALUE"""),44841.66666666667)</f>
        <v>44841.66667</v>
      </c>
      <c r="B1785" s="5">
        <f>IFERROR(__xludf.DUMMYFUNCTION("""COMPUTED_VALUE"""),12.08)</f>
        <v>12.08</v>
      </c>
      <c r="C1785" s="5">
        <v>12.0621891021728</v>
      </c>
      <c r="D1785" s="5">
        <v>349.134399414062</v>
      </c>
      <c r="E1785" s="7">
        <f t="shared" ref="E1785:F1785" si="1783">C1785/C1784-1</f>
        <v>-0.08027430656</v>
      </c>
      <c r="F1785" s="7">
        <f t="shared" si="1783"/>
        <v>-0.02789396155</v>
      </c>
    </row>
    <row r="1786">
      <c r="A1786" s="3">
        <f>IFERROR(__xludf.DUMMYFUNCTION("""COMPUTED_VALUE"""),44844.66666666667)</f>
        <v>44844.66667</v>
      </c>
      <c r="B1786" s="5">
        <f>IFERROR(__xludf.DUMMYFUNCTION("""COMPUTED_VALUE"""),11.67)</f>
        <v>11.67</v>
      </c>
      <c r="C1786" s="5">
        <v>11.6566534042358</v>
      </c>
      <c r="D1786" s="5">
        <v>346.468688964843</v>
      </c>
      <c r="E1786" s="7">
        <f t="shared" ref="E1786:F1786" si="1784">C1786/C1785-1</f>
        <v>-0.03362040625</v>
      </c>
      <c r="F1786" s="7">
        <f t="shared" si="1784"/>
        <v>-0.007635198519</v>
      </c>
    </row>
    <row r="1787">
      <c r="A1787" s="3">
        <f>IFERROR(__xludf.DUMMYFUNCTION("""COMPUTED_VALUE"""),44845.66666666667)</f>
        <v>44845.66667</v>
      </c>
      <c r="B1787" s="5">
        <f>IFERROR(__xludf.DUMMYFUNCTION("""COMPUTED_VALUE"""),11.59)</f>
        <v>11.59</v>
      </c>
      <c r="C1787" s="5">
        <v>11.572751045227</v>
      </c>
      <c r="D1787" s="5">
        <v>344.274505615234</v>
      </c>
      <c r="E1787" s="7">
        <f t="shared" ref="E1787:F1787" si="1785">C1787/C1786-1</f>
        <v>-0.007197808505</v>
      </c>
      <c r="F1787" s="7">
        <f t="shared" si="1785"/>
        <v>-0.006332991752</v>
      </c>
    </row>
    <row r="1788">
      <c r="A1788" s="3">
        <f>IFERROR(__xludf.DUMMYFUNCTION("""COMPUTED_VALUE"""),44846.66666666667)</f>
        <v>44846.66667</v>
      </c>
      <c r="B1788" s="5">
        <f>IFERROR(__xludf.DUMMYFUNCTION("""COMPUTED_VALUE"""),11.5)</f>
        <v>11.5</v>
      </c>
      <c r="C1788" s="5">
        <v>11.486849784851</v>
      </c>
      <c r="D1788" s="5">
        <v>343.138916015625</v>
      </c>
      <c r="E1788" s="7">
        <f t="shared" ref="E1788:F1788" si="1786">C1788/C1787-1</f>
        <v>-0.007422717385</v>
      </c>
      <c r="F1788" s="7">
        <f t="shared" si="1786"/>
        <v>-0.003298500415</v>
      </c>
    </row>
    <row r="1789">
      <c r="A1789" s="3">
        <f>IFERROR(__xludf.DUMMYFUNCTION("""COMPUTED_VALUE"""),44847.66666666667)</f>
        <v>44847.66667</v>
      </c>
      <c r="B1789" s="5">
        <f>IFERROR(__xludf.DUMMYFUNCTION("""COMPUTED_VALUE"""),11.96)</f>
        <v>11.96</v>
      </c>
      <c r="C1789" s="5">
        <v>11.9463205337524</v>
      </c>
      <c r="D1789" s="5">
        <v>352.194702148437</v>
      </c>
      <c r="E1789" s="7">
        <f t="shared" ref="E1789:F1789" si="1787">C1789/C1788-1</f>
        <v>0.03999971772</v>
      </c>
      <c r="F1789" s="7">
        <f t="shared" si="1787"/>
        <v>0.0263910204</v>
      </c>
    </row>
    <row r="1790">
      <c r="A1790" s="3">
        <f>IFERROR(__xludf.DUMMYFUNCTION("""COMPUTED_VALUE"""),44848.66666666667)</f>
        <v>44848.66667</v>
      </c>
      <c r="B1790" s="5">
        <f>IFERROR(__xludf.DUMMYFUNCTION("""COMPUTED_VALUE"""),11.23)</f>
        <v>11.23</v>
      </c>
      <c r="C1790" s="5">
        <v>11.2141609191894</v>
      </c>
      <c r="D1790" s="5">
        <v>344.168640136718</v>
      </c>
      <c r="E1790" s="7">
        <f t="shared" ref="E1790:F1790" si="1788">C1790/C1789-1</f>
        <v>-0.06128745772</v>
      </c>
      <c r="F1790" s="7">
        <f t="shared" si="1788"/>
        <v>-0.02278870739</v>
      </c>
    </row>
    <row r="1791">
      <c r="A1791" s="3">
        <f>IFERROR(__xludf.DUMMYFUNCTION("""COMPUTED_VALUE"""),44851.66666666667)</f>
        <v>44851.66667</v>
      </c>
      <c r="B1791" s="5">
        <f>IFERROR(__xludf.DUMMYFUNCTION("""COMPUTED_VALUE"""),11.89)</f>
        <v>11.89</v>
      </c>
      <c r="C1791" s="5">
        <v>11.8744058609008</v>
      </c>
      <c r="D1791" s="5">
        <v>353.012664794921</v>
      </c>
      <c r="E1791" s="7">
        <f t="shared" ref="E1791:F1791" si="1789">C1791/C1790-1</f>
        <v>0.05887600031</v>
      </c>
      <c r="F1791" s="7">
        <f t="shared" si="1789"/>
        <v>0.0256967766</v>
      </c>
    </row>
    <row r="1792">
      <c r="A1792" s="3">
        <f>IFERROR(__xludf.DUMMYFUNCTION("""COMPUTED_VALUE"""),44852.66666666667)</f>
        <v>44852.66667</v>
      </c>
      <c r="B1792" s="5">
        <f>IFERROR(__xludf.DUMMYFUNCTION("""COMPUTED_VALUE"""),11.97)</f>
        <v>11.97</v>
      </c>
      <c r="C1792" s="5">
        <v>11.9533147811889</v>
      </c>
      <c r="D1792" s="5">
        <v>357.160491943359</v>
      </c>
      <c r="E1792" s="7">
        <f t="shared" ref="E1792:F1792" si="1790">C1792/C1791-1</f>
        <v>0.006645294191</v>
      </c>
      <c r="F1792" s="7">
        <f t="shared" si="1790"/>
        <v>0.011749797</v>
      </c>
    </row>
    <row r="1793">
      <c r="A1793" s="3">
        <f>IFERROR(__xludf.DUMMYFUNCTION("""COMPUTED_VALUE"""),44853.66666666667)</f>
        <v>44853.66667</v>
      </c>
      <c r="B1793" s="5">
        <f>IFERROR(__xludf.DUMMYFUNCTION("""COMPUTED_VALUE"""),12.05)</f>
        <v>12.05</v>
      </c>
      <c r="C1793" s="5">
        <v>12.0372190475463</v>
      </c>
      <c r="D1793" s="5">
        <v>354.629486083984</v>
      </c>
      <c r="E1793" s="7">
        <f t="shared" ref="E1793:F1793" si="1791">C1793/C1792-1</f>
        <v>0.007019330445</v>
      </c>
      <c r="F1793" s="7">
        <f t="shared" si="1791"/>
        <v>-0.007086466495</v>
      </c>
    </row>
    <row r="1794">
      <c r="A1794" s="3">
        <f>IFERROR(__xludf.DUMMYFUNCTION("""COMPUTED_VALUE"""),44854.66666666667)</f>
        <v>44854.66667</v>
      </c>
      <c r="B1794" s="5">
        <f>IFERROR(__xludf.DUMMYFUNCTION("""COMPUTED_VALUE"""),12.19)</f>
        <v>12.19</v>
      </c>
      <c r="C1794" s="5">
        <v>12.1800546646118</v>
      </c>
      <c r="D1794" s="5">
        <v>351.655792236328</v>
      </c>
      <c r="E1794" s="7">
        <f t="shared" ref="E1794:F1794" si="1792">C1794/C1793-1</f>
        <v>0.01186616414</v>
      </c>
      <c r="F1794" s="7">
        <f t="shared" si="1792"/>
        <v>-0.008385354192</v>
      </c>
    </row>
    <row r="1795">
      <c r="A1795" s="3">
        <f>IFERROR(__xludf.DUMMYFUNCTION("""COMPUTED_VALUE"""),44855.66666666667)</f>
        <v>44855.66667</v>
      </c>
      <c r="B1795" s="5">
        <f>IFERROR(__xludf.DUMMYFUNCTION("""COMPUTED_VALUE"""),12.47)</f>
        <v>12.47</v>
      </c>
      <c r="C1795" s="5">
        <v>12.4517431259155</v>
      </c>
      <c r="D1795" s="5">
        <v>360.201538085937</v>
      </c>
      <c r="E1795" s="7">
        <f t="shared" ref="E1795:F1795" si="1793">C1795/C1794-1</f>
        <v>0.0223060133</v>
      </c>
      <c r="F1795" s="7">
        <f t="shared" si="1793"/>
        <v>0.02430145056</v>
      </c>
    </row>
    <row r="1796">
      <c r="A1796" s="3">
        <f>IFERROR(__xludf.DUMMYFUNCTION("""COMPUTED_VALUE"""),44858.66666666667)</f>
        <v>44858.66667</v>
      </c>
      <c r="B1796" s="5">
        <f>IFERROR(__xludf.DUMMYFUNCTION("""COMPUTED_VALUE"""),12.6)</f>
        <v>12.6</v>
      </c>
      <c r="C1796" s="5">
        <v>12.5845899581909</v>
      </c>
      <c r="D1796" s="5">
        <v>364.609161376953</v>
      </c>
      <c r="E1796" s="7">
        <f t="shared" ref="E1796:F1796" si="1794">C1796/C1795-1</f>
        <v>0.01066893454</v>
      </c>
      <c r="F1796" s="7">
        <f t="shared" si="1794"/>
        <v>0.01223654767</v>
      </c>
    </row>
    <row r="1797">
      <c r="A1797" s="3">
        <f>IFERROR(__xludf.DUMMYFUNCTION("""COMPUTED_VALUE"""),44859.66666666667)</f>
        <v>44859.66667</v>
      </c>
      <c r="B1797" s="5">
        <f>IFERROR(__xludf.DUMMYFUNCTION("""COMPUTED_VALUE"""),13.26)</f>
        <v>13.26</v>
      </c>
      <c r="C1797" s="5">
        <v>13.2458333969116</v>
      </c>
      <c r="D1797" s="5">
        <v>370.431488037109</v>
      </c>
      <c r="E1797" s="7">
        <f t="shared" ref="E1797:F1797" si="1795">C1797/C1796-1</f>
        <v>0.05254390019</v>
      </c>
      <c r="F1797" s="7">
        <f t="shared" si="1795"/>
        <v>0.015968679</v>
      </c>
    </row>
    <row r="1798">
      <c r="A1798" s="3">
        <f>IFERROR(__xludf.DUMMYFUNCTION("""COMPUTED_VALUE"""),44860.66666666667)</f>
        <v>44860.66667</v>
      </c>
      <c r="B1798" s="5">
        <f>IFERROR(__xludf.DUMMYFUNCTION("""COMPUTED_VALUE"""),12.9)</f>
        <v>12.9</v>
      </c>
      <c r="C1798" s="5">
        <v>12.881251335144</v>
      </c>
      <c r="D1798" s="5">
        <v>367.640625</v>
      </c>
      <c r="E1798" s="7">
        <f t="shared" ref="E1798:F1798" si="1796">C1798/C1797-1</f>
        <v>-0.02752428261</v>
      </c>
      <c r="F1798" s="7">
        <f t="shared" si="1796"/>
        <v>-0.007534086942</v>
      </c>
    </row>
    <row r="1799">
      <c r="A1799" s="3">
        <f>IFERROR(__xludf.DUMMYFUNCTION("""COMPUTED_VALUE"""),44861.66666666667)</f>
        <v>44861.66667</v>
      </c>
      <c r="B1799" s="5">
        <f>IFERROR(__xludf.DUMMYFUNCTION("""COMPUTED_VALUE"""),13.18)</f>
        <v>13.18</v>
      </c>
      <c r="C1799" s="5">
        <v>13.1609315872192</v>
      </c>
      <c r="D1799" s="5">
        <v>365.677429199218</v>
      </c>
      <c r="E1799" s="7">
        <f t="shared" ref="E1799:F1799" si="1797">C1799/C1798-1</f>
        <v>0.02171219587</v>
      </c>
      <c r="F1799" s="7">
        <f t="shared" si="1797"/>
        <v>-0.005339986028</v>
      </c>
    </row>
    <row r="1800">
      <c r="A1800" s="3">
        <f>IFERROR(__xludf.DUMMYFUNCTION("""COMPUTED_VALUE"""),44862.66666666667)</f>
        <v>44862.66667</v>
      </c>
      <c r="B1800" s="5">
        <f>IFERROR(__xludf.DUMMYFUNCTION("""COMPUTED_VALUE"""),13.83)</f>
        <v>13.83</v>
      </c>
      <c r="C1800" s="5">
        <v>13.8181800842285</v>
      </c>
      <c r="D1800" s="5">
        <v>374.37710571289</v>
      </c>
      <c r="E1800" s="7">
        <f t="shared" ref="E1800:F1800" si="1798">C1800/C1799-1</f>
        <v>0.04993935974</v>
      </c>
      <c r="F1800" s="7">
        <f t="shared" si="1798"/>
        <v>0.02379057557</v>
      </c>
    </row>
    <row r="1801">
      <c r="A1801" s="3">
        <f>IFERROR(__xludf.DUMMYFUNCTION("""COMPUTED_VALUE"""),44865.66666666667)</f>
        <v>44865.66667</v>
      </c>
      <c r="B1801" s="5">
        <f>IFERROR(__xludf.DUMMYFUNCTION("""COMPUTED_VALUE"""),13.5)</f>
        <v>13.5</v>
      </c>
      <c r="C1801" s="5">
        <v>13.4815645217895</v>
      </c>
      <c r="D1801" s="5">
        <v>371.672912597656</v>
      </c>
      <c r="E1801" s="7">
        <f t="shared" ref="E1801:F1801" si="1799">C1801/C1800-1</f>
        <v>-0.02436033981</v>
      </c>
      <c r="F1801" s="7">
        <f t="shared" si="1799"/>
        <v>-0.007223179714</v>
      </c>
    </row>
    <row r="1802">
      <c r="A1802" s="3">
        <f>IFERROR(__xludf.DUMMYFUNCTION("""COMPUTED_VALUE"""),44866.66666666667)</f>
        <v>44866.66667</v>
      </c>
      <c r="B1802" s="5">
        <f>IFERROR(__xludf.DUMMYFUNCTION("""COMPUTED_VALUE"""),13.54)</f>
        <v>13.54</v>
      </c>
      <c r="C1802" s="5">
        <v>13.5275115966796</v>
      </c>
      <c r="D1802" s="5">
        <v>370.046417236328</v>
      </c>
      <c r="E1802" s="7">
        <f t="shared" ref="E1802:F1802" si="1800">C1802/C1801-1</f>
        <v>0.003408141156</v>
      </c>
      <c r="F1802" s="7">
        <f t="shared" si="1800"/>
        <v>-0.004376147161</v>
      </c>
    </row>
    <row r="1803">
      <c r="A1803" s="3">
        <f>IFERROR(__xludf.DUMMYFUNCTION("""COMPUTED_VALUE"""),44867.66666666667)</f>
        <v>44867.66667</v>
      </c>
      <c r="B1803" s="5">
        <f>IFERROR(__xludf.DUMMYFUNCTION("""COMPUTED_VALUE"""),13.22)</f>
        <v>13.22</v>
      </c>
      <c r="C1803" s="5">
        <v>13.2038822174072</v>
      </c>
      <c r="D1803" s="5">
        <v>360.759735107421</v>
      </c>
      <c r="E1803" s="7">
        <f t="shared" ref="E1803:F1803" si="1801">C1803/C1802-1</f>
        <v>-0.02392379241</v>
      </c>
      <c r="F1803" s="7">
        <f t="shared" si="1801"/>
        <v>-0.02509599255</v>
      </c>
    </row>
    <row r="1804">
      <c r="A1804" s="3">
        <f>IFERROR(__xludf.DUMMYFUNCTION("""COMPUTED_VALUE"""),44868.66666666667)</f>
        <v>44868.66667</v>
      </c>
      <c r="B1804" s="5">
        <f>IFERROR(__xludf.DUMMYFUNCTION("""COMPUTED_VALUE"""),13.42)</f>
        <v>13.42</v>
      </c>
      <c r="C1804" s="5">
        <v>13.4056510925292</v>
      </c>
      <c r="D1804" s="5">
        <v>357.044982910156</v>
      </c>
      <c r="E1804" s="7">
        <f t="shared" ref="E1804:F1804" si="1802">C1804/C1803-1</f>
        <v>0.01528102658</v>
      </c>
      <c r="F1804" s="7">
        <f t="shared" si="1802"/>
        <v>-0.01029702552</v>
      </c>
    </row>
    <row r="1805">
      <c r="A1805" s="3">
        <f>IFERROR(__xludf.DUMMYFUNCTION("""COMPUTED_VALUE"""),44869.66666666667)</f>
        <v>44869.66667</v>
      </c>
      <c r="B1805" s="5">
        <f>IFERROR(__xludf.DUMMYFUNCTION("""COMPUTED_VALUE"""),14.16)</f>
        <v>14.16</v>
      </c>
      <c r="C1805" s="5">
        <v>14.1398105621337</v>
      </c>
      <c r="D1805" s="5">
        <v>362.183990478515</v>
      </c>
      <c r="E1805" s="7">
        <f t="shared" ref="E1805:F1805" si="1803">C1805/C1804-1</f>
        <v>0.05476492447</v>
      </c>
      <c r="F1805" s="7">
        <f t="shared" si="1803"/>
        <v>0.01439316561</v>
      </c>
    </row>
    <row r="1806">
      <c r="A1806" s="3">
        <f>IFERROR(__xludf.DUMMYFUNCTION("""COMPUTED_VALUE"""),44872.66666666667)</f>
        <v>44872.66667</v>
      </c>
      <c r="B1806" s="5">
        <f>IFERROR(__xludf.DUMMYFUNCTION("""COMPUTED_VALUE"""),14.3)</f>
        <v>14.3</v>
      </c>
      <c r="C1806" s="5">
        <v>14.2846450805664</v>
      </c>
      <c r="D1806" s="5">
        <v>365.648559570312</v>
      </c>
      <c r="E1806" s="7">
        <f t="shared" ref="E1806:F1806" si="1804">C1806/C1805-1</f>
        <v>0.01024303104</v>
      </c>
      <c r="F1806" s="7">
        <f t="shared" si="1804"/>
        <v>0.009565770942</v>
      </c>
    </row>
    <row r="1807">
      <c r="A1807" s="3">
        <f>IFERROR(__xludf.DUMMYFUNCTION("""COMPUTED_VALUE"""),44873.66666666667)</f>
        <v>44873.66667</v>
      </c>
      <c r="B1807" s="5">
        <f>IFERROR(__xludf.DUMMYFUNCTION("""COMPUTED_VALUE"""),14.6)</f>
        <v>14.6</v>
      </c>
      <c r="C1807" s="5">
        <v>14.5853013992309</v>
      </c>
      <c r="D1807" s="5">
        <v>367.621307373046</v>
      </c>
      <c r="E1807" s="7">
        <f t="shared" ref="E1807:F1807" si="1805">C1807/C1806-1</f>
        <v>0.02104751759</v>
      </c>
      <c r="F1807" s="7">
        <f t="shared" si="1805"/>
        <v>0.005395201898</v>
      </c>
    </row>
    <row r="1808">
      <c r="A1808" s="3">
        <f>IFERROR(__xludf.DUMMYFUNCTION("""COMPUTED_VALUE"""),44874.66666666667)</f>
        <v>44874.66667</v>
      </c>
      <c r="B1808" s="5">
        <f>IFERROR(__xludf.DUMMYFUNCTION("""COMPUTED_VALUE"""),13.78)</f>
        <v>13.78</v>
      </c>
      <c r="C1808" s="5">
        <v>13.7602443695068</v>
      </c>
      <c r="D1808" s="5">
        <v>360.047576904296</v>
      </c>
      <c r="E1808" s="7">
        <f t="shared" ref="E1808:F1808" si="1806">C1808/C1807-1</f>
        <v>-0.05656770519</v>
      </c>
      <c r="F1808" s="7">
        <f t="shared" si="1806"/>
        <v>-0.02060198992</v>
      </c>
    </row>
    <row r="1809">
      <c r="A1809" s="3">
        <f>IFERROR(__xludf.DUMMYFUNCTION("""COMPUTED_VALUE"""),44875.66666666667)</f>
        <v>44875.66667</v>
      </c>
      <c r="B1809" s="5">
        <f>IFERROR(__xludf.DUMMYFUNCTION("""COMPUTED_VALUE"""),15.75)</f>
        <v>15.75</v>
      </c>
      <c r="C1809" s="5">
        <v>15.7319869995117</v>
      </c>
      <c r="D1809" s="5">
        <v>379.833709716796</v>
      </c>
      <c r="E1809" s="7">
        <f t="shared" ref="E1809:F1809" si="1807">C1809/C1808-1</f>
        <v>0.1432927045</v>
      </c>
      <c r="F1809" s="7">
        <f t="shared" si="1807"/>
        <v>0.05495421739</v>
      </c>
    </row>
    <row r="1810">
      <c r="A1810" s="3">
        <f>IFERROR(__xludf.DUMMYFUNCTION("""COMPUTED_VALUE"""),44876.66666666667)</f>
        <v>44876.66667</v>
      </c>
      <c r="B1810" s="5">
        <f>IFERROR(__xludf.DUMMYFUNCTION("""COMPUTED_VALUE"""),16.33)</f>
        <v>16.33</v>
      </c>
      <c r="C1810" s="5">
        <v>16.30832862854</v>
      </c>
      <c r="D1810" s="5">
        <v>383.509887695312</v>
      </c>
      <c r="E1810" s="7">
        <f t="shared" ref="E1810:F1810" si="1808">C1810/C1809-1</f>
        <v>0.03663501814</v>
      </c>
      <c r="F1810" s="7">
        <f t="shared" si="1808"/>
        <v>0.009678387896</v>
      </c>
    </row>
    <row r="1811">
      <c r="A1811" s="3">
        <f>IFERROR(__xludf.DUMMYFUNCTION("""COMPUTED_VALUE"""),44879.66666666667)</f>
        <v>44879.66667</v>
      </c>
      <c r="B1811" s="5">
        <f>IFERROR(__xludf.DUMMYFUNCTION("""COMPUTED_VALUE"""),16.3)</f>
        <v>16.3</v>
      </c>
      <c r="C1811" s="5">
        <v>16.2763652801513</v>
      </c>
      <c r="D1811" s="5">
        <v>380.247528076171</v>
      </c>
      <c r="E1811" s="7">
        <f t="shared" ref="E1811:F1811" si="1809">C1811/C1810-1</f>
        <v>-0.00195994017</v>
      </c>
      <c r="F1811" s="7">
        <f t="shared" si="1809"/>
        <v>-0.00850658542</v>
      </c>
    </row>
    <row r="1812">
      <c r="A1812" s="3">
        <f>IFERROR(__xludf.DUMMYFUNCTION("""COMPUTED_VALUE"""),44880.66666666667)</f>
        <v>44880.66667</v>
      </c>
      <c r="B1812" s="5">
        <f>IFERROR(__xludf.DUMMYFUNCTION("""COMPUTED_VALUE"""),16.67)</f>
        <v>16.67</v>
      </c>
      <c r="C1812" s="5">
        <v>16.6469364166259</v>
      </c>
      <c r="D1812" s="5">
        <v>383.490600585937</v>
      </c>
      <c r="E1812" s="7">
        <f t="shared" ref="E1812:F1812" si="1810">C1812/C1811-1</f>
        <v>0.02276743794</v>
      </c>
      <c r="F1812" s="7">
        <f t="shared" si="1810"/>
        <v>0.008528845739</v>
      </c>
    </row>
    <row r="1813">
      <c r="A1813" s="3">
        <f>IFERROR(__xludf.DUMMYFUNCTION("""COMPUTED_VALUE"""),44881.66666666667)</f>
        <v>44881.66667</v>
      </c>
      <c r="B1813" s="5">
        <f>IFERROR(__xludf.DUMMYFUNCTION("""COMPUTED_VALUE"""),15.91)</f>
        <v>15.91</v>
      </c>
      <c r="C1813" s="5">
        <v>15.8918046951293</v>
      </c>
      <c r="D1813" s="5">
        <v>380.56509399414</v>
      </c>
      <c r="E1813" s="7">
        <f t="shared" ref="E1813:F1813" si="1811">C1813/C1812-1</f>
        <v>-0.04536160304</v>
      </c>
      <c r="F1813" s="7">
        <f t="shared" si="1811"/>
        <v>-0.007628626588</v>
      </c>
    </row>
    <row r="1814">
      <c r="A1814" s="3">
        <f>IFERROR(__xludf.DUMMYFUNCTION("""COMPUTED_VALUE"""),44882.66666666667)</f>
        <v>44882.66667</v>
      </c>
      <c r="B1814" s="5">
        <f>IFERROR(__xludf.DUMMYFUNCTION("""COMPUTED_VALUE"""),15.68)</f>
        <v>15.68</v>
      </c>
      <c r="C1814" s="5">
        <v>15.6590709686279</v>
      </c>
      <c r="D1814" s="5">
        <v>379.400573730468</v>
      </c>
      <c r="E1814" s="7">
        <f t="shared" ref="E1814:F1814" si="1812">C1814/C1813-1</f>
        <v>-0.01464488968</v>
      </c>
      <c r="F1814" s="7">
        <f t="shared" si="1812"/>
        <v>-0.003059976551</v>
      </c>
    </row>
    <row r="1815">
      <c r="A1815" s="3">
        <f>IFERROR(__xludf.DUMMYFUNCTION("""COMPUTED_VALUE"""),44883.66666666667)</f>
        <v>44883.66667</v>
      </c>
      <c r="B1815" s="5">
        <f>IFERROR(__xludf.DUMMYFUNCTION("""COMPUTED_VALUE"""),15.41)</f>
        <v>15.41</v>
      </c>
      <c r="C1815" s="5">
        <v>15.3913774490356</v>
      </c>
      <c r="D1815" s="5">
        <v>381.123229980468</v>
      </c>
      <c r="E1815" s="7">
        <f t="shared" ref="E1815:F1815" si="1813">C1815/C1814-1</f>
        <v>-0.01709510865</v>
      </c>
      <c r="F1815" s="7">
        <f t="shared" si="1813"/>
        <v>0.004540468226</v>
      </c>
    </row>
    <row r="1816">
      <c r="A1816" s="3">
        <f>IFERROR(__xludf.DUMMYFUNCTION("""COMPUTED_VALUE"""),44886.66666666667)</f>
        <v>44886.66667</v>
      </c>
      <c r="B1816" s="5">
        <f>IFERROR(__xludf.DUMMYFUNCTION("""COMPUTED_VALUE"""),15.32)</f>
        <v>15.32</v>
      </c>
      <c r="C1816" s="5">
        <v>15.2994832992553</v>
      </c>
      <c r="D1816" s="5">
        <v>379.73745727539</v>
      </c>
      <c r="E1816" s="7">
        <f t="shared" ref="E1816:F1816" si="1814">C1816/C1815-1</f>
        <v>-0.005970495499</v>
      </c>
      <c r="F1816" s="7">
        <f t="shared" si="1814"/>
        <v>-0.003636022672</v>
      </c>
    </row>
    <row r="1817">
      <c r="A1817" s="3">
        <f>IFERROR(__xludf.DUMMYFUNCTION("""COMPUTED_VALUE"""),44887.66666666667)</f>
        <v>44887.66667</v>
      </c>
      <c r="B1817" s="5">
        <f>IFERROR(__xludf.DUMMYFUNCTION("""COMPUTED_VALUE"""),16.04)</f>
        <v>16.04</v>
      </c>
      <c r="C1817" s="5">
        <v>16.0196590423584</v>
      </c>
      <c r="D1817" s="5">
        <v>384.847534179687</v>
      </c>
      <c r="E1817" s="7">
        <f t="shared" ref="E1817:F1817" si="1815">C1817/C1816-1</f>
        <v>0.04707189969</v>
      </c>
      <c r="F1817" s="7">
        <f t="shared" si="1815"/>
        <v>0.01345686818</v>
      </c>
    </row>
    <row r="1818">
      <c r="A1818" s="3">
        <f>IFERROR(__xludf.DUMMYFUNCTION("""COMPUTED_VALUE"""),44888.66666666667)</f>
        <v>44888.66667</v>
      </c>
      <c r="B1818" s="5">
        <f>IFERROR(__xludf.DUMMYFUNCTION("""COMPUTED_VALUE"""),16.52)</f>
        <v>16.52</v>
      </c>
      <c r="C1818" s="5">
        <v>16.5001049041748</v>
      </c>
      <c r="D1818" s="5">
        <v>387.272674560546</v>
      </c>
      <c r="E1818" s="7">
        <f t="shared" ref="E1818:F1818" si="1816">C1818/C1817-1</f>
        <v>0.0299910167</v>
      </c>
      <c r="F1818" s="7">
        <f t="shared" si="1816"/>
        <v>0.006301561438</v>
      </c>
    </row>
    <row r="1819">
      <c r="A1819" s="3">
        <f>IFERROR(__xludf.DUMMYFUNCTION("""COMPUTED_VALUE"""),44890.54513888889)</f>
        <v>44890.54514</v>
      </c>
      <c r="B1819" s="5">
        <f>IFERROR(__xludf.DUMMYFUNCTION("""COMPUTED_VALUE"""),16.27)</f>
        <v>16.27</v>
      </c>
      <c r="C1819" s="5">
        <v>16.2513942718505</v>
      </c>
      <c r="D1819" s="5">
        <v>387.186096191406</v>
      </c>
      <c r="E1819" s="7">
        <f t="shared" ref="E1819:F1819" si="1817">C1819/C1818-1</f>
        <v>-0.01507327582</v>
      </c>
      <c r="F1819" s="7">
        <f t="shared" si="1817"/>
        <v>-0.0002235591996</v>
      </c>
    </row>
    <row r="1820">
      <c r="A1820" s="3">
        <f>IFERROR(__xludf.DUMMYFUNCTION("""COMPUTED_VALUE"""),44893.66666666667)</f>
        <v>44893.66667</v>
      </c>
      <c r="B1820" s="5">
        <f>IFERROR(__xludf.DUMMYFUNCTION("""COMPUTED_VALUE"""),15.83)</f>
        <v>15.83</v>
      </c>
      <c r="C1820" s="5">
        <v>15.8088998794555</v>
      </c>
      <c r="D1820" s="5">
        <v>381.007751464843</v>
      </c>
      <c r="E1820" s="7">
        <f t="shared" ref="E1820:F1820" si="1818">C1820/C1819-1</f>
        <v>-0.02722808794</v>
      </c>
      <c r="F1820" s="7">
        <f t="shared" si="1818"/>
        <v>-0.01595704181</v>
      </c>
    </row>
    <row r="1821">
      <c r="A1821" s="3">
        <f>IFERROR(__xludf.DUMMYFUNCTION("""COMPUTED_VALUE"""),44894.66666666667)</f>
        <v>44894.66667</v>
      </c>
      <c r="B1821" s="5">
        <f>IFERROR(__xludf.DUMMYFUNCTION("""COMPUTED_VALUE"""),15.64)</f>
        <v>15.64</v>
      </c>
      <c r="C1821" s="5">
        <v>15.6211147308349</v>
      </c>
      <c r="D1821" s="5">
        <v>380.353332519531</v>
      </c>
      <c r="E1821" s="7">
        <f t="shared" ref="E1821:F1821" si="1819">C1821/C1820-1</f>
        <v>-0.01187844506</v>
      </c>
      <c r="F1821" s="7">
        <f t="shared" si="1819"/>
        <v>-0.001717600082</v>
      </c>
    </row>
    <row r="1822">
      <c r="A1822" s="3">
        <f>IFERROR(__xludf.DUMMYFUNCTION("""COMPUTED_VALUE"""),44895.66666666667)</f>
        <v>44895.66667</v>
      </c>
      <c r="B1822" s="5">
        <f>IFERROR(__xludf.DUMMYFUNCTION("""COMPUTED_VALUE"""),16.92)</f>
        <v>16.92</v>
      </c>
      <c r="C1822" s="5">
        <v>16.9079704284667</v>
      </c>
      <c r="D1822" s="5">
        <v>392.334747314453</v>
      </c>
      <c r="E1822" s="7">
        <f t="shared" ref="E1822:F1822" si="1820">C1822/C1821-1</f>
        <v>0.08237924884</v>
      </c>
      <c r="F1822" s="7">
        <f t="shared" si="1820"/>
        <v>0.03150074883</v>
      </c>
    </row>
    <row r="1823">
      <c r="A1823" s="3">
        <f>IFERROR(__xludf.DUMMYFUNCTION("""COMPUTED_VALUE"""),44896.66666666667)</f>
        <v>44896.66667</v>
      </c>
      <c r="B1823" s="5">
        <f>IFERROR(__xludf.DUMMYFUNCTION("""COMPUTED_VALUE"""),17.14)</f>
        <v>17.14</v>
      </c>
      <c r="C1823" s="5">
        <v>17.1197834014892</v>
      </c>
      <c r="D1823" s="5">
        <v>392.04605102539</v>
      </c>
      <c r="E1823" s="7">
        <f t="shared" ref="E1823:F1823" si="1821">C1823/C1822-1</f>
        <v>0.0125274038</v>
      </c>
      <c r="F1823" s="7">
        <f t="shared" si="1821"/>
        <v>-0.0007358417551</v>
      </c>
    </row>
    <row r="1824">
      <c r="A1824" s="3">
        <f>IFERROR(__xludf.DUMMYFUNCTION("""COMPUTED_VALUE"""),44897.66666666667)</f>
        <v>44897.66667</v>
      </c>
      <c r="B1824" s="5">
        <f>IFERROR(__xludf.DUMMYFUNCTION("""COMPUTED_VALUE"""),16.88)</f>
        <v>16.88</v>
      </c>
      <c r="C1824" s="5">
        <v>16.8610115051269</v>
      </c>
      <c r="D1824" s="5">
        <v>391.593688964843</v>
      </c>
      <c r="E1824" s="7">
        <f t="shared" ref="E1824:F1824" si="1822">C1824/C1823-1</f>
        <v>-0.0151153721</v>
      </c>
      <c r="F1824" s="7">
        <f t="shared" si="1822"/>
        <v>-0.001153849297</v>
      </c>
    </row>
    <row r="1825">
      <c r="A1825" s="3">
        <f>IFERROR(__xludf.DUMMYFUNCTION("""COMPUTED_VALUE"""),44900.66666666667)</f>
        <v>44900.66667</v>
      </c>
      <c r="B1825" s="5">
        <f>IFERROR(__xludf.DUMMYFUNCTION("""COMPUTED_VALUE"""),16.61)</f>
        <v>16.61</v>
      </c>
      <c r="C1825" s="5">
        <v>16.5952491760253</v>
      </c>
      <c r="D1825" s="5">
        <v>384.54931640625</v>
      </c>
      <c r="E1825" s="7">
        <f t="shared" ref="E1825:F1825" si="1823">C1825/C1824-1</f>
        <v>-0.01576194459</v>
      </c>
      <c r="F1825" s="7">
        <f t="shared" si="1823"/>
        <v>-0.01798898388</v>
      </c>
    </row>
    <row r="1826">
      <c r="A1826" s="3">
        <f>IFERROR(__xludf.DUMMYFUNCTION("""COMPUTED_VALUE"""),44901.66666666667)</f>
        <v>44901.66667</v>
      </c>
      <c r="B1826" s="5">
        <f>IFERROR(__xludf.DUMMYFUNCTION("""COMPUTED_VALUE"""),15.99)</f>
        <v>15.99</v>
      </c>
      <c r="C1826" s="5">
        <v>15.9728021621704</v>
      </c>
      <c r="D1826" s="5">
        <v>379.006042480468</v>
      </c>
      <c r="E1826" s="7">
        <f t="shared" ref="E1826:F1826" si="1824">C1826/C1825-1</f>
        <v>-0.03750754251</v>
      </c>
      <c r="F1826" s="7">
        <f t="shared" si="1824"/>
        <v>-0.01441498838</v>
      </c>
    </row>
    <row r="1827">
      <c r="A1827" s="3">
        <f>IFERROR(__xludf.DUMMYFUNCTION("""COMPUTED_VALUE"""),44902.66666666667)</f>
        <v>44902.66667</v>
      </c>
      <c r="B1827" s="5">
        <f>IFERROR(__xludf.DUMMYFUNCTION("""COMPUTED_VALUE"""),16.12)</f>
        <v>16.12</v>
      </c>
      <c r="C1827" s="5">
        <v>16.1056861877441</v>
      </c>
      <c r="D1827" s="5">
        <v>378.361267089843</v>
      </c>
      <c r="E1827" s="7">
        <f t="shared" ref="E1827:F1827" si="1825">C1827/C1826-1</f>
        <v>0.008319393443</v>
      </c>
      <c r="F1827" s="7">
        <f t="shared" si="1825"/>
        <v>-0.001701227206</v>
      </c>
    </row>
    <row r="1828">
      <c r="A1828" s="3">
        <f>IFERROR(__xludf.DUMMYFUNCTION("""COMPUTED_VALUE"""),44903.66666666667)</f>
        <v>44903.66667</v>
      </c>
      <c r="B1828" s="5">
        <f>IFERROR(__xludf.DUMMYFUNCTION("""COMPUTED_VALUE"""),17.17)</f>
        <v>17.17</v>
      </c>
      <c r="C1828" s="5">
        <v>17.1537532806396</v>
      </c>
      <c r="D1828" s="5">
        <v>381.32534790039</v>
      </c>
      <c r="E1828" s="7">
        <f t="shared" ref="E1828:F1828" si="1826">C1828/C1827-1</f>
        <v>0.06507435204</v>
      </c>
      <c r="F1828" s="7">
        <f t="shared" si="1826"/>
        <v>0.007833996417</v>
      </c>
    </row>
    <row r="1829">
      <c r="A1829" s="3">
        <f>IFERROR(__xludf.DUMMYFUNCTION("""COMPUTED_VALUE"""),44904.66666666667)</f>
        <v>44904.66667</v>
      </c>
      <c r="B1829" s="5">
        <f>IFERROR(__xludf.DUMMYFUNCTION("""COMPUTED_VALUE"""),17.0)</f>
        <v>17</v>
      </c>
      <c r="C1829" s="5">
        <v>16.9858989715576</v>
      </c>
      <c r="D1829" s="5">
        <v>378.476745605468</v>
      </c>
      <c r="E1829" s="7">
        <f t="shared" ref="E1829:F1829" si="1827">C1829/C1828-1</f>
        <v>-0.009785281759</v>
      </c>
      <c r="F1829" s="7">
        <f t="shared" si="1827"/>
        <v>-0.007470267347</v>
      </c>
    </row>
    <row r="1830">
      <c r="A1830" s="3">
        <f>IFERROR(__xludf.DUMMYFUNCTION("""COMPUTED_VALUE"""),44907.66666666667)</f>
        <v>44907.66667</v>
      </c>
      <c r="B1830" s="5">
        <f>IFERROR(__xludf.DUMMYFUNCTION("""COMPUTED_VALUE"""),17.54)</f>
        <v>17.54</v>
      </c>
      <c r="C1830" s="5">
        <v>17.5194263458251</v>
      </c>
      <c r="D1830" s="5">
        <v>383.933319091796</v>
      </c>
      <c r="E1830" s="7">
        <f t="shared" ref="E1830:F1830" si="1828">C1830/C1829-1</f>
        <v>0.03141001693</v>
      </c>
      <c r="F1830" s="7">
        <f t="shared" si="1828"/>
        <v>0.01441719617</v>
      </c>
    </row>
    <row r="1831">
      <c r="A1831" s="3">
        <f>IFERROR(__xludf.DUMMYFUNCTION("""COMPUTED_VALUE"""),44908.66666666667)</f>
        <v>44908.66667</v>
      </c>
      <c r="B1831" s="5">
        <f>IFERROR(__xludf.DUMMYFUNCTION("""COMPUTED_VALUE"""),18.07)</f>
        <v>18.07</v>
      </c>
      <c r="C1831" s="5">
        <v>18.0559501647949</v>
      </c>
      <c r="D1831" s="5">
        <v>386.839630126953</v>
      </c>
      <c r="E1831" s="7">
        <f t="shared" ref="E1831:F1831" si="1829">C1831/C1830-1</f>
        <v>0.03062450838</v>
      </c>
      <c r="F1831" s="7">
        <f t="shared" si="1829"/>
        <v>0.007569832809</v>
      </c>
    </row>
    <row r="1832">
      <c r="A1832" s="3">
        <f>IFERROR(__xludf.DUMMYFUNCTION("""COMPUTED_VALUE"""),44909.66666666667)</f>
        <v>44909.66667</v>
      </c>
      <c r="B1832" s="5">
        <f>IFERROR(__xludf.DUMMYFUNCTION("""COMPUTED_VALUE"""),17.67)</f>
        <v>17.67</v>
      </c>
      <c r="C1832" s="5">
        <v>17.6583042144775</v>
      </c>
      <c r="D1832" s="5">
        <v>384.366424560546</v>
      </c>
      <c r="E1832" s="7">
        <f t="shared" ref="E1832:F1832" si="1830">C1832/C1831-1</f>
        <v>-0.0220229867</v>
      </c>
      <c r="F1832" s="7">
        <f t="shared" si="1830"/>
        <v>-0.006393361419</v>
      </c>
    </row>
    <row r="1833">
      <c r="A1833" s="3">
        <f>IFERROR(__xludf.DUMMYFUNCTION("""COMPUTED_VALUE"""),44910.66666666667)</f>
        <v>44910.66667</v>
      </c>
      <c r="B1833" s="5">
        <f>IFERROR(__xludf.DUMMYFUNCTION("""COMPUTED_VALUE"""),16.95)</f>
        <v>16.95</v>
      </c>
      <c r="C1833" s="5">
        <v>16.9369449615478</v>
      </c>
      <c r="D1833" s="5">
        <v>374.964233398437</v>
      </c>
      <c r="E1833" s="7">
        <f t="shared" ref="E1833:F1833" si="1831">C1833/C1832-1</f>
        <v>-0.04085099249</v>
      </c>
      <c r="F1833" s="7">
        <f t="shared" si="1831"/>
        <v>-0.02446153088</v>
      </c>
    </row>
    <row r="1834">
      <c r="A1834" s="3">
        <f>IFERROR(__xludf.DUMMYFUNCTION("""COMPUTED_VALUE"""),44911.66666666667)</f>
        <v>44911.66667</v>
      </c>
      <c r="B1834" s="5">
        <f>IFERROR(__xludf.DUMMYFUNCTION("""COMPUTED_VALUE"""),16.57)</f>
        <v>16.57</v>
      </c>
      <c r="C1834" s="5">
        <v>16.5562839508056</v>
      </c>
      <c r="D1834" s="5">
        <v>370.53726196289</v>
      </c>
      <c r="E1834" s="7">
        <f t="shared" ref="E1834:F1834" si="1832">C1834/C1833-1</f>
        <v>-0.02247518733</v>
      </c>
      <c r="F1834" s="7">
        <f t="shared" si="1832"/>
        <v>-0.01180638323</v>
      </c>
    </row>
    <row r="1835">
      <c r="A1835" s="3">
        <f>IFERROR(__xludf.DUMMYFUNCTION("""COMPUTED_VALUE"""),44914.66666666667)</f>
        <v>44914.66667</v>
      </c>
      <c r="B1835" s="5">
        <f>IFERROR(__xludf.DUMMYFUNCTION("""COMPUTED_VALUE"""),16.25)</f>
        <v>16.25</v>
      </c>
      <c r="C1835" s="5">
        <v>16.2395629882812</v>
      </c>
      <c r="D1835" s="5">
        <v>367.395263671875</v>
      </c>
      <c r="E1835" s="7">
        <f t="shared" ref="E1835:F1835" si="1833">C1835/C1834-1</f>
        <v>-0.01912995473</v>
      </c>
      <c r="F1835" s="7">
        <f t="shared" si="1833"/>
        <v>-0.008479574428</v>
      </c>
    </row>
    <row r="1836">
      <c r="A1836" s="3">
        <f>IFERROR(__xludf.DUMMYFUNCTION("""COMPUTED_VALUE"""),44915.66666666667)</f>
        <v>44915.66667</v>
      </c>
      <c r="B1836" s="5">
        <f>IFERROR(__xludf.DUMMYFUNCTION("""COMPUTED_VALUE"""),16.09)</f>
        <v>16.09</v>
      </c>
      <c r="C1836" s="5">
        <v>16.0707149505615</v>
      </c>
      <c r="D1836" s="5">
        <v>367.89794921875</v>
      </c>
      <c r="E1836" s="7">
        <f t="shared" ref="E1836:F1836" si="1834">C1836/C1835-1</f>
        <v>-0.01039732645</v>
      </c>
      <c r="F1836" s="7">
        <f t="shared" si="1834"/>
        <v>0.001368241773</v>
      </c>
    </row>
    <row r="1837">
      <c r="A1837" s="3">
        <f>IFERROR(__xludf.DUMMYFUNCTION("""COMPUTED_VALUE"""),44916.66666666667)</f>
        <v>44916.66667</v>
      </c>
      <c r="B1837" s="5">
        <f>IFERROR(__xludf.DUMMYFUNCTION("""COMPUTED_VALUE"""),16.5)</f>
        <v>16.5</v>
      </c>
      <c r="C1837" s="5">
        <v>16.4863452911376</v>
      </c>
      <c r="D1837" s="5">
        <v>373.398864746093</v>
      </c>
      <c r="E1837" s="7">
        <f t="shared" ref="E1837:F1837" si="1835">C1837/C1836-1</f>
        <v>0.02586259179</v>
      </c>
      <c r="F1837" s="7">
        <f t="shared" si="1835"/>
        <v>0.01495228647</v>
      </c>
    </row>
    <row r="1838">
      <c r="A1838" s="3">
        <f>IFERROR(__xludf.DUMMYFUNCTION("""COMPUTED_VALUE"""),44917.66666666667)</f>
        <v>44917.66667</v>
      </c>
      <c r="B1838" s="5">
        <f>IFERROR(__xludf.DUMMYFUNCTION("""COMPUTED_VALUE"""),15.34)</f>
        <v>15.34</v>
      </c>
      <c r="C1838" s="5">
        <v>15.3253774642944</v>
      </c>
      <c r="D1838" s="5">
        <v>368.072021484375</v>
      </c>
      <c r="E1838" s="7">
        <f t="shared" ref="E1838:F1838" si="1836">C1838/C1837-1</f>
        <v>-0.07041996309</v>
      </c>
      <c r="F1838" s="7">
        <f t="shared" si="1836"/>
        <v>-0.01426582608</v>
      </c>
    </row>
    <row r="1839">
      <c r="A1839" s="3">
        <f>IFERROR(__xludf.DUMMYFUNCTION("""COMPUTED_VALUE"""),44918.66666666667)</f>
        <v>44918.66667</v>
      </c>
      <c r="B1839" s="5">
        <f>IFERROR(__xludf.DUMMYFUNCTION("""COMPUTED_VALUE"""),15.21)</f>
        <v>15.21</v>
      </c>
      <c r="C1839" s="5">
        <v>15.1924953460693</v>
      </c>
      <c r="D1839" s="5">
        <v>370.189239501953</v>
      </c>
      <c r="E1839" s="7">
        <f t="shared" ref="E1839:F1839" si="1837">C1839/C1838-1</f>
        <v>-0.008670724002</v>
      </c>
      <c r="F1839" s="7">
        <f t="shared" si="1837"/>
        <v>0.005752184067</v>
      </c>
    </row>
    <row r="1840">
      <c r="A1840" s="3">
        <f>IFERROR(__xludf.DUMMYFUNCTION("""COMPUTED_VALUE"""),44922.66666666667)</f>
        <v>44922.66667</v>
      </c>
      <c r="B1840" s="5">
        <f>IFERROR(__xludf.DUMMYFUNCTION("""COMPUTED_VALUE"""),14.12)</f>
        <v>14.12</v>
      </c>
      <c r="C1840" s="5">
        <v>14.1084604263305</v>
      </c>
      <c r="D1840" s="5">
        <v>368.729400634765</v>
      </c>
      <c r="E1840" s="7">
        <f t="shared" ref="E1840:F1840" si="1838">C1840/C1839-1</f>
        <v>-0.0713533159</v>
      </c>
      <c r="F1840" s="7">
        <f t="shared" si="1838"/>
        <v>-0.00394349352</v>
      </c>
    </row>
    <row r="1841">
      <c r="A1841" s="3">
        <f>IFERROR(__xludf.DUMMYFUNCTION("""COMPUTED_VALUE"""),44923.66666666667)</f>
        <v>44923.66667</v>
      </c>
      <c r="B1841" s="5">
        <f>IFERROR(__xludf.DUMMYFUNCTION("""COMPUTED_VALUE"""),14.04)</f>
        <v>14.04</v>
      </c>
      <c r="C1841" s="5">
        <v>14.0235338211059</v>
      </c>
      <c r="D1841" s="5">
        <v>364.146850585937</v>
      </c>
      <c r="E1841" s="7">
        <f t="shared" ref="E1841:F1841" si="1839">C1841/C1840-1</f>
        <v>-0.006019551578</v>
      </c>
      <c r="F1841" s="7">
        <f t="shared" si="1839"/>
        <v>-0.01242794863</v>
      </c>
    </row>
    <row r="1842">
      <c r="A1842" s="3">
        <f>IFERROR(__xludf.DUMMYFUNCTION("""COMPUTED_VALUE"""),44924.66666666667)</f>
        <v>44924.66667</v>
      </c>
      <c r="B1842" s="5">
        <f>IFERROR(__xludf.DUMMYFUNCTION("""COMPUTED_VALUE"""),14.6)</f>
        <v>14.6</v>
      </c>
      <c r="C1842" s="5">
        <v>14.5900297164917</v>
      </c>
      <c r="D1842" s="5">
        <v>370.70166015625</v>
      </c>
      <c r="E1842" s="7">
        <f t="shared" ref="E1842:F1842" si="1840">C1842/C1841-1</f>
        <v>0.04039608722</v>
      </c>
      <c r="F1842" s="7">
        <f t="shared" si="1840"/>
        <v>0.01800045657</v>
      </c>
    </row>
    <row r="1843">
      <c r="A1843" s="3">
        <f>IFERROR(__xludf.DUMMYFUNCTION("""COMPUTED_VALUE"""),44925.66666666667)</f>
        <v>44925.66667</v>
      </c>
      <c r="B1843" s="5">
        <f>IFERROR(__xludf.DUMMYFUNCTION("""COMPUTED_VALUE"""),14.61)</f>
        <v>14.61</v>
      </c>
      <c r="C1843" s="5">
        <v>14.6010198593139</v>
      </c>
      <c r="D1843" s="5">
        <v>369.725189208984</v>
      </c>
      <c r="E1843" s="7">
        <f t="shared" ref="E1843:F1843" si="1841">C1843/C1842-1</f>
        <v>0.0007532639094</v>
      </c>
      <c r="F1843" s="7">
        <f t="shared" si="1841"/>
        <v>-0.002634115388</v>
      </c>
    </row>
    <row r="1844">
      <c r="A1844" s="3">
        <f>IFERROR(__xludf.DUMMYFUNCTION("""COMPUTED_VALUE"""),44929.66666666667)</f>
        <v>44929.66667</v>
      </c>
      <c r="B1844" s="5">
        <f>IFERROR(__xludf.DUMMYFUNCTION("""COMPUTED_VALUE"""),14.32)</f>
        <v>14.32</v>
      </c>
      <c r="C1844" s="5">
        <v>14.3022851943969</v>
      </c>
      <c r="D1844" s="5">
        <v>368.168670654296</v>
      </c>
      <c r="E1844" s="7">
        <f t="shared" ref="E1844:F1844" si="1842">C1844/C1843-1</f>
        <v>-0.02045984923</v>
      </c>
      <c r="F1844" s="7">
        <f t="shared" si="1842"/>
        <v>-0.004209933757</v>
      </c>
    </row>
    <row r="1845">
      <c r="A1845" s="3">
        <f>IFERROR(__xludf.DUMMYFUNCTION("""COMPUTED_VALUE"""),44930.66666666667)</f>
        <v>44930.66667</v>
      </c>
      <c r="B1845" s="5">
        <f>IFERROR(__xludf.DUMMYFUNCTION("""COMPUTED_VALUE"""),14.75)</f>
        <v>14.75</v>
      </c>
      <c r="C1845" s="5">
        <v>14.7359008789062</v>
      </c>
      <c r="D1845" s="5">
        <v>371.011016845703</v>
      </c>
      <c r="E1845" s="7">
        <f t="shared" ref="E1845:F1845" si="1843">C1845/C1844-1</f>
        <v>0.03031793022</v>
      </c>
      <c r="F1845" s="7">
        <f t="shared" si="1843"/>
        <v>0.007720228303</v>
      </c>
    </row>
    <row r="1846">
      <c r="A1846" s="3">
        <f>IFERROR(__xludf.DUMMYFUNCTION("""COMPUTED_VALUE"""),44931.66666666667)</f>
        <v>44931.66667</v>
      </c>
      <c r="B1846" s="5">
        <f>IFERROR(__xludf.DUMMYFUNCTION("""COMPUTED_VALUE"""),14.27)</f>
        <v>14.27</v>
      </c>
      <c r="C1846" s="5">
        <v>14.2523317337036</v>
      </c>
      <c r="D1846" s="5">
        <v>366.776550292968</v>
      </c>
      <c r="E1846" s="7">
        <f t="shared" ref="E1846:F1846" si="1844">C1846/C1845-1</f>
        <v>-0.03281571647</v>
      </c>
      <c r="F1846" s="7">
        <f t="shared" si="1844"/>
        <v>-0.01141331756</v>
      </c>
    </row>
    <row r="1847">
      <c r="A1847" s="3">
        <f>IFERROR(__xludf.DUMMYFUNCTION("""COMPUTED_VALUE"""),44932.66666666667)</f>
        <v>44932.66667</v>
      </c>
      <c r="B1847" s="5">
        <f>IFERROR(__xludf.DUMMYFUNCTION("""COMPUTED_VALUE"""),14.86)</f>
        <v>14.86</v>
      </c>
      <c r="C1847" s="5">
        <v>14.8458032608032</v>
      </c>
      <c r="D1847" s="5">
        <v>375.1875</v>
      </c>
      <c r="E1847" s="7">
        <f t="shared" ref="E1847:F1847" si="1845">C1847/C1846-1</f>
        <v>0.04164031109</v>
      </c>
      <c r="F1847" s="7">
        <f t="shared" si="1845"/>
        <v>0.0229320814</v>
      </c>
    </row>
    <row r="1848">
      <c r="A1848" s="3">
        <f>IFERROR(__xludf.DUMMYFUNCTION("""COMPUTED_VALUE"""),44935.66666666667)</f>
        <v>44935.66667</v>
      </c>
      <c r="B1848" s="5">
        <f>IFERROR(__xludf.DUMMYFUNCTION("""COMPUTED_VALUE"""),15.63)</f>
        <v>15.63</v>
      </c>
      <c r="C1848" s="5">
        <v>15.6141214370727</v>
      </c>
      <c r="D1848" s="5">
        <v>374.974822998046</v>
      </c>
      <c r="E1848" s="7">
        <f t="shared" ref="E1848:F1848" si="1846">C1848/C1847-1</f>
        <v>0.05175322364</v>
      </c>
      <c r="F1848" s="7">
        <f t="shared" si="1846"/>
        <v>-0.0005668552443</v>
      </c>
    </row>
    <row r="1849">
      <c r="A1849" s="3">
        <f>IFERROR(__xludf.DUMMYFUNCTION("""COMPUTED_VALUE"""),44936.66666666667)</f>
        <v>44936.66667</v>
      </c>
      <c r="B1849" s="5">
        <f>IFERROR(__xludf.DUMMYFUNCTION("""COMPUTED_VALUE"""),15.91)</f>
        <v>15.91</v>
      </c>
      <c r="C1849" s="5">
        <v>15.8948717117309</v>
      </c>
      <c r="D1849" s="5">
        <v>377.604370117187</v>
      </c>
      <c r="E1849" s="7">
        <f t="shared" ref="E1849:F1849" si="1847">C1849/C1848-1</f>
        <v>0.01798053613</v>
      </c>
      <c r="F1849" s="7">
        <f t="shared" si="1847"/>
        <v>0.007012596467</v>
      </c>
    </row>
    <row r="1850">
      <c r="A1850" s="3">
        <f>IFERROR(__xludf.DUMMYFUNCTION("""COMPUTED_VALUE"""),44937.66666666667)</f>
        <v>44937.66667</v>
      </c>
      <c r="B1850" s="5">
        <f>IFERROR(__xludf.DUMMYFUNCTION("""COMPUTED_VALUE"""),16.0)</f>
        <v>16</v>
      </c>
      <c r="C1850" s="5">
        <v>15.9867877960205</v>
      </c>
      <c r="D1850" s="5">
        <v>382.380310058593</v>
      </c>
      <c r="E1850" s="7">
        <f t="shared" ref="E1850:F1850" si="1848">C1850/C1849-1</f>
        <v>0.005782750937</v>
      </c>
      <c r="F1850" s="7">
        <f t="shared" si="1848"/>
        <v>0.01264799965</v>
      </c>
    </row>
    <row r="1851">
      <c r="A1851" s="3">
        <f>IFERROR(__xludf.DUMMYFUNCTION("""COMPUTED_VALUE"""),44938.66666666667)</f>
        <v>44938.66667</v>
      </c>
      <c r="B1851" s="5">
        <f>IFERROR(__xludf.DUMMYFUNCTION("""COMPUTED_VALUE"""),16.51)</f>
        <v>16.51</v>
      </c>
      <c r="C1851" s="5">
        <v>16.4963359832763</v>
      </c>
      <c r="D1851" s="5">
        <v>383.772430419921</v>
      </c>
      <c r="E1851" s="7">
        <f t="shared" ref="E1851:F1851" si="1849">C1851/C1850-1</f>
        <v>0.03187308131</v>
      </c>
      <c r="F1851" s="7">
        <f t="shared" si="1849"/>
        <v>0.003640669576</v>
      </c>
    </row>
    <row r="1852">
      <c r="A1852" s="3">
        <f>IFERROR(__xludf.DUMMYFUNCTION("""COMPUTED_VALUE"""),44939.66666666667)</f>
        <v>44939.66667</v>
      </c>
      <c r="B1852" s="5">
        <f>IFERROR(__xludf.DUMMYFUNCTION("""COMPUTED_VALUE"""),16.9)</f>
        <v>16.9</v>
      </c>
      <c r="C1852" s="5">
        <v>16.883991241455</v>
      </c>
      <c r="D1852" s="5">
        <v>385.261291503906</v>
      </c>
      <c r="E1852" s="7">
        <f t="shared" ref="E1852:F1852" si="1850">C1852/C1851-1</f>
        <v>0.0234994764</v>
      </c>
      <c r="F1852" s="7">
        <f t="shared" si="1850"/>
        <v>0.003879541535</v>
      </c>
    </row>
    <row r="1853">
      <c r="A1853" s="3">
        <f>IFERROR(__xludf.DUMMYFUNCTION("""COMPUTED_VALUE"""),44943.66666666667)</f>
        <v>44943.66667</v>
      </c>
      <c r="B1853" s="5">
        <f>IFERROR(__xludf.DUMMYFUNCTION("""COMPUTED_VALUE"""),17.7)</f>
        <v>17.7</v>
      </c>
      <c r="C1853" s="5">
        <v>17.686279296875</v>
      </c>
      <c r="D1853" s="5">
        <v>384.555541992187</v>
      </c>
      <c r="E1853" s="7">
        <f t="shared" ref="E1853:F1853" si="1851">C1853/C1852-1</f>
        <v>0.04751767778</v>
      </c>
      <c r="F1853" s="7">
        <f t="shared" si="1851"/>
        <v>-0.001831872361</v>
      </c>
    </row>
    <row r="1854">
      <c r="A1854" s="3">
        <f>IFERROR(__xludf.DUMMYFUNCTION("""COMPUTED_VALUE"""),44944.66666666667)</f>
        <v>44944.66667</v>
      </c>
      <c r="B1854" s="5">
        <f>IFERROR(__xludf.DUMMYFUNCTION("""COMPUTED_VALUE"""),17.38)</f>
        <v>17.38</v>
      </c>
      <c r="C1854" s="5">
        <v>17.3615646362304</v>
      </c>
      <c r="D1854" s="5">
        <v>378.484252929687</v>
      </c>
      <c r="E1854" s="7">
        <f t="shared" ref="E1854:F1854" si="1852">C1854/C1853-1</f>
        <v>-0.01835969314</v>
      </c>
      <c r="F1854" s="7">
        <f t="shared" si="1852"/>
        <v>-0.015787808</v>
      </c>
    </row>
    <row r="1855">
      <c r="A1855" s="3">
        <f>IFERROR(__xludf.DUMMYFUNCTION("""COMPUTED_VALUE"""),44945.66666666667)</f>
        <v>44945.66667</v>
      </c>
      <c r="B1855" s="5">
        <f>IFERROR(__xludf.DUMMYFUNCTION("""COMPUTED_VALUE"""),16.77)</f>
        <v>16.77</v>
      </c>
      <c r="C1855" s="5">
        <v>16.7501144409179</v>
      </c>
      <c r="D1855" s="5">
        <v>375.728912353515</v>
      </c>
      <c r="E1855" s="7">
        <f t="shared" ref="E1855:F1855" si="1853">C1855/C1854-1</f>
        <v>-0.03521861123</v>
      </c>
      <c r="F1855" s="7">
        <f t="shared" si="1853"/>
        <v>-0.007279934515</v>
      </c>
    </row>
    <row r="1856">
      <c r="A1856" s="3">
        <f>IFERROR(__xludf.DUMMYFUNCTION("""COMPUTED_VALUE"""),44946.66666666667)</f>
        <v>44946.66667</v>
      </c>
      <c r="B1856" s="5">
        <f>IFERROR(__xludf.DUMMYFUNCTION("""COMPUTED_VALUE"""),17.84)</f>
        <v>17.84</v>
      </c>
      <c r="C1856" s="5">
        <v>17.8231582641601</v>
      </c>
      <c r="D1856" s="5">
        <v>382.728363037109</v>
      </c>
      <c r="E1856" s="7">
        <f t="shared" ref="E1856:F1856" si="1854">C1856/C1855-1</f>
        <v>0.06406188012</v>
      </c>
      <c r="F1856" s="7">
        <f t="shared" si="1854"/>
        <v>0.01862899142</v>
      </c>
    </row>
    <row r="1857">
      <c r="A1857" s="3">
        <f>IFERROR(__xludf.DUMMYFUNCTION("""COMPUTED_VALUE"""),44949.66666666667)</f>
        <v>44949.66667</v>
      </c>
      <c r="B1857" s="5">
        <f>IFERROR(__xludf.DUMMYFUNCTION("""COMPUTED_VALUE"""),19.19)</f>
        <v>19.19</v>
      </c>
      <c r="C1857" s="5">
        <v>19.1759548187255</v>
      </c>
      <c r="D1857" s="5">
        <v>387.320556640625</v>
      </c>
      <c r="E1857" s="7">
        <f t="shared" ref="E1857:F1857" si="1855">C1857/C1856-1</f>
        <v>0.07590105718</v>
      </c>
      <c r="F1857" s="7">
        <f t="shared" si="1855"/>
        <v>0.01199857143</v>
      </c>
    </row>
    <row r="1858">
      <c r="A1858" s="3">
        <f>IFERROR(__xludf.DUMMYFUNCTION("""COMPUTED_VALUE"""),44950.66666666667)</f>
        <v>44950.66667</v>
      </c>
      <c r="B1858" s="5">
        <f>IFERROR(__xludf.DUMMYFUNCTION("""COMPUTED_VALUE"""),19.27)</f>
        <v>19.27</v>
      </c>
      <c r="C1858" s="5">
        <v>19.2478885650634</v>
      </c>
      <c r="D1858" s="5">
        <v>386.904815673828</v>
      </c>
      <c r="E1858" s="7">
        <f t="shared" ref="E1858:F1858" si="1856">C1858/C1857-1</f>
        <v>0.003751247175</v>
      </c>
      <c r="F1858" s="7">
        <f t="shared" si="1856"/>
        <v>-0.001073376973</v>
      </c>
    </row>
    <row r="1859">
      <c r="A1859" s="3">
        <f>IFERROR(__xludf.DUMMYFUNCTION("""COMPUTED_VALUE"""),44951.66666666667)</f>
        <v>44951.66667</v>
      </c>
      <c r="B1859" s="5">
        <f>IFERROR(__xludf.DUMMYFUNCTION("""COMPUTED_VALUE"""),19.32)</f>
        <v>19.32</v>
      </c>
      <c r="C1859" s="5">
        <v>19.3058414459228</v>
      </c>
      <c r="D1859" s="5">
        <v>387.0498046875</v>
      </c>
      <c r="E1859" s="7">
        <f t="shared" ref="E1859:F1859" si="1857">C1859/C1858-1</f>
        <v>0.003010869512</v>
      </c>
      <c r="F1859" s="7">
        <f t="shared" si="1857"/>
        <v>0.0003747407833</v>
      </c>
    </row>
    <row r="1860">
      <c r="A1860" s="3">
        <f>IFERROR(__xludf.DUMMYFUNCTION("""COMPUTED_VALUE"""),44952.66666666667)</f>
        <v>44952.66667</v>
      </c>
      <c r="B1860" s="5">
        <f>IFERROR(__xludf.DUMMYFUNCTION("""COMPUTED_VALUE"""),19.8)</f>
        <v>19.8</v>
      </c>
      <c r="C1860" s="5">
        <v>19.7844142913818</v>
      </c>
      <c r="D1860" s="5">
        <v>391.3037109375</v>
      </c>
      <c r="E1860" s="7">
        <f t="shared" ref="E1860:F1860" si="1858">C1860/C1859-1</f>
        <v>0.02478901771</v>
      </c>
      <c r="F1860" s="7">
        <f t="shared" si="1858"/>
        <v>0.01099059139</v>
      </c>
    </row>
    <row r="1861">
      <c r="A1861" s="3">
        <f>IFERROR(__xludf.DUMMYFUNCTION("""COMPUTED_VALUE"""),44953.66666666667)</f>
        <v>44953.66667</v>
      </c>
      <c r="B1861" s="5">
        <f>IFERROR(__xludf.DUMMYFUNCTION("""COMPUTED_VALUE"""),20.36)</f>
        <v>20.36</v>
      </c>
      <c r="C1861" s="5">
        <v>20.3469142913818</v>
      </c>
      <c r="D1861" s="5">
        <v>392.202697753906</v>
      </c>
      <c r="E1861" s="7">
        <f t="shared" ref="E1861:F1861" si="1859">C1861/C1860-1</f>
        <v>0.02843147094</v>
      </c>
      <c r="F1861" s="7">
        <f t="shared" si="1859"/>
        <v>0.002297414492</v>
      </c>
    </row>
    <row r="1862">
      <c r="A1862" s="3">
        <f>IFERROR(__xludf.DUMMYFUNCTION("""COMPUTED_VALUE"""),44956.66666666667)</f>
        <v>44956.66667</v>
      </c>
      <c r="B1862" s="5">
        <f>IFERROR(__xludf.DUMMYFUNCTION("""COMPUTED_VALUE"""),19.16)</f>
        <v>19.16</v>
      </c>
      <c r="C1862" s="5">
        <v>19.1449832916259</v>
      </c>
      <c r="D1862" s="5">
        <v>387.28189086914</v>
      </c>
      <c r="E1862" s="7">
        <f t="shared" ref="E1862:F1862" si="1860">C1862/C1861-1</f>
        <v>-0.05907190557</v>
      </c>
      <c r="F1862" s="7">
        <f t="shared" si="1860"/>
        <v>-0.01254659112</v>
      </c>
    </row>
    <row r="1863">
      <c r="A1863" s="3">
        <f>IFERROR(__xludf.DUMMYFUNCTION("""COMPUTED_VALUE"""),44957.66666666667)</f>
        <v>44957.66667</v>
      </c>
      <c r="B1863" s="5">
        <f>IFERROR(__xludf.DUMMYFUNCTION("""COMPUTED_VALUE"""),19.54)</f>
        <v>19.54</v>
      </c>
      <c r="C1863" s="5">
        <v>19.5196514129638</v>
      </c>
      <c r="D1863" s="5">
        <v>392.97622680664</v>
      </c>
      <c r="E1863" s="7">
        <f t="shared" ref="E1863:F1863" si="1861">C1863/C1862-1</f>
        <v>0.0195700417</v>
      </c>
      <c r="F1863" s="7">
        <f t="shared" si="1861"/>
        <v>0.01470333644</v>
      </c>
    </row>
    <row r="1864">
      <c r="A1864" s="3">
        <f>IFERROR(__xludf.DUMMYFUNCTION("""COMPUTED_VALUE"""),44958.66666666667)</f>
        <v>44958.66667</v>
      </c>
      <c r="B1864" s="5">
        <f>IFERROR(__xludf.DUMMYFUNCTION("""COMPUTED_VALUE"""),20.94)</f>
        <v>20.94</v>
      </c>
      <c r="C1864" s="5">
        <v>20.9244022369384</v>
      </c>
      <c r="D1864" s="5">
        <v>397.152648925781</v>
      </c>
      <c r="E1864" s="7">
        <f t="shared" ref="E1864:F1864" si="1862">C1864/C1863-1</f>
        <v>0.07196597902</v>
      </c>
      <c r="F1864" s="7">
        <f t="shared" si="1862"/>
        <v>0.01062767118</v>
      </c>
    </row>
    <row r="1865">
      <c r="A1865" s="3">
        <f>IFERROR(__xludf.DUMMYFUNCTION("""COMPUTED_VALUE"""),44959.66666666667)</f>
        <v>44959.66667</v>
      </c>
      <c r="B1865" s="5">
        <f>IFERROR(__xludf.DUMMYFUNCTION("""COMPUTED_VALUE"""),21.71)</f>
        <v>21.71</v>
      </c>
      <c r="C1865" s="5">
        <v>21.6897182464599</v>
      </c>
      <c r="D1865" s="5">
        <v>402.93408203125</v>
      </c>
      <c r="E1865" s="7">
        <f t="shared" ref="E1865:F1865" si="1863">C1865/C1864-1</f>
        <v>0.03657528664</v>
      </c>
      <c r="F1865" s="7">
        <f t="shared" si="1863"/>
        <v>0.01455720646</v>
      </c>
    </row>
    <row r="1866">
      <c r="A1866" s="3">
        <f>IFERROR(__xludf.DUMMYFUNCTION("""COMPUTED_VALUE"""),44960.66666666667)</f>
        <v>44960.66667</v>
      </c>
      <c r="B1866" s="5">
        <f>IFERROR(__xludf.DUMMYFUNCTION("""COMPUTED_VALUE"""),21.1)</f>
        <v>21.1</v>
      </c>
      <c r="C1866" s="5">
        <v>21.0812606811523</v>
      </c>
      <c r="D1866" s="5">
        <v>398.651184082031</v>
      </c>
      <c r="E1866" s="7">
        <f t="shared" ref="E1866:F1866" si="1864">C1866/C1865-1</f>
        <v>-0.02805281094</v>
      </c>
      <c r="F1866" s="7">
        <f t="shared" si="1864"/>
        <v>-0.01062927695</v>
      </c>
    </row>
    <row r="1867">
      <c r="A1867" s="3">
        <f>IFERROR(__xludf.DUMMYFUNCTION("""COMPUTED_VALUE"""),44963.66666666667)</f>
        <v>44963.66667</v>
      </c>
      <c r="B1867" s="5">
        <f>IFERROR(__xludf.DUMMYFUNCTION("""COMPUTED_VALUE"""),21.09)</f>
        <v>21.09</v>
      </c>
      <c r="C1867" s="5">
        <v>21.07027053833</v>
      </c>
      <c r="D1867" s="5">
        <v>396.214935302734</v>
      </c>
      <c r="E1867" s="7">
        <f t="shared" ref="E1867:F1867" si="1865">C1867/C1866-1</f>
        <v>-0.0005213228463</v>
      </c>
      <c r="F1867" s="7">
        <f t="shared" si="1865"/>
        <v>-0.006111229256</v>
      </c>
    </row>
    <row r="1868">
      <c r="A1868" s="3">
        <f>IFERROR(__xludf.DUMMYFUNCTION("""COMPUTED_VALUE"""),44964.66666666667)</f>
        <v>44964.66667</v>
      </c>
      <c r="B1868" s="5">
        <f>IFERROR(__xludf.DUMMYFUNCTION("""COMPUTED_VALUE"""),22.17)</f>
        <v>22.17</v>
      </c>
      <c r="C1868" s="5">
        <v>22.1533069610595</v>
      </c>
      <c r="D1868" s="5">
        <v>401.396820068359</v>
      </c>
      <c r="E1868" s="7">
        <f t="shared" ref="E1868:F1868" si="1866">C1868/C1867-1</f>
        <v>0.05140116359</v>
      </c>
      <c r="F1868" s="7">
        <f t="shared" si="1866"/>
        <v>0.01307846904</v>
      </c>
    </row>
    <row r="1869">
      <c r="A1869" s="3">
        <f>IFERROR(__xludf.DUMMYFUNCTION("""COMPUTED_VALUE"""),44965.66666666667)</f>
        <v>44965.66667</v>
      </c>
      <c r="B1869" s="5">
        <f>IFERROR(__xludf.DUMMYFUNCTION("""COMPUTED_VALUE"""),22.21)</f>
        <v>22.21</v>
      </c>
      <c r="C1869" s="5">
        <v>22.1852760314941</v>
      </c>
      <c r="D1869" s="5">
        <v>397.007659912109</v>
      </c>
      <c r="E1869" s="7">
        <f t="shared" ref="E1869:F1869" si="1867">C1869/C1868-1</f>
        <v>0.001443083441</v>
      </c>
      <c r="F1869" s="7">
        <f t="shared" si="1867"/>
        <v>-0.01093471581</v>
      </c>
    </row>
    <row r="1870">
      <c r="A1870" s="3">
        <f>IFERROR(__xludf.DUMMYFUNCTION("""COMPUTED_VALUE"""),44966.66666666667)</f>
        <v>44966.66667</v>
      </c>
      <c r="B1870" s="5">
        <f>IFERROR(__xludf.DUMMYFUNCTION("""COMPUTED_VALUE"""),22.34)</f>
        <v>22.34</v>
      </c>
      <c r="C1870" s="5">
        <v>22.3171615600585</v>
      </c>
      <c r="D1870" s="5">
        <v>393.565948486328</v>
      </c>
      <c r="E1870" s="7">
        <f t="shared" ref="E1870:F1870" si="1868">C1870/C1869-1</f>
        <v>0.00594473237</v>
      </c>
      <c r="F1870" s="7">
        <f t="shared" si="1868"/>
        <v>-0.008669131035</v>
      </c>
    </row>
    <row r="1871">
      <c r="A1871" s="3">
        <f>IFERROR(__xludf.DUMMYFUNCTION("""COMPUTED_VALUE"""),44967.66666666667)</f>
        <v>44967.66667</v>
      </c>
      <c r="B1871" s="5">
        <f>IFERROR(__xludf.DUMMYFUNCTION("""COMPUTED_VALUE"""),21.27)</f>
        <v>21.27</v>
      </c>
      <c r="C1871" s="5">
        <v>21.2461128234863</v>
      </c>
      <c r="D1871" s="5">
        <v>394.484375</v>
      </c>
      <c r="E1871" s="7">
        <f t="shared" ref="E1871:F1871" si="1869">C1871/C1870-1</f>
        <v>-0.04799215768</v>
      </c>
      <c r="F1871" s="7">
        <f t="shared" si="1869"/>
        <v>0.002333602582</v>
      </c>
    </row>
    <row r="1872">
      <c r="A1872" s="3">
        <f>IFERROR(__xludf.DUMMYFUNCTION("""COMPUTED_VALUE"""),44970.66666666667)</f>
        <v>44970.66667</v>
      </c>
      <c r="B1872" s="5">
        <f>IFERROR(__xludf.DUMMYFUNCTION("""COMPUTED_VALUE"""),21.79)</f>
        <v>21.79</v>
      </c>
      <c r="C1872" s="5">
        <v>21.7686462402343</v>
      </c>
      <c r="D1872" s="5">
        <v>399.115234375</v>
      </c>
      <c r="E1872" s="7">
        <f t="shared" ref="E1872:F1872" si="1870">C1872/C1871-1</f>
        <v>0.02459430678</v>
      </c>
      <c r="F1872" s="7">
        <f t="shared" si="1870"/>
        <v>0.0117390185</v>
      </c>
    </row>
    <row r="1873">
      <c r="A1873" s="3">
        <f>IFERROR(__xludf.DUMMYFUNCTION("""COMPUTED_VALUE"""),44971.66666666667)</f>
        <v>44971.66667</v>
      </c>
      <c r="B1873" s="5">
        <f>IFERROR(__xludf.DUMMYFUNCTION("""COMPUTED_VALUE"""),22.97)</f>
        <v>22.97</v>
      </c>
      <c r="C1873" s="5">
        <v>22.9505996704101</v>
      </c>
      <c r="D1873" s="5">
        <v>398.931579589843</v>
      </c>
      <c r="E1873" s="7">
        <f t="shared" ref="E1873:F1873" si="1871">C1873/C1872-1</f>
        <v>0.05429613845</v>
      </c>
      <c r="F1873" s="7">
        <f t="shared" si="1871"/>
        <v>-0.0004601547857</v>
      </c>
    </row>
    <row r="1874">
      <c r="A1874" s="3">
        <f>IFERROR(__xludf.DUMMYFUNCTION("""COMPUTED_VALUE"""),44972.66666666667)</f>
        <v>44972.66667</v>
      </c>
      <c r="B1874" s="5">
        <f>IFERROR(__xludf.DUMMYFUNCTION("""COMPUTED_VALUE"""),22.76)</f>
        <v>22.76</v>
      </c>
      <c r="C1874" s="5">
        <v>22.7437782287597</v>
      </c>
      <c r="D1874" s="5">
        <v>400.227020263671</v>
      </c>
      <c r="E1874" s="7">
        <f t="shared" ref="E1874:F1874" si="1872">C1874/C1873-1</f>
        <v>-0.009011592055</v>
      </c>
      <c r="F1874" s="7">
        <f t="shared" si="1872"/>
        <v>0.003247275323</v>
      </c>
    </row>
    <row r="1875">
      <c r="A1875" s="3">
        <f>IFERROR(__xludf.DUMMYFUNCTION("""COMPUTED_VALUE"""),44973.66666666667)</f>
        <v>44973.66667</v>
      </c>
      <c r="B1875" s="5">
        <f>IFERROR(__xludf.DUMMYFUNCTION("""COMPUTED_VALUE"""),22.0)</f>
        <v>22</v>
      </c>
      <c r="C1875" s="5">
        <v>21.982458114624</v>
      </c>
      <c r="D1875" s="5">
        <v>394.716400146484</v>
      </c>
      <c r="E1875" s="7">
        <f t="shared" ref="E1875:F1875" si="1873">C1875/C1874-1</f>
        <v>-0.03347377496</v>
      </c>
      <c r="F1875" s="7">
        <f t="shared" si="1873"/>
        <v>-0.01376873584</v>
      </c>
    </row>
    <row r="1876">
      <c r="A1876" s="3">
        <f>IFERROR(__xludf.DUMMYFUNCTION("""COMPUTED_VALUE"""),44974.66666666667)</f>
        <v>44974.66667</v>
      </c>
      <c r="B1876" s="5">
        <f>IFERROR(__xludf.DUMMYFUNCTION("""COMPUTED_VALUE"""),21.39)</f>
        <v>21.39</v>
      </c>
      <c r="C1876" s="5">
        <v>21.3690090179443</v>
      </c>
      <c r="D1876" s="5">
        <v>393.730316162109</v>
      </c>
      <c r="E1876" s="7">
        <f t="shared" ref="E1876:F1876" si="1874">C1876/C1875-1</f>
        <v>-0.02790630117</v>
      </c>
      <c r="F1876" s="7">
        <f t="shared" si="1874"/>
        <v>-0.0024982088</v>
      </c>
    </row>
    <row r="1877">
      <c r="A1877" s="3">
        <f>IFERROR(__xludf.DUMMYFUNCTION("""COMPUTED_VALUE"""),44978.66666666667)</f>
        <v>44978.66667</v>
      </c>
      <c r="B1877" s="5">
        <f>IFERROR(__xludf.DUMMYFUNCTION("""COMPUTED_VALUE"""),20.66)</f>
        <v>20.66</v>
      </c>
      <c r="C1877" s="5">
        <v>20.6366539001464</v>
      </c>
      <c r="D1877" s="5">
        <v>385.83169555664</v>
      </c>
      <c r="E1877" s="7">
        <f t="shared" ref="E1877:F1877" si="1875">C1877/C1876-1</f>
        <v>-0.03427183344</v>
      </c>
      <c r="F1877" s="7">
        <f t="shared" si="1875"/>
        <v>-0.0200609917</v>
      </c>
    </row>
    <row r="1878">
      <c r="A1878" s="3">
        <f>IFERROR(__xludf.DUMMYFUNCTION("""COMPUTED_VALUE"""),44979.66666666667)</f>
        <v>44979.66667</v>
      </c>
      <c r="B1878" s="5">
        <f>IFERROR(__xludf.DUMMYFUNCTION("""COMPUTED_VALUE"""),20.75)</f>
        <v>20.75</v>
      </c>
      <c r="C1878" s="5">
        <v>20.7355670928955</v>
      </c>
      <c r="D1878" s="5">
        <v>385.29995727539</v>
      </c>
      <c r="E1878" s="7">
        <f t="shared" ref="E1878:F1878" si="1876">C1878/C1877-1</f>
        <v>0.004793082892</v>
      </c>
      <c r="F1878" s="7">
        <f t="shared" si="1876"/>
        <v>-0.001378161223</v>
      </c>
    </row>
    <row r="1879">
      <c r="A1879" s="3">
        <f>IFERROR(__xludf.DUMMYFUNCTION("""COMPUTED_VALUE"""),44980.66666666667)</f>
        <v>44980.66667</v>
      </c>
      <c r="B1879" s="5">
        <f>IFERROR(__xludf.DUMMYFUNCTION("""COMPUTED_VALUE"""),23.66)</f>
        <v>23.66</v>
      </c>
      <c r="C1879" s="5">
        <v>23.6429824829101</v>
      </c>
      <c r="D1879" s="5">
        <v>387.349517822265</v>
      </c>
      <c r="E1879" s="7">
        <f t="shared" ref="E1879:F1879" si="1877">C1879/C1878-1</f>
        <v>0.1402139318</v>
      </c>
      <c r="F1879" s="7">
        <f t="shared" si="1877"/>
        <v>0.005319389499</v>
      </c>
    </row>
    <row r="1880">
      <c r="A1880" s="3">
        <f>IFERROR(__xludf.DUMMYFUNCTION("""COMPUTED_VALUE"""),44981.66666666667)</f>
        <v>44981.66667</v>
      </c>
      <c r="B1880" s="5">
        <f>IFERROR(__xludf.DUMMYFUNCTION("""COMPUTED_VALUE"""),23.29)</f>
        <v>23.29</v>
      </c>
      <c r="C1880" s="5">
        <v>23.2653198242187</v>
      </c>
      <c r="D1880" s="5">
        <v>383.211700439453</v>
      </c>
      <c r="E1880" s="7">
        <f t="shared" ref="E1880:F1880" si="1878">C1880/C1879-1</f>
        <v>-0.01597356251</v>
      </c>
      <c r="F1880" s="7">
        <f t="shared" si="1878"/>
        <v>-0.01068238682</v>
      </c>
    </row>
    <row r="1881">
      <c r="A1881" s="3">
        <f>IFERROR(__xludf.DUMMYFUNCTION("""COMPUTED_VALUE"""),44984.66666666667)</f>
        <v>44984.66667</v>
      </c>
      <c r="B1881" s="5">
        <f>IFERROR(__xludf.DUMMYFUNCTION("""COMPUTED_VALUE"""),23.5)</f>
        <v>23.5</v>
      </c>
      <c r="C1881" s="5">
        <v>23.4801273345947</v>
      </c>
      <c r="D1881" s="5">
        <v>384.516937255859</v>
      </c>
      <c r="E1881" s="7">
        <f t="shared" ref="E1881:F1881" si="1879">C1881/C1880-1</f>
        <v>0.009232948956</v>
      </c>
      <c r="F1881" s="7">
        <f t="shared" si="1879"/>
        <v>0.003406046357</v>
      </c>
    </row>
    <row r="1882">
      <c r="A1882" s="3">
        <f>IFERROR(__xludf.DUMMYFUNCTION("""COMPUTED_VALUE"""),44985.66666666667)</f>
        <v>44985.66667</v>
      </c>
      <c r="B1882" s="5">
        <f>IFERROR(__xludf.DUMMYFUNCTION("""COMPUTED_VALUE"""),23.22)</f>
        <v>23.22</v>
      </c>
      <c r="C1882" s="5">
        <v>23.1953830718994</v>
      </c>
      <c r="D1882" s="5">
        <v>383.095703125</v>
      </c>
      <c r="E1882" s="7">
        <f t="shared" ref="E1882:F1882" si="1880">C1882/C1881-1</f>
        <v>-0.0121270323</v>
      </c>
      <c r="F1882" s="7">
        <f t="shared" si="1880"/>
        <v>-0.00369615482</v>
      </c>
    </row>
    <row r="1883">
      <c r="A1883" s="3">
        <f>IFERROR(__xludf.DUMMYFUNCTION("""COMPUTED_VALUE"""),44986.66666666667)</f>
        <v>44986.66667</v>
      </c>
      <c r="B1883" s="5">
        <f>IFERROR(__xludf.DUMMYFUNCTION("""COMPUTED_VALUE"""),22.7)</f>
        <v>22.7</v>
      </c>
      <c r="C1883" s="5">
        <v>22.6778411865234</v>
      </c>
      <c r="D1883" s="5">
        <v>381.626220703125</v>
      </c>
      <c r="E1883" s="7">
        <f t="shared" ref="E1883:F1883" si="1881">C1883/C1882-1</f>
        <v>-0.02231228015</v>
      </c>
      <c r="F1883" s="7">
        <f t="shared" si="1881"/>
        <v>-0.003835810242</v>
      </c>
    </row>
    <row r="1884">
      <c r="A1884" s="3">
        <f>IFERROR(__xludf.DUMMYFUNCTION("""COMPUTED_VALUE"""),44987.66666666667)</f>
        <v>44987.66667</v>
      </c>
      <c r="B1884" s="5">
        <f>IFERROR(__xludf.DUMMYFUNCTION("""COMPUTED_VALUE"""),23.31)</f>
        <v>23.31</v>
      </c>
      <c r="C1884" s="5">
        <v>23.2932910919189</v>
      </c>
      <c r="D1884" s="5">
        <v>384.59423828125</v>
      </c>
      <c r="E1884" s="7">
        <f t="shared" ref="E1884:F1884" si="1882">C1884/C1883-1</f>
        <v>0.02713882244</v>
      </c>
      <c r="F1884" s="7">
        <f t="shared" si="1882"/>
        <v>0.007777289445</v>
      </c>
    </row>
    <row r="1885">
      <c r="A1885" s="3">
        <f>IFERROR(__xludf.DUMMYFUNCTION("""COMPUTED_VALUE"""),44988.66666666667)</f>
        <v>44988.66667</v>
      </c>
      <c r="B1885" s="5">
        <f>IFERROR(__xludf.DUMMYFUNCTION("""COMPUTED_VALUE"""),23.89)</f>
        <v>23.89</v>
      </c>
      <c r="C1885" s="5">
        <v>23.868782043457</v>
      </c>
      <c r="D1885" s="5">
        <v>390.762268066406</v>
      </c>
      <c r="E1885" s="7">
        <f t="shared" ref="E1885:F1885" si="1883">C1885/C1884-1</f>
        <v>0.0247062963</v>
      </c>
      <c r="F1885" s="7">
        <f t="shared" si="1883"/>
        <v>0.0160377592</v>
      </c>
    </row>
    <row r="1886">
      <c r="A1886" s="3">
        <f>IFERROR(__xludf.DUMMYFUNCTION("""COMPUTED_VALUE"""),44991.66666666667)</f>
        <v>44991.66667</v>
      </c>
      <c r="B1886" s="5">
        <f>IFERROR(__xludf.DUMMYFUNCTION("""COMPUTED_VALUE"""),23.55)</f>
        <v>23.55</v>
      </c>
      <c r="C1886" s="5">
        <v>23.5330810546875</v>
      </c>
      <c r="D1886" s="5">
        <v>391.033020019531</v>
      </c>
      <c r="E1886" s="7">
        <f t="shared" ref="E1886:F1886" si="1884">C1886/C1885-1</f>
        <v>-0.01406443731</v>
      </c>
      <c r="F1886" s="7">
        <f t="shared" si="1884"/>
        <v>0.0006928815171</v>
      </c>
    </row>
    <row r="1887">
      <c r="A1887" s="3">
        <f>IFERROR(__xludf.DUMMYFUNCTION("""COMPUTED_VALUE"""),44992.66666666667)</f>
        <v>44992.66667</v>
      </c>
      <c r="B1887" s="5">
        <f>IFERROR(__xludf.DUMMYFUNCTION("""COMPUTED_VALUE"""),23.29)</f>
        <v>23.29</v>
      </c>
      <c r="C1887" s="5">
        <v>23.2712688446044</v>
      </c>
      <c r="D1887" s="5">
        <v>385.038970947265</v>
      </c>
      <c r="E1887" s="7">
        <f t="shared" ref="E1887:F1887" si="1885">C1887/C1886-1</f>
        <v>-0.011125284</v>
      </c>
      <c r="F1887" s="7">
        <f t="shared" si="1885"/>
        <v>-0.01532875426</v>
      </c>
    </row>
    <row r="1888">
      <c r="A1888" s="3">
        <f>IFERROR(__xludf.DUMMYFUNCTION("""COMPUTED_VALUE"""),44993.66666666667)</f>
        <v>44993.66667</v>
      </c>
      <c r="B1888" s="5">
        <f>IFERROR(__xludf.DUMMYFUNCTION("""COMPUTED_VALUE"""),24.18)</f>
        <v>24.18</v>
      </c>
      <c r="C1888" s="5">
        <v>24.1636276245117</v>
      </c>
      <c r="D1888" s="5">
        <v>385.667388916015</v>
      </c>
      <c r="E1888" s="7">
        <f t="shared" ref="E1888:F1888" si="1886">C1888/C1887-1</f>
        <v>0.03834594434</v>
      </c>
      <c r="F1888" s="7">
        <f t="shared" si="1886"/>
        <v>0.001632089259</v>
      </c>
    </row>
    <row r="1889">
      <c r="A1889" s="3">
        <f>IFERROR(__xludf.DUMMYFUNCTION("""COMPUTED_VALUE"""),44994.66666666667)</f>
        <v>44994.66667</v>
      </c>
      <c r="B1889" s="5">
        <f>IFERROR(__xludf.DUMMYFUNCTION("""COMPUTED_VALUE"""),23.44)</f>
        <v>23.44</v>
      </c>
      <c r="C1889" s="5">
        <v>23.4191646575927</v>
      </c>
      <c r="D1889" s="5">
        <v>378.551849365234</v>
      </c>
      <c r="E1889" s="7">
        <f t="shared" ref="E1889:F1889" si="1887">C1889/C1888-1</f>
        <v>-0.03080923852</v>
      </c>
      <c r="F1889" s="7">
        <f t="shared" si="1887"/>
        <v>-0.01844993835</v>
      </c>
    </row>
    <row r="1890">
      <c r="A1890" s="3">
        <f>IFERROR(__xludf.DUMMYFUNCTION("""COMPUTED_VALUE"""),44995.66666666667)</f>
        <v>44995.66667</v>
      </c>
      <c r="B1890" s="5">
        <f>IFERROR(__xludf.DUMMYFUNCTION("""COMPUTED_VALUE"""),22.97)</f>
        <v>22.97</v>
      </c>
      <c r="C1890" s="5">
        <v>22.9485034942626</v>
      </c>
      <c r="D1890" s="5">
        <v>373.089599609375</v>
      </c>
      <c r="E1890" s="7">
        <f t="shared" ref="E1890:F1890" si="1888">C1890/C1889-1</f>
        <v>-0.02009726522</v>
      </c>
      <c r="F1890" s="7">
        <f t="shared" si="1888"/>
        <v>-0.01442933053</v>
      </c>
    </row>
    <row r="1891">
      <c r="A1891" s="3">
        <f>IFERROR(__xludf.DUMMYFUNCTION("""COMPUTED_VALUE"""),44998.66666666667)</f>
        <v>44998.66667</v>
      </c>
      <c r="B1891" s="5">
        <f>IFERROR(__xludf.DUMMYFUNCTION("""COMPUTED_VALUE"""),22.97)</f>
        <v>22.97</v>
      </c>
      <c r="C1891" s="5">
        <v>22.9495010375976</v>
      </c>
      <c r="D1891" s="5">
        <v>372.557861328125</v>
      </c>
      <c r="E1891" s="7">
        <f t="shared" ref="E1891:F1891" si="1889">C1891/C1890-1</f>
        <v>0.000043468775</v>
      </c>
      <c r="F1891" s="7">
        <f t="shared" si="1889"/>
        <v>-0.00142522944</v>
      </c>
    </row>
    <row r="1892">
      <c r="A1892" s="3">
        <f>IFERROR(__xludf.DUMMYFUNCTION("""COMPUTED_VALUE"""),44999.66666666667)</f>
        <v>44999.66667</v>
      </c>
      <c r="B1892" s="5">
        <f>IFERROR(__xludf.DUMMYFUNCTION("""COMPUTED_VALUE"""),24.06)</f>
        <v>24.06</v>
      </c>
      <c r="C1892" s="5">
        <v>24.0457115173339</v>
      </c>
      <c r="D1892" s="5">
        <v>378.716217041015</v>
      </c>
      <c r="E1892" s="7">
        <f t="shared" ref="E1892:F1892" si="1890">C1892/C1891-1</f>
        <v>0.04776620101</v>
      </c>
      <c r="F1892" s="7">
        <f t="shared" si="1890"/>
        <v>0.01652993092</v>
      </c>
    </row>
    <row r="1893">
      <c r="A1893" s="3">
        <f>IFERROR(__xludf.DUMMYFUNCTION("""COMPUTED_VALUE"""),45000.66666666667)</f>
        <v>45000.66667</v>
      </c>
      <c r="B1893" s="5">
        <f>IFERROR(__xludf.DUMMYFUNCTION("""COMPUTED_VALUE"""),24.23)</f>
        <v>24.23</v>
      </c>
      <c r="C1893" s="5">
        <v>24.210594177246</v>
      </c>
      <c r="D1893" s="5">
        <v>376.347595214843</v>
      </c>
      <c r="E1893" s="7">
        <f t="shared" ref="E1893:F1893" si="1891">C1893/C1892-1</f>
        <v>0.006857050572</v>
      </c>
      <c r="F1893" s="7">
        <f t="shared" si="1891"/>
        <v>-0.006254344862</v>
      </c>
    </row>
    <row r="1894">
      <c r="A1894" s="3">
        <f>IFERROR(__xludf.DUMMYFUNCTION("""COMPUTED_VALUE"""),45001.66666666667)</f>
        <v>45001.66667</v>
      </c>
      <c r="B1894" s="5">
        <f>IFERROR(__xludf.DUMMYFUNCTION("""COMPUTED_VALUE"""),25.54)</f>
        <v>25.54</v>
      </c>
      <c r="C1894" s="5">
        <v>25.5226497650146</v>
      </c>
      <c r="D1894" s="5">
        <v>382.950653076171</v>
      </c>
      <c r="E1894" s="7">
        <f t="shared" ref="E1894:F1894" si="1892">C1894/C1893-1</f>
        <v>0.05419344846</v>
      </c>
      <c r="F1894" s="7">
        <f t="shared" si="1892"/>
        <v>0.01754510443</v>
      </c>
    </row>
    <row r="1895">
      <c r="A1895" s="3">
        <f>IFERROR(__xludf.DUMMYFUNCTION("""COMPUTED_VALUE"""),45002.66666666667)</f>
        <v>45002.66667</v>
      </c>
      <c r="B1895" s="5">
        <f>IFERROR(__xludf.DUMMYFUNCTION("""COMPUTED_VALUE"""),25.73)</f>
        <v>25.73</v>
      </c>
      <c r="C1895" s="5">
        <v>25.706521987915</v>
      </c>
      <c r="D1895" s="5">
        <v>378.473022460937</v>
      </c>
      <c r="E1895" s="7">
        <f t="shared" ref="E1895:F1895" si="1893">C1895/C1894-1</f>
        <v>0.007204276382</v>
      </c>
      <c r="F1895" s="7">
        <f t="shared" si="1893"/>
        <v>-0.01169244805</v>
      </c>
    </row>
    <row r="1896">
      <c r="A1896" s="3">
        <f>IFERROR(__xludf.DUMMYFUNCTION("""COMPUTED_VALUE"""),45005.66666666667)</f>
        <v>45005.66667</v>
      </c>
      <c r="B1896" s="5">
        <f>IFERROR(__xludf.DUMMYFUNCTION("""COMPUTED_VALUE"""),25.9)</f>
        <v>25.9</v>
      </c>
      <c r="C1896" s="5">
        <v>25.8813915252685</v>
      </c>
      <c r="D1896" s="5">
        <v>382.112274169921</v>
      </c>
      <c r="E1896" s="7">
        <f t="shared" ref="E1896:F1896" si="1894">C1896/C1895-1</f>
        <v>0.006802535848</v>
      </c>
      <c r="F1896" s="7">
        <f t="shared" si="1894"/>
        <v>0.009615617212</v>
      </c>
    </row>
    <row r="1897">
      <c r="A1897" s="3">
        <f>IFERROR(__xludf.DUMMYFUNCTION("""COMPUTED_VALUE"""),45006.66666666667)</f>
        <v>45006.66667</v>
      </c>
      <c r="B1897" s="5">
        <f>IFERROR(__xludf.DUMMYFUNCTION("""COMPUTED_VALUE"""),26.2)</f>
        <v>26.2</v>
      </c>
      <c r="C1897" s="5">
        <v>26.1801776885986</v>
      </c>
      <c r="D1897" s="5">
        <v>387.129608154296</v>
      </c>
      <c r="E1897" s="7">
        <f t="shared" ref="E1897:F1897" si="1895">C1897/C1896-1</f>
        <v>0.01154443968</v>
      </c>
      <c r="F1897" s="7">
        <f t="shared" si="1895"/>
        <v>0.01313052295</v>
      </c>
    </row>
    <row r="1898">
      <c r="A1898" s="3">
        <f>IFERROR(__xludf.DUMMYFUNCTION("""COMPUTED_VALUE"""),45007.66666666667)</f>
        <v>45007.66667</v>
      </c>
      <c r="B1898" s="5">
        <f>IFERROR(__xludf.DUMMYFUNCTION("""COMPUTED_VALUE"""),26.47)</f>
        <v>26.47</v>
      </c>
      <c r="C1898" s="5">
        <v>26.4489860534667</v>
      </c>
      <c r="D1898" s="5">
        <v>380.530364990234</v>
      </c>
      <c r="E1898" s="7">
        <f t="shared" ref="E1898:F1898" si="1896">C1898/C1897-1</f>
        <v>0.0102676295</v>
      </c>
      <c r="F1898" s="7">
        <f t="shared" si="1896"/>
        <v>-0.01704659893</v>
      </c>
    </row>
    <row r="1899">
      <c r="A1899" s="3">
        <f>IFERROR(__xludf.DUMMYFUNCTION("""COMPUTED_VALUE"""),45008.66666666667)</f>
        <v>45008.66667</v>
      </c>
      <c r="B1899" s="5">
        <f>IFERROR(__xludf.DUMMYFUNCTION("""COMPUTED_VALUE"""),27.19)</f>
        <v>27.19</v>
      </c>
      <c r="C1899" s="5">
        <v>27.1714649200439</v>
      </c>
      <c r="D1899" s="5">
        <v>381.559051513671</v>
      </c>
      <c r="E1899" s="7">
        <f t="shared" ref="E1899:F1899" si="1897">C1899/C1898-1</f>
        <v>0.02731593813</v>
      </c>
      <c r="F1899" s="7">
        <f t="shared" si="1897"/>
        <v>0.002703296814</v>
      </c>
    </row>
    <row r="1900">
      <c r="A1900" s="3">
        <f>IFERROR(__xludf.DUMMYFUNCTION("""COMPUTED_VALUE"""),45009.66666666667)</f>
        <v>45009.66667</v>
      </c>
      <c r="B1900" s="5">
        <f>IFERROR(__xludf.DUMMYFUNCTION("""COMPUTED_VALUE"""),26.78)</f>
        <v>26.78</v>
      </c>
      <c r="C1900" s="5">
        <v>26.7597599029541</v>
      </c>
      <c r="D1900" s="5">
        <v>384.062896728515</v>
      </c>
      <c r="E1900" s="7">
        <f t="shared" ref="E1900:F1900" si="1898">C1900/C1899-1</f>
        <v>-0.0151521097</v>
      </c>
      <c r="F1900" s="7">
        <f t="shared" si="1898"/>
        <v>0.006562143409</v>
      </c>
    </row>
    <row r="1901">
      <c r="A1901" s="3">
        <f>IFERROR(__xludf.DUMMYFUNCTION("""COMPUTED_VALUE"""),45012.66666666667)</f>
        <v>45012.66667</v>
      </c>
      <c r="B1901" s="5">
        <f>IFERROR(__xludf.DUMMYFUNCTION("""COMPUTED_VALUE"""),26.53)</f>
        <v>26.53</v>
      </c>
      <c r="C1901" s="5">
        <v>26.51194190979</v>
      </c>
      <c r="D1901" s="5">
        <v>384.781005859375</v>
      </c>
      <c r="E1901" s="7">
        <f t="shared" ref="E1901:F1901" si="1899">C1901/C1900-1</f>
        <v>-0.009260845167</v>
      </c>
      <c r="F1901" s="7">
        <f t="shared" si="1899"/>
        <v>0.001869769605</v>
      </c>
    </row>
    <row r="1902">
      <c r="A1902" s="3">
        <f>IFERROR(__xludf.DUMMYFUNCTION("""COMPUTED_VALUE"""),45013.66666666667)</f>
        <v>45013.66667</v>
      </c>
      <c r="B1902" s="5">
        <f>IFERROR(__xludf.DUMMYFUNCTION("""COMPUTED_VALUE"""),26.41)</f>
        <v>26.41</v>
      </c>
      <c r="C1902" s="5">
        <v>26.3910255432128</v>
      </c>
      <c r="D1902" s="5">
        <v>383.917297363281</v>
      </c>
      <c r="E1902" s="7">
        <f t="shared" ref="E1902:F1902" si="1900">C1902/C1901-1</f>
        <v>-0.004560826475</v>
      </c>
      <c r="F1902" s="7">
        <f t="shared" si="1900"/>
        <v>-0.002244675498</v>
      </c>
    </row>
    <row r="1903">
      <c r="A1903" s="3">
        <f>IFERROR(__xludf.DUMMYFUNCTION("""COMPUTED_VALUE"""),45014.66666666667)</f>
        <v>45014.66667</v>
      </c>
      <c r="B1903" s="5">
        <f>IFERROR(__xludf.DUMMYFUNCTION("""COMPUTED_VALUE"""),26.98)</f>
        <v>26.98</v>
      </c>
      <c r="C1903" s="5">
        <v>26.964614868164</v>
      </c>
      <c r="D1903" s="5">
        <v>389.497497558593</v>
      </c>
      <c r="E1903" s="7">
        <f t="shared" ref="E1903:F1903" si="1901">C1903/C1902-1</f>
        <v>0.02173425675</v>
      </c>
      <c r="F1903" s="7">
        <f t="shared" si="1901"/>
        <v>0.01453490174</v>
      </c>
    </row>
    <row r="1904">
      <c r="A1904" s="3">
        <f>IFERROR(__xludf.DUMMYFUNCTION("""COMPUTED_VALUE"""),45015.66666666667)</f>
        <v>45015.66667</v>
      </c>
      <c r="B1904" s="5">
        <f>IFERROR(__xludf.DUMMYFUNCTION("""COMPUTED_VALUE"""),27.38)</f>
        <v>27.38</v>
      </c>
      <c r="C1904" s="5">
        <v>27.3633270263671</v>
      </c>
      <c r="D1904" s="5">
        <v>391.778106689453</v>
      </c>
      <c r="E1904" s="7">
        <f t="shared" ref="E1904:F1904" si="1902">C1904/C1903-1</f>
        <v>0.01478649557</v>
      </c>
      <c r="F1904" s="7">
        <f t="shared" si="1902"/>
        <v>0.005855260034</v>
      </c>
    </row>
    <row r="1905">
      <c r="A1905" s="3">
        <f>IFERROR(__xludf.DUMMYFUNCTION("""COMPUTED_VALUE"""),45016.66666666667)</f>
        <v>45016.66667</v>
      </c>
      <c r="B1905" s="5">
        <f>IFERROR(__xludf.DUMMYFUNCTION("""COMPUTED_VALUE"""),27.78)</f>
        <v>27.78</v>
      </c>
      <c r="C1905" s="5">
        <v>27.7570457458496</v>
      </c>
      <c r="D1905" s="5">
        <v>397.300140380859</v>
      </c>
      <c r="E1905" s="7">
        <f t="shared" ref="E1905:F1905" si="1903">C1905/C1904-1</f>
        <v>0.0143885544</v>
      </c>
      <c r="F1905" s="7">
        <f t="shared" si="1903"/>
        <v>0.01409479906</v>
      </c>
    </row>
    <row r="1906">
      <c r="A1906" s="3">
        <f>IFERROR(__xludf.DUMMYFUNCTION("""COMPUTED_VALUE"""),45019.66666666667)</f>
        <v>45019.66667</v>
      </c>
      <c r="B1906" s="5">
        <f>IFERROR(__xludf.DUMMYFUNCTION("""COMPUTED_VALUE"""),27.97)</f>
        <v>27.97</v>
      </c>
      <c r="C1906" s="5">
        <v>27.9449119567871</v>
      </c>
      <c r="D1906" s="5">
        <v>398.81396484375</v>
      </c>
      <c r="E1906" s="7">
        <f t="shared" ref="E1906:F1906" si="1904">C1906/C1905-1</f>
        <v>0.006768235087</v>
      </c>
      <c r="F1906" s="7">
        <f t="shared" si="1904"/>
        <v>0.003810279205</v>
      </c>
    </row>
    <row r="1907">
      <c r="A1907" s="3">
        <f>IFERROR(__xludf.DUMMYFUNCTION("""COMPUTED_VALUE"""),45020.66666666667)</f>
        <v>45020.66667</v>
      </c>
      <c r="B1907" s="5">
        <f>IFERROR(__xludf.DUMMYFUNCTION("""COMPUTED_VALUE"""),27.45)</f>
        <v>27.45</v>
      </c>
      <c r="C1907" s="5">
        <v>27.4332771301269</v>
      </c>
      <c r="D1907" s="5">
        <v>396.601348876953</v>
      </c>
      <c r="E1907" s="7">
        <f t="shared" ref="E1907:F1907" si="1905">C1907/C1906-1</f>
        <v>-0.01830869346</v>
      </c>
      <c r="F1907" s="7">
        <f t="shared" si="1905"/>
        <v>-0.005547990196</v>
      </c>
    </row>
    <row r="1908">
      <c r="A1908" s="3">
        <f>IFERROR(__xludf.DUMMYFUNCTION("""COMPUTED_VALUE"""),45021.66666666667)</f>
        <v>45021.66667</v>
      </c>
      <c r="B1908" s="5">
        <f>IFERROR(__xludf.DUMMYFUNCTION("""COMPUTED_VALUE"""),26.88)</f>
        <v>26.88</v>
      </c>
      <c r="C1908" s="5">
        <v>26.8616886138916</v>
      </c>
      <c r="D1908" s="5">
        <v>395.562957763671</v>
      </c>
      <c r="E1908" s="7">
        <f t="shared" ref="E1908:F1908" si="1906">C1908/C1907-1</f>
        <v>-0.02083559006</v>
      </c>
      <c r="F1908" s="7">
        <f t="shared" si="1906"/>
        <v>-0.002618223857</v>
      </c>
    </row>
    <row r="1909">
      <c r="A1909" s="3">
        <f>IFERROR(__xludf.DUMMYFUNCTION("""COMPUTED_VALUE"""),45022.66666666667)</f>
        <v>45022.66667</v>
      </c>
      <c r="B1909" s="5">
        <f>IFERROR(__xludf.DUMMYFUNCTION("""COMPUTED_VALUE"""),27.04)</f>
        <v>27.04</v>
      </c>
      <c r="C1909" s="5">
        <v>27.0175743103027</v>
      </c>
      <c r="D1909" s="5">
        <v>397.106018066406</v>
      </c>
      <c r="E1909" s="7">
        <f t="shared" ref="E1909:F1909" si="1907">C1909/C1908-1</f>
        <v>0.00580327241</v>
      </c>
      <c r="F1909" s="7">
        <f t="shared" si="1907"/>
        <v>0.003900922148</v>
      </c>
    </row>
    <row r="1910">
      <c r="A1910" s="3">
        <f>IFERROR(__xludf.DUMMYFUNCTION("""COMPUTED_VALUE"""),45026.66666666667)</f>
        <v>45026.66667</v>
      </c>
      <c r="B1910" s="5">
        <f>IFERROR(__xludf.DUMMYFUNCTION("""COMPUTED_VALUE"""),27.58)</f>
        <v>27.58</v>
      </c>
      <c r="C1910" s="5">
        <v>27.5591850280761</v>
      </c>
      <c r="D1910" s="5">
        <v>397.513549804687</v>
      </c>
      <c r="E1910" s="7">
        <f t="shared" ref="E1910:F1910" si="1908">C1910/C1909-1</f>
        <v>0.02004660787</v>
      </c>
      <c r="F1910" s="7">
        <f t="shared" si="1908"/>
        <v>0.001026254249</v>
      </c>
    </row>
    <row r="1911">
      <c r="A1911" s="3">
        <f>IFERROR(__xludf.DUMMYFUNCTION("""COMPUTED_VALUE"""),45027.66666666667)</f>
        <v>45027.66667</v>
      </c>
      <c r="B1911" s="5">
        <f>IFERROR(__xludf.DUMMYFUNCTION("""COMPUTED_VALUE"""),27.17)</f>
        <v>27.17</v>
      </c>
      <c r="C1911" s="5">
        <v>27.1494808197021</v>
      </c>
      <c r="D1911" s="5">
        <v>397.620330810546</v>
      </c>
      <c r="E1911" s="7">
        <f t="shared" ref="E1911:F1911" si="1909">C1911/C1910-1</f>
        <v>-0.01486633977</v>
      </c>
      <c r="F1911" s="7">
        <f t="shared" si="1909"/>
        <v>0.0002686223046</v>
      </c>
    </row>
    <row r="1912">
      <c r="A1912" s="3">
        <f>IFERROR(__xludf.DUMMYFUNCTION("""COMPUTED_VALUE"""),45028.66666666667)</f>
        <v>45028.66667</v>
      </c>
      <c r="B1912" s="5">
        <f>IFERROR(__xludf.DUMMYFUNCTION("""COMPUTED_VALUE"""),26.5)</f>
        <v>26.5</v>
      </c>
      <c r="C1912" s="5">
        <v>26.4759674072265</v>
      </c>
      <c r="D1912" s="5">
        <v>395.99966430664</v>
      </c>
      <c r="E1912" s="7">
        <f t="shared" ref="E1912:F1912" si="1910">C1912/C1911-1</f>
        <v>-0.02480759824</v>
      </c>
      <c r="F1912" s="7">
        <f t="shared" si="1910"/>
        <v>-0.004075914581</v>
      </c>
    </row>
    <row r="1913">
      <c r="A1913" s="3">
        <f>IFERROR(__xludf.DUMMYFUNCTION("""COMPUTED_VALUE"""),45029.66666666667)</f>
        <v>45029.66667</v>
      </c>
      <c r="B1913" s="5">
        <f>IFERROR(__xludf.DUMMYFUNCTION("""COMPUTED_VALUE"""),26.46)</f>
        <v>26.46</v>
      </c>
      <c r="C1913" s="5">
        <v>26.4439888000488</v>
      </c>
      <c r="D1913" s="5">
        <v>401.259613037109</v>
      </c>
      <c r="E1913" s="7">
        <f t="shared" ref="E1913:F1913" si="1911">C1913/C1912-1</f>
        <v>-0.001207835268</v>
      </c>
      <c r="F1913" s="7">
        <f t="shared" si="1911"/>
        <v>0.01328271007</v>
      </c>
    </row>
    <row r="1914">
      <c r="A1914" s="3">
        <f>IFERROR(__xludf.DUMMYFUNCTION("""COMPUTED_VALUE"""),45030.66666666667)</f>
        <v>45030.66667</v>
      </c>
      <c r="B1914" s="5">
        <f>IFERROR(__xludf.DUMMYFUNCTION("""COMPUTED_VALUE"""),26.76)</f>
        <v>26.76</v>
      </c>
      <c r="C1914" s="5">
        <v>26.7387771606445</v>
      </c>
      <c r="D1914" s="5">
        <v>400.279357910156</v>
      </c>
      <c r="E1914" s="7">
        <f t="shared" ref="E1914:F1914" si="1912">C1914/C1913-1</f>
        <v>0.01114765109</v>
      </c>
      <c r="F1914" s="7">
        <f t="shared" si="1912"/>
        <v>-0.002442944904</v>
      </c>
    </row>
    <row r="1915">
      <c r="A1915" s="3">
        <f>IFERROR(__xludf.DUMMYFUNCTION("""COMPUTED_VALUE"""),45033.66666666667)</f>
        <v>45033.66667</v>
      </c>
      <c r="B1915" s="5">
        <f>IFERROR(__xludf.DUMMYFUNCTION("""COMPUTED_VALUE"""),27.0)</f>
        <v>27</v>
      </c>
      <c r="C1915" s="5">
        <v>26.9826011657714</v>
      </c>
      <c r="D1915" s="5">
        <v>401.715698242187</v>
      </c>
      <c r="E1915" s="7">
        <f t="shared" ref="E1915:F1915" si="1913">C1915/C1914-1</f>
        <v>0.009118741806</v>
      </c>
      <c r="F1915" s="7">
        <f t="shared" si="1913"/>
        <v>0.003588344749</v>
      </c>
    </row>
    <row r="1916">
      <c r="A1916" s="3">
        <f>IFERROR(__xludf.DUMMYFUNCTION("""COMPUTED_VALUE"""),45034.66666666667)</f>
        <v>45034.66667</v>
      </c>
      <c r="B1916" s="5">
        <f>IFERROR(__xludf.DUMMYFUNCTION("""COMPUTED_VALUE"""),27.67)</f>
        <v>27.67</v>
      </c>
      <c r="C1916" s="5">
        <v>27.6471233367919</v>
      </c>
      <c r="D1916" s="5">
        <v>401.977722167968</v>
      </c>
      <c r="E1916" s="7">
        <f t="shared" ref="E1916:F1916" si="1914">C1916/C1915-1</f>
        <v>0.02462780245</v>
      </c>
      <c r="F1916" s="7">
        <f t="shared" si="1914"/>
        <v>0.0006522621021</v>
      </c>
    </row>
    <row r="1917">
      <c r="A1917" s="3">
        <f>IFERROR(__xludf.DUMMYFUNCTION("""COMPUTED_VALUE"""),45035.66666666667)</f>
        <v>45035.66667</v>
      </c>
      <c r="B1917" s="5">
        <f>IFERROR(__xludf.DUMMYFUNCTION("""COMPUTED_VALUE"""),27.93)</f>
        <v>27.93</v>
      </c>
      <c r="C1917" s="5">
        <v>27.9109306335449</v>
      </c>
      <c r="D1917" s="5">
        <v>401.90982055664</v>
      </c>
      <c r="E1917" s="7">
        <f t="shared" ref="E1917:F1917" si="1915">C1917/C1916-1</f>
        <v>0.009541943787</v>
      </c>
      <c r="F1917" s="7">
        <f t="shared" si="1915"/>
        <v>-0.000168918842</v>
      </c>
    </row>
    <row r="1918">
      <c r="A1918" s="3">
        <f>IFERROR(__xludf.DUMMYFUNCTION("""COMPUTED_VALUE"""),45036.66666666667)</f>
        <v>45036.66667</v>
      </c>
      <c r="B1918" s="5">
        <f>IFERROR(__xludf.DUMMYFUNCTION("""COMPUTED_VALUE"""),27.1)</f>
        <v>27.1</v>
      </c>
      <c r="C1918" s="5">
        <v>27.0845260620117</v>
      </c>
      <c r="D1918" s="5">
        <v>399.716552734375</v>
      </c>
      <c r="E1918" s="7">
        <f t="shared" ref="E1918:F1918" si="1916">C1918/C1917-1</f>
        <v>-0.0296086355</v>
      </c>
      <c r="F1918" s="7">
        <f t="shared" si="1916"/>
        <v>-0.005457114283</v>
      </c>
    </row>
    <row r="1919">
      <c r="A1919" s="3">
        <f>IFERROR(__xludf.DUMMYFUNCTION("""COMPUTED_VALUE"""),45037.66666666667)</f>
        <v>45037.66667</v>
      </c>
      <c r="B1919" s="5">
        <f>IFERROR(__xludf.DUMMYFUNCTION("""COMPUTED_VALUE"""),27.12)</f>
        <v>27.12</v>
      </c>
      <c r="C1919" s="5">
        <v>27.0995178222656</v>
      </c>
      <c r="D1919" s="5">
        <v>400.027069091796</v>
      </c>
      <c r="E1919" s="7">
        <f t="shared" ref="E1919:F1919" si="1917">C1919/C1918-1</f>
        <v>0.0005535175406</v>
      </c>
      <c r="F1919" s="7">
        <f t="shared" si="1917"/>
        <v>0.0007768413775</v>
      </c>
    </row>
    <row r="1920">
      <c r="A1920" s="3">
        <f>IFERROR(__xludf.DUMMYFUNCTION("""COMPUTED_VALUE"""),45040.66666666667)</f>
        <v>45040.66667</v>
      </c>
      <c r="B1920" s="5">
        <f>IFERROR(__xludf.DUMMYFUNCTION("""COMPUTED_VALUE"""),27.04)</f>
        <v>27.04</v>
      </c>
      <c r="C1920" s="5">
        <v>27.0225715637207</v>
      </c>
      <c r="D1920" s="5">
        <v>400.444427490234</v>
      </c>
      <c r="E1920" s="7">
        <f t="shared" ref="E1920:F1920" si="1918">C1920/C1919-1</f>
        <v>-0.002839395854</v>
      </c>
      <c r="F1920" s="7">
        <f t="shared" si="1918"/>
        <v>0.001043325391</v>
      </c>
    </row>
    <row r="1921">
      <c r="A1921" s="3">
        <f>IFERROR(__xludf.DUMMYFUNCTION("""COMPUTED_VALUE"""),45041.66666666667)</f>
        <v>45041.66667</v>
      </c>
      <c r="B1921" s="5">
        <f>IFERROR(__xludf.DUMMYFUNCTION("""COMPUTED_VALUE"""),26.24)</f>
        <v>26.24</v>
      </c>
      <c r="C1921" s="5">
        <v>26.2221488952636</v>
      </c>
      <c r="D1921" s="5">
        <v>394.087799072265</v>
      </c>
      <c r="E1921" s="7">
        <f t="shared" ref="E1921:F1921" si="1919">C1921/C1920-1</f>
        <v>-0.02962052174</v>
      </c>
      <c r="F1921" s="7">
        <f t="shared" si="1919"/>
        <v>-0.01587393401</v>
      </c>
    </row>
    <row r="1922">
      <c r="A1922" s="3">
        <f>IFERROR(__xludf.DUMMYFUNCTION("""COMPUTED_VALUE"""),45042.66666666667)</f>
        <v>45042.66667</v>
      </c>
      <c r="B1922" s="5">
        <f>IFERROR(__xludf.DUMMYFUNCTION("""COMPUTED_VALUE"""),26.96)</f>
        <v>26.96</v>
      </c>
      <c r="C1922" s="5">
        <v>26.936632156372</v>
      </c>
      <c r="D1922" s="5">
        <v>392.41860961914</v>
      </c>
      <c r="E1922" s="7">
        <f t="shared" ref="E1922:F1922" si="1920">C1922/C1921-1</f>
        <v>0.0272473192</v>
      </c>
      <c r="F1922" s="7">
        <f t="shared" si="1920"/>
        <v>-0.004235577597</v>
      </c>
    </row>
    <row r="1923">
      <c r="A1923" s="3">
        <f>IFERROR(__xludf.DUMMYFUNCTION("""COMPUTED_VALUE"""),45043.66666666667)</f>
        <v>45043.66667</v>
      </c>
      <c r="B1923" s="5">
        <f>IFERROR(__xludf.DUMMYFUNCTION("""COMPUTED_VALUE"""),27.23)</f>
        <v>27.23</v>
      </c>
      <c r="C1923" s="5">
        <v>27.2064418792724</v>
      </c>
      <c r="D1923" s="5">
        <v>400.230865478515</v>
      </c>
      <c r="E1923" s="7">
        <f t="shared" ref="E1923:F1923" si="1921">C1923/C1922-1</f>
        <v>0.0100164609</v>
      </c>
      <c r="F1923" s="7">
        <f t="shared" si="1921"/>
        <v>0.01990796478</v>
      </c>
    </row>
    <row r="1924">
      <c r="A1924" s="3">
        <f>IFERROR(__xludf.DUMMYFUNCTION("""COMPUTED_VALUE"""),45044.66666666667)</f>
        <v>45044.66667</v>
      </c>
      <c r="B1924" s="5">
        <f>IFERROR(__xludf.DUMMYFUNCTION("""COMPUTED_VALUE"""),27.75)</f>
        <v>27.75</v>
      </c>
      <c r="C1924" s="5">
        <v>27.7290668487548</v>
      </c>
      <c r="D1924" s="5">
        <v>403.646911621093</v>
      </c>
      <c r="E1924" s="7">
        <f t="shared" ref="E1924:F1924" si="1922">C1924/C1923-1</f>
        <v>0.01920960381</v>
      </c>
      <c r="F1924" s="7">
        <f t="shared" si="1922"/>
        <v>0.008535189155</v>
      </c>
    </row>
    <row r="1925">
      <c r="A1925" s="3">
        <f>IFERROR(__xludf.DUMMYFUNCTION("""COMPUTED_VALUE"""),45047.66666666667)</f>
        <v>45047.66667</v>
      </c>
      <c r="B1925" s="5">
        <f>IFERROR(__xludf.DUMMYFUNCTION("""COMPUTED_VALUE"""),28.91)</f>
        <v>28.91</v>
      </c>
      <c r="C1925" s="5">
        <v>28.8892307281494</v>
      </c>
      <c r="D1925" s="5">
        <v>403.239318847656</v>
      </c>
      <c r="E1925" s="7">
        <f t="shared" ref="E1925:F1925" si="1923">C1925/C1924-1</f>
        <v>0.04183926873</v>
      </c>
      <c r="F1925" s="7">
        <f t="shared" si="1923"/>
        <v>-0.001009775528</v>
      </c>
    </row>
    <row r="1926">
      <c r="A1926" s="3">
        <f>IFERROR(__xludf.DUMMYFUNCTION("""COMPUTED_VALUE"""),45048.66666666667)</f>
        <v>45048.66667</v>
      </c>
      <c r="B1926" s="5">
        <f>IFERROR(__xludf.DUMMYFUNCTION("""COMPUTED_VALUE"""),28.21)</f>
        <v>28.21</v>
      </c>
      <c r="C1926" s="5">
        <v>28.1897315979003</v>
      </c>
      <c r="D1926" s="5">
        <v>398.707244873046</v>
      </c>
      <c r="E1926" s="7">
        <f t="shared" ref="E1926:F1926" si="1924">C1926/C1925-1</f>
        <v>-0.02421314492</v>
      </c>
      <c r="F1926" s="7">
        <f t="shared" si="1924"/>
        <v>-0.01123916682</v>
      </c>
    </row>
    <row r="1927">
      <c r="A1927" s="3">
        <f>IFERROR(__xludf.DUMMYFUNCTION("""COMPUTED_VALUE"""),45049.66666666667)</f>
        <v>45049.66667</v>
      </c>
      <c r="B1927" s="5">
        <f>IFERROR(__xludf.DUMMYFUNCTION("""COMPUTED_VALUE"""),27.8)</f>
        <v>27.8</v>
      </c>
      <c r="C1927" s="5">
        <v>27.7820262908935</v>
      </c>
      <c r="D1927" s="5">
        <v>395.970550537109</v>
      </c>
      <c r="E1927" s="7">
        <f t="shared" ref="E1927:F1927" si="1925">C1927/C1926-1</f>
        <v>-0.01446290134</v>
      </c>
      <c r="F1927" s="7">
        <f t="shared" si="1925"/>
        <v>-0.006863919257</v>
      </c>
    </row>
    <row r="1928">
      <c r="A1928" s="3">
        <f>IFERROR(__xludf.DUMMYFUNCTION("""COMPUTED_VALUE"""),45050.66666666667)</f>
        <v>45050.66667</v>
      </c>
      <c r="B1928" s="5">
        <f>IFERROR(__xludf.DUMMYFUNCTION("""COMPUTED_VALUE"""),27.56)</f>
        <v>27.56</v>
      </c>
      <c r="C1928" s="5">
        <v>27.5422000885009</v>
      </c>
      <c r="D1928" s="5">
        <v>393.165863037109</v>
      </c>
      <c r="E1928" s="7">
        <f t="shared" ref="E1928:F1928" si="1926">C1928/C1927-1</f>
        <v>-0.008632422987</v>
      </c>
      <c r="F1928" s="7">
        <f t="shared" si="1926"/>
        <v>-0.007083070941</v>
      </c>
    </row>
    <row r="1929">
      <c r="A1929" s="3">
        <f>IFERROR(__xludf.DUMMYFUNCTION("""COMPUTED_VALUE"""),45051.66666666667)</f>
        <v>45051.66667</v>
      </c>
      <c r="B1929" s="5">
        <f>IFERROR(__xludf.DUMMYFUNCTION("""COMPUTED_VALUE"""),28.68)</f>
        <v>28.68</v>
      </c>
      <c r="C1929" s="5">
        <v>28.6593971252441</v>
      </c>
      <c r="D1929" s="5">
        <v>400.444427490234</v>
      </c>
      <c r="E1929" s="7">
        <f t="shared" ref="E1929:F1929" si="1927">C1929/C1928-1</f>
        <v>0.04056310074</v>
      </c>
      <c r="F1929" s="7">
        <f t="shared" si="1927"/>
        <v>0.01851270707</v>
      </c>
    </row>
    <row r="1930">
      <c r="A1930" s="3">
        <f>IFERROR(__xludf.DUMMYFUNCTION("""COMPUTED_VALUE"""),45054.66666666667)</f>
        <v>45054.66667</v>
      </c>
      <c r="B1930" s="5">
        <f>IFERROR(__xludf.DUMMYFUNCTION("""COMPUTED_VALUE"""),29.15)</f>
        <v>29.15</v>
      </c>
      <c r="C1930" s="5">
        <v>29.1300544738769</v>
      </c>
      <c r="D1930" s="5">
        <v>400.551116943359</v>
      </c>
      <c r="E1930" s="7">
        <f t="shared" ref="E1930:F1930" si="1928">C1930/C1929-1</f>
        <v>0.01642244415</v>
      </c>
      <c r="F1930" s="7">
        <f t="shared" si="1928"/>
        <v>0.0002664276134</v>
      </c>
    </row>
    <row r="1931">
      <c r="A1931" s="3">
        <f>IFERROR(__xludf.DUMMYFUNCTION("""COMPUTED_VALUE"""),45055.66666666667)</f>
        <v>45055.66667</v>
      </c>
      <c r="B1931" s="5">
        <f>IFERROR(__xludf.DUMMYFUNCTION("""COMPUTED_VALUE"""),28.57)</f>
        <v>28.57</v>
      </c>
      <c r="C1931" s="5">
        <v>28.5504741668701</v>
      </c>
      <c r="D1931" s="5">
        <v>398.794555664062</v>
      </c>
      <c r="E1931" s="7">
        <f t="shared" ref="E1931:F1931" si="1929">C1931/C1930-1</f>
        <v>-0.01989630014</v>
      </c>
      <c r="F1931" s="7">
        <f t="shared" si="1929"/>
        <v>-0.004385361081</v>
      </c>
    </row>
    <row r="1932">
      <c r="A1932" s="3">
        <f>IFERROR(__xludf.DUMMYFUNCTION("""COMPUTED_VALUE"""),45056.66666666667)</f>
        <v>45056.66667</v>
      </c>
      <c r="B1932" s="5">
        <f>IFERROR(__xludf.DUMMYFUNCTION("""COMPUTED_VALUE"""),28.89)</f>
        <v>28.89</v>
      </c>
      <c r="C1932" s="5">
        <v>28.8642501831054</v>
      </c>
      <c r="D1932" s="5">
        <v>400.657928466796</v>
      </c>
      <c r="E1932" s="7">
        <f t="shared" ref="E1932:F1932" si="1930">C1932/C1931-1</f>
        <v>0.01099022084</v>
      </c>
      <c r="F1932" s="7">
        <f t="shared" si="1930"/>
        <v>0.004672513143</v>
      </c>
    </row>
    <row r="1933">
      <c r="A1933" s="3">
        <f>IFERROR(__xludf.DUMMYFUNCTION("""COMPUTED_VALUE"""),45057.66666666667)</f>
        <v>45057.66667</v>
      </c>
      <c r="B1933" s="5">
        <f>IFERROR(__xludf.DUMMYFUNCTION("""COMPUTED_VALUE"""),28.58)</f>
        <v>28.58</v>
      </c>
      <c r="C1933" s="5">
        <v>28.557466506958</v>
      </c>
      <c r="D1933" s="5">
        <v>399.95913696289</v>
      </c>
      <c r="E1933" s="7">
        <f t="shared" ref="E1933:F1933" si="1931">C1933/C1932-1</f>
        <v>-0.01062849976</v>
      </c>
      <c r="F1933" s="7">
        <f t="shared" si="1931"/>
        <v>-0.001744110011</v>
      </c>
    </row>
    <row r="1934">
      <c r="A1934" s="3">
        <f>IFERROR(__xludf.DUMMYFUNCTION("""COMPUTED_VALUE"""),45058.66666666667)</f>
        <v>45058.66667</v>
      </c>
      <c r="B1934" s="5">
        <f>IFERROR(__xludf.DUMMYFUNCTION("""COMPUTED_VALUE"""),28.34)</f>
        <v>28.34</v>
      </c>
      <c r="C1934" s="5">
        <v>28.3196353912353</v>
      </c>
      <c r="D1934" s="5">
        <v>399.435089111328</v>
      </c>
      <c r="E1934" s="7">
        <f t="shared" ref="E1934:F1934" si="1932">C1934/C1933-1</f>
        <v>-0.00832815879</v>
      </c>
      <c r="F1934" s="7">
        <f t="shared" si="1932"/>
        <v>-0.001310253481</v>
      </c>
    </row>
    <row r="1935">
      <c r="A1935" s="3">
        <f>IFERROR(__xludf.DUMMYFUNCTION("""COMPUTED_VALUE"""),45061.66666666667)</f>
        <v>45061.66667</v>
      </c>
      <c r="B1935" s="5">
        <f>IFERROR(__xludf.DUMMYFUNCTION("""COMPUTED_VALUE"""),28.95)</f>
        <v>28.95</v>
      </c>
      <c r="C1935" s="5">
        <v>28.9321956634521</v>
      </c>
      <c r="D1935" s="5">
        <v>400.813201904296</v>
      </c>
      <c r="E1935" s="7">
        <f t="shared" ref="E1935:F1935" si="1933">C1935/C1934-1</f>
        <v>0.0216302316</v>
      </c>
      <c r="F1935" s="7">
        <f t="shared" si="1933"/>
        <v>0.003450154557</v>
      </c>
    </row>
    <row r="1936">
      <c r="A1936" s="3">
        <f>IFERROR(__xludf.DUMMYFUNCTION("""COMPUTED_VALUE"""),45062.66666666667)</f>
        <v>45062.66667</v>
      </c>
      <c r="B1936" s="5">
        <f>IFERROR(__xludf.DUMMYFUNCTION("""COMPUTED_VALUE"""),29.21)</f>
        <v>29.21</v>
      </c>
      <c r="C1936" s="5">
        <v>29.1920127868652</v>
      </c>
      <c r="D1936" s="5">
        <v>398.134643554687</v>
      </c>
      <c r="E1936" s="7">
        <f t="shared" ref="E1936:F1936" si="1934">C1936/C1935-1</f>
        <v>0.008980207601</v>
      </c>
      <c r="F1936" s="7">
        <f t="shared" si="1934"/>
        <v>-0.00668280969</v>
      </c>
    </row>
    <row r="1937">
      <c r="A1937" s="3">
        <f>IFERROR(__xludf.DUMMYFUNCTION("""COMPUTED_VALUE"""),45063.66666666667)</f>
        <v>45063.66667</v>
      </c>
      <c r="B1937" s="5">
        <f>IFERROR(__xludf.DUMMYFUNCTION("""COMPUTED_VALUE"""),30.18)</f>
        <v>30.18</v>
      </c>
      <c r="C1937" s="5">
        <v>30.1563205718994</v>
      </c>
      <c r="D1937" s="5">
        <v>402.967590332031</v>
      </c>
      <c r="E1937" s="7">
        <f t="shared" ref="E1937:F1937" si="1935">C1937/C1936-1</f>
        <v>0.03303327496</v>
      </c>
      <c r="F1937" s="7">
        <f t="shared" si="1935"/>
        <v>0.01213897573</v>
      </c>
    </row>
    <row r="1938">
      <c r="A1938" s="3">
        <f>IFERROR(__xludf.DUMMYFUNCTION("""COMPUTED_VALUE"""),45064.66666666667)</f>
        <v>45064.66667</v>
      </c>
      <c r="B1938" s="5">
        <f>IFERROR(__xludf.DUMMYFUNCTION("""COMPUTED_VALUE"""),31.68)</f>
        <v>31.68</v>
      </c>
      <c r="C1938" s="5">
        <v>31.6552429199218</v>
      </c>
      <c r="D1938" s="5">
        <v>406.849517822265</v>
      </c>
      <c r="E1938" s="7">
        <f t="shared" ref="E1938:F1938" si="1936">C1938/C1937-1</f>
        <v>0.04970508071</v>
      </c>
      <c r="F1938" s="7">
        <f t="shared" si="1936"/>
        <v>0.009633349141</v>
      </c>
    </row>
    <row r="1939">
      <c r="A1939" s="3">
        <f>IFERROR(__xludf.DUMMYFUNCTION("""COMPUTED_VALUE"""),45065.66666666667)</f>
        <v>45065.66667</v>
      </c>
      <c r="B1939" s="5">
        <f>IFERROR(__xludf.DUMMYFUNCTION("""COMPUTED_VALUE"""),31.26)</f>
        <v>31.26</v>
      </c>
      <c r="C1939" s="5">
        <v>31.2415370941162</v>
      </c>
      <c r="D1939" s="5">
        <v>406.257507324218</v>
      </c>
      <c r="E1939" s="7">
        <f t="shared" ref="E1939:F1939" si="1937">C1939/C1938-1</f>
        <v>-0.01306910918</v>
      </c>
      <c r="F1939" s="7">
        <f t="shared" si="1937"/>
        <v>-0.001455109253</v>
      </c>
    </row>
    <row r="1940">
      <c r="A1940" s="3">
        <f>IFERROR(__xludf.DUMMYFUNCTION("""COMPUTED_VALUE"""),45068.66666666667)</f>
        <v>45068.66667</v>
      </c>
      <c r="B1940" s="5">
        <f>IFERROR(__xludf.DUMMYFUNCTION("""COMPUTED_VALUE"""),31.18)</f>
        <v>31.18</v>
      </c>
      <c r="C1940" s="5">
        <v>31.1536045074462</v>
      </c>
      <c r="D1940" s="5">
        <v>406.422424316406</v>
      </c>
      <c r="E1940" s="7">
        <f t="shared" ref="E1940:F1940" si="1938">C1940/C1939-1</f>
        <v>-0.002814605005</v>
      </c>
      <c r="F1940" s="7">
        <f t="shared" si="1938"/>
        <v>0.0004059420176</v>
      </c>
    </row>
    <row r="1941">
      <c r="A1941" s="3">
        <f>IFERROR(__xludf.DUMMYFUNCTION("""COMPUTED_VALUE"""),45069.66666666667)</f>
        <v>45069.66667</v>
      </c>
      <c r="B1941" s="5">
        <f>IFERROR(__xludf.DUMMYFUNCTION("""COMPUTED_VALUE"""),30.69)</f>
        <v>30.69</v>
      </c>
      <c r="C1941" s="5">
        <v>30.6659526824951</v>
      </c>
      <c r="D1941" s="5">
        <v>401.861267089843</v>
      </c>
      <c r="E1941" s="7">
        <f t="shared" ref="E1941:F1941" si="1939">C1941/C1940-1</f>
        <v>-0.01565314296</v>
      </c>
      <c r="F1941" s="7">
        <f t="shared" si="1939"/>
        <v>-0.0112227007</v>
      </c>
    </row>
    <row r="1942">
      <c r="A1942" s="3">
        <f>IFERROR(__xludf.DUMMYFUNCTION("""COMPUTED_VALUE"""),45070.66666666667)</f>
        <v>45070.66667</v>
      </c>
      <c r="B1942" s="5">
        <f>IFERROR(__xludf.DUMMYFUNCTION("""COMPUTED_VALUE"""),30.54)</f>
        <v>30.54</v>
      </c>
      <c r="C1942" s="5">
        <v>30.5160579681396</v>
      </c>
      <c r="D1942" s="5">
        <v>398.949829101562</v>
      </c>
      <c r="E1942" s="7">
        <f t="shared" ref="E1942:F1942" si="1940">C1942/C1941-1</f>
        <v>-0.004887984923</v>
      </c>
      <c r="F1942" s="7">
        <f t="shared" si="1940"/>
        <v>-0.007244883313</v>
      </c>
    </row>
    <row r="1943">
      <c r="A1943" s="3">
        <f>IFERROR(__xludf.DUMMYFUNCTION("""COMPUTED_VALUE"""),45071.66666666667)</f>
        <v>45071.66667</v>
      </c>
      <c r="B1943" s="5">
        <f>IFERROR(__xludf.DUMMYFUNCTION("""COMPUTED_VALUE"""),37.98)</f>
        <v>37.98</v>
      </c>
      <c r="C1943" s="5">
        <v>37.9527130126953</v>
      </c>
      <c r="D1943" s="5">
        <v>402.404754638671</v>
      </c>
      <c r="E1943" s="7">
        <f t="shared" ref="E1943:F1943" si="1941">C1943/C1942-1</f>
        <v>0.2436964516</v>
      </c>
      <c r="F1943" s="7">
        <f t="shared" si="1941"/>
        <v>0.008660050174</v>
      </c>
    </row>
    <row r="1944">
      <c r="A1944" s="3">
        <f>IFERROR(__xludf.DUMMYFUNCTION("""COMPUTED_VALUE"""),45072.66666666667)</f>
        <v>45072.66667</v>
      </c>
      <c r="B1944" s="5">
        <f>IFERROR(__xludf.DUMMYFUNCTION("""COMPUTED_VALUE"""),38.95)</f>
        <v>38.95</v>
      </c>
      <c r="C1944" s="5">
        <v>38.9180183410644</v>
      </c>
      <c r="D1944" s="5">
        <v>407.616149902343</v>
      </c>
      <c r="E1944" s="7">
        <f t="shared" ref="E1944:F1944" si="1942">C1944/C1943-1</f>
        <v>0.02543442225</v>
      </c>
      <c r="F1944" s="7">
        <f t="shared" si="1942"/>
        <v>0.01295063044</v>
      </c>
    </row>
    <row r="1945">
      <c r="A1945" s="3">
        <f>IFERROR(__xludf.DUMMYFUNCTION("""COMPUTED_VALUE"""),45076.66666666667)</f>
        <v>45076.66667</v>
      </c>
      <c r="B1945" s="5">
        <f>IFERROR(__xludf.DUMMYFUNCTION("""COMPUTED_VALUE"""),40.11)</f>
        <v>40.11</v>
      </c>
      <c r="C1945" s="5">
        <v>40.0821838378906</v>
      </c>
      <c r="D1945" s="5">
        <v>407.771423339843</v>
      </c>
      <c r="E1945" s="7">
        <f t="shared" ref="E1945:F1945" si="1943">C1945/C1944-1</f>
        <v>0.02991327787</v>
      </c>
      <c r="F1945" s="7">
        <f t="shared" si="1943"/>
        <v>0.0003809305336</v>
      </c>
    </row>
    <row r="1946">
      <c r="A1946" s="3">
        <f>IFERROR(__xludf.DUMMYFUNCTION("""COMPUTED_VALUE"""),45077.66666666667)</f>
        <v>45077.66667</v>
      </c>
      <c r="B1946" s="5">
        <f>IFERROR(__xludf.DUMMYFUNCTION("""COMPUTED_VALUE"""),37.83)</f>
        <v>37.83</v>
      </c>
      <c r="C1946" s="5">
        <v>37.8068161010742</v>
      </c>
      <c r="D1946" s="5">
        <v>405.510223388671</v>
      </c>
      <c r="E1946" s="7">
        <f t="shared" ref="E1946:F1946" si="1944">C1946/C1945-1</f>
        <v>-0.05676755902</v>
      </c>
      <c r="F1946" s="7">
        <f t="shared" si="1944"/>
        <v>-0.005545263404</v>
      </c>
    </row>
    <row r="1947">
      <c r="A1947" s="3">
        <f>IFERROR(__xludf.DUMMYFUNCTION("""COMPUTED_VALUE"""),45078.66666666667)</f>
        <v>45078.66667</v>
      </c>
      <c r="B1947" s="5">
        <f>IFERROR(__xludf.DUMMYFUNCTION("""COMPUTED_VALUE"""),39.77)</f>
        <v>39.77</v>
      </c>
      <c r="C1947" s="5">
        <v>39.7414283752441</v>
      </c>
      <c r="D1947" s="5">
        <v>409.363006591796</v>
      </c>
      <c r="E1947" s="7">
        <f t="shared" ref="E1947:F1947" si="1945">C1947/C1946-1</f>
        <v>0.05117099173</v>
      </c>
      <c r="F1947" s="7">
        <f t="shared" si="1945"/>
        <v>0.009501075388</v>
      </c>
    </row>
    <row r="1948">
      <c r="A1948" s="3">
        <f>IFERROR(__xludf.DUMMYFUNCTION("""COMPUTED_VALUE"""),45079.66666666667)</f>
        <v>45079.66667</v>
      </c>
      <c r="B1948" s="5">
        <f>IFERROR(__xludf.DUMMYFUNCTION("""COMPUTED_VALUE"""),39.33)</f>
        <v>39.33</v>
      </c>
      <c r="C1948" s="5">
        <v>39.2987480163574</v>
      </c>
      <c r="D1948" s="5">
        <v>415.282836914062</v>
      </c>
      <c r="E1948" s="7">
        <f t="shared" ref="E1948:F1948" si="1946">C1948/C1947-1</f>
        <v>-0.0111390148</v>
      </c>
      <c r="F1948" s="7">
        <f t="shared" si="1946"/>
        <v>0.01446107789</v>
      </c>
    </row>
    <row r="1949">
      <c r="A1949" s="3">
        <f>IFERROR(__xludf.DUMMYFUNCTION("""COMPUTED_VALUE"""),45082.66666666667)</f>
        <v>45082.66667</v>
      </c>
      <c r="B1949" s="5">
        <f>IFERROR(__xludf.DUMMYFUNCTION("""COMPUTED_VALUE"""),39.17)</f>
        <v>39.17</v>
      </c>
      <c r="C1949" s="5">
        <v>39.1428642272949</v>
      </c>
      <c r="D1949" s="5">
        <v>414.487091064453</v>
      </c>
      <c r="E1949" s="7">
        <f t="shared" ref="E1949:F1949" si="1947">C1949/C1948-1</f>
        <v>-0.003966634993</v>
      </c>
      <c r="F1949" s="7">
        <f t="shared" si="1947"/>
        <v>-0.001916153953</v>
      </c>
    </row>
    <row r="1950">
      <c r="A1950" s="3">
        <f>IFERROR(__xludf.DUMMYFUNCTION("""COMPUTED_VALUE"""),45083.66666666667)</f>
        <v>45083.66667</v>
      </c>
      <c r="B1950" s="5">
        <f>IFERROR(__xludf.DUMMYFUNCTION("""COMPUTED_VALUE"""),38.65)</f>
        <v>38.65</v>
      </c>
      <c r="C1950" s="5">
        <v>38.626235961914</v>
      </c>
      <c r="D1950" s="5">
        <v>415.389587402343</v>
      </c>
      <c r="E1950" s="7">
        <f t="shared" ref="E1950:F1950" si="1948">C1950/C1949-1</f>
        <v>-0.01319852994</v>
      </c>
      <c r="F1950" s="7">
        <f t="shared" si="1948"/>
        <v>0.002177381051</v>
      </c>
    </row>
    <row r="1951">
      <c r="A1951" s="3">
        <f>IFERROR(__xludf.DUMMYFUNCTION("""COMPUTED_VALUE"""),45084.66666666667)</f>
        <v>45084.66667</v>
      </c>
      <c r="B1951" s="5">
        <f>IFERROR(__xludf.DUMMYFUNCTION("""COMPUTED_VALUE"""),37.48)</f>
        <v>37.48</v>
      </c>
      <c r="C1951" s="5">
        <v>37.4519500732421</v>
      </c>
      <c r="D1951" s="5">
        <v>413.953247070312</v>
      </c>
      <c r="E1951" s="7">
        <f t="shared" ref="E1951:F1951" si="1949">C1951/C1950-1</f>
        <v>-0.03040125084</v>
      </c>
      <c r="F1951" s="7">
        <f t="shared" si="1949"/>
        <v>-0.003457814966</v>
      </c>
    </row>
    <row r="1952">
      <c r="A1952" s="3">
        <f>IFERROR(__xludf.DUMMYFUNCTION("""COMPUTED_VALUE"""),45085.66666666667)</f>
        <v>45085.66667</v>
      </c>
      <c r="B1952" s="5">
        <f>IFERROR(__xludf.DUMMYFUNCTION("""COMPUTED_VALUE"""),38.51)</f>
        <v>38.51</v>
      </c>
      <c r="C1952" s="5">
        <v>38.4863204956054</v>
      </c>
      <c r="D1952" s="5">
        <v>416.457153320312</v>
      </c>
      <c r="E1952" s="7">
        <f t="shared" ref="E1952:F1952" si="1950">C1952/C1951-1</f>
        <v>0.02761859984</v>
      </c>
      <c r="F1952" s="7">
        <f t="shared" si="1950"/>
        <v>0.006048765815</v>
      </c>
    </row>
    <row r="1953">
      <c r="A1953" s="3">
        <f>IFERROR(__xludf.DUMMYFUNCTION("""COMPUTED_VALUE"""),45086.66666666667)</f>
        <v>45086.66667</v>
      </c>
      <c r="B1953" s="5">
        <f>IFERROR(__xludf.DUMMYFUNCTION("""COMPUTED_VALUE"""),38.77)</f>
        <v>38.77</v>
      </c>
      <c r="C1953" s="5">
        <v>38.7461547851562</v>
      </c>
      <c r="D1953" s="5">
        <v>417.204376220703</v>
      </c>
      <c r="E1953" s="7">
        <f t="shared" ref="E1953:F1953" si="1951">C1953/C1952-1</f>
        <v>0.006751341417</v>
      </c>
      <c r="F1953" s="7">
        <f t="shared" si="1951"/>
        <v>0.001794237161</v>
      </c>
    </row>
    <row r="1954">
      <c r="A1954" s="3">
        <f>IFERROR(__xludf.DUMMYFUNCTION("""COMPUTED_VALUE"""),45089.66666666667)</f>
        <v>45089.66667</v>
      </c>
      <c r="B1954" s="5">
        <f>IFERROR(__xludf.DUMMYFUNCTION("""COMPUTED_VALUE"""),39.48)</f>
        <v>39.48</v>
      </c>
      <c r="C1954" s="5">
        <v>39.4577140808105</v>
      </c>
      <c r="D1954" s="5">
        <v>420.989166259765</v>
      </c>
      <c r="E1954" s="7">
        <f t="shared" ref="E1954:F1954" si="1952">C1954/C1953-1</f>
        <v>0.01836464288</v>
      </c>
      <c r="F1954" s="7">
        <f t="shared" si="1952"/>
        <v>0.009071788924</v>
      </c>
    </row>
    <row r="1955">
      <c r="A1955" s="3">
        <f>IFERROR(__xludf.DUMMYFUNCTION("""COMPUTED_VALUE"""),45090.66666666667)</f>
        <v>45090.66667</v>
      </c>
      <c r="B1955" s="5">
        <f>IFERROR(__xludf.DUMMYFUNCTION("""COMPUTED_VALUE"""),41.02)</f>
        <v>41.02</v>
      </c>
      <c r="C1955" s="5">
        <v>40.996768951416</v>
      </c>
      <c r="D1955" s="5">
        <v>423.764709472656</v>
      </c>
      <c r="E1955" s="7">
        <f t="shared" ref="E1955:F1955" si="1953">C1955/C1954-1</f>
        <v>0.03900517064</v>
      </c>
      <c r="F1955" s="7">
        <f t="shared" si="1953"/>
        <v>0.006592908881</v>
      </c>
    </row>
    <row r="1956">
      <c r="A1956" s="3">
        <f>IFERROR(__xludf.DUMMYFUNCTION("""COMPUTED_VALUE"""),45091.66666666667)</f>
        <v>45091.66667</v>
      </c>
      <c r="B1956" s="5">
        <f>IFERROR(__xludf.DUMMYFUNCTION("""COMPUTED_VALUE"""),43.0)</f>
        <v>43</v>
      </c>
      <c r="C1956" s="5">
        <v>42.9705505371093</v>
      </c>
      <c r="D1956" s="5">
        <v>424.269378662109</v>
      </c>
      <c r="E1956" s="7">
        <f t="shared" ref="E1956:F1956" si="1954">C1956/C1955-1</f>
        <v>0.04814480839</v>
      </c>
      <c r="F1956" s="7">
        <f t="shared" si="1954"/>
        <v>0.001190918399</v>
      </c>
    </row>
    <row r="1957">
      <c r="A1957" s="3">
        <f>IFERROR(__xludf.DUMMYFUNCTION("""COMPUTED_VALUE"""),45092.66666666667)</f>
        <v>45092.66667</v>
      </c>
      <c r="B1957" s="5">
        <f>IFERROR(__xludf.DUMMYFUNCTION("""COMPUTED_VALUE"""),42.65)</f>
        <v>42.65</v>
      </c>
      <c r="C1957" s="5">
        <v>42.6267700195312</v>
      </c>
      <c r="D1957" s="5">
        <v>429.529327392578</v>
      </c>
      <c r="E1957" s="7">
        <f t="shared" ref="E1957:F1957" si="1955">C1957/C1956-1</f>
        <v>-0.008000374984</v>
      </c>
      <c r="F1957" s="7">
        <f t="shared" si="1955"/>
        <v>0.01239766289</v>
      </c>
    </row>
    <row r="1958">
      <c r="A1958" s="3">
        <f>IFERROR(__xludf.DUMMYFUNCTION("""COMPUTED_VALUE"""),45093.66666666667)</f>
        <v>45093.66667</v>
      </c>
      <c r="B1958" s="5">
        <f>IFERROR(__xludf.DUMMYFUNCTION("""COMPUTED_VALUE"""),42.69)</f>
        <v>42.69</v>
      </c>
      <c r="C1958" s="5">
        <v>42.6657409667968</v>
      </c>
      <c r="D1958" s="5">
        <v>428.066253662109</v>
      </c>
      <c r="E1958" s="7">
        <f t="shared" ref="E1958:F1958" si="1956">C1958/C1957-1</f>
        <v>0.0009142364586</v>
      </c>
      <c r="F1958" s="7">
        <f t="shared" si="1956"/>
        <v>-0.003406225459</v>
      </c>
    </row>
    <row r="1959">
      <c r="A1959" s="3">
        <f>IFERROR(__xludf.DUMMYFUNCTION("""COMPUTED_VALUE"""),45097.66666666667)</f>
        <v>45097.66667</v>
      </c>
      <c r="B1959" s="5">
        <f>IFERROR(__xludf.DUMMYFUNCTION("""COMPUTED_VALUE"""),43.81)</f>
        <v>43.81</v>
      </c>
      <c r="C1959" s="5">
        <v>43.7810554504394</v>
      </c>
      <c r="D1959" s="5">
        <v>425.84536743164</v>
      </c>
      <c r="E1959" s="7">
        <f t="shared" ref="E1959:F1959" si="1957">C1959/C1958-1</f>
        <v>0.02614075036</v>
      </c>
      <c r="F1959" s="7">
        <f t="shared" si="1957"/>
        <v>-0.005188183398</v>
      </c>
    </row>
    <row r="1960">
      <c r="A1960" s="3">
        <f>IFERROR(__xludf.DUMMYFUNCTION("""COMPUTED_VALUE"""),45098.66666666667)</f>
        <v>45098.66667</v>
      </c>
      <c r="B1960" s="5">
        <f>IFERROR(__xludf.DUMMYFUNCTION("""COMPUTED_VALUE"""),43.05)</f>
        <v>43.05</v>
      </c>
      <c r="C1960" s="5">
        <v>43.0185279846191</v>
      </c>
      <c r="D1960" s="5">
        <v>423.663452148437</v>
      </c>
      <c r="E1960" s="7">
        <f t="shared" ref="E1960:F1960" si="1958">C1960/C1959-1</f>
        <v>-0.01741683607</v>
      </c>
      <c r="F1960" s="7">
        <f t="shared" si="1958"/>
        <v>-0.005123726709</v>
      </c>
    </row>
    <row r="1961">
      <c r="A1961" s="3">
        <f>IFERROR(__xludf.DUMMYFUNCTION("""COMPUTED_VALUE"""),45099.66666666667)</f>
        <v>45099.66667</v>
      </c>
      <c r="B1961" s="5">
        <f>IFERROR(__xludf.DUMMYFUNCTION("""COMPUTED_VALUE"""),43.03)</f>
        <v>43.03</v>
      </c>
      <c r="C1961" s="5">
        <v>42.9985427856445</v>
      </c>
      <c r="D1961" s="5">
        <v>425.192718505859</v>
      </c>
      <c r="E1961" s="7">
        <f t="shared" ref="E1961:F1961" si="1959">C1961/C1960-1</f>
        <v>-0.0004645718929</v>
      </c>
      <c r="F1961" s="7">
        <f t="shared" si="1959"/>
        <v>0.003609625399</v>
      </c>
    </row>
    <row r="1962">
      <c r="A1962" s="3">
        <f>IFERROR(__xludf.DUMMYFUNCTION("""COMPUTED_VALUE"""),45100.66666666667)</f>
        <v>45100.66667</v>
      </c>
      <c r="B1962" s="5">
        <f>IFERROR(__xludf.DUMMYFUNCTION("""COMPUTED_VALUE"""),42.21)</f>
        <v>42.21</v>
      </c>
      <c r="C1962" s="5">
        <v>42.1830444335937</v>
      </c>
      <c r="D1962" s="5">
        <v>421.978332519531</v>
      </c>
      <c r="E1962" s="7">
        <f t="shared" ref="E1962:F1962" si="1960">C1962/C1961-1</f>
        <v>-0.01896572068</v>
      </c>
      <c r="F1962" s="7">
        <f t="shared" si="1960"/>
        <v>-0.007559833098</v>
      </c>
    </row>
    <row r="1963">
      <c r="A1963" s="3">
        <f>IFERROR(__xludf.DUMMYFUNCTION("""COMPUTED_VALUE"""),45103.66666666667)</f>
        <v>45103.66667</v>
      </c>
      <c r="B1963" s="5">
        <f>IFERROR(__xludf.DUMMYFUNCTION("""COMPUTED_VALUE"""),40.63)</f>
        <v>40.63</v>
      </c>
      <c r="C1963" s="5">
        <v>40.6070098876953</v>
      </c>
      <c r="D1963" s="5">
        <v>420.254150390625</v>
      </c>
      <c r="E1963" s="7">
        <f t="shared" ref="E1963:F1963" si="1961">C1963/C1962-1</f>
        <v>-0.03736180181</v>
      </c>
      <c r="F1963" s="7">
        <f t="shared" si="1961"/>
        <v>-0.004085949434</v>
      </c>
    </row>
    <row r="1964">
      <c r="A1964" s="3">
        <f>IFERROR(__xludf.DUMMYFUNCTION("""COMPUTED_VALUE"""),45104.66666666667)</f>
        <v>45104.66667</v>
      </c>
      <c r="B1964" s="5">
        <f>IFERROR(__xludf.DUMMYFUNCTION("""COMPUTED_VALUE"""),41.88)</f>
        <v>41.88</v>
      </c>
      <c r="C1964" s="5">
        <v>41.8502464294433</v>
      </c>
      <c r="D1964" s="5">
        <v>424.861602783203</v>
      </c>
      <c r="E1964" s="7">
        <f t="shared" ref="E1964:F1964" si="1962">C1964/C1963-1</f>
        <v>0.03061630357</v>
      </c>
      <c r="F1964" s="7">
        <f t="shared" si="1962"/>
        <v>0.01096349052</v>
      </c>
    </row>
    <row r="1965">
      <c r="A1965" s="3">
        <f>IFERROR(__xludf.DUMMYFUNCTION("""COMPUTED_VALUE"""),45105.66666666667)</f>
        <v>45105.66667</v>
      </c>
      <c r="B1965" s="5">
        <f>IFERROR(__xludf.DUMMYFUNCTION("""COMPUTED_VALUE"""),41.12)</f>
        <v>41.12</v>
      </c>
      <c r="C1965" s="5">
        <v>41.0917167663574</v>
      </c>
      <c r="D1965" s="5">
        <v>425.075897216796</v>
      </c>
      <c r="E1965" s="7">
        <f t="shared" ref="E1965:F1965" si="1963">C1965/C1964-1</f>
        <v>-0.01812485535</v>
      </c>
      <c r="F1965" s="7">
        <f t="shared" si="1963"/>
        <v>0.0005043864453</v>
      </c>
    </row>
    <row r="1966">
      <c r="A1966" s="3">
        <f>IFERROR(__xludf.DUMMYFUNCTION("""COMPUTED_VALUE"""),45106.66666666667)</f>
        <v>45106.66667</v>
      </c>
      <c r="B1966" s="5">
        <f>IFERROR(__xludf.DUMMYFUNCTION("""COMPUTED_VALUE"""),40.82)</f>
        <v>40.82</v>
      </c>
      <c r="C1966" s="5">
        <v>40.7968940734863</v>
      </c>
      <c r="D1966" s="5">
        <v>426.751251220703</v>
      </c>
      <c r="E1966" s="7">
        <f t="shared" ref="E1966:F1966" si="1964">C1966/C1965-1</f>
        <v>-0.007174747518</v>
      </c>
      <c r="F1966" s="7">
        <f t="shared" si="1964"/>
        <v>0.003941305576</v>
      </c>
    </row>
    <row r="1967">
      <c r="A1967" s="3">
        <f>IFERROR(__xludf.DUMMYFUNCTION("""COMPUTED_VALUE"""),45107.66666666667)</f>
        <v>45107.66667</v>
      </c>
      <c r="B1967" s="5">
        <f>IFERROR(__xludf.DUMMYFUNCTION("""COMPUTED_VALUE"""),42.3)</f>
        <v>42.3</v>
      </c>
      <c r="C1967" s="5">
        <v>42.2759819030761</v>
      </c>
      <c r="D1967" s="5">
        <v>431.787231445312</v>
      </c>
      <c r="E1967" s="7">
        <f t="shared" ref="E1967:F1967" si="1965">C1967/C1966-1</f>
        <v>0.03625491261</v>
      </c>
      <c r="F1967" s="7">
        <f t="shared" si="1965"/>
        <v>0.01180073921</v>
      </c>
    </row>
    <row r="1968">
      <c r="A1968" s="3">
        <f>IFERROR(__xludf.DUMMYFUNCTION("""COMPUTED_VALUE"""),45110.54513888889)</f>
        <v>45110.54514</v>
      </c>
      <c r="B1968" s="5">
        <f>IFERROR(__xludf.DUMMYFUNCTION("""COMPUTED_VALUE"""),42.41)</f>
        <v>42.41</v>
      </c>
      <c r="C1968" s="5">
        <v>42.3869132995605</v>
      </c>
      <c r="D1968" s="5">
        <v>432.283996582031</v>
      </c>
      <c r="E1968" s="7">
        <f t="shared" ref="E1968:F1968" si="1966">C1968/C1967-1</f>
        <v>0.002623981549</v>
      </c>
      <c r="F1968" s="7">
        <f t="shared" si="1966"/>
        <v>0.001150485935</v>
      </c>
    </row>
    <row r="1969">
      <c r="A1969" s="3">
        <f>IFERROR(__xludf.DUMMYFUNCTION("""COMPUTED_VALUE"""),45112.66666666667)</f>
        <v>45112.66667</v>
      </c>
      <c r="B1969" s="5">
        <f>IFERROR(__xludf.DUMMYFUNCTION("""COMPUTED_VALUE"""),42.32)</f>
        <v>42.32</v>
      </c>
      <c r="C1969" s="5">
        <v>42.2909774780273</v>
      </c>
      <c r="D1969" s="5">
        <v>431.641143798828</v>
      </c>
      <c r="E1969" s="7">
        <f t="shared" ref="E1969:F1969" si="1967">C1969/C1968-1</f>
        <v>-0.002263335876</v>
      </c>
      <c r="F1969" s="7">
        <f t="shared" si="1967"/>
        <v>-0.001487107523</v>
      </c>
    </row>
    <row r="1970">
      <c r="A1970" s="3">
        <f>IFERROR(__xludf.DUMMYFUNCTION("""COMPUTED_VALUE"""),45113.66666666667)</f>
        <v>45113.66667</v>
      </c>
      <c r="B1970" s="5">
        <f>IFERROR(__xludf.DUMMYFUNCTION("""COMPUTED_VALUE"""),42.1)</f>
        <v>42.1</v>
      </c>
      <c r="C1970" s="5">
        <v>42.07710647583</v>
      </c>
      <c r="D1970" s="5">
        <v>428.261108398437</v>
      </c>
      <c r="E1970" s="7">
        <f t="shared" ref="E1970:F1970" si="1968">C1970/C1969-1</f>
        <v>-0.005057130739</v>
      </c>
      <c r="F1970" s="7">
        <f t="shared" si="1968"/>
        <v>-0.007830660837</v>
      </c>
    </row>
    <row r="1971">
      <c r="A1971" s="3">
        <f>IFERROR(__xludf.DUMMYFUNCTION("""COMPUTED_VALUE"""),45114.66666666667)</f>
        <v>45114.66667</v>
      </c>
      <c r="B1971" s="5">
        <f>IFERROR(__xludf.DUMMYFUNCTION("""COMPUTED_VALUE"""),42.5)</f>
        <v>42.5</v>
      </c>
      <c r="C1971" s="5">
        <v>42.4768562316894</v>
      </c>
      <c r="D1971" s="5">
        <v>427.179870605468</v>
      </c>
      <c r="E1971" s="7">
        <f t="shared" ref="E1971:F1971" si="1969">C1971/C1970-1</f>
        <v>0.009500409827</v>
      </c>
      <c r="F1971" s="7">
        <f t="shared" si="1969"/>
        <v>-0.002524716281</v>
      </c>
    </row>
    <row r="1972">
      <c r="A1972" s="3">
        <f>IFERROR(__xludf.DUMMYFUNCTION("""COMPUTED_VALUE"""),45117.66666666667)</f>
        <v>45117.66667</v>
      </c>
      <c r="B1972" s="5">
        <f>IFERROR(__xludf.DUMMYFUNCTION("""COMPUTED_VALUE"""),42.18)</f>
        <v>42.18</v>
      </c>
      <c r="C1972" s="5">
        <v>42.154052734375</v>
      </c>
      <c r="D1972" s="5">
        <v>428.261108398437</v>
      </c>
      <c r="E1972" s="7">
        <f t="shared" ref="E1972:F1972" si="1970">C1972/C1971-1</f>
        <v>-0.007599514794</v>
      </c>
      <c r="F1972" s="7">
        <f t="shared" si="1970"/>
        <v>0.002531106607</v>
      </c>
    </row>
    <row r="1973">
      <c r="A1973" s="3">
        <f>IFERROR(__xludf.DUMMYFUNCTION("""COMPUTED_VALUE"""),45118.66666666667)</f>
        <v>45118.66667</v>
      </c>
      <c r="B1973" s="5">
        <f>IFERROR(__xludf.DUMMYFUNCTION("""COMPUTED_VALUE"""),42.41)</f>
        <v>42.41</v>
      </c>
      <c r="C1973" s="5">
        <v>42.378921508789</v>
      </c>
      <c r="D1973" s="5">
        <v>430.988464355468</v>
      </c>
      <c r="E1973" s="7">
        <f t="shared" ref="E1973:F1973" si="1971">C1973/C1972-1</f>
        <v>0.005334452083</v>
      </c>
      <c r="F1973" s="7">
        <f t="shared" si="1971"/>
        <v>0.00636844183</v>
      </c>
    </row>
    <row r="1974">
      <c r="A1974" s="3">
        <f>IFERROR(__xludf.DUMMYFUNCTION("""COMPUTED_VALUE"""),45119.66666666667)</f>
        <v>45119.66667</v>
      </c>
      <c r="B1974" s="5">
        <f>IFERROR(__xludf.DUMMYFUNCTION("""COMPUTED_VALUE"""),43.9)</f>
        <v>43.9</v>
      </c>
      <c r="C1974" s="5">
        <v>43.875</v>
      </c>
      <c r="D1974" s="5">
        <v>434.456115722656</v>
      </c>
      <c r="E1974" s="7">
        <f t="shared" ref="E1974:F1974" si="1972">C1974/C1973-1</f>
        <v>0.03530242012</v>
      </c>
      <c r="F1974" s="7">
        <f t="shared" si="1972"/>
        <v>0.008045810164</v>
      </c>
    </row>
    <row r="1975">
      <c r="A1975" s="3">
        <f>IFERROR(__xludf.DUMMYFUNCTION("""COMPUTED_VALUE"""),45120.66666666667)</f>
        <v>45120.66667</v>
      </c>
      <c r="B1975" s="5">
        <f>IFERROR(__xludf.DUMMYFUNCTION("""COMPUTED_VALUE"""),45.98)</f>
        <v>45.98</v>
      </c>
      <c r="C1975" s="5">
        <v>45.94873046875</v>
      </c>
      <c r="D1975" s="5">
        <v>437.904418945312</v>
      </c>
      <c r="E1975" s="7">
        <f t="shared" ref="E1975:F1975" si="1973">C1975/C1974-1</f>
        <v>0.04726451211</v>
      </c>
      <c r="F1975" s="7">
        <f t="shared" si="1973"/>
        <v>0.007937057617</v>
      </c>
    </row>
    <row r="1976">
      <c r="A1976" s="3">
        <f>IFERROR(__xludf.DUMMYFUNCTION("""COMPUTED_VALUE"""),45121.66666666667)</f>
        <v>45121.66667</v>
      </c>
      <c r="B1976" s="5">
        <f>IFERROR(__xludf.DUMMYFUNCTION("""COMPUTED_VALUE"""),45.47)</f>
        <v>45.47</v>
      </c>
      <c r="C1976" s="5">
        <v>45.4410324096679</v>
      </c>
      <c r="D1976" s="5">
        <v>437.631652832031</v>
      </c>
      <c r="E1976" s="7">
        <f t="shared" ref="E1976:F1976" si="1974">C1976/C1975-1</f>
        <v>-0.0110492293</v>
      </c>
      <c r="F1976" s="7">
        <f t="shared" si="1974"/>
        <v>-0.0006228896112</v>
      </c>
    </row>
    <row r="1977">
      <c r="A1977" s="3">
        <f>IFERROR(__xludf.DUMMYFUNCTION("""COMPUTED_VALUE"""),45124.66666666667)</f>
        <v>45124.66667</v>
      </c>
      <c r="B1977" s="5">
        <f>IFERROR(__xludf.DUMMYFUNCTION("""COMPUTED_VALUE"""),46.46)</f>
        <v>46.46</v>
      </c>
      <c r="C1977" s="5">
        <v>46.4324264526367</v>
      </c>
      <c r="D1977" s="5">
        <v>439.151214599609</v>
      </c>
      <c r="E1977" s="7">
        <f t="shared" ref="E1977:F1977" si="1975">C1977/C1976-1</f>
        <v>0.0218171549</v>
      </c>
      <c r="F1977" s="7">
        <f t="shared" si="1975"/>
        <v>0.003472239171</v>
      </c>
    </row>
    <row r="1978">
      <c r="A1978" s="3">
        <f>IFERROR(__xludf.DUMMYFUNCTION("""COMPUTED_VALUE"""),45125.66666666667)</f>
        <v>45125.66667</v>
      </c>
      <c r="B1978" s="5">
        <f>IFERROR(__xludf.DUMMYFUNCTION("""COMPUTED_VALUE"""),47.49)</f>
        <v>47.49</v>
      </c>
      <c r="C1978" s="5">
        <v>47.4647941589355</v>
      </c>
      <c r="D1978" s="5">
        <v>442.414398193359</v>
      </c>
      <c r="E1978" s="7">
        <f t="shared" ref="E1978:F1978" si="1976">C1978/C1977-1</f>
        <v>0.02223376604</v>
      </c>
      <c r="F1978" s="7">
        <f t="shared" si="1976"/>
        <v>0.007430660523</v>
      </c>
    </row>
    <row r="1979">
      <c r="A1979" s="3">
        <f>IFERROR(__xludf.DUMMYFUNCTION("""COMPUTED_VALUE"""),45126.66666666667)</f>
        <v>45126.66667</v>
      </c>
      <c r="B1979" s="5">
        <f>IFERROR(__xludf.DUMMYFUNCTION("""COMPUTED_VALUE"""),47.08)</f>
        <v>47.08</v>
      </c>
      <c r="C1979" s="5">
        <v>47.0480461120605</v>
      </c>
      <c r="D1979" s="5">
        <v>443.398162841796</v>
      </c>
      <c r="E1979" s="7">
        <f t="shared" ref="E1979:F1979" si="1977">C1979/C1978-1</f>
        <v>-0.008780150726</v>
      </c>
      <c r="F1979" s="7">
        <f t="shared" si="1977"/>
        <v>0.002223627107</v>
      </c>
    </row>
    <row r="1980">
      <c r="A1980" s="3">
        <f>IFERROR(__xludf.DUMMYFUNCTION("""COMPUTED_VALUE"""),45127.66666666667)</f>
        <v>45127.66667</v>
      </c>
      <c r="B1980" s="5">
        <f>IFERROR(__xludf.DUMMYFUNCTION("""COMPUTED_VALUE"""),45.52)</f>
        <v>45.52</v>
      </c>
      <c r="C1980" s="5">
        <v>45.4920005798339</v>
      </c>
      <c r="D1980" s="5">
        <v>440.456512451171</v>
      </c>
      <c r="E1980" s="7">
        <f t="shared" ref="E1980:F1980" si="1978">C1980/C1979-1</f>
        <v>-0.03307354207</v>
      </c>
      <c r="F1980" s="7">
        <f t="shared" si="1978"/>
        <v>-0.006634331482</v>
      </c>
    </row>
    <row r="1981">
      <c r="A1981" s="3">
        <f>IFERROR(__xludf.DUMMYFUNCTION("""COMPUTED_VALUE"""),45128.66666666667)</f>
        <v>45128.66667</v>
      </c>
      <c r="B1981" s="5">
        <f>IFERROR(__xludf.DUMMYFUNCTION("""COMPUTED_VALUE"""),44.31)</f>
        <v>44.31</v>
      </c>
      <c r="C1981" s="5">
        <v>44.2817459106445</v>
      </c>
      <c r="D1981" s="5">
        <v>440.456512451171</v>
      </c>
      <c r="E1981" s="7">
        <f t="shared" ref="E1981:F1981" si="1979">C1981/C1980-1</f>
        <v>-0.02660368095</v>
      </c>
      <c r="F1981" s="7">
        <f t="shared" si="1979"/>
        <v>0</v>
      </c>
    </row>
    <row r="1982">
      <c r="A1982" s="3">
        <f>IFERROR(__xludf.DUMMYFUNCTION("""COMPUTED_VALUE"""),45131.66666666667)</f>
        <v>45131.66667</v>
      </c>
      <c r="B1982" s="5">
        <f>IFERROR(__xludf.DUMMYFUNCTION("""COMPUTED_VALUE"""),44.61)</f>
        <v>44.61</v>
      </c>
      <c r="C1982" s="5">
        <v>44.5845603942871</v>
      </c>
      <c r="D1982" s="5">
        <v>442.424163818359</v>
      </c>
      <c r="E1982" s="7">
        <f t="shared" ref="E1982:F1982" si="1980">C1982/C1981-1</f>
        <v>0.00683835918</v>
      </c>
      <c r="F1982" s="7">
        <f t="shared" si="1980"/>
        <v>0.004467299975</v>
      </c>
    </row>
    <row r="1983">
      <c r="A1983" s="3">
        <f>IFERROR(__xludf.DUMMYFUNCTION("""COMPUTED_VALUE"""),45132.66666666667)</f>
        <v>45132.66667</v>
      </c>
      <c r="B1983" s="5">
        <f>IFERROR(__xludf.DUMMYFUNCTION("""COMPUTED_VALUE"""),45.68)</f>
        <v>45.68</v>
      </c>
      <c r="C1983" s="5">
        <v>45.6509094238281</v>
      </c>
      <c r="D1983" s="5">
        <v>443.631927490234</v>
      </c>
      <c r="E1983" s="7">
        <f t="shared" ref="E1983:F1983" si="1981">C1983/C1982-1</f>
        <v>0.0239174508</v>
      </c>
      <c r="F1983" s="7">
        <f t="shared" si="1981"/>
        <v>0.002729877278</v>
      </c>
    </row>
    <row r="1984">
      <c r="A1984" s="3">
        <f>IFERROR(__xludf.DUMMYFUNCTION("""COMPUTED_VALUE"""),45133.66666666667)</f>
        <v>45133.66667</v>
      </c>
      <c r="B1984" s="5">
        <f>IFERROR(__xludf.DUMMYFUNCTION("""COMPUTED_VALUE"""),45.45)</f>
        <v>45.45</v>
      </c>
      <c r="C1984" s="5">
        <v>45.4240455627441</v>
      </c>
      <c r="D1984" s="5">
        <v>443.700164794921</v>
      </c>
      <c r="E1984" s="7">
        <f t="shared" ref="E1984:F1984" si="1982">C1984/C1983-1</f>
        <v>-0.00496953651</v>
      </c>
      <c r="F1984" s="7">
        <f t="shared" si="1982"/>
        <v>0.0001538151347</v>
      </c>
    </row>
    <row r="1985">
      <c r="A1985" s="3">
        <f>IFERROR(__xludf.DUMMYFUNCTION("""COMPUTED_VALUE"""),45134.66666666667)</f>
        <v>45134.66667</v>
      </c>
      <c r="B1985" s="5">
        <f>IFERROR(__xludf.DUMMYFUNCTION("""COMPUTED_VALUE"""),45.9)</f>
        <v>45.9</v>
      </c>
      <c r="C1985" s="5">
        <v>45.8717727661132</v>
      </c>
      <c r="D1985" s="5">
        <v>440.758361816406</v>
      </c>
      <c r="E1985" s="7">
        <f t="shared" ref="E1985:F1985" si="1983">C1985/C1984-1</f>
        <v>0.009856612237</v>
      </c>
      <c r="F1985" s="7">
        <f t="shared" si="1983"/>
        <v>-0.006630159761</v>
      </c>
    </row>
    <row r="1986">
      <c r="A1986" s="3">
        <f>IFERROR(__xludf.DUMMYFUNCTION("""COMPUTED_VALUE"""),45135.66666666667)</f>
        <v>45135.66667</v>
      </c>
      <c r="B1986" s="5">
        <f>IFERROR(__xludf.DUMMYFUNCTION("""COMPUTED_VALUE"""),46.75)</f>
        <v>46.75</v>
      </c>
      <c r="C1986" s="5">
        <v>46.7212486267089</v>
      </c>
      <c r="D1986" s="5">
        <v>445.073577880859</v>
      </c>
      <c r="E1986" s="7">
        <f t="shared" ref="E1986:F1986" si="1984">C1986/C1985-1</f>
        <v>0.01851848772</v>
      </c>
      <c r="F1986" s="7">
        <f t="shared" si="1984"/>
        <v>0.009790434937</v>
      </c>
    </row>
    <row r="1987">
      <c r="A1987" s="3">
        <f>IFERROR(__xludf.DUMMYFUNCTION("""COMPUTED_VALUE"""),45138.66666666667)</f>
        <v>45138.66667</v>
      </c>
      <c r="B1987" s="5">
        <f>IFERROR(__xludf.DUMMYFUNCTION("""COMPUTED_VALUE"""),46.73)</f>
        <v>46.73</v>
      </c>
      <c r="C1987" s="5">
        <v>46.7002563476562</v>
      </c>
      <c r="D1987" s="5">
        <v>445.921020507812</v>
      </c>
      <c r="E1987" s="7">
        <f t="shared" ref="E1987:F1987" si="1985">C1987/C1986-1</f>
        <v>-0.0004493090333</v>
      </c>
      <c r="F1987" s="7">
        <f t="shared" si="1985"/>
        <v>0.001904050631</v>
      </c>
    </row>
    <row r="1988">
      <c r="A1988" s="3">
        <f>IFERROR(__xludf.DUMMYFUNCTION("""COMPUTED_VALUE"""),45139.66666666667)</f>
        <v>45139.66667</v>
      </c>
      <c r="B1988" s="5">
        <f>IFERROR(__xludf.DUMMYFUNCTION("""COMPUTED_VALUE"""),46.51)</f>
        <v>46.51</v>
      </c>
      <c r="C1988" s="5">
        <v>46.478401184082</v>
      </c>
      <c r="D1988" s="5">
        <v>444.644989013671</v>
      </c>
      <c r="E1988" s="7">
        <f t="shared" ref="E1988:F1988" si="1986">C1988/C1987-1</f>
        <v>-0.004750619824</v>
      </c>
      <c r="F1988" s="7">
        <f t="shared" si="1986"/>
        <v>-0.002861563899</v>
      </c>
    </row>
    <row r="1989">
      <c r="A1989" s="3">
        <f>IFERROR(__xludf.DUMMYFUNCTION("""COMPUTED_VALUE"""),45140.66666666667)</f>
        <v>45140.66667</v>
      </c>
      <c r="B1989" s="5">
        <f>IFERROR(__xludf.DUMMYFUNCTION("""COMPUTED_VALUE"""),44.27)</f>
        <v>44.27</v>
      </c>
      <c r="C1989" s="5">
        <v>44.2417755126953</v>
      </c>
      <c r="D1989" s="5">
        <v>438.459686279296</v>
      </c>
      <c r="E1989" s="7">
        <f t="shared" ref="E1989:F1989" si="1987">C1989/C1988-1</f>
        <v>-0.04812182894</v>
      </c>
      <c r="F1989" s="7">
        <f t="shared" si="1987"/>
        <v>-0.01391065431</v>
      </c>
    </row>
    <row r="1990">
      <c r="A1990" s="3">
        <f>IFERROR(__xludf.DUMMYFUNCTION("""COMPUTED_VALUE"""),45141.66666666667)</f>
        <v>45141.66667</v>
      </c>
      <c r="B1990" s="5">
        <f>IFERROR(__xludf.DUMMYFUNCTION("""COMPUTED_VALUE"""),44.52)</f>
        <v>44.52</v>
      </c>
      <c r="C1990" s="5">
        <v>44.487621307373</v>
      </c>
      <c r="D1990" s="5">
        <v>437.203155517578</v>
      </c>
      <c r="E1990" s="7">
        <f t="shared" ref="E1990:F1990" si="1988">C1990/C1989-1</f>
        <v>0.005556869991</v>
      </c>
      <c r="F1990" s="7">
        <f t="shared" si="1988"/>
        <v>-0.002865784019</v>
      </c>
    </row>
    <row r="1991">
      <c r="A1991" s="3">
        <f>IFERROR(__xludf.DUMMYFUNCTION("""COMPUTED_VALUE"""),45142.66666666667)</f>
        <v>45142.66667</v>
      </c>
      <c r="B1991" s="5">
        <f>IFERROR(__xludf.DUMMYFUNCTION("""COMPUTED_VALUE"""),44.68)</f>
        <v>44.68</v>
      </c>
      <c r="C1991" s="5">
        <v>44.6525230407714</v>
      </c>
      <c r="D1991" s="5">
        <v>435.225677490234</v>
      </c>
      <c r="E1991" s="7">
        <f t="shared" ref="E1991:F1991" si="1989">C1991/C1990-1</f>
        <v>0.00370668803</v>
      </c>
      <c r="F1991" s="7">
        <f t="shared" si="1989"/>
        <v>-0.004523018653</v>
      </c>
    </row>
    <row r="1992">
      <c r="A1992" s="3">
        <f>IFERROR(__xludf.DUMMYFUNCTION("""COMPUTED_VALUE"""),45145.66666666667)</f>
        <v>45145.66667</v>
      </c>
      <c r="B1992" s="5">
        <f>IFERROR(__xludf.DUMMYFUNCTION("""COMPUTED_VALUE"""),45.42)</f>
        <v>45.42</v>
      </c>
      <c r="C1992" s="5">
        <v>45.3890724182128</v>
      </c>
      <c r="D1992" s="5">
        <v>439.02456665039</v>
      </c>
      <c r="E1992" s="7">
        <f t="shared" ref="E1992:F1992" si="1990">C1992/C1991-1</f>
        <v>0.01649513459</v>
      </c>
      <c r="F1992" s="7">
        <f t="shared" si="1990"/>
        <v>0.008728550167</v>
      </c>
    </row>
    <row r="1993">
      <c r="A1993" s="3">
        <f>IFERROR(__xludf.DUMMYFUNCTION("""COMPUTED_VALUE"""),45146.66666666667)</f>
        <v>45146.66667</v>
      </c>
      <c r="B1993" s="5">
        <f>IFERROR(__xludf.DUMMYFUNCTION("""COMPUTED_VALUE"""),44.66)</f>
        <v>44.66</v>
      </c>
      <c r="C1993" s="5">
        <v>44.6365318298339</v>
      </c>
      <c r="D1993" s="5">
        <v>437.115417480468</v>
      </c>
      <c r="E1993" s="7">
        <f t="shared" ref="E1993:F1993" si="1991">C1993/C1992-1</f>
        <v>-0.01657977456</v>
      </c>
      <c r="F1993" s="7">
        <f t="shared" si="1991"/>
        <v>-0.004348615806</v>
      </c>
    </row>
    <row r="1994">
      <c r="A1994" s="3">
        <f>IFERROR(__xludf.DUMMYFUNCTION("""COMPUTED_VALUE"""),45147.66666666667)</f>
        <v>45147.66667</v>
      </c>
      <c r="B1994" s="5">
        <f>IFERROR(__xludf.DUMMYFUNCTION("""COMPUTED_VALUE"""),42.55)</f>
        <v>42.55</v>
      </c>
      <c r="C1994" s="5">
        <v>42.5278244018554</v>
      </c>
      <c r="D1994" s="5">
        <v>434.193145751953</v>
      </c>
      <c r="E1994" s="7">
        <f t="shared" ref="E1994:F1994" si="1992">C1994/C1993-1</f>
        <v>-0.04724173993</v>
      </c>
      <c r="F1994" s="7">
        <f t="shared" si="1992"/>
        <v>-0.00668535497</v>
      </c>
    </row>
    <row r="1995">
      <c r="A1995" s="3">
        <f>IFERROR(__xludf.DUMMYFUNCTION("""COMPUTED_VALUE"""),45148.66666666667)</f>
        <v>45148.66667</v>
      </c>
      <c r="B1995" s="5">
        <f>IFERROR(__xludf.DUMMYFUNCTION("""COMPUTED_VALUE"""),42.39)</f>
        <v>42.39</v>
      </c>
      <c r="C1995" s="5">
        <v>42.3619270324707</v>
      </c>
      <c r="D1995" s="5">
        <v>434.349029541015</v>
      </c>
      <c r="E1995" s="7">
        <f t="shared" ref="E1995:F1995" si="1993">C1995/C1994-1</f>
        <v>-0.003900913619</v>
      </c>
      <c r="F1995" s="7">
        <f t="shared" si="1993"/>
        <v>0.0003590194608</v>
      </c>
    </row>
    <row r="1996">
      <c r="A1996" s="3">
        <f>IFERROR(__xludf.DUMMYFUNCTION("""COMPUTED_VALUE"""),45149.66666666667)</f>
        <v>45149.66667</v>
      </c>
      <c r="B1996" s="5">
        <f>IFERROR(__xludf.DUMMYFUNCTION("""COMPUTED_VALUE"""),40.85)</f>
        <v>40.85</v>
      </c>
      <c r="C1996" s="5">
        <v>40.8298721313476</v>
      </c>
      <c r="D1996" s="5">
        <v>434.095733642578</v>
      </c>
      <c r="E1996" s="7">
        <f t="shared" ref="E1996:F1996" si="1994">C1996/C1995-1</f>
        <v>-0.03616584533</v>
      </c>
      <c r="F1996" s="7">
        <f t="shared" si="1994"/>
        <v>-0.0005831621144</v>
      </c>
    </row>
    <row r="1997">
      <c r="A1997" s="3">
        <f>IFERROR(__xludf.DUMMYFUNCTION("""COMPUTED_VALUE"""),45152.66666666667)</f>
        <v>45152.66667</v>
      </c>
      <c r="B1997" s="5">
        <f>IFERROR(__xludf.DUMMYFUNCTION("""COMPUTED_VALUE"""),43.75)</f>
        <v>43.75</v>
      </c>
      <c r="C1997" s="5">
        <v>43.7260856628418</v>
      </c>
      <c r="D1997" s="5">
        <v>436.492004394531</v>
      </c>
      <c r="E1997" s="7">
        <f t="shared" ref="E1997:F1997" si="1995">C1997/C1996-1</f>
        <v>0.07093369095</v>
      </c>
      <c r="F1997" s="7">
        <f t="shared" si="1995"/>
        <v>0.005520143522</v>
      </c>
    </row>
    <row r="1998">
      <c r="A1998" s="3">
        <f>IFERROR(__xludf.DUMMYFUNCTION("""COMPUTED_VALUE"""),45153.66666666667)</f>
        <v>45153.66667</v>
      </c>
      <c r="B1998" s="5">
        <f>IFERROR(__xludf.DUMMYFUNCTION("""COMPUTED_VALUE"""),43.94)</f>
        <v>43.94</v>
      </c>
      <c r="C1998" s="5">
        <v>43.912971496582</v>
      </c>
      <c r="D1998" s="5">
        <v>431.40737915039</v>
      </c>
      <c r="E1998" s="7">
        <f t="shared" ref="E1998:F1998" si="1996">C1998/C1997-1</f>
        <v>0.004274012432</v>
      </c>
      <c r="F1998" s="7">
        <f t="shared" si="1996"/>
        <v>-0.01164883937</v>
      </c>
    </row>
    <row r="1999">
      <c r="A1999" s="3">
        <f>IFERROR(__xludf.DUMMYFUNCTION("""COMPUTED_VALUE"""),45154.66666666667)</f>
        <v>45154.66667</v>
      </c>
      <c r="B1999" s="5">
        <f>IFERROR(__xludf.DUMMYFUNCTION("""COMPUTED_VALUE"""),43.49)</f>
        <v>43.49</v>
      </c>
      <c r="C1999" s="5">
        <v>43.4592514038085</v>
      </c>
      <c r="D1999" s="5">
        <v>428.241638183593</v>
      </c>
      <c r="E1999" s="7">
        <f t="shared" ref="E1999:F1999" si="1997">C1999/C1998-1</f>
        <v>-0.01033225667</v>
      </c>
      <c r="F1999" s="7">
        <f t="shared" si="1997"/>
        <v>-0.007338170648</v>
      </c>
    </row>
    <row r="2000">
      <c r="A2000" s="3">
        <f>IFERROR(__xludf.DUMMYFUNCTION("""COMPUTED_VALUE"""),45155.66666666667)</f>
        <v>45155.66667</v>
      </c>
      <c r="B2000" s="5">
        <f>IFERROR(__xludf.DUMMYFUNCTION("""COMPUTED_VALUE"""),43.34)</f>
        <v>43.34</v>
      </c>
      <c r="C2000" s="5">
        <v>43.31734085083</v>
      </c>
      <c r="D2000" s="5">
        <v>424.978454589843</v>
      </c>
      <c r="E2000" s="7">
        <f t="shared" ref="E2000:F2000" si="1998">C2000/C1999-1</f>
        <v>-0.003265370396</v>
      </c>
      <c r="F2000" s="7">
        <f t="shared" si="1998"/>
        <v>-0.007619958693</v>
      </c>
    </row>
    <row r="2001">
      <c r="A2001" s="3">
        <f>IFERROR(__xludf.DUMMYFUNCTION("""COMPUTED_VALUE"""),45156.66666666667)</f>
        <v>45156.66667</v>
      </c>
      <c r="B2001" s="5">
        <f>IFERROR(__xludf.DUMMYFUNCTION("""COMPUTED_VALUE"""),43.3)</f>
        <v>43.3</v>
      </c>
      <c r="C2001" s="5">
        <v>43.2723693847656</v>
      </c>
      <c r="D2001" s="5">
        <v>425.182983398437</v>
      </c>
      <c r="E2001" s="7">
        <f t="shared" ref="E2001:F2001" si="1999">C2001/C2000-1</f>
        <v>-0.001038186213</v>
      </c>
      <c r="F2001" s="7">
        <f t="shared" si="1999"/>
        <v>0.0004812686535</v>
      </c>
    </row>
    <row r="2002">
      <c r="A2002" s="3">
        <f>IFERROR(__xludf.DUMMYFUNCTION("""COMPUTED_VALUE"""),45159.66666666667)</f>
        <v>45159.66667</v>
      </c>
      <c r="B2002" s="5">
        <f>IFERROR(__xludf.DUMMYFUNCTION("""COMPUTED_VALUE"""),46.97)</f>
        <v>46.97</v>
      </c>
      <c r="C2002" s="5">
        <v>46.9381141662597</v>
      </c>
      <c r="D2002" s="5">
        <v>427.949401855468</v>
      </c>
      <c r="E2002" s="7">
        <f t="shared" ref="E2002:F2002" si="2000">C2002/C2001-1</f>
        <v>0.08471329011</v>
      </c>
      <c r="F2002" s="7">
        <f t="shared" si="2000"/>
        <v>0.006506418566</v>
      </c>
    </row>
    <row r="2003">
      <c r="A2003" s="3">
        <f>IFERROR(__xludf.DUMMYFUNCTION("""COMPUTED_VALUE"""),45160.66666666667)</f>
        <v>45160.66667</v>
      </c>
      <c r="B2003" s="5">
        <f>IFERROR(__xludf.DUMMYFUNCTION("""COMPUTED_VALUE"""),45.67)</f>
        <v>45.67</v>
      </c>
      <c r="C2003" s="5">
        <v>45.6399154663085</v>
      </c>
      <c r="D2003" s="5">
        <v>426.790222167968</v>
      </c>
      <c r="E2003" s="7">
        <f t="shared" ref="E2003:F2003" si="2001">C2003/C2002-1</f>
        <v>-0.02765766633</v>
      </c>
      <c r="F2003" s="7">
        <f t="shared" si="2001"/>
        <v>-0.002708683976</v>
      </c>
    </row>
    <row r="2004">
      <c r="A2004" s="3">
        <f>IFERROR(__xludf.DUMMYFUNCTION("""COMPUTED_VALUE"""),45161.66666666667)</f>
        <v>45161.66667</v>
      </c>
      <c r="B2004" s="5">
        <f>IFERROR(__xludf.DUMMYFUNCTION("""COMPUTED_VALUE"""),47.12)</f>
        <v>47.12</v>
      </c>
      <c r="C2004" s="5">
        <v>47.0870246887207</v>
      </c>
      <c r="D2004" s="5">
        <v>431.543670654296</v>
      </c>
      <c r="E2004" s="7">
        <f t="shared" ref="E2004:F2004" si="2002">C2004/C2003-1</f>
        <v>0.0317070969</v>
      </c>
      <c r="F2004" s="7">
        <f t="shared" si="2002"/>
        <v>0.01113766961</v>
      </c>
    </row>
    <row r="2005">
      <c r="A2005" s="3">
        <f>IFERROR(__xludf.DUMMYFUNCTION("""COMPUTED_VALUE"""),45162.66666666667)</f>
        <v>45162.66667</v>
      </c>
      <c r="B2005" s="5">
        <f>IFERROR(__xludf.DUMMYFUNCTION("""COMPUTED_VALUE"""),47.16)</f>
        <v>47.16</v>
      </c>
      <c r="C2005" s="5">
        <v>47.133991241455</v>
      </c>
      <c r="D2005" s="5">
        <v>425.562896728515</v>
      </c>
      <c r="E2005" s="7">
        <f t="shared" ref="E2005:F2005" si="2003">C2005/C2004-1</f>
        <v>0.0009974415042</v>
      </c>
      <c r="F2005" s="7">
        <f t="shared" si="2003"/>
        <v>-0.01385902362</v>
      </c>
    </row>
    <row r="2006">
      <c r="A2006" s="3">
        <f>IFERROR(__xludf.DUMMYFUNCTION("""COMPUTED_VALUE"""),45163.66666666667)</f>
        <v>45163.66667</v>
      </c>
      <c r="B2006" s="5">
        <f>IFERROR(__xludf.DUMMYFUNCTION("""COMPUTED_VALUE"""),46.02)</f>
        <v>46.02</v>
      </c>
      <c r="C2006" s="5">
        <v>45.98970413208</v>
      </c>
      <c r="D2006" s="5">
        <v>428.563049316406</v>
      </c>
      <c r="E2006" s="7">
        <f t="shared" ref="E2006:F2006" si="2004">C2006/C2005-1</f>
        <v>-0.02427732257</v>
      </c>
      <c r="F2006" s="7">
        <f t="shared" si="2004"/>
        <v>0.007049845301</v>
      </c>
    </row>
    <row r="2007">
      <c r="A2007" s="3">
        <f>IFERROR(__xludf.DUMMYFUNCTION("""COMPUTED_VALUE"""),45166.66666666667)</f>
        <v>45166.66667</v>
      </c>
      <c r="B2007" s="5">
        <f>IFERROR(__xludf.DUMMYFUNCTION("""COMPUTED_VALUE"""),46.84)</f>
        <v>46.84</v>
      </c>
      <c r="C2007" s="5">
        <v>46.8061943054199</v>
      </c>
      <c r="D2007" s="5">
        <v>431.280670166015</v>
      </c>
      <c r="E2007" s="7">
        <f t="shared" ref="E2007:F2007" si="2005">C2007/C2006-1</f>
        <v>0.01775376008</v>
      </c>
      <c r="F2007" s="7">
        <f t="shared" si="2005"/>
        <v>0.006341239297</v>
      </c>
    </row>
    <row r="2008">
      <c r="A2008" s="3">
        <f>IFERROR(__xludf.DUMMYFUNCTION("""COMPUTED_VALUE"""),45167.66666666667)</f>
        <v>45167.66667</v>
      </c>
      <c r="B2008" s="5">
        <f>IFERROR(__xludf.DUMMYFUNCTION("""COMPUTED_VALUE"""),48.78)</f>
        <v>48.78</v>
      </c>
      <c r="C2008" s="5">
        <v>48.7539978027343</v>
      </c>
      <c r="D2008" s="5">
        <v>437.514770507812</v>
      </c>
      <c r="E2008" s="7">
        <f t="shared" ref="E2008:F2008" si="2006">C2008/C2007-1</f>
        <v>0.04161422492</v>
      </c>
      <c r="F2008" s="7">
        <f t="shared" si="2006"/>
        <v>0.01445485683</v>
      </c>
    </row>
    <row r="2009">
      <c r="A2009" s="3">
        <f>IFERROR(__xludf.DUMMYFUNCTION("""COMPUTED_VALUE"""),45168.66666666667)</f>
        <v>45168.66667</v>
      </c>
      <c r="B2009" s="5">
        <f>IFERROR(__xludf.DUMMYFUNCTION("""COMPUTED_VALUE"""),49.26)</f>
        <v>49.26</v>
      </c>
      <c r="C2009" s="5">
        <v>49.2336959838867</v>
      </c>
      <c r="D2009" s="5">
        <v>439.316833496093</v>
      </c>
      <c r="E2009" s="7">
        <f t="shared" ref="E2009:F2009" si="2007">C2009/C2008-1</f>
        <v>0.009839155818</v>
      </c>
      <c r="F2009" s="7">
        <f t="shared" si="2007"/>
        <v>0.004118862059</v>
      </c>
    </row>
    <row r="2010">
      <c r="A2010" s="3">
        <f>IFERROR(__xludf.DUMMYFUNCTION("""COMPUTED_VALUE"""),45169.66666666667)</f>
        <v>45169.66667</v>
      </c>
      <c r="B2010" s="5">
        <f>IFERROR(__xludf.DUMMYFUNCTION("""COMPUTED_VALUE"""),49.36)</f>
        <v>49.36</v>
      </c>
      <c r="C2010" s="5">
        <v>49.3246459960937</v>
      </c>
      <c r="D2010" s="5">
        <v>438.673950195312</v>
      </c>
      <c r="E2010" s="7">
        <f t="shared" ref="E2010:F2010" si="2008">C2010/C2009-1</f>
        <v>0.001847312301</v>
      </c>
      <c r="F2010" s="7">
        <f t="shared" si="2008"/>
        <v>-0.001463370515</v>
      </c>
    </row>
    <row r="2011">
      <c r="A2011" s="3">
        <f>IFERROR(__xludf.DUMMYFUNCTION("""COMPUTED_VALUE"""),45170.66666666667)</f>
        <v>45170.66667</v>
      </c>
      <c r="B2011" s="5">
        <f>IFERROR(__xludf.DUMMYFUNCTION("""COMPUTED_VALUE"""),48.51)</f>
        <v>48.51</v>
      </c>
      <c r="C2011" s="5">
        <v>48.4791641235351</v>
      </c>
      <c r="D2011" s="5">
        <v>439.492156982421</v>
      </c>
      <c r="E2011" s="7">
        <f t="shared" ref="E2011:F2011" si="2009">C2011/C2010-1</f>
        <v>-0.01714116453</v>
      </c>
      <c r="F2011" s="7">
        <f t="shared" si="2009"/>
        <v>0.001865182071</v>
      </c>
    </row>
    <row r="2012">
      <c r="A2012" s="3">
        <f>IFERROR(__xludf.DUMMYFUNCTION("""COMPUTED_VALUE"""),45174.66666666667)</f>
        <v>45174.66667</v>
      </c>
      <c r="B2012" s="5">
        <f>IFERROR(__xludf.DUMMYFUNCTION("""COMPUTED_VALUE"""),48.55)</f>
        <v>48.55</v>
      </c>
      <c r="C2012" s="5">
        <v>48.5181427001953</v>
      </c>
      <c r="D2012" s="5">
        <v>437.592681884765</v>
      </c>
      <c r="E2012" s="7">
        <f t="shared" ref="E2012:F2012" si="2010">C2012/C2011-1</f>
        <v>0.0008040274078</v>
      </c>
      <c r="F2012" s="7">
        <f t="shared" si="2010"/>
        <v>-0.004321977235</v>
      </c>
    </row>
    <row r="2013">
      <c r="A2013" s="3">
        <f>IFERROR(__xludf.DUMMYFUNCTION("""COMPUTED_VALUE"""),45175.66666666667)</f>
        <v>45175.66667</v>
      </c>
      <c r="B2013" s="5">
        <f>IFERROR(__xludf.DUMMYFUNCTION("""COMPUTED_VALUE"""),47.06)</f>
        <v>47.06</v>
      </c>
      <c r="C2013" s="5">
        <v>47.0359268188476</v>
      </c>
      <c r="D2013" s="5">
        <v>434.651000976562</v>
      </c>
      <c r="E2013" s="7">
        <f t="shared" ref="E2013:F2013" si="2011">C2013/C2012-1</f>
        <v>-0.03054972427</v>
      </c>
      <c r="F2013" s="7">
        <f t="shared" si="2011"/>
        <v>-0.00672241797</v>
      </c>
    </row>
    <row r="2014">
      <c r="A2014" s="3">
        <f>IFERROR(__xludf.DUMMYFUNCTION("""COMPUTED_VALUE"""),45176.66666666667)</f>
        <v>45176.66667</v>
      </c>
      <c r="B2014" s="5">
        <f>IFERROR(__xludf.DUMMYFUNCTION("""COMPUTED_VALUE"""),46.24)</f>
        <v>46.24</v>
      </c>
      <c r="C2014" s="5">
        <v>46.2163734436035</v>
      </c>
      <c r="D2014" s="5">
        <v>433.316528320312</v>
      </c>
      <c r="E2014" s="7">
        <f t="shared" ref="E2014:F2014" si="2012">C2014/C2013-1</f>
        <v>-0.01742398695</v>
      </c>
      <c r="F2014" s="7">
        <f t="shared" si="2012"/>
        <v>-0.003070216457</v>
      </c>
    </row>
    <row r="2015">
      <c r="A2015" s="3">
        <f>IFERROR(__xludf.DUMMYFUNCTION("""COMPUTED_VALUE"""),45177.66666666667)</f>
        <v>45177.66667</v>
      </c>
      <c r="B2015" s="5">
        <f>IFERROR(__xludf.DUMMYFUNCTION("""COMPUTED_VALUE"""),45.57)</f>
        <v>45.57</v>
      </c>
      <c r="C2015" s="5">
        <v>45.5477256774902</v>
      </c>
      <c r="D2015" s="5">
        <v>433.969116210937</v>
      </c>
      <c r="E2015" s="7">
        <f t="shared" ref="E2015:F2015" si="2013">C2015/C2014-1</f>
        <v>-0.01446776794</v>
      </c>
      <c r="F2015" s="7">
        <f t="shared" si="2013"/>
        <v>0.00150603046</v>
      </c>
    </row>
    <row r="2016">
      <c r="A2016" s="3">
        <f>IFERROR(__xludf.DUMMYFUNCTION("""COMPUTED_VALUE"""),45180.66666666667)</f>
        <v>45180.66667</v>
      </c>
      <c r="B2016" s="5">
        <f>IFERROR(__xludf.DUMMYFUNCTION("""COMPUTED_VALUE"""),45.18)</f>
        <v>45.18</v>
      </c>
      <c r="C2016" s="5">
        <v>45.153938293457</v>
      </c>
      <c r="D2016" s="5">
        <v>436.823181152343</v>
      </c>
      <c r="E2016" s="7">
        <f t="shared" ref="E2016:F2016" si="2014">C2016/C2015-1</f>
        <v>-0.008645599274</v>
      </c>
      <c r="F2016" s="7">
        <f t="shared" si="2014"/>
        <v>0.006576654501</v>
      </c>
    </row>
    <row r="2017">
      <c r="A2017" s="3">
        <f>IFERROR(__xludf.DUMMYFUNCTION("""COMPUTED_VALUE"""),45181.66666666667)</f>
        <v>45181.66667</v>
      </c>
      <c r="B2017" s="5">
        <f>IFERROR(__xludf.DUMMYFUNCTION("""COMPUTED_VALUE"""),44.87)</f>
        <v>44.87</v>
      </c>
      <c r="C2017" s="5">
        <v>44.846092224121</v>
      </c>
      <c r="D2017" s="5">
        <v>434.426940917968</v>
      </c>
      <c r="E2017" s="7">
        <f t="shared" ref="E2017:F2017" si="2015">C2017/C2016-1</f>
        <v>-0.006817701423</v>
      </c>
      <c r="F2017" s="7">
        <f t="shared" si="2015"/>
        <v>-0.005485606849</v>
      </c>
    </row>
    <row r="2018">
      <c r="A2018" s="3">
        <f>IFERROR(__xludf.DUMMYFUNCTION("""COMPUTED_VALUE"""),45182.66666666667)</f>
        <v>45182.66667</v>
      </c>
      <c r="B2018" s="5">
        <f>IFERROR(__xludf.DUMMYFUNCTION("""COMPUTED_VALUE"""),45.49)</f>
        <v>45.49</v>
      </c>
      <c r="C2018" s="5">
        <v>45.4607734680175</v>
      </c>
      <c r="D2018" s="5">
        <v>434.933502197265</v>
      </c>
      <c r="E2018" s="7">
        <f t="shared" ref="E2018:F2018" si="2016">C2018/C2017-1</f>
        <v>0.01370646167</v>
      </c>
      <c r="F2018" s="7">
        <f t="shared" si="2016"/>
        <v>0.001166044809</v>
      </c>
    </row>
    <row r="2019">
      <c r="A2019" s="3">
        <f>IFERROR(__xludf.DUMMYFUNCTION("""COMPUTED_VALUE"""),45183.66666666667)</f>
        <v>45183.66667</v>
      </c>
      <c r="B2019" s="5">
        <f>IFERROR(__xludf.DUMMYFUNCTION("""COMPUTED_VALUE"""),45.58)</f>
        <v>45.58</v>
      </c>
      <c r="C2019" s="5">
        <v>45.5567207336425</v>
      </c>
      <c r="D2019" s="5">
        <v>438.683685302734</v>
      </c>
      <c r="E2019" s="7">
        <f t="shared" ref="E2019:F2019" si="2017">C2019/C2018-1</f>
        <v>0.002110550664</v>
      </c>
      <c r="F2019" s="7">
        <f t="shared" si="2017"/>
        <v>0.008622428685</v>
      </c>
    </row>
    <row r="2020">
      <c r="A2020" s="3">
        <f>IFERROR(__xludf.DUMMYFUNCTION("""COMPUTED_VALUE"""),45184.66666666667)</f>
        <v>45184.66667</v>
      </c>
      <c r="B2020" s="5">
        <f>IFERROR(__xludf.DUMMYFUNCTION("""COMPUTED_VALUE"""),43.9)</f>
        <v>43.9</v>
      </c>
      <c r="C2020" s="5">
        <v>43.8766174316406</v>
      </c>
      <c r="D2020" s="5">
        <v>433.398284912109</v>
      </c>
      <c r="E2020" s="7">
        <f t="shared" ref="E2020:F2020" si="2018">C2020/C2019-1</f>
        <v>-0.03687937312</v>
      </c>
      <c r="F2020" s="7">
        <f t="shared" si="2018"/>
        <v>-0.01204831766</v>
      </c>
    </row>
    <row r="2021">
      <c r="A2021" s="3">
        <f>IFERROR(__xludf.DUMMYFUNCTION("""COMPUTED_VALUE"""),45187.66666666667)</f>
        <v>45187.66667</v>
      </c>
      <c r="B2021" s="5">
        <f>IFERROR(__xludf.DUMMYFUNCTION("""COMPUTED_VALUE"""),43.97)</f>
        <v>43.97</v>
      </c>
      <c r="C2021" s="5">
        <v>43.9425811767578</v>
      </c>
      <c r="D2021" s="5">
        <v>433.652435302734</v>
      </c>
      <c r="E2021" s="7">
        <f t="shared" ref="E2021:F2021" si="2019">C2021/C2020-1</f>
        <v>0.00150339176</v>
      </c>
      <c r="F2021" s="7">
        <f t="shared" si="2019"/>
        <v>0.000586413005</v>
      </c>
    </row>
    <row r="2022">
      <c r="A2022" s="3">
        <f>IFERROR(__xludf.DUMMYFUNCTION("""COMPUTED_VALUE"""),45188.66666666667)</f>
        <v>45188.66667</v>
      </c>
      <c r="B2022" s="5">
        <f>IFERROR(__xludf.DUMMYFUNCTION("""COMPUTED_VALUE"""),43.52)</f>
        <v>43.52</v>
      </c>
      <c r="C2022" s="5">
        <v>43.4968185424804</v>
      </c>
      <c r="D2022" s="5">
        <v>432.753112792968</v>
      </c>
      <c r="E2022" s="7">
        <f t="shared" ref="E2022:F2022" si="2020">C2022/C2021-1</f>
        <v>-0.01014420688</v>
      </c>
      <c r="F2022" s="7">
        <f t="shared" si="2020"/>
        <v>-0.00207383249</v>
      </c>
    </row>
    <row r="2023">
      <c r="A2023" s="3">
        <f>IFERROR(__xludf.DUMMYFUNCTION("""COMPUTED_VALUE"""),45189.66666666667)</f>
        <v>45189.66667</v>
      </c>
      <c r="B2023" s="5">
        <f>IFERROR(__xludf.DUMMYFUNCTION("""COMPUTED_VALUE"""),42.24)</f>
        <v>42.24</v>
      </c>
      <c r="C2023" s="5">
        <v>42.2164993286132</v>
      </c>
      <c r="D2023" s="5">
        <v>428.774688720703</v>
      </c>
      <c r="E2023" s="7">
        <f t="shared" ref="E2023:F2023" si="2021">C2023/C2022-1</f>
        <v>-0.02943477838</v>
      </c>
      <c r="F2023" s="7">
        <f t="shared" si="2021"/>
        <v>-0.00919328817</v>
      </c>
    </row>
    <row r="2024">
      <c r="A2024" s="3">
        <f>IFERROR(__xludf.DUMMYFUNCTION("""COMPUTED_VALUE"""),45190.66666666667)</f>
        <v>45190.66667</v>
      </c>
      <c r="B2024" s="5">
        <f>IFERROR(__xludf.DUMMYFUNCTION("""COMPUTED_VALUE"""),41.02)</f>
        <v>41.02</v>
      </c>
      <c r="C2024" s="5">
        <v>40.9951477050781</v>
      </c>
      <c r="D2024" s="5">
        <v>421.687713623046</v>
      </c>
      <c r="E2024" s="7">
        <f t="shared" ref="E2024:F2024" si="2022">C2024/C2023-1</f>
        <v>-0.02893067031</v>
      </c>
      <c r="F2024" s="7">
        <f t="shared" si="2022"/>
        <v>-0.01652843623</v>
      </c>
    </row>
    <row r="2025">
      <c r="A2025" s="3">
        <f>IFERROR(__xludf.DUMMYFUNCTION("""COMPUTED_VALUE"""),45191.66666666667)</f>
        <v>45191.66667</v>
      </c>
      <c r="B2025" s="5">
        <f>IFERROR(__xludf.DUMMYFUNCTION("""COMPUTED_VALUE"""),41.61)</f>
        <v>41.61</v>
      </c>
      <c r="C2025" s="5">
        <v>41.587833404541</v>
      </c>
      <c r="D2025" s="5">
        <v>420.739532470703</v>
      </c>
      <c r="E2025" s="7">
        <f t="shared" ref="E2025:F2025" si="2023">C2025/C2024-1</f>
        <v>0.01445745979</v>
      </c>
      <c r="F2025" s="7">
        <f t="shared" si="2023"/>
        <v>-0.002248538721</v>
      </c>
    </row>
    <row r="2026">
      <c r="A2026" s="3">
        <f>IFERROR(__xludf.DUMMYFUNCTION("""COMPUTED_VALUE"""),45194.66666666667)</f>
        <v>45194.66667</v>
      </c>
      <c r="B2026" s="5">
        <f>IFERROR(__xludf.DUMMYFUNCTION("""COMPUTED_VALUE"""),42.22)</f>
        <v>42.22</v>
      </c>
      <c r="C2026" s="5">
        <v>42.1995048522949</v>
      </c>
      <c r="D2026" s="5">
        <v>422.5087890625</v>
      </c>
      <c r="E2026" s="7">
        <f t="shared" ref="E2026:F2026" si="2024">C2026/C2025-1</f>
        <v>0.01470794215</v>
      </c>
      <c r="F2026" s="7">
        <f t="shared" si="2024"/>
        <v>0.00420511137</v>
      </c>
    </row>
    <row r="2027">
      <c r="A2027" s="3">
        <f>IFERROR(__xludf.DUMMYFUNCTION("""COMPUTED_VALUE"""),45195.66666666667)</f>
        <v>45195.66667</v>
      </c>
      <c r="B2027" s="5">
        <f>IFERROR(__xludf.DUMMYFUNCTION("""COMPUTED_VALUE"""),41.91)</f>
        <v>41.91</v>
      </c>
      <c r="C2027" s="5">
        <v>41.8886756896972</v>
      </c>
      <c r="D2027" s="5">
        <v>416.301635742187</v>
      </c>
      <c r="E2027" s="7">
        <f t="shared" ref="E2027:F2027" si="2025">C2027/C2026-1</f>
        <v>-0.007365706391</v>
      </c>
      <c r="F2027" s="7">
        <f t="shared" si="2025"/>
        <v>-0.01469118154</v>
      </c>
    </row>
    <row r="2028">
      <c r="A2028" s="3">
        <f>IFERROR(__xludf.DUMMYFUNCTION("""COMPUTED_VALUE"""),45196.66666666667)</f>
        <v>45196.66667</v>
      </c>
      <c r="B2028" s="5">
        <f>IFERROR(__xludf.DUMMYFUNCTION("""COMPUTED_VALUE"""),42.47)</f>
        <v>42.47</v>
      </c>
      <c r="C2028" s="5">
        <v>42.4453773498535</v>
      </c>
      <c r="D2028" s="5">
        <v>416.4677734375</v>
      </c>
      <c r="E2028" s="7">
        <f t="shared" ref="E2028:F2028" si="2026">C2028/C2027-1</f>
        <v>0.0132900277</v>
      </c>
      <c r="F2028" s="7">
        <f t="shared" si="2026"/>
        <v>0.0003990800925</v>
      </c>
    </row>
    <row r="2029">
      <c r="A2029" s="3">
        <f>IFERROR(__xludf.DUMMYFUNCTION("""COMPUTED_VALUE"""),45197.66666666667)</f>
        <v>45197.66667</v>
      </c>
      <c r="B2029" s="5">
        <f>IFERROR(__xludf.DUMMYFUNCTION("""COMPUTED_VALUE"""),43.09)</f>
        <v>43.09</v>
      </c>
      <c r="C2029" s="5">
        <v>43.066047668457</v>
      </c>
      <c r="D2029" s="5">
        <v>418.882263183593</v>
      </c>
      <c r="E2029" s="7">
        <f t="shared" ref="E2029:F2029" si="2027">C2029/C2028-1</f>
        <v>0.01462280129</v>
      </c>
      <c r="F2029" s="7">
        <f t="shared" si="2027"/>
        <v>0.005797542811</v>
      </c>
    </row>
    <row r="2030">
      <c r="A2030" s="3">
        <f>IFERROR(__xludf.DUMMYFUNCTION("""COMPUTED_VALUE"""),45198.66666666667)</f>
        <v>45198.66667</v>
      </c>
      <c r="B2030" s="5">
        <f>IFERROR(__xludf.DUMMYFUNCTION("""COMPUTED_VALUE"""),43.5)</f>
        <v>43.5</v>
      </c>
      <c r="C2030" s="5">
        <v>43.4758262634277</v>
      </c>
      <c r="D2030" s="5">
        <v>417.865692138671</v>
      </c>
      <c r="E2030" s="7">
        <f t="shared" ref="E2030:F2030" si="2028">C2030/C2029-1</f>
        <v>0.009515119616</v>
      </c>
      <c r="F2030" s="7">
        <f t="shared" si="2028"/>
        <v>-0.002426865815</v>
      </c>
    </row>
    <row r="2031">
      <c r="A2031" s="3">
        <f>IFERROR(__xludf.DUMMYFUNCTION("""COMPUTED_VALUE"""),45201.66666666667)</f>
        <v>45201.66667</v>
      </c>
      <c r="B2031" s="5">
        <f>IFERROR(__xludf.DUMMYFUNCTION("""COMPUTED_VALUE"""),44.78)</f>
        <v>44.78</v>
      </c>
      <c r="C2031" s="5">
        <v>44.7581405639648</v>
      </c>
      <c r="D2031" s="5">
        <v>417.699462890625</v>
      </c>
      <c r="E2031" s="7">
        <f t="shared" ref="E2031:F2031" si="2029">C2031/C2030-1</f>
        <v>0.02949488051</v>
      </c>
      <c r="F2031" s="7">
        <f t="shared" si="2029"/>
        <v>-0.000397805446</v>
      </c>
    </row>
    <row r="2032">
      <c r="A2032" s="3">
        <f>IFERROR(__xludf.DUMMYFUNCTION("""COMPUTED_VALUE"""),45202.66666666667)</f>
        <v>45202.66667</v>
      </c>
      <c r="B2032" s="5">
        <f>IFERROR(__xludf.DUMMYFUNCTION("""COMPUTED_VALUE"""),43.52)</f>
        <v>43.52</v>
      </c>
      <c r="C2032" s="5">
        <v>43.4938163757324</v>
      </c>
      <c r="D2032" s="5">
        <v>412.108123779296</v>
      </c>
      <c r="E2032" s="7">
        <f t="shared" ref="E2032:F2032" si="2030">C2032/C2031-1</f>
        <v>-0.02824791585</v>
      </c>
      <c r="F2032" s="7">
        <f t="shared" si="2030"/>
        <v>-0.01338603376</v>
      </c>
    </row>
    <row r="2033">
      <c r="A2033" s="3">
        <f>IFERROR(__xludf.DUMMYFUNCTION("""COMPUTED_VALUE"""),45203.66666666667)</f>
        <v>45203.66667</v>
      </c>
      <c r="B2033" s="5">
        <f>IFERROR(__xludf.DUMMYFUNCTION("""COMPUTED_VALUE"""),44.04)</f>
        <v>44.04</v>
      </c>
      <c r="C2033" s="5">
        <v>44.0175399780273</v>
      </c>
      <c r="D2033" s="5">
        <v>415.109069824218</v>
      </c>
      <c r="E2033" s="7">
        <f t="shared" ref="E2033:F2033" si="2031">C2033/C2032-1</f>
        <v>0.01204133474</v>
      </c>
      <c r="F2033" s="7">
        <f t="shared" si="2031"/>
        <v>0.007281938578</v>
      </c>
    </row>
    <row r="2034">
      <c r="A2034" s="3">
        <f>IFERROR(__xludf.DUMMYFUNCTION("""COMPUTED_VALUE"""),45204.66666666667)</f>
        <v>45204.66667</v>
      </c>
      <c r="B2034" s="5">
        <f>IFERROR(__xludf.DUMMYFUNCTION("""COMPUTED_VALUE"""),44.69)</f>
        <v>44.69</v>
      </c>
      <c r="C2034" s="5">
        <v>44.6641960144043</v>
      </c>
      <c r="D2034" s="5">
        <v>414.952697753906</v>
      </c>
      <c r="E2034" s="7">
        <f t="shared" ref="E2034:F2034" si="2032">C2034/C2033-1</f>
        <v>0.01469087179</v>
      </c>
      <c r="F2034" s="7">
        <f t="shared" si="2032"/>
        <v>-0.0003767011653</v>
      </c>
    </row>
    <row r="2035">
      <c r="A2035" s="3">
        <f>IFERROR(__xludf.DUMMYFUNCTION("""COMPUTED_VALUE"""),45205.66666666667)</f>
        <v>45205.66667</v>
      </c>
      <c r="B2035" s="5">
        <f>IFERROR(__xludf.DUMMYFUNCTION("""COMPUTED_VALUE"""),45.76)</f>
        <v>45.76</v>
      </c>
      <c r="C2035" s="5">
        <v>45.7376251220703</v>
      </c>
      <c r="D2035" s="5">
        <v>419.879333496093</v>
      </c>
      <c r="E2035" s="7">
        <f t="shared" ref="E2035:F2035" si="2033">C2035/C2034-1</f>
        <v>0.02403332431</v>
      </c>
      <c r="F2035" s="7">
        <f t="shared" si="2033"/>
        <v>0.0118727647</v>
      </c>
    </row>
    <row r="2036">
      <c r="A2036" s="3">
        <f>IFERROR(__xludf.DUMMYFUNCTION("""COMPUTED_VALUE"""),45208.66666666667)</f>
        <v>45208.66667</v>
      </c>
      <c r="B2036" s="5">
        <f>IFERROR(__xludf.DUMMYFUNCTION("""COMPUTED_VALUE"""),45.27)</f>
        <v>45.27</v>
      </c>
      <c r="C2036" s="5">
        <v>45.2488784790039</v>
      </c>
      <c r="D2036" s="5">
        <v>422.567474365234</v>
      </c>
      <c r="E2036" s="7">
        <f t="shared" ref="E2036:F2036" si="2034">C2036/C2035-1</f>
        <v>-0.01068587715</v>
      </c>
      <c r="F2036" s="7">
        <f t="shared" si="2034"/>
        <v>0.006402174755</v>
      </c>
    </row>
    <row r="2037">
      <c r="A2037" s="3">
        <f>IFERROR(__xludf.DUMMYFUNCTION("""COMPUTED_VALUE"""),45209.66666666667)</f>
        <v>45209.66667</v>
      </c>
      <c r="B2037" s="5">
        <f>IFERROR(__xludf.DUMMYFUNCTION("""COMPUTED_VALUE"""),45.8)</f>
        <v>45.8</v>
      </c>
      <c r="C2037" s="5">
        <v>45.7736053466796</v>
      </c>
      <c r="D2037" s="5">
        <v>424.766845703125</v>
      </c>
      <c r="E2037" s="7">
        <f t="shared" ref="E2037:F2037" si="2035">C2037/C2036-1</f>
        <v>0.01159646129</v>
      </c>
      <c r="F2037" s="7">
        <f t="shared" si="2035"/>
        <v>0.005204781417</v>
      </c>
    </row>
    <row r="2038">
      <c r="A2038" s="3">
        <f>IFERROR(__xludf.DUMMYFUNCTION("""COMPUTED_VALUE"""),45210.66666666667)</f>
        <v>45210.66667</v>
      </c>
      <c r="B2038" s="5">
        <f>IFERROR(__xludf.DUMMYFUNCTION("""COMPUTED_VALUE"""),46.81)</f>
        <v>46.81</v>
      </c>
      <c r="C2038" s="5">
        <v>46.7810745239257</v>
      </c>
      <c r="D2038" s="5">
        <v>426.5068359375</v>
      </c>
      <c r="E2038" s="7">
        <f t="shared" ref="E2038:F2038" si="2036">C2038/C2037-1</f>
        <v>0.02200982793</v>
      </c>
      <c r="F2038" s="7">
        <f t="shared" si="2036"/>
        <v>0.004096341916</v>
      </c>
    </row>
    <row r="2039">
      <c r="A2039" s="3">
        <f>IFERROR(__xludf.DUMMYFUNCTION("""COMPUTED_VALUE"""),45211.66666666667)</f>
        <v>45211.66667</v>
      </c>
      <c r="B2039" s="5">
        <f>IFERROR(__xludf.DUMMYFUNCTION("""COMPUTED_VALUE"""),46.95)</f>
        <v>46.95</v>
      </c>
      <c r="C2039" s="5">
        <v>46.919994354248</v>
      </c>
      <c r="D2039" s="5">
        <v>423.906646728515</v>
      </c>
      <c r="E2039" s="7">
        <f t="shared" ref="E2039:F2039" si="2037">C2039/C2038-1</f>
        <v>0.00296957331</v>
      </c>
      <c r="F2039" s="7">
        <f t="shared" si="2037"/>
        <v>-0.006096477219</v>
      </c>
    </row>
    <row r="2040">
      <c r="A2040" s="3">
        <f>IFERROR(__xludf.DUMMYFUNCTION("""COMPUTED_VALUE"""),45212.66666666667)</f>
        <v>45212.66667</v>
      </c>
      <c r="B2040" s="5">
        <f>IFERROR(__xludf.DUMMYFUNCTION("""COMPUTED_VALUE"""),45.46)</f>
        <v>45.46</v>
      </c>
      <c r="C2040" s="5">
        <v>45.4367866516113</v>
      </c>
      <c r="D2040" s="5">
        <v>421.795227050781</v>
      </c>
      <c r="E2040" s="7">
        <f t="shared" ref="E2040:F2040" si="2038">C2040/C2039-1</f>
        <v>-0.03161142117</v>
      </c>
      <c r="F2040" s="7">
        <f t="shared" si="2038"/>
        <v>-0.004980860041</v>
      </c>
    </row>
    <row r="2041">
      <c r="A2041" s="3">
        <f>IFERROR(__xludf.DUMMYFUNCTION("""COMPUTED_VALUE"""),45215.66666666667)</f>
        <v>45215.66667</v>
      </c>
      <c r="B2041" s="5">
        <f>IFERROR(__xludf.DUMMYFUNCTION("""COMPUTED_VALUE"""),46.1)</f>
        <v>46.1</v>
      </c>
      <c r="C2041" s="5">
        <v>46.0704498291015</v>
      </c>
      <c r="D2041" s="5">
        <v>426.233093261718</v>
      </c>
      <c r="E2041" s="7">
        <f t="shared" ref="E2041:F2041" si="2039">C2041/C2040-1</f>
        <v>0.01394603853</v>
      </c>
      <c r="F2041" s="7">
        <f t="shared" si="2039"/>
        <v>0.01052137608</v>
      </c>
    </row>
    <row r="2042">
      <c r="A2042" s="3">
        <f>IFERROR(__xludf.DUMMYFUNCTION("""COMPUTED_VALUE"""),45216.66666666667)</f>
        <v>45216.66667</v>
      </c>
      <c r="B2042" s="5">
        <f>IFERROR(__xludf.DUMMYFUNCTION("""COMPUTED_VALUE"""),43.94)</f>
        <v>43.94</v>
      </c>
      <c r="C2042" s="5">
        <v>43.9145927429199</v>
      </c>
      <c r="D2042" s="5">
        <v>426.21353149414</v>
      </c>
      <c r="E2042" s="7">
        <f t="shared" ref="E2042:F2042" si="2040">C2042/C2041-1</f>
        <v>-0.04679479133</v>
      </c>
      <c r="F2042" s="7">
        <f t="shared" si="2040"/>
        <v>-0.00004589453022</v>
      </c>
    </row>
    <row r="2043">
      <c r="A2043" s="3">
        <f>IFERROR(__xludf.DUMMYFUNCTION("""COMPUTED_VALUE"""),45217.66666666667)</f>
        <v>45217.66667</v>
      </c>
      <c r="B2043" s="5">
        <f>IFERROR(__xludf.DUMMYFUNCTION("""COMPUTED_VALUE"""),42.2)</f>
        <v>42.2</v>
      </c>
      <c r="C2043" s="5">
        <v>42.1735229492187</v>
      </c>
      <c r="D2043" s="5">
        <v>420.534210205078</v>
      </c>
      <c r="E2043" s="7">
        <f t="shared" ref="E2043:F2043" si="2041">C2043/C2042-1</f>
        <v>-0.03964672527</v>
      </c>
      <c r="F2043" s="7">
        <f t="shared" si="2041"/>
        <v>-0.01332506096</v>
      </c>
    </row>
    <row r="2044">
      <c r="A2044" s="3">
        <f>IFERROR(__xludf.DUMMYFUNCTION("""COMPUTED_VALUE"""),45218.66666666667)</f>
        <v>45218.66667</v>
      </c>
      <c r="B2044" s="5">
        <f>IFERROR(__xludf.DUMMYFUNCTION("""COMPUTED_VALUE"""),42.1)</f>
        <v>42.1</v>
      </c>
      <c r="C2044" s="5">
        <v>42.0785751342773</v>
      </c>
      <c r="D2044" s="5">
        <v>416.839263916015</v>
      </c>
      <c r="E2044" s="7">
        <f t="shared" ref="E2044:F2044" si="2042">C2044/C2043-1</f>
        <v>-0.002251360766</v>
      </c>
      <c r="F2044" s="7">
        <f t="shared" si="2042"/>
        <v>-0.008786315594</v>
      </c>
    </row>
    <row r="2045">
      <c r="A2045" s="3">
        <f>IFERROR(__xludf.DUMMYFUNCTION("""COMPUTED_VALUE"""),45219.66666666667)</f>
        <v>45219.66667</v>
      </c>
      <c r="B2045" s="5">
        <f>IFERROR(__xludf.DUMMYFUNCTION("""COMPUTED_VALUE"""),41.39)</f>
        <v>41.39</v>
      </c>
      <c r="C2045" s="5">
        <v>41.3649520874023</v>
      </c>
      <c r="D2045" s="5">
        <v>411.717102050781</v>
      </c>
      <c r="E2045" s="7">
        <f t="shared" ref="E2045:F2045" si="2043">C2045/C2044-1</f>
        <v>-0.01695929685</v>
      </c>
      <c r="F2045" s="7">
        <f t="shared" si="2043"/>
        <v>-0.01228809834</v>
      </c>
    </row>
    <row r="2046">
      <c r="A2046" s="3">
        <f>IFERROR(__xludf.DUMMYFUNCTION("""COMPUTED_VALUE"""),45222.66666666667)</f>
        <v>45222.66667</v>
      </c>
      <c r="B2046" s="5">
        <f>IFERROR(__xludf.DUMMYFUNCTION("""COMPUTED_VALUE"""),42.98)</f>
        <v>42.98</v>
      </c>
      <c r="C2046" s="5">
        <v>42.9521102905273</v>
      </c>
      <c r="D2046" s="5">
        <v>411.003540039062</v>
      </c>
      <c r="E2046" s="7">
        <f t="shared" ref="E2046:F2046" si="2044">C2046/C2045-1</f>
        <v>0.03836963717</v>
      </c>
      <c r="F2046" s="7">
        <f t="shared" si="2044"/>
        <v>-0.001733136681</v>
      </c>
    </row>
    <row r="2047">
      <c r="A2047" s="3">
        <f>IFERROR(__xludf.DUMMYFUNCTION("""COMPUTED_VALUE"""),45223.66666666667)</f>
        <v>45223.66667</v>
      </c>
      <c r="B2047" s="5">
        <f>IFERROR(__xludf.DUMMYFUNCTION("""COMPUTED_VALUE"""),43.66)</f>
        <v>43.66</v>
      </c>
      <c r="C2047" s="5">
        <v>43.6397323608398</v>
      </c>
      <c r="D2047" s="5">
        <v>414.102233886718</v>
      </c>
      <c r="E2047" s="7">
        <f t="shared" ref="E2047:F2047" si="2045">C2047/C2046-1</f>
        <v>0.01600904043</v>
      </c>
      <c r="F2047" s="7">
        <f t="shared" si="2045"/>
        <v>0.007539336151</v>
      </c>
    </row>
    <row r="2048">
      <c r="A2048" s="3">
        <f>IFERROR(__xludf.DUMMYFUNCTION("""COMPUTED_VALUE"""),45224.66666666667)</f>
        <v>45224.66667</v>
      </c>
      <c r="B2048" s="5">
        <f>IFERROR(__xludf.DUMMYFUNCTION("""COMPUTED_VALUE"""),41.78)</f>
        <v>41.78</v>
      </c>
      <c r="C2048" s="5">
        <v>41.7567443847656</v>
      </c>
      <c r="D2048" s="5">
        <v>408.158966064453</v>
      </c>
      <c r="E2048" s="7">
        <f t="shared" ref="E2048:F2048" si="2046">C2048/C2047-1</f>
        <v>-0.04314847673</v>
      </c>
      <c r="F2048" s="7">
        <f t="shared" si="2046"/>
        <v>-0.01435217523</v>
      </c>
    </row>
    <row r="2049">
      <c r="A2049" s="3">
        <f>IFERROR(__xludf.DUMMYFUNCTION("""COMPUTED_VALUE"""),45225.66666666667)</f>
        <v>45225.66667</v>
      </c>
      <c r="B2049" s="5">
        <f>IFERROR(__xludf.DUMMYFUNCTION("""COMPUTED_VALUE"""),40.33)</f>
        <v>40.33</v>
      </c>
      <c r="C2049" s="5">
        <v>40.3045196533203</v>
      </c>
      <c r="D2049" s="5">
        <v>403.271392822265</v>
      </c>
      <c r="E2049" s="7">
        <f t="shared" ref="E2049:F2049" si="2047">C2049/C2048-1</f>
        <v>-0.03477820776</v>
      </c>
      <c r="F2049" s="7">
        <f t="shared" si="2047"/>
        <v>-0.01197468057</v>
      </c>
    </row>
    <row r="2050">
      <c r="A2050" s="3">
        <f>IFERROR(__xludf.DUMMYFUNCTION("""COMPUTED_VALUE"""),45226.66666666667)</f>
        <v>45226.66667</v>
      </c>
      <c r="B2050" s="5">
        <f>IFERROR(__xludf.DUMMYFUNCTION("""COMPUTED_VALUE"""),40.5)</f>
        <v>40.5</v>
      </c>
      <c r="C2050" s="5">
        <v>40.4784278869628</v>
      </c>
      <c r="D2050" s="5">
        <v>401.443481445312</v>
      </c>
      <c r="E2050" s="7">
        <f t="shared" ref="E2050:F2050" si="2048">C2050/C2049-1</f>
        <v>0.004314856873</v>
      </c>
      <c r="F2050" s="7">
        <f t="shared" si="2048"/>
        <v>-0.004532707773</v>
      </c>
    </row>
    <row r="2051">
      <c r="A2051" s="3">
        <f>IFERROR(__xludf.DUMMYFUNCTION("""COMPUTED_VALUE"""),45229.66666666667)</f>
        <v>45229.66667</v>
      </c>
      <c r="B2051" s="5">
        <f>IFERROR(__xludf.DUMMYFUNCTION("""COMPUTED_VALUE"""),41.16)</f>
        <v>41.16</v>
      </c>
      <c r="C2051" s="5">
        <v>41.1390800476074</v>
      </c>
      <c r="D2051" s="5">
        <v>406.243011474609</v>
      </c>
      <c r="E2051" s="7">
        <f t="shared" ref="E2051:F2051" si="2049">C2051/C2050-1</f>
        <v>0.01632109237</v>
      </c>
      <c r="F2051" s="7">
        <f t="shared" si="2049"/>
        <v>0.01195568057</v>
      </c>
    </row>
    <row r="2052">
      <c r="A2052" s="3">
        <f>IFERROR(__xludf.DUMMYFUNCTION("""COMPUTED_VALUE"""),45230.66666666667)</f>
        <v>45230.66667</v>
      </c>
      <c r="B2052" s="5">
        <f>IFERROR(__xludf.DUMMYFUNCTION("""COMPUTED_VALUE"""),40.78)</f>
        <v>40.78</v>
      </c>
      <c r="C2052" s="5">
        <v>40.7582778930664</v>
      </c>
      <c r="D2052" s="5">
        <v>408.794372558593</v>
      </c>
      <c r="E2052" s="7">
        <f t="shared" ref="E2052:F2052" si="2050">C2052/C2051-1</f>
        <v>-0.009256457706</v>
      </c>
      <c r="F2052" s="7">
        <f t="shared" si="2050"/>
        <v>0.006280381476</v>
      </c>
    </row>
    <row r="2053">
      <c r="A2053" s="3">
        <f>IFERROR(__xludf.DUMMYFUNCTION("""COMPUTED_VALUE"""),45231.66666666667)</f>
        <v>45231.66667</v>
      </c>
      <c r="B2053" s="5">
        <f>IFERROR(__xludf.DUMMYFUNCTION("""COMPUTED_VALUE"""),42.33)</f>
        <v>42.33</v>
      </c>
      <c r="C2053" s="5">
        <v>42.3024597167968</v>
      </c>
      <c r="D2053" s="5">
        <v>413.154052734375</v>
      </c>
      <c r="E2053" s="7">
        <f t="shared" ref="E2053:F2053" si="2051">C2053/C2052-1</f>
        <v>0.03788633631</v>
      </c>
      <c r="F2053" s="7">
        <f t="shared" si="2051"/>
        <v>0.01066472649</v>
      </c>
    </row>
    <row r="2054">
      <c r="A2054" s="3">
        <f>IFERROR(__xludf.DUMMYFUNCTION("""COMPUTED_VALUE"""),45232.66666666667)</f>
        <v>45232.66667</v>
      </c>
      <c r="B2054" s="5">
        <f>IFERROR(__xludf.DUMMYFUNCTION("""COMPUTED_VALUE"""),43.51)</f>
        <v>43.51</v>
      </c>
      <c r="C2054" s="5">
        <v>43.4828262329101</v>
      </c>
      <c r="D2054" s="5">
        <v>421.071868896484</v>
      </c>
      <c r="E2054" s="7">
        <f t="shared" ref="E2054:F2054" si="2052">C2054/C2053-1</f>
        <v>0.02790302323</v>
      </c>
      <c r="F2054" s="7">
        <f t="shared" si="2052"/>
        <v>0.01916431924</v>
      </c>
    </row>
    <row r="2055">
      <c r="A2055" s="3">
        <f>IFERROR(__xludf.DUMMYFUNCTION("""COMPUTED_VALUE"""),45233.66666666667)</f>
        <v>45233.66667</v>
      </c>
      <c r="B2055" s="5">
        <f>IFERROR(__xludf.DUMMYFUNCTION("""COMPUTED_VALUE"""),45.01)</f>
        <v>45.01</v>
      </c>
      <c r="C2055" s="5">
        <v>44.9810256958007</v>
      </c>
      <c r="D2055" s="5">
        <v>424.913482666015</v>
      </c>
      <c r="E2055" s="7">
        <f t="shared" ref="E2055:F2055" si="2053">C2055/C2054-1</f>
        <v>0.03445496976</v>
      </c>
      <c r="F2055" s="7">
        <f t="shared" si="2053"/>
        <v>0.009123415866</v>
      </c>
    </row>
    <row r="2056">
      <c r="A2056" s="3">
        <f>IFERROR(__xludf.DUMMYFUNCTION("""COMPUTED_VALUE"""),45236.66666666667)</f>
        <v>45236.66667</v>
      </c>
      <c r="B2056" s="5">
        <f>IFERROR(__xludf.DUMMYFUNCTION("""COMPUTED_VALUE"""),45.75)</f>
        <v>45.75</v>
      </c>
      <c r="C2056" s="5">
        <v>45.7266311645507</v>
      </c>
      <c r="D2056" s="5">
        <v>425.890991210937</v>
      </c>
      <c r="E2056" s="7">
        <f t="shared" ref="E2056:F2056" si="2054">C2056/C2055-1</f>
        <v>0.01657599971</v>
      </c>
      <c r="F2056" s="7">
        <f t="shared" si="2054"/>
        <v>0.002300488417</v>
      </c>
    </row>
    <row r="2057">
      <c r="A2057" s="3">
        <f>IFERROR(__xludf.DUMMYFUNCTION("""COMPUTED_VALUE"""),45237.66666666667)</f>
        <v>45237.66667</v>
      </c>
      <c r="B2057" s="5">
        <f>IFERROR(__xludf.DUMMYFUNCTION("""COMPUTED_VALUE"""),45.96)</f>
        <v>45.96</v>
      </c>
      <c r="C2057" s="5">
        <v>45.9305229187011</v>
      </c>
      <c r="D2057" s="5">
        <v>427.103088378906</v>
      </c>
      <c r="E2057" s="7">
        <f t="shared" ref="E2057:F2057" si="2055">C2057/C2056-1</f>
        <v>0.004458927959</v>
      </c>
      <c r="F2057" s="7">
        <f t="shared" si="2055"/>
        <v>0.002846026784</v>
      </c>
    </row>
    <row r="2058">
      <c r="A2058" s="3">
        <f>IFERROR(__xludf.DUMMYFUNCTION("""COMPUTED_VALUE"""),45238.66666666667)</f>
        <v>45238.66667</v>
      </c>
      <c r="B2058" s="5">
        <f>IFERROR(__xludf.DUMMYFUNCTION("""COMPUTED_VALUE"""),46.57)</f>
        <v>46.57</v>
      </c>
      <c r="C2058" s="5">
        <v>46.5491905212402</v>
      </c>
      <c r="D2058" s="5">
        <v>427.415893554687</v>
      </c>
      <c r="E2058" s="7">
        <f t="shared" ref="E2058:F2058" si="2056">C2058/C2057-1</f>
        <v>0.01346963987</v>
      </c>
      <c r="F2058" s="7">
        <f t="shared" si="2056"/>
        <v>0.0007323879979</v>
      </c>
    </row>
    <row r="2059">
      <c r="A2059" s="3">
        <f>IFERROR(__xludf.DUMMYFUNCTION("""COMPUTED_VALUE"""),45239.66666666667)</f>
        <v>45239.66667</v>
      </c>
      <c r="B2059" s="5">
        <f>IFERROR(__xludf.DUMMYFUNCTION("""COMPUTED_VALUE"""),46.95)</f>
        <v>46.95</v>
      </c>
      <c r="C2059" s="5">
        <v>46.9249877929687</v>
      </c>
      <c r="D2059" s="5">
        <v>424.082611083984</v>
      </c>
      <c r="E2059" s="7">
        <f t="shared" ref="E2059:F2059" si="2057">C2059/C2058-1</f>
        <v>0.00807312152</v>
      </c>
      <c r="F2059" s="7">
        <f t="shared" si="2057"/>
        <v>-0.007798686294</v>
      </c>
    </row>
    <row r="2060">
      <c r="A2060" s="3">
        <f>IFERROR(__xludf.DUMMYFUNCTION("""COMPUTED_VALUE"""),45240.66666666667)</f>
        <v>45240.66667</v>
      </c>
      <c r="B2060" s="5">
        <f>IFERROR(__xludf.DUMMYFUNCTION("""COMPUTED_VALUE"""),48.34)</f>
        <v>48.34</v>
      </c>
      <c r="C2060" s="5">
        <v>48.3092536926269</v>
      </c>
      <c r="D2060" s="5">
        <v>430.700317382812</v>
      </c>
      <c r="E2060" s="7">
        <f t="shared" ref="E2060:F2060" si="2058">C2060/C2059-1</f>
        <v>0.02949954736</v>
      </c>
      <c r="F2060" s="7">
        <f t="shared" si="2058"/>
        <v>0.01560475748</v>
      </c>
    </row>
    <row r="2061">
      <c r="A2061" s="3">
        <f>IFERROR(__xludf.DUMMYFUNCTION("""COMPUTED_VALUE"""),45243.66666666667)</f>
        <v>45243.66667</v>
      </c>
      <c r="B2061" s="5">
        <f>IFERROR(__xludf.DUMMYFUNCTION("""COMPUTED_VALUE"""),48.62)</f>
        <v>48.62</v>
      </c>
      <c r="C2061" s="5">
        <v>48.5941009521484</v>
      </c>
      <c r="D2061" s="5">
        <v>430.289764404296</v>
      </c>
      <c r="E2061" s="7">
        <f t="shared" ref="E2061:F2061" si="2059">C2061/C2060-1</f>
        <v>0.005896329124</v>
      </c>
      <c r="F2061" s="7">
        <f t="shared" si="2059"/>
        <v>-0.0009532219085</v>
      </c>
    </row>
    <row r="2062">
      <c r="A2062" s="3">
        <f>IFERROR(__xludf.DUMMYFUNCTION("""COMPUTED_VALUE"""),45244.66666666667)</f>
        <v>45244.66667</v>
      </c>
      <c r="B2062" s="5">
        <f>IFERROR(__xludf.DUMMYFUNCTION("""COMPUTED_VALUE"""),49.66)</f>
        <v>49.66</v>
      </c>
      <c r="C2062" s="5">
        <v>49.6295471191406</v>
      </c>
      <c r="D2062" s="5">
        <v>438.637756347656</v>
      </c>
      <c r="E2062" s="7">
        <f t="shared" ref="E2062:F2062" si="2060">C2062/C2061-1</f>
        <v>0.02130806305</v>
      </c>
      <c r="F2062" s="7">
        <f t="shared" si="2060"/>
        <v>0.01940086108</v>
      </c>
    </row>
    <row r="2063">
      <c r="A2063" s="3">
        <f>IFERROR(__xludf.DUMMYFUNCTION("""COMPUTED_VALUE"""),45245.66666666667)</f>
        <v>45245.66667</v>
      </c>
      <c r="B2063" s="5">
        <f>IFERROR(__xludf.DUMMYFUNCTION("""COMPUTED_VALUE"""),48.89)</f>
        <v>48.89</v>
      </c>
      <c r="C2063" s="5">
        <v>48.8619575500488</v>
      </c>
      <c r="D2063" s="5">
        <v>439.566375732421</v>
      </c>
      <c r="E2063" s="7">
        <f t="shared" ref="E2063:F2063" si="2061">C2063/C2062-1</f>
        <v>-0.0154663827</v>
      </c>
      <c r="F2063" s="7">
        <f t="shared" si="2061"/>
        <v>0.002117053015</v>
      </c>
    </row>
    <row r="2064">
      <c r="A2064" s="3">
        <f>IFERROR(__xludf.DUMMYFUNCTION("""COMPUTED_VALUE"""),45246.66666666667)</f>
        <v>45246.66667</v>
      </c>
      <c r="B2064" s="5">
        <f>IFERROR(__xludf.DUMMYFUNCTION("""COMPUTED_VALUE"""),49.48)</f>
        <v>49.48</v>
      </c>
      <c r="C2064" s="5">
        <v>49.4536399841308</v>
      </c>
      <c r="D2064" s="5">
        <v>440.103973388671</v>
      </c>
      <c r="E2064" s="7">
        <f t="shared" ref="E2064:F2064" si="2062">C2064/C2063-1</f>
        <v>0.01210926585</v>
      </c>
      <c r="F2064" s="7">
        <f t="shared" si="2062"/>
        <v>0.001223018151</v>
      </c>
    </row>
    <row r="2065">
      <c r="A2065" s="3">
        <f>IFERROR(__xludf.DUMMYFUNCTION("""COMPUTED_VALUE"""),45247.66666666667)</f>
        <v>45247.66667</v>
      </c>
      <c r="B2065" s="5">
        <f>IFERROR(__xludf.DUMMYFUNCTION("""COMPUTED_VALUE"""),49.3)</f>
        <v>49.3</v>
      </c>
      <c r="C2065" s="5">
        <v>49.2717399597168</v>
      </c>
      <c r="D2065" s="5">
        <v>440.651397705078</v>
      </c>
      <c r="E2065" s="7">
        <f t="shared" ref="E2065:F2065" si="2063">C2065/C2064-1</f>
        <v>-0.003678192838</v>
      </c>
      <c r="F2065" s="7">
        <f t="shared" si="2063"/>
        <v>0.001243852247</v>
      </c>
    </row>
    <row r="2066">
      <c r="A2066" s="3">
        <f>IFERROR(__xludf.DUMMYFUNCTION("""COMPUTED_VALUE"""),45250.66666666667)</f>
        <v>45250.66667</v>
      </c>
      <c r="B2066" s="5">
        <f>IFERROR(__xludf.DUMMYFUNCTION("""COMPUTED_VALUE"""),50.41)</f>
        <v>50.41</v>
      </c>
      <c r="C2066" s="5">
        <v>50.3821487426757</v>
      </c>
      <c r="D2066" s="5">
        <v>444.043365478515</v>
      </c>
      <c r="E2066" s="7">
        <f t="shared" ref="E2066:F2066" si="2064">C2066/C2065-1</f>
        <v>0.02253642319</v>
      </c>
      <c r="F2066" s="7">
        <f t="shared" si="2064"/>
        <v>0.007697621728</v>
      </c>
    </row>
    <row r="2067">
      <c r="A2067" s="3">
        <f>IFERROR(__xludf.DUMMYFUNCTION("""COMPUTED_VALUE"""),45251.66666666667)</f>
        <v>45251.66667</v>
      </c>
      <c r="B2067" s="5">
        <f>IFERROR(__xludf.DUMMYFUNCTION("""COMPUTED_VALUE"""),49.94)</f>
        <v>49.94</v>
      </c>
      <c r="C2067" s="5">
        <v>49.9173965454101</v>
      </c>
      <c r="D2067" s="5">
        <v>443.075592041015</v>
      </c>
      <c r="E2067" s="7">
        <f t="shared" ref="E2067:F2067" si="2065">C2067/C2066-1</f>
        <v>-0.00922454101</v>
      </c>
      <c r="F2067" s="7">
        <f t="shared" si="2065"/>
        <v>-0.002179457037</v>
      </c>
    </row>
    <row r="2068">
      <c r="A2068" s="3">
        <f>IFERROR(__xludf.DUMMYFUNCTION("""COMPUTED_VALUE"""),45252.66666666667)</f>
        <v>45252.66667</v>
      </c>
      <c r="B2068" s="5">
        <f>IFERROR(__xludf.DUMMYFUNCTION("""COMPUTED_VALUE"""),48.72)</f>
        <v>48.72</v>
      </c>
      <c r="C2068" s="5">
        <v>48.6900444030761</v>
      </c>
      <c r="D2068" s="5">
        <v>444.786224365234</v>
      </c>
      <c r="E2068" s="7">
        <f t="shared" ref="E2068:F2068" si="2066">C2068/C2067-1</f>
        <v>-0.02458766337</v>
      </c>
      <c r="F2068" s="7">
        <f t="shared" si="2066"/>
        <v>0.003860813719</v>
      </c>
    </row>
    <row r="2069">
      <c r="A2069" s="3">
        <f>IFERROR(__xludf.DUMMYFUNCTION("""COMPUTED_VALUE"""),45254.54513888889)</f>
        <v>45254.54514</v>
      </c>
      <c r="B2069" s="5">
        <f>IFERROR(__xludf.DUMMYFUNCTION("""COMPUTED_VALUE"""),47.78)</f>
        <v>47.78</v>
      </c>
      <c r="C2069" s="5">
        <v>47.7505493164062</v>
      </c>
      <c r="D2069" s="5">
        <v>445.059906005859</v>
      </c>
      <c r="E2069" s="7">
        <f t="shared" ref="E2069:F2069" si="2067">C2069/C2068-1</f>
        <v>-0.01929542473</v>
      </c>
      <c r="F2069" s="7">
        <f t="shared" si="2067"/>
        <v>0.0006153105147</v>
      </c>
    </row>
    <row r="2070">
      <c r="A2070" s="3">
        <f>IFERROR(__xludf.DUMMYFUNCTION("""COMPUTED_VALUE"""),45257.66666666667)</f>
        <v>45257.66667</v>
      </c>
      <c r="B2070" s="5">
        <f>IFERROR(__xludf.DUMMYFUNCTION("""COMPUTED_VALUE"""),48.24)</f>
        <v>48.24</v>
      </c>
      <c r="C2070" s="5">
        <v>48.2163047790527</v>
      </c>
      <c r="D2070" s="5">
        <v>444.258422851562</v>
      </c>
      <c r="E2070" s="7">
        <f t="shared" ref="E2070:F2070" si="2068">C2070/C2069-1</f>
        <v>0.009753928893</v>
      </c>
      <c r="F2070" s="7">
        <f t="shared" si="2068"/>
        <v>-0.00180084331</v>
      </c>
    </row>
    <row r="2071">
      <c r="A2071" s="3">
        <f>IFERROR(__xludf.DUMMYFUNCTION("""COMPUTED_VALUE"""),45258.66666666667)</f>
        <v>45258.66667</v>
      </c>
      <c r="B2071" s="5">
        <f>IFERROR(__xludf.DUMMYFUNCTION("""COMPUTED_VALUE"""),47.82)</f>
        <v>47.82</v>
      </c>
      <c r="C2071" s="5">
        <v>47.7955245971679</v>
      </c>
      <c r="D2071" s="5">
        <v>444.698272705078</v>
      </c>
      <c r="E2071" s="7">
        <f t="shared" ref="E2071:F2071" si="2069">C2071/C2070-1</f>
        <v>-0.008726927205</v>
      </c>
      <c r="F2071" s="7">
        <f t="shared" si="2069"/>
        <v>0.0009900765656</v>
      </c>
    </row>
    <row r="2072">
      <c r="A2072" s="3">
        <f>IFERROR(__xludf.DUMMYFUNCTION("""COMPUTED_VALUE"""),45259.66666666667)</f>
        <v>45259.66667</v>
      </c>
      <c r="B2072" s="5">
        <f>IFERROR(__xludf.DUMMYFUNCTION("""COMPUTED_VALUE"""),48.14)</f>
        <v>48.14</v>
      </c>
      <c r="C2072" s="5">
        <v>48.1143569946289</v>
      </c>
      <c r="D2072" s="5">
        <v>444.385467529296</v>
      </c>
      <c r="E2072" s="7">
        <f t="shared" ref="E2072:F2072" si="2070">C2072/C2071-1</f>
        <v>0.006670758406</v>
      </c>
      <c r="F2072" s="7">
        <f t="shared" si="2070"/>
        <v>-0.0007034099185</v>
      </c>
    </row>
    <row r="2073">
      <c r="A2073" s="3">
        <f>IFERROR(__xludf.DUMMYFUNCTION("""COMPUTED_VALUE"""),45260.66666666667)</f>
        <v>45260.66667</v>
      </c>
      <c r="B2073" s="5">
        <f>IFERROR(__xludf.DUMMYFUNCTION("""COMPUTED_VALUE"""),46.77)</f>
        <v>46.77</v>
      </c>
      <c r="C2073" s="5">
        <v>46.7450828552246</v>
      </c>
      <c r="D2073" s="5">
        <v>446.135192871093</v>
      </c>
      <c r="E2073" s="7">
        <f t="shared" ref="E2073:F2073" si="2071">C2073/C2072-1</f>
        <v>-0.0284587434</v>
      </c>
      <c r="F2073" s="7">
        <f t="shared" si="2071"/>
        <v>0.003937404505</v>
      </c>
    </row>
    <row r="2074">
      <c r="A2074" s="3">
        <f>IFERROR(__xludf.DUMMYFUNCTION("""COMPUTED_VALUE"""),45261.66666666667)</f>
        <v>45261.66667</v>
      </c>
      <c r="B2074" s="5">
        <f>IFERROR(__xludf.DUMMYFUNCTION("""COMPUTED_VALUE"""),46.77)</f>
        <v>46.77</v>
      </c>
      <c r="C2074" s="5">
        <v>46.7400894165039</v>
      </c>
      <c r="D2074" s="5">
        <v>448.774536132812</v>
      </c>
      <c r="E2074" s="7">
        <f t="shared" ref="E2074:F2074" si="2072">C2074/C2073-1</f>
        <v>-0.000106822759</v>
      </c>
      <c r="F2074" s="7">
        <f t="shared" si="2072"/>
        <v>0.005916016723</v>
      </c>
    </row>
    <row r="2075">
      <c r="A2075" s="3">
        <f>IFERROR(__xludf.DUMMYFUNCTION("""COMPUTED_VALUE"""),45264.66666666667)</f>
        <v>45264.66667</v>
      </c>
      <c r="B2075" s="5">
        <f>IFERROR(__xludf.DUMMYFUNCTION("""COMPUTED_VALUE"""),45.51)</f>
        <v>45.51</v>
      </c>
      <c r="C2075" s="5">
        <v>45.4857521057128</v>
      </c>
      <c r="D2075" s="5">
        <v>446.418670654296</v>
      </c>
      <c r="E2075" s="7">
        <f t="shared" ref="E2075:F2075" si="2073">C2075/C2074-1</f>
        <v>-0.0268364337</v>
      </c>
      <c r="F2075" s="7">
        <f t="shared" si="2073"/>
        <v>-0.005249552479</v>
      </c>
    </row>
    <row r="2076">
      <c r="A2076" s="3">
        <f>IFERROR(__xludf.DUMMYFUNCTION("""COMPUTED_VALUE"""),45265.66666666667)</f>
        <v>45265.66667</v>
      </c>
      <c r="B2076" s="5">
        <f>IFERROR(__xludf.DUMMYFUNCTION("""COMPUTED_VALUE"""),46.57)</f>
        <v>46.57</v>
      </c>
      <c r="C2076" s="5">
        <v>46.5452880859375</v>
      </c>
      <c r="D2076" s="5">
        <v>446.33071899414</v>
      </c>
      <c r="E2076" s="7">
        <f t="shared" ref="E2076:F2076" si="2074">C2076/C2075-1</f>
        <v>0.02329379929</v>
      </c>
      <c r="F2076" s="7">
        <f t="shared" si="2074"/>
        <v>-0.0001970160881</v>
      </c>
    </row>
    <row r="2077">
      <c r="A2077" s="3">
        <f>IFERROR(__xludf.DUMMYFUNCTION("""COMPUTED_VALUE"""),45266.66666666667)</f>
        <v>45266.66667</v>
      </c>
      <c r="B2077" s="5">
        <f>IFERROR(__xludf.DUMMYFUNCTION("""COMPUTED_VALUE"""),45.5)</f>
        <v>45.5</v>
      </c>
      <c r="C2077" s="5">
        <v>45.4827613830566</v>
      </c>
      <c r="D2077" s="5">
        <v>444.532104492187</v>
      </c>
      <c r="E2077" s="7">
        <f t="shared" ref="E2077:F2077" si="2075">C2077/C2076-1</f>
        <v>-0.02282780377</v>
      </c>
      <c r="F2077" s="7">
        <f t="shared" si="2075"/>
        <v>-0.00402977977</v>
      </c>
    </row>
    <row r="2078">
      <c r="A2078" s="3">
        <f>IFERROR(__xludf.DUMMYFUNCTION("""COMPUTED_VALUE"""),45267.66666666667)</f>
        <v>45267.66667</v>
      </c>
      <c r="B2078" s="5">
        <f>IFERROR(__xludf.DUMMYFUNCTION("""COMPUTED_VALUE"""),46.6)</f>
        <v>46.6</v>
      </c>
      <c r="C2078" s="5">
        <v>46.5752754211425</v>
      </c>
      <c r="D2078" s="5">
        <v>447.924072265625</v>
      </c>
      <c r="E2078" s="7">
        <f t="shared" ref="E2078:F2078" si="2076">C2078/C2077-1</f>
        <v>0.02402039817</v>
      </c>
      <c r="F2078" s="7">
        <f t="shared" si="2076"/>
        <v>0.007630422503</v>
      </c>
    </row>
    <row r="2079">
      <c r="A2079" s="3">
        <f>IFERROR(__xludf.DUMMYFUNCTION("""COMPUTED_VALUE"""),45268.66666666667)</f>
        <v>45268.66667</v>
      </c>
      <c r="B2079" s="5">
        <f>IFERROR(__xludf.DUMMYFUNCTION("""COMPUTED_VALUE"""),47.51)</f>
        <v>47.51</v>
      </c>
      <c r="C2079" s="5">
        <v>47.4848670959472</v>
      </c>
      <c r="D2079" s="5">
        <v>449.84976196289</v>
      </c>
      <c r="E2079" s="7">
        <f t="shared" ref="E2079:F2079" si="2077">C2079/C2078-1</f>
        <v>0.01952949642</v>
      </c>
      <c r="F2079" s="7">
        <f t="shared" si="2077"/>
        <v>0.004299143128</v>
      </c>
    </row>
    <row r="2080">
      <c r="A2080" s="3">
        <f>IFERROR(__xludf.DUMMYFUNCTION("""COMPUTED_VALUE"""),45271.66666666667)</f>
        <v>45271.66667</v>
      </c>
      <c r="B2080" s="5">
        <f>IFERROR(__xludf.DUMMYFUNCTION("""COMPUTED_VALUE"""),46.63)</f>
        <v>46.63</v>
      </c>
      <c r="C2080" s="5">
        <v>46.6062583923339</v>
      </c>
      <c r="D2080" s="5">
        <v>451.599487304687</v>
      </c>
      <c r="E2080" s="7">
        <f t="shared" ref="E2080:F2080" si="2078">C2080/C2079-1</f>
        <v>-0.01850292014</v>
      </c>
      <c r="F2080" s="7">
        <f t="shared" si="2078"/>
        <v>0.003889577121</v>
      </c>
    </row>
    <row r="2081">
      <c r="A2081" s="3">
        <f>IFERROR(__xludf.DUMMYFUNCTION("""COMPUTED_VALUE"""),45272.66666666667)</f>
        <v>45272.66667</v>
      </c>
      <c r="B2081" s="5">
        <f>IFERROR(__xludf.DUMMYFUNCTION("""COMPUTED_VALUE"""),47.66)</f>
        <v>47.66</v>
      </c>
      <c r="C2081" s="5">
        <v>47.6358032226562</v>
      </c>
      <c r="D2081" s="5">
        <v>453.662048339843</v>
      </c>
      <c r="E2081" s="7">
        <f t="shared" ref="E2081:F2081" si="2079">C2081/C2080-1</f>
        <v>0.02209026997</v>
      </c>
      <c r="F2081" s="7">
        <f t="shared" si="2079"/>
        <v>0.004567235112</v>
      </c>
    </row>
    <row r="2082">
      <c r="A2082" s="3">
        <f>IFERROR(__xludf.DUMMYFUNCTION("""COMPUTED_VALUE"""),45273.66666666667)</f>
        <v>45273.66667</v>
      </c>
      <c r="B2082" s="5">
        <f>IFERROR(__xludf.DUMMYFUNCTION("""COMPUTED_VALUE"""),48.09)</f>
        <v>48.09</v>
      </c>
      <c r="C2082" s="5">
        <v>48.0666160583496</v>
      </c>
      <c r="D2082" s="5">
        <v>459.918090820312</v>
      </c>
      <c r="E2082" s="7">
        <f t="shared" ref="E2082:F2082" si="2080">C2082/C2081-1</f>
        <v>0.009043887298</v>
      </c>
      <c r="F2082" s="7">
        <f t="shared" si="2080"/>
        <v>0.01379009442</v>
      </c>
    </row>
    <row r="2083">
      <c r="A2083" s="3">
        <f>IFERROR(__xludf.DUMMYFUNCTION("""COMPUTED_VALUE"""),45274.66666666667)</f>
        <v>45274.66667</v>
      </c>
      <c r="B2083" s="5">
        <f>IFERROR(__xludf.DUMMYFUNCTION("""COMPUTED_VALUE"""),48.35)</f>
        <v>48.35</v>
      </c>
      <c r="C2083" s="5">
        <v>48.3284912109375</v>
      </c>
      <c r="D2083" s="5">
        <v>461.394134521484</v>
      </c>
      <c r="E2083" s="7">
        <f t="shared" ref="E2083:F2083" si="2081">C2083/C2082-1</f>
        <v>0.005448171185</v>
      </c>
      <c r="F2083" s="7">
        <f t="shared" si="2081"/>
        <v>0.003209362125</v>
      </c>
    </row>
    <row r="2084">
      <c r="A2084" s="3">
        <f>IFERROR(__xludf.DUMMYFUNCTION("""COMPUTED_VALUE"""),45275.66666666667)</f>
        <v>45275.66667</v>
      </c>
      <c r="B2084" s="5">
        <f>IFERROR(__xludf.DUMMYFUNCTION("""COMPUTED_VALUE"""),48.89)</f>
        <v>48.89</v>
      </c>
      <c r="C2084" s="5">
        <v>48.8682518005371</v>
      </c>
      <c r="D2084" s="5">
        <v>460.634460449218</v>
      </c>
      <c r="E2084" s="7">
        <f t="shared" ref="E2084:F2084" si="2082">C2084/C2083-1</f>
        <v>0.01116857936</v>
      </c>
      <c r="F2084" s="7">
        <f t="shared" si="2082"/>
        <v>-0.001646475357</v>
      </c>
    </row>
    <row r="2085">
      <c r="A2085" s="3">
        <f>IFERROR(__xludf.DUMMYFUNCTION("""COMPUTED_VALUE"""),45278.66666666667)</f>
        <v>45278.66667</v>
      </c>
      <c r="B2085" s="5">
        <f>IFERROR(__xludf.DUMMYFUNCTION("""COMPUTED_VALUE"""),50.08)</f>
        <v>50.08</v>
      </c>
      <c r="C2085" s="5">
        <v>50.0547294616699</v>
      </c>
      <c r="D2085" s="5">
        <v>463.225524902343</v>
      </c>
      <c r="E2085" s="7">
        <f t="shared" ref="E2085:F2085" si="2083">C2085/C2084-1</f>
        <v>0.02427911</v>
      </c>
      <c r="F2085" s="7">
        <f t="shared" si="2083"/>
        <v>0.005624990476</v>
      </c>
    </row>
    <row r="2086">
      <c r="A2086" s="3">
        <f>IFERROR(__xludf.DUMMYFUNCTION("""COMPUTED_VALUE"""),45279.66666666667)</f>
        <v>45279.66667</v>
      </c>
      <c r="B2086" s="5">
        <f>IFERROR(__xludf.DUMMYFUNCTION("""COMPUTED_VALUE"""),49.6)</f>
        <v>49.6</v>
      </c>
      <c r="C2086" s="5">
        <v>49.581932067871</v>
      </c>
      <c r="D2086" s="5">
        <v>466.042358398437</v>
      </c>
      <c r="E2086" s="7">
        <f t="shared" ref="E2086:F2086" si="2084">C2086/C2085-1</f>
        <v>-0.009445608814</v>
      </c>
      <c r="F2086" s="7">
        <f t="shared" si="2084"/>
        <v>0.006080911661</v>
      </c>
    </row>
    <row r="2087">
      <c r="A2087" s="3">
        <f>IFERROR(__xludf.DUMMYFUNCTION("""COMPUTED_VALUE"""),45280.66666666667)</f>
        <v>45280.66667</v>
      </c>
      <c r="B2087" s="5">
        <f>IFERROR(__xludf.DUMMYFUNCTION("""COMPUTED_VALUE"""),48.11)</f>
        <v>48.11</v>
      </c>
      <c r="C2087" s="5">
        <v>48.089599609375</v>
      </c>
      <c r="D2087" s="5">
        <v>459.584289550781</v>
      </c>
      <c r="E2087" s="7">
        <f t="shared" ref="E2087:F2087" si="2085">C2087/C2086-1</f>
        <v>-0.03009831195</v>
      </c>
      <c r="F2087" s="7">
        <f t="shared" si="2085"/>
        <v>-0.01385725725</v>
      </c>
    </row>
    <row r="2088">
      <c r="A2088" s="3">
        <f>IFERROR(__xludf.DUMMYFUNCTION("""COMPUTED_VALUE"""),45281.66666666667)</f>
        <v>45281.66667</v>
      </c>
      <c r="B2088" s="5">
        <f>IFERROR(__xludf.DUMMYFUNCTION("""COMPUTED_VALUE"""),48.99)</f>
        <v>48.99</v>
      </c>
      <c r="C2088" s="5">
        <v>48.9682083129882</v>
      </c>
      <c r="D2088" s="5">
        <v>463.942016601562</v>
      </c>
      <c r="E2088" s="7">
        <f t="shared" ref="E2088:F2088" si="2086">C2088/C2087-1</f>
        <v>0.01827024369</v>
      </c>
      <c r="F2088" s="7">
        <f t="shared" si="2086"/>
        <v>0.009481888633</v>
      </c>
    </row>
    <row r="2089">
      <c r="A2089" s="3">
        <f>IFERROR(__xludf.DUMMYFUNCTION("""COMPUTED_VALUE"""),45282.66666666667)</f>
        <v>45282.66667</v>
      </c>
      <c r="B2089" s="5">
        <f>IFERROR(__xludf.DUMMYFUNCTION("""COMPUTED_VALUE"""),48.83)</f>
        <v>48.83</v>
      </c>
      <c r="C2089" s="5">
        <v>48.8082847595214</v>
      </c>
      <c r="D2089" s="5">
        <v>464.874450683593</v>
      </c>
      <c r="E2089" s="7">
        <f t="shared" ref="E2089:F2089" si="2087">C2089/C2088-1</f>
        <v>-0.003265864915</v>
      </c>
      <c r="F2089" s="7">
        <f t="shared" si="2087"/>
        <v>0.002009807365</v>
      </c>
    </row>
    <row r="2090">
      <c r="A2090" s="3">
        <f>IFERROR(__xludf.DUMMYFUNCTION("""COMPUTED_VALUE"""),45286.66666666667)</f>
        <v>45286.66667</v>
      </c>
      <c r="B2090" s="5">
        <f>IFERROR(__xludf.DUMMYFUNCTION("""COMPUTED_VALUE"""),49.28)</f>
        <v>49.28</v>
      </c>
      <c r="C2090" s="5">
        <v>49.2570762634277</v>
      </c>
      <c r="D2090" s="5">
        <v>466.837341308593</v>
      </c>
      <c r="E2090" s="7">
        <f t="shared" ref="E2090:F2090" si="2088">C2090/C2089-1</f>
        <v>0.009194986181</v>
      </c>
      <c r="F2090" s="7">
        <f t="shared" si="2088"/>
        <v>0.004222410206</v>
      </c>
    </row>
    <row r="2091">
      <c r="A2091" s="3">
        <f>IFERROR(__xludf.DUMMYFUNCTION("""COMPUTED_VALUE"""),45287.66666666667)</f>
        <v>45287.66667</v>
      </c>
      <c r="B2091" s="5">
        <f>IFERROR(__xludf.DUMMYFUNCTION("""COMPUTED_VALUE"""),49.42)</f>
        <v>49.42</v>
      </c>
      <c r="C2091" s="5">
        <v>49.39501953125</v>
      </c>
      <c r="D2091" s="5">
        <v>467.681427001953</v>
      </c>
      <c r="E2091" s="7">
        <f t="shared" ref="E2091:F2091" si="2089">C2091/C2090-1</f>
        <v>0.002800476161</v>
      </c>
      <c r="F2091" s="7">
        <f t="shared" si="2089"/>
        <v>0.001808093781</v>
      </c>
    </row>
    <row r="2092">
      <c r="A2092" s="3">
        <f>IFERROR(__xludf.DUMMYFUNCTION("""COMPUTED_VALUE"""),45288.66666666667)</f>
        <v>45288.66667</v>
      </c>
      <c r="B2092" s="5">
        <f>IFERROR(__xludf.DUMMYFUNCTION("""COMPUTED_VALUE"""),49.52)</f>
        <v>49.52</v>
      </c>
      <c r="C2092" s="5">
        <v>49.4999732971191</v>
      </c>
      <c r="D2092" s="5">
        <v>467.858123779296</v>
      </c>
      <c r="E2092" s="7">
        <f t="shared" ref="E2092:F2092" si="2090">C2092/C2091-1</f>
        <v>0.002124784378</v>
      </c>
      <c r="F2092" s="7">
        <f t="shared" si="2090"/>
        <v>0.0003778143992</v>
      </c>
    </row>
    <row r="2093">
      <c r="A2093" s="3">
        <f>IFERROR(__xludf.DUMMYFUNCTION("""COMPUTED_VALUE"""),45289.66666666667)</f>
        <v>45289.66667</v>
      </c>
      <c r="B2093" s="5">
        <f>IFERROR(__xludf.DUMMYFUNCTION("""COMPUTED_VALUE"""),49.52)</f>
        <v>49.52</v>
      </c>
      <c r="C2093" s="5">
        <v>49.4999732971191</v>
      </c>
      <c r="D2093" s="5">
        <v>466.503631591796</v>
      </c>
      <c r="E2093" s="7">
        <f t="shared" ref="E2093:F2093" si="2091">C2093/C2092-1</f>
        <v>0</v>
      </c>
      <c r="F2093" s="7">
        <f t="shared" si="2091"/>
        <v>-0.002895091735</v>
      </c>
    </row>
    <row r="2094">
      <c r="A2094" s="3">
        <f>IFERROR(__xludf.DUMMYFUNCTION("""COMPUTED_VALUE"""),45293.66666666667)</f>
        <v>45293.66667</v>
      </c>
      <c r="B2094" s="5">
        <f>IFERROR(__xludf.DUMMYFUNCTION("""COMPUTED_VALUE"""),48.17)</f>
        <v>48.17</v>
      </c>
      <c r="C2094" s="5">
        <v>48.1465721130371</v>
      </c>
      <c r="D2094" s="5">
        <v>463.892944335937</v>
      </c>
      <c r="E2094" s="7">
        <f t="shared" ref="E2094:F2094" si="2092">C2094/C2093-1</f>
        <v>-0.02734145281</v>
      </c>
      <c r="F2094" s="7">
        <f t="shared" si="2092"/>
        <v>-0.005596284957</v>
      </c>
    </row>
    <row r="2095">
      <c r="A2095" s="3">
        <f>IFERROR(__xludf.DUMMYFUNCTION("""COMPUTED_VALUE"""),45294.66666666667)</f>
        <v>45294.66667</v>
      </c>
      <c r="B2095" s="5">
        <f>IFERROR(__xludf.DUMMYFUNCTION("""COMPUTED_VALUE"""),47.57)</f>
        <v>47.57</v>
      </c>
      <c r="C2095" s="5">
        <v>47.5478401184082</v>
      </c>
      <c r="D2095" s="5">
        <v>460.104461669921</v>
      </c>
      <c r="E2095" s="7">
        <f t="shared" ref="E2095:F2095" si="2093">C2095/C2094-1</f>
        <v>-0.01243561002</v>
      </c>
      <c r="F2095" s="7">
        <f t="shared" si="2093"/>
        <v>-0.008166717585</v>
      </c>
    </row>
    <row r="2096">
      <c r="A2096" s="3">
        <f>IFERROR(__xludf.DUMMYFUNCTION("""COMPUTED_VALUE"""),45295.66666666667)</f>
        <v>45295.66667</v>
      </c>
      <c r="B2096" s="5">
        <f>IFERROR(__xludf.DUMMYFUNCTION("""COMPUTED_VALUE"""),48.0)</f>
        <v>48</v>
      </c>
      <c r="C2096" s="5">
        <v>47.9766502380371</v>
      </c>
      <c r="D2096" s="5">
        <v>458.622406005859</v>
      </c>
      <c r="E2096" s="7">
        <f t="shared" ref="E2096:F2096" si="2094">C2096/C2095-1</f>
        <v>0.009018498392</v>
      </c>
      <c r="F2096" s="7">
        <f t="shared" si="2094"/>
        <v>-0.003221128651</v>
      </c>
    </row>
    <row r="2097">
      <c r="A2097" s="3">
        <f>IFERROR(__xludf.DUMMYFUNCTION("""COMPUTED_VALUE"""),45296.66666666667)</f>
        <v>45296.66667</v>
      </c>
      <c r="B2097" s="5">
        <f>IFERROR(__xludf.DUMMYFUNCTION("""COMPUTED_VALUE"""),49.1)</f>
        <v>49.1</v>
      </c>
      <c r="C2097" s="5">
        <v>49.0751571655273</v>
      </c>
      <c r="D2097" s="5">
        <v>459.250610351562</v>
      </c>
      <c r="E2097" s="7">
        <f t="shared" ref="E2097:F2097" si="2095">C2097/C2096-1</f>
        <v>0.02289669917</v>
      </c>
      <c r="F2097" s="7">
        <f t="shared" si="2095"/>
        <v>0.001369763748</v>
      </c>
    </row>
    <row r="2098">
      <c r="A2098" s="3">
        <f>IFERROR(__xludf.DUMMYFUNCTION("""COMPUTED_VALUE"""),45299.66666666667)</f>
        <v>45299.66667</v>
      </c>
      <c r="B2098" s="5">
        <f>IFERROR(__xludf.DUMMYFUNCTION("""COMPUTED_VALUE"""),52.25)</f>
        <v>52.25</v>
      </c>
      <c r="C2098" s="5">
        <v>52.2297554016113</v>
      </c>
      <c r="D2098" s="5">
        <v>465.806854248046</v>
      </c>
      <c r="E2098" s="7">
        <f t="shared" ref="E2098:F2098" si="2096">C2098/C2097-1</f>
        <v>0.06428096043</v>
      </c>
      <c r="F2098" s="7">
        <f t="shared" si="2096"/>
        <v>0.0142759612</v>
      </c>
    </row>
    <row r="2099">
      <c r="A2099" s="3">
        <f>IFERROR(__xludf.DUMMYFUNCTION("""COMPUTED_VALUE"""),45300.66666666667)</f>
        <v>45300.66667</v>
      </c>
      <c r="B2099" s="5">
        <f>IFERROR(__xludf.DUMMYFUNCTION("""COMPUTED_VALUE"""),53.14)</f>
        <v>53.14</v>
      </c>
      <c r="C2099" s="5">
        <v>53.1163635253906</v>
      </c>
      <c r="D2099" s="5">
        <v>465.100189208984</v>
      </c>
      <c r="E2099" s="7">
        <f t="shared" ref="E2099:F2099" si="2097">C2099/C2098-1</f>
        <v>0.01697515366</v>
      </c>
      <c r="F2099" s="7">
        <f t="shared" si="2097"/>
        <v>-0.001517077374</v>
      </c>
    </row>
    <row r="2100">
      <c r="A2100" s="3">
        <f>IFERROR(__xludf.DUMMYFUNCTION("""COMPUTED_VALUE"""),45301.66666666667)</f>
        <v>45301.66667</v>
      </c>
      <c r="B2100" s="5">
        <f>IFERROR(__xludf.DUMMYFUNCTION("""COMPUTED_VALUE"""),54.35)</f>
        <v>54.35</v>
      </c>
      <c r="C2100" s="5">
        <v>54.3258247375488</v>
      </c>
      <c r="D2100" s="5">
        <v>467.730499267578</v>
      </c>
      <c r="E2100" s="7">
        <f t="shared" ref="E2100:F2100" si="2098">C2100/C2099-1</f>
        <v>0.0227700304</v>
      </c>
      <c r="F2100" s="7">
        <f t="shared" si="2098"/>
        <v>0.005655362263</v>
      </c>
    </row>
    <row r="2101">
      <c r="A2101" s="3">
        <f>IFERROR(__xludf.DUMMYFUNCTION("""COMPUTED_VALUE"""),45302.66666666667)</f>
        <v>45302.66667</v>
      </c>
      <c r="B2101" s="5">
        <f>IFERROR(__xludf.DUMMYFUNCTION("""COMPUTED_VALUE"""),54.82)</f>
        <v>54.82</v>
      </c>
      <c r="C2101" s="5">
        <v>54.7976112365722</v>
      </c>
      <c r="D2101" s="5">
        <v>467.5244140625</v>
      </c>
      <c r="E2101" s="7">
        <f t="shared" ref="E2101:F2101" si="2099">C2101/C2100-1</f>
        <v>0.008684387238</v>
      </c>
      <c r="F2101" s="7">
        <f t="shared" si="2099"/>
        <v>-0.0004406067284</v>
      </c>
    </row>
    <row r="2102">
      <c r="A2102" s="3">
        <f>IFERROR(__xludf.DUMMYFUNCTION("""COMPUTED_VALUE"""),45303.66666666667)</f>
        <v>45303.66667</v>
      </c>
      <c r="B2102" s="5">
        <f>IFERROR(__xludf.DUMMYFUNCTION("""COMPUTED_VALUE"""),54.71)</f>
        <v>54.71</v>
      </c>
      <c r="C2102" s="5">
        <v>54.6856613159179</v>
      </c>
      <c r="D2102" s="5">
        <v>467.84829711914</v>
      </c>
      <c r="E2102" s="7">
        <f t="shared" ref="E2102:F2102" si="2100">C2102/C2101-1</f>
        <v>-0.002042970818</v>
      </c>
      <c r="F2102" s="7">
        <f t="shared" si="2100"/>
        <v>0.0006927618043</v>
      </c>
    </row>
    <row r="2103">
      <c r="A2103" s="3">
        <f>IFERROR(__xludf.DUMMYFUNCTION("""COMPUTED_VALUE"""),45307.66666666667)</f>
        <v>45307.66667</v>
      </c>
      <c r="B2103" s="5">
        <f>IFERROR(__xludf.DUMMYFUNCTION("""COMPUTED_VALUE"""),56.38)</f>
        <v>56.38</v>
      </c>
      <c r="C2103" s="5">
        <v>56.3569221496582</v>
      </c>
      <c r="D2103" s="5">
        <v>466.130706787109</v>
      </c>
      <c r="E2103" s="7">
        <f t="shared" ref="E2103:F2103" si="2101">C2103/C2102-1</f>
        <v>0.03056122562</v>
      </c>
      <c r="F2103" s="7">
        <f t="shared" si="2101"/>
        <v>-0.003671254855</v>
      </c>
    </row>
    <row r="2104">
      <c r="A2104" s="3">
        <f>IFERROR(__xludf.DUMMYFUNCTION("""COMPUTED_VALUE"""),45308.66666666667)</f>
        <v>45308.66667</v>
      </c>
      <c r="B2104" s="5">
        <f>IFERROR(__xludf.DUMMYFUNCTION("""COMPUTED_VALUE"""),56.05)</f>
        <v>56.05</v>
      </c>
      <c r="C2104" s="5">
        <v>56.0280723571777</v>
      </c>
      <c r="D2104" s="5">
        <v>463.539642333984</v>
      </c>
      <c r="E2104" s="7">
        <f t="shared" ref="E2104:F2104" si="2102">C2104/C2103-1</f>
        <v>-0.005835126901</v>
      </c>
      <c r="F2104" s="7">
        <f t="shared" si="2102"/>
        <v>-0.005558665017</v>
      </c>
    </row>
    <row r="2105">
      <c r="A2105" s="3">
        <f>IFERROR(__xludf.DUMMYFUNCTION("""COMPUTED_VALUE"""),45309.66666666667)</f>
        <v>45309.66667</v>
      </c>
      <c r="B2105" s="5">
        <f>IFERROR(__xludf.DUMMYFUNCTION("""COMPUTED_VALUE"""),57.11)</f>
        <v>57.11</v>
      </c>
      <c r="C2105" s="5">
        <v>57.0816001892089</v>
      </c>
      <c r="D2105" s="5">
        <v>467.661743164062</v>
      </c>
      <c r="E2105" s="7">
        <f t="shared" ref="E2105:F2105" si="2103">C2105/C2104-1</f>
        <v>0.01880357092</v>
      </c>
      <c r="F2105" s="7">
        <f t="shared" si="2103"/>
        <v>0.008892660851</v>
      </c>
    </row>
    <row r="2106">
      <c r="A2106" s="3">
        <f>IFERROR(__xludf.DUMMYFUNCTION("""COMPUTED_VALUE"""),45310.66666666667)</f>
        <v>45310.66667</v>
      </c>
      <c r="B2106" s="5">
        <f>IFERROR(__xludf.DUMMYFUNCTION("""COMPUTED_VALUE"""),59.49)</f>
        <v>59.49</v>
      </c>
      <c r="C2106" s="5">
        <v>59.464542388916</v>
      </c>
      <c r="D2106" s="5">
        <v>473.491760253906</v>
      </c>
      <c r="E2106" s="7">
        <f t="shared" ref="E2106:F2106" si="2104">C2106/C2105-1</f>
        <v>0.04174624033</v>
      </c>
      <c r="F2106" s="7">
        <f t="shared" si="2104"/>
        <v>0.01246631176</v>
      </c>
    </row>
    <row r="2107">
      <c r="A2107" s="3">
        <f>IFERROR(__xludf.DUMMYFUNCTION("""COMPUTED_VALUE"""),45313.66666666667)</f>
        <v>45313.66667</v>
      </c>
      <c r="B2107" s="5">
        <f>IFERROR(__xludf.DUMMYFUNCTION("""COMPUTED_VALUE"""),59.65)</f>
        <v>59.65</v>
      </c>
      <c r="C2107" s="5">
        <v>59.6274681091308</v>
      </c>
      <c r="D2107" s="5">
        <v>474.492889404296</v>
      </c>
      <c r="E2107" s="7">
        <f t="shared" ref="E2107:F2107" si="2105">C2107/C2106-1</f>
        <v>0.002739880165</v>
      </c>
      <c r="F2107" s="7">
        <f t="shared" si="2105"/>
        <v>0.002114353901</v>
      </c>
    </row>
    <row r="2108">
      <c r="A2108" s="3">
        <f>IFERROR(__xludf.DUMMYFUNCTION("""COMPUTED_VALUE"""),45314.66666666667)</f>
        <v>45314.66667</v>
      </c>
      <c r="B2108" s="5">
        <f>IFERROR(__xludf.DUMMYFUNCTION("""COMPUTED_VALUE"""),59.87)</f>
        <v>59.87</v>
      </c>
      <c r="C2108" s="5">
        <v>59.8463668823242</v>
      </c>
      <c r="D2108" s="5">
        <v>475.876708984375</v>
      </c>
      <c r="E2108" s="7">
        <f t="shared" ref="E2108:F2108" si="2106">C2108/C2107-1</f>
        <v>0.003671106289</v>
      </c>
      <c r="F2108" s="7">
        <f t="shared" si="2106"/>
        <v>0.002916417951</v>
      </c>
    </row>
    <row r="2109">
      <c r="A2109" s="3">
        <f>IFERROR(__xludf.DUMMYFUNCTION("""COMPUTED_VALUE"""),45315.66666666667)</f>
        <v>45315.66667</v>
      </c>
      <c r="B2109" s="5">
        <f>IFERROR(__xludf.DUMMYFUNCTION("""COMPUTED_VALUE"""),61.36)</f>
        <v>61.36</v>
      </c>
      <c r="C2109" s="5">
        <v>61.3347091674804</v>
      </c>
      <c r="D2109" s="5">
        <v>476.396911621093</v>
      </c>
      <c r="E2109" s="7">
        <f t="shared" ref="E2109:F2109" si="2107">C2109/C2108-1</f>
        <v>0.0248693841</v>
      </c>
      <c r="F2109" s="7">
        <f t="shared" si="2107"/>
        <v>0.001093145823</v>
      </c>
    </row>
    <row r="2110">
      <c r="A2110" s="3">
        <f>IFERROR(__xludf.DUMMYFUNCTION("""COMPUTED_VALUE"""),45316.66666666667)</f>
        <v>45316.66667</v>
      </c>
      <c r="B2110" s="5">
        <f>IFERROR(__xludf.DUMMYFUNCTION("""COMPUTED_VALUE"""),61.62)</f>
        <v>61.62</v>
      </c>
      <c r="C2110" s="5">
        <v>61.5895881652832</v>
      </c>
      <c r="D2110" s="5">
        <v>478.987976074218</v>
      </c>
      <c r="E2110" s="7">
        <f t="shared" ref="E2110:F2110" si="2108">C2110/C2109-1</f>
        <v>0.004155542616</v>
      </c>
      <c r="F2110" s="7">
        <f t="shared" si="2108"/>
        <v>0.00543887752</v>
      </c>
    </row>
    <row r="2111">
      <c r="A2111" s="3">
        <f>IFERROR(__xludf.DUMMYFUNCTION("""COMPUTED_VALUE"""),45317.66666666667)</f>
        <v>45317.66667</v>
      </c>
      <c r="B2111" s="5">
        <f>IFERROR(__xludf.DUMMYFUNCTION("""COMPUTED_VALUE"""),61.03)</f>
        <v>61.03</v>
      </c>
      <c r="C2111" s="5">
        <v>61.0038528442382</v>
      </c>
      <c r="D2111" s="5">
        <v>478.379486083984</v>
      </c>
      <c r="E2111" s="7">
        <f t="shared" ref="E2111:F2111" si="2109">C2111/C2110-1</f>
        <v>-0.009510297739</v>
      </c>
      <c r="F2111" s="7">
        <f t="shared" si="2109"/>
        <v>-0.001270365898</v>
      </c>
    </row>
    <row r="2112">
      <c r="A2112" s="3">
        <f>IFERROR(__xludf.DUMMYFUNCTION("""COMPUTED_VALUE"""),45320.66666666667)</f>
        <v>45320.66667</v>
      </c>
      <c r="B2112" s="5">
        <f>IFERROR(__xludf.DUMMYFUNCTION("""COMPUTED_VALUE"""),62.47)</f>
        <v>62.47</v>
      </c>
      <c r="C2112" s="5">
        <v>62.437213897705</v>
      </c>
      <c r="D2112" s="5">
        <v>482.167938232421</v>
      </c>
      <c r="E2112" s="7">
        <f t="shared" ref="E2112:F2112" si="2110">C2112/C2111-1</f>
        <v>0.02349623813</v>
      </c>
      <c r="F2112" s="7">
        <f t="shared" si="2110"/>
        <v>0.007919344911</v>
      </c>
    </row>
    <row r="2113">
      <c r="A2113" s="3">
        <f>IFERROR(__xludf.DUMMYFUNCTION("""COMPUTED_VALUE"""),45321.66666666667)</f>
        <v>45321.66667</v>
      </c>
      <c r="B2113" s="5">
        <f>IFERROR(__xludf.DUMMYFUNCTION("""COMPUTED_VALUE"""),62.77)</f>
        <v>62.77</v>
      </c>
      <c r="C2113" s="5">
        <v>62.7460746765136</v>
      </c>
      <c r="D2113" s="5">
        <v>481.795013427734</v>
      </c>
      <c r="E2113" s="7">
        <f t="shared" ref="E2113:F2113" si="2111">C2113/C2112-1</f>
        <v>0.004946741847</v>
      </c>
      <c r="F2113" s="7">
        <f t="shared" si="2111"/>
        <v>-0.0007734334349</v>
      </c>
    </row>
    <row r="2114">
      <c r="A2114" s="3">
        <f>IFERROR(__xludf.DUMMYFUNCTION("""COMPUTED_VALUE"""),45322.66666666667)</f>
        <v>45322.66667</v>
      </c>
      <c r="B2114" s="5">
        <f>IFERROR(__xludf.DUMMYFUNCTION("""COMPUTED_VALUE"""),61.53)</f>
        <v>61.53</v>
      </c>
      <c r="C2114" s="5">
        <v>61.4996376037597</v>
      </c>
      <c r="D2114" s="5">
        <v>473.933410644531</v>
      </c>
      <c r="E2114" s="7">
        <f t="shared" ref="E2114:F2114" si="2112">C2114/C2113-1</f>
        <v>-0.01986478165</v>
      </c>
      <c r="F2114" s="7">
        <f t="shared" si="2112"/>
        <v>-0.0163173187</v>
      </c>
    </row>
    <row r="2115">
      <c r="A2115" s="3">
        <f>IFERROR(__xludf.DUMMYFUNCTION("""COMPUTED_VALUE"""),45323.66666666667)</f>
        <v>45323.66667</v>
      </c>
      <c r="B2115" s="5">
        <f>IFERROR(__xludf.DUMMYFUNCTION("""COMPUTED_VALUE"""),63.03)</f>
        <v>63.03</v>
      </c>
      <c r="C2115" s="5">
        <v>62.9989624023437</v>
      </c>
      <c r="D2115" s="5">
        <v>480.136352539062</v>
      </c>
      <c r="E2115" s="7">
        <f t="shared" ref="E2115:F2115" si="2113">C2115/C2114-1</f>
        <v>0.02437940868</v>
      </c>
      <c r="F2115" s="7">
        <f t="shared" si="2113"/>
        <v>0.01308821399</v>
      </c>
    </row>
    <row r="2116">
      <c r="A2116" s="3">
        <f>IFERROR(__xludf.DUMMYFUNCTION("""COMPUTED_VALUE"""),45324.66666666667)</f>
        <v>45324.66667</v>
      </c>
      <c r="B2116" s="5">
        <f>IFERROR(__xludf.DUMMYFUNCTION("""COMPUTED_VALUE"""),66.16)</f>
        <v>66.16</v>
      </c>
      <c r="C2116" s="5">
        <v>66.1305770874023</v>
      </c>
      <c r="D2116" s="5">
        <v>485.19091796875</v>
      </c>
      <c r="E2116" s="7">
        <f t="shared" ref="E2116:F2116" si="2114">C2116/C2115-1</f>
        <v>0.0497089883</v>
      </c>
      <c r="F2116" s="7">
        <f t="shared" si="2114"/>
        <v>0.01052735416</v>
      </c>
    </row>
    <row r="2117">
      <c r="A2117" s="3">
        <f>IFERROR(__xludf.DUMMYFUNCTION("""COMPUTED_VALUE"""),45327.66666666667)</f>
        <v>45327.66667</v>
      </c>
      <c r="B2117" s="5">
        <f>IFERROR(__xludf.DUMMYFUNCTION("""COMPUTED_VALUE"""),69.33)</f>
        <v>69.33</v>
      </c>
      <c r="C2117" s="5">
        <v>69.3011627197265</v>
      </c>
      <c r="D2117" s="5">
        <v>483.424255371093</v>
      </c>
      <c r="E2117" s="7">
        <f t="shared" ref="E2117:F2117" si="2115">C2117/C2116-1</f>
        <v>0.04794432125</v>
      </c>
      <c r="F2117" s="7">
        <f t="shared" si="2115"/>
        <v>-0.003641169965</v>
      </c>
    </row>
    <row r="2118">
      <c r="A2118" s="3">
        <f>IFERROR(__xludf.DUMMYFUNCTION("""COMPUTED_VALUE"""),45328.66666666667)</f>
        <v>45328.66667</v>
      </c>
      <c r="B2118" s="5">
        <f>IFERROR(__xludf.DUMMYFUNCTION("""COMPUTED_VALUE"""),68.22)</f>
        <v>68.22</v>
      </c>
      <c r="C2118" s="5">
        <v>68.1926574707031</v>
      </c>
      <c r="D2118" s="5">
        <v>484.827758789062</v>
      </c>
      <c r="E2118" s="7">
        <f t="shared" ref="E2118:F2118" si="2116">C2118/C2117-1</f>
        <v>-0.01599547837</v>
      </c>
      <c r="F2118" s="7">
        <f t="shared" si="2116"/>
        <v>0.002903254031</v>
      </c>
    </row>
    <row r="2119">
      <c r="A2119" s="3">
        <f>IFERROR(__xludf.DUMMYFUNCTION("""COMPUTED_VALUE"""),45329.66666666667)</f>
        <v>45329.66667</v>
      </c>
      <c r="B2119" s="5">
        <f>IFERROR(__xludf.DUMMYFUNCTION("""COMPUTED_VALUE"""),70.1)</f>
        <v>70.1</v>
      </c>
      <c r="C2119" s="5">
        <v>70.0678176879882</v>
      </c>
      <c r="D2119" s="5">
        <v>488.871429443359</v>
      </c>
      <c r="E2119" s="7">
        <f t="shared" ref="E2119:F2119" si="2117">C2119/C2118-1</f>
        <v>0.02749797833</v>
      </c>
      <c r="F2119" s="7">
        <f t="shared" si="2117"/>
        <v>0.008340427257</v>
      </c>
    </row>
    <row r="2120">
      <c r="A2120" s="3">
        <f>IFERROR(__xludf.DUMMYFUNCTION("""COMPUTED_VALUE"""),45330.66666666667)</f>
        <v>45330.66667</v>
      </c>
      <c r="B2120" s="5">
        <f>IFERROR(__xludf.DUMMYFUNCTION("""COMPUTED_VALUE"""),69.64)</f>
        <v>69.64</v>
      </c>
      <c r="C2120" s="5">
        <v>69.6100158691406</v>
      </c>
      <c r="D2120" s="5">
        <v>489.087341308593</v>
      </c>
      <c r="E2120" s="7">
        <f t="shared" ref="E2120:F2120" si="2118">C2120/C2119-1</f>
        <v>-0.006533695981</v>
      </c>
      <c r="F2120" s="7">
        <f t="shared" si="2118"/>
        <v>0.0004416536787</v>
      </c>
    </row>
    <row r="2121">
      <c r="A2121" s="3">
        <f>IFERROR(__xludf.DUMMYFUNCTION("""COMPUTED_VALUE"""),45331.66666666667)</f>
        <v>45331.66667</v>
      </c>
      <c r="B2121" s="5">
        <f>IFERROR(__xludf.DUMMYFUNCTION("""COMPUTED_VALUE"""),72.13)</f>
        <v>72.13</v>
      </c>
      <c r="C2121" s="5">
        <v>72.1009292602539</v>
      </c>
      <c r="D2121" s="5">
        <v>491.914001464843</v>
      </c>
      <c r="E2121" s="7">
        <f t="shared" ref="E2121:F2121" si="2119">C2121/C2120-1</f>
        <v>0.03578383599</v>
      </c>
      <c r="F2121" s="7">
        <f t="shared" si="2119"/>
        <v>0.005779458836</v>
      </c>
    </row>
    <row r="2122">
      <c r="A2122" s="3">
        <f>IFERROR(__xludf.DUMMYFUNCTION("""COMPUTED_VALUE"""),45334.66666666667)</f>
        <v>45334.66667</v>
      </c>
      <c r="B2122" s="5">
        <f>IFERROR(__xludf.DUMMYFUNCTION("""COMPUTED_VALUE"""),72.25)</f>
        <v>72.25</v>
      </c>
      <c r="C2122" s="5">
        <v>72.2158584594726</v>
      </c>
      <c r="D2122" s="5">
        <v>491.698028564453</v>
      </c>
      <c r="E2122" s="7">
        <f t="shared" ref="E2122:F2122" si="2120">C2122/C2121-1</f>
        <v>0.00159400441</v>
      </c>
      <c r="F2122" s="7">
        <f t="shared" si="2120"/>
        <v>-0.0004390460523</v>
      </c>
    </row>
    <row r="2123">
      <c r="A2123" s="3">
        <f>IFERROR(__xludf.DUMMYFUNCTION("""COMPUTED_VALUE"""),45335.66666666667)</f>
        <v>45335.66667</v>
      </c>
      <c r="B2123" s="5">
        <f>IFERROR(__xludf.DUMMYFUNCTION("""COMPUTED_VALUE"""),72.13)</f>
        <v>72.13</v>
      </c>
      <c r="C2123" s="5">
        <v>72.0959320068359</v>
      </c>
      <c r="D2123" s="5">
        <v>484.92593383789</v>
      </c>
      <c r="E2123" s="7">
        <f t="shared" ref="E2123:F2123" si="2121">C2123/C2122-1</f>
        <v>-0.001660666441</v>
      </c>
      <c r="F2123" s="7">
        <f t="shared" si="2121"/>
        <v>-0.01377287346</v>
      </c>
    </row>
    <row r="2124">
      <c r="A2124" s="3">
        <f>IFERROR(__xludf.DUMMYFUNCTION("""COMPUTED_VALUE"""),45336.66666666667)</f>
        <v>45336.66667</v>
      </c>
      <c r="B2124" s="5">
        <f>IFERROR(__xludf.DUMMYFUNCTION("""COMPUTED_VALUE"""),73.9)</f>
        <v>73.9</v>
      </c>
      <c r="C2124" s="5">
        <v>73.8671340942382</v>
      </c>
      <c r="D2124" s="5">
        <v>489.332733154296</v>
      </c>
      <c r="E2124" s="7">
        <f t="shared" ref="E2124:F2124" si="2122">C2124/C2123-1</f>
        <v>0.0245672958</v>
      </c>
      <c r="F2124" s="7">
        <f t="shared" si="2122"/>
        <v>0.009087571955</v>
      </c>
    </row>
    <row r="2125">
      <c r="A2125" s="3">
        <f>IFERROR(__xludf.DUMMYFUNCTION("""COMPUTED_VALUE"""),45337.66666666667)</f>
        <v>45337.66667</v>
      </c>
      <c r="B2125" s="5">
        <f>IFERROR(__xludf.DUMMYFUNCTION("""COMPUTED_VALUE"""),72.66)</f>
        <v>72.66</v>
      </c>
      <c r="C2125" s="5">
        <v>72.6256790161132</v>
      </c>
      <c r="D2125" s="5">
        <v>492.708984375</v>
      </c>
      <c r="E2125" s="7">
        <f t="shared" ref="E2125:F2125" si="2123">C2125/C2124-1</f>
        <v>-0.01680659597</v>
      </c>
      <c r="F2125" s="7">
        <f t="shared" si="2123"/>
        <v>0.006899704418</v>
      </c>
    </row>
    <row r="2126">
      <c r="A2126" s="3">
        <f>IFERROR(__xludf.DUMMYFUNCTION("""COMPUTED_VALUE"""),45338.66666666667)</f>
        <v>45338.66667</v>
      </c>
      <c r="B2126" s="5">
        <f>IFERROR(__xludf.DUMMYFUNCTION("""COMPUTED_VALUE"""),72.61)</f>
        <v>72.61</v>
      </c>
      <c r="C2126" s="5">
        <v>72.580696105957</v>
      </c>
      <c r="D2126" s="5">
        <v>490.255340576171</v>
      </c>
      <c r="E2126" s="7">
        <f t="shared" ref="E2126:F2126" si="2124">C2126/C2125-1</f>
        <v>-0.0006193802353</v>
      </c>
      <c r="F2126" s="7">
        <f t="shared" si="2124"/>
        <v>-0.004979904724</v>
      </c>
    </row>
    <row r="2127">
      <c r="A2127" s="3">
        <f>IFERROR(__xludf.DUMMYFUNCTION("""COMPUTED_VALUE"""),45342.66666666667)</f>
        <v>45342.66667</v>
      </c>
      <c r="B2127" s="5">
        <f>IFERROR(__xludf.DUMMYFUNCTION("""COMPUTED_VALUE"""),69.45)</f>
        <v>69.45</v>
      </c>
      <c r="C2127" s="5">
        <v>69.4211196899414</v>
      </c>
      <c r="D2127" s="5">
        <v>487.556274414062</v>
      </c>
      <c r="E2127" s="7">
        <f t="shared" ref="E2127:F2127" si="2125">C2127/C2126-1</f>
        <v>-0.04353191118</v>
      </c>
      <c r="F2127" s="7">
        <f t="shared" si="2125"/>
        <v>-0.005505429393</v>
      </c>
    </row>
    <row r="2128">
      <c r="A2128" s="3">
        <f>IFERROR(__xludf.DUMMYFUNCTION("""COMPUTED_VALUE"""),45343.66666666667)</f>
        <v>45343.66667</v>
      </c>
      <c r="B2128" s="5">
        <f>IFERROR(__xludf.DUMMYFUNCTION("""COMPUTED_VALUE"""),67.47)</f>
        <v>67.47</v>
      </c>
      <c r="C2128" s="5">
        <v>67.4419937133789</v>
      </c>
      <c r="D2128" s="5">
        <v>487.997924804687</v>
      </c>
      <c r="E2128" s="7">
        <f t="shared" ref="E2128:F2128" si="2126">C2128/C2127-1</f>
        <v>-0.02850898956</v>
      </c>
      <c r="F2128" s="7">
        <f t="shared" si="2126"/>
        <v>0.0009058449533</v>
      </c>
    </row>
    <row r="2129">
      <c r="A2129" s="3">
        <f>IFERROR(__xludf.DUMMYFUNCTION("""COMPUTED_VALUE"""),45344.66666666667)</f>
        <v>45344.66667</v>
      </c>
      <c r="B2129" s="5">
        <f>IFERROR(__xludf.DUMMYFUNCTION("""COMPUTED_VALUE"""),78.54)</f>
        <v>78.54</v>
      </c>
      <c r="C2129" s="5">
        <v>78.5030670166015</v>
      </c>
      <c r="D2129" s="5">
        <v>498.097290039062</v>
      </c>
      <c r="E2129" s="7">
        <f t="shared" ref="E2129:F2129" si="2127">C2129/C2128-1</f>
        <v>0.1640086939</v>
      </c>
      <c r="F2129" s="7">
        <f t="shared" si="2127"/>
        <v>0.02069550857</v>
      </c>
    </row>
    <row r="2130">
      <c r="A2130" s="3">
        <f>IFERROR(__xludf.DUMMYFUNCTION("""COMPUTED_VALUE"""),45345.66666666667)</f>
        <v>45345.66667</v>
      </c>
      <c r="B2130" s="5">
        <f>IFERROR(__xludf.DUMMYFUNCTION("""COMPUTED_VALUE"""),78.82)</f>
        <v>78.82</v>
      </c>
      <c r="C2130" s="5">
        <v>78.7819519042968</v>
      </c>
      <c r="D2130" s="5">
        <v>498.440795898437</v>
      </c>
      <c r="E2130" s="7">
        <f t="shared" ref="E2130:F2130" si="2128">C2130/C2129-1</f>
        <v>0.00355253493</v>
      </c>
      <c r="F2130" s="7">
        <f t="shared" si="2128"/>
        <v>0.0006896360736</v>
      </c>
    </row>
    <row r="2131">
      <c r="A2131" s="3">
        <f>IFERROR(__xludf.DUMMYFUNCTION("""COMPUTED_VALUE"""),45348.66666666667)</f>
        <v>45348.66667</v>
      </c>
      <c r="B2131" s="5">
        <f>IFERROR(__xludf.DUMMYFUNCTION("""COMPUTED_VALUE"""),79.09)</f>
        <v>79.09</v>
      </c>
      <c r="C2131" s="5">
        <v>79.0568313598632</v>
      </c>
      <c r="D2131" s="5">
        <v>496.615234375</v>
      </c>
      <c r="E2131" s="7">
        <f t="shared" ref="E2131:F2131" si="2129">C2131/C2130-1</f>
        <v>0.0034891171</v>
      </c>
      <c r="F2131" s="7">
        <f t="shared" si="2129"/>
        <v>-0.003662544355</v>
      </c>
    </row>
    <row r="2132">
      <c r="A2132" s="3">
        <f>IFERROR(__xludf.DUMMYFUNCTION("""COMPUTED_VALUE"""),45349.66666666667)</f>
        <v>45349.66667</v>
      </c>
      <c r="B2132" s="5">
        <f>IFERROR(__xludf.DUMMYFUNCTION("""COMPUTED_VALUE"""),78.7)</f>
        <v>78.7</v>
      </c>
      <c r="C2132" s="5">
        <v>78.6659851074218</v>
      </c>
      <c r="D2132" s="5">
        <v>497.537811279296</v>
      </c>
      <c r="E2132" s="7">
        <f t="shared" ref="E2132:F2132" si="2130">C2132/C2131-1</f>
        <v>-0.004943864379</v>
      </c>
      <c r="F2132" s="7">
        <f t="shared" si="2130"/>
        <v>0.001857729768</v>
      </c>
    </row>
    <row r="2133">
      <c r="A2133" s="3">
        <f>IFERROR(__xludf.DUMMYFUNCTION("""COMPUTED_VALUE"""),45350.66666666667)</f>
        <v>45350.66667</v>
      </c>
      <c r="B2133" s="5">
        <f>IFERROR(__xludf.DUMMYFUNCTION("""COMPUTED_VALUE"""),77.66)</f>
        <v>77.66</v>
      </c>
      <c r="C2133" s="5">
        <v>77.6284637451171</v>
      </c>
      <c r="D2133" s="5">
        <v>496.880249023437</v>
      </c>
      <c r="E2133" s="7">
        <f t="shared" ref="E2133:F2133" si="2131">C2133/C2132-1</f>
        <v>-0.01318894514</v>
      </c>
      <c r="F2133" s="7">
        <f t="shared" si="2131"/>
        <v>-0.00132163273</v>
      </c>
    </row>
    <row r="2134">
      <c r="A2134" s="3">
        <f>IFERROR(__xludf.DUMMYFUNCTION("""COMPUTED_VALUE"""),45351.66666666667)</f>
        <v>45351.66667</v>
      </c>
      <c r="B2134" s="5">
        <f>IFERROR(__xludf.DUMMYFUNCTION("""COMPUTED_VALUE"""),79.11)</f>
        <v>79.11</v>
      </c>
      <c r="C2134" s="5">
        <v>79.0768127441406</v>
      </c>
      <c r="D2134" s="5">
        <v>498.666534423828</v>
      </c>
      <c r="E2134" s="7">
        <f t="shared" ref="E2134:F2134" si="2132">C2134/C2133-1</f>
        <v>0.01865744766</v>
      </c>
      <c r="F2134" s="7">
        <f t="shared" si="2132"/>
        <v>0.003595001822</v>
      </c>
    </row>
    <row r="2135">
      <c r="A2135" s="3">
        <f>IFERROR(__xludf.DUMMYFUNCTION("""COMPUTED_VALUE"""),45352.66666666667)</f>
        <v>45352.66667</v>
      </c>
      <c r="B2135" s="5">
        <f>IFERROR(__xludf.DUMMYFUNCTION("""COMPUTED_VALUE"""),82.28)</f>
        <v>82.28</v>
      </c>
      <c r="C2135" s="5">
        <v>82.2423934936523</v>
      </c>
      <c r="D2135" s="5">
        <v>503.348114013671</v>
      </c>
      <c r="E2135" s="7">
        <f t="shared" ref="E2135:F2135" si="2133">C2135/C2134-1</f>
        <v>0.04003171903</v>
      </c>
      <c r="F2135" s="7">
        <f t="shared" si="2133"/>
        <v>0.009388196854</v>
      </c>
    </row>
    <row r="2136">
      <c r="A2136" s="3">
        <f>IFERROR(__xludf.DUMMYFUNCTION("""COMPUTED_VALUE"""),45355.66666666667)</f>
        <v>45355.66667</v>
      </c>
      <c r="B2136" s="5">
        <f>IFERROR(__xludf.DUMMYFUNCTION("""COMPUTED_VALUE"""),85.24)</f>
        <v>85.24</v>
      </c>
      <c r="C2136" s="5">
        <v>85.1990814208984</v>
      </c>
      <c r="D2136" s="5">
        <v>502.808288574218</v>
      </c>
      <c r="E2136" s="7">
        <f t="shared" ref="E2136:F2136" si="2134">C2136/C2135-1</f>
        <v>0.03595089833</v>
      </c>
      <c r="F2136" s="7">
        <f t="shared" si="2134"/>
        <v>-0.001072469379</v>
      </c>
    </row>
    <row r="2137">
      <c r="A2137" s="3">
        <f>IFERROR(__xludf.DUMMYFUNCTION("""COMPUTED_VALUE"""),45356.66666666667)</f>
        <v>45356.66667</v>
      </c>
      <c r="B2137" s="5">
        <f>IFERROR(__xludf.DUMMYFUNCTION("""COMPUTED_VALUE"""),85.96)</f>
        <v>85.96</v>
      </c>
      <c r="C2137" s="5">
        <v>85.9298019409179</v>
      </c>
      <c r="D2137" s="5">
        <v>497.783172607421</v>
      </c>
      <c r="E2137" s="7">
        <f t="shared" ref="E2137:F2137" si="2135">C2137/C2136-1</f>
        <v>0.008576624394</v>
      </c>
      <c r="F2137" s="7">
        <f t="shared" si="2135"/>
        <v>-0.009994099304</v>
      </c>
    </row>
    <row r="2138">
      <c r="A2138" s="3">
        <f>IFERROR(__xludf.DUMMYFUNCTION("""COMPUTED_VALUE"""),45357.66666666667)</f>
        <v>45357.66667</v>
      </c>
      <c r="B2138" s="5">
        <f>IFERROR(__xludf.DUMMYFUNCTION("""COMPUTED_VALUE"""),88.7)</f>
        <v>88.7</v>
      </c>
      <c r="C2138" s="5">
        <v>88.6647033691406</v>
      </c>
      <c r="D2138" s="5">
        <v>500.305572509765</v>
      </c>
      <c r="E2138" s="7">
        <f t="shared" ref="E2138:F2138" si="2136">C2138/C2137-1</f>
        <v>0.03182715852</v>
      </c>
      <c r="F2138" s="7">
        <f t="shared" si="2136"/>
        <v>0.005067266314</v>
      </c>
    </row>
    <row r="2139">
      <c r="A2139" s="3">
        <f>IFERROR(__xludf.DUMMYFUNCTION("""COMPUTED_VALUE"""),45358.66666666667)</f>
        <v>45358.66667</v>
      </c>
      <c r="B2139" s="5">
        <f>IFERROR(__xludf.DUMMYFUNCTION("""COMPUTED_VALUE"""),92.67)</f>
        <v>92.67</v>
      </c>
      <c r="C2139" s="5">
        <v>92.6321258544921</v>
      </c>
      <c r="D2139" s="5">
        <v>505.271850585937</v>
      </c>
      <c r="E2139" s="7">
        <f t="shared" ref="E2139:F2139" si="2137">C2139/C2138-1</f>
        <v>0.04474635717</v>
      </c>
      <c r="F2139" s="7">
        <f t="shared" si="2137"/>
        <v>0.009926489628</v>
      </c>
    </row>
    <row r="2140">
      <c r="A2140" s="3">
        <f>IFERROR(__xludf.DUMMYFUNCTION("""COMPUTED_VALUE"""),45359.66666666667)</f>
        <v>45359.66667</v>
      </c>
      <c r="B2140" s="5">
        <f>IFERROR(__xludf.DUMMYFUNCTION("""COMPUTED_VALUE"""),87.53)</f>
        <v>87.53</v>
      </c>
      <c r="C2140" s="5">
        <v>87.4931716918945</v>
      </c>
      <c r="D2140" s="5">
        <v>502.239074707031</v>
      </c>
      <c r="E2140" s="7">
        <f t="shared" ref="E2140:F2140" si="2138">C2140/C2139-1</f>
        <v>-0.05547701853</v>
      </c>
      <c r="F2140" s="7">
        <f t="shared" si="2138"/>
        <v>-0.006002265662</v>
      </c>
    </row>
    <row r="2141">
      <c r="A2141" s="3">
        <f>IFERROR(__xludf.DUMMYFUNCTION("""COMPUTED_VALUE"""),45362.66666666667)</f>
        <v>45362.66667</v>
      </c>
      <c r="B2141" s="5">
        <f>IFERROR(__xludf.DUMMYFUNCTION("""COMPUTED_VALUE"""),85.77)</f>
        <v>85.77</v>
      </c>
      <c r="C2141" s="5">
        <v>85.7398681640625</v>
      </c>
      <c r="D2141" s="5">
        <v>501.807220458984</v>
      </c>
      <c r="E2141" s="7">
        <f t="shared" ref="E2141:F2141" si="2139">C2141/C2140-1</f>
        <v>-0.02003931843</v>
      </c>
      <c r="F2141" s="7">
        <f t="shared" si="2139"/>
        <v>-0.0008598579238</v>
      </c>
    </row>
    <row r="2142">
      <c r="A2142" s="3">
        <f>IFERROR(__xludf.DUMMYFUNCTION("""COMPUTED_VALUE"""),45363.66666666667)</f>
        <v>45363.66667</v>
      </c>
      <c r="B2142" s="5">
        <f>IFERROR(__xludf.DUMMYFUNCTION("""COMPUTED_VALUE"""),91.91)</f>
        <v>91.91</v>
      </c>
      <c r="C2142" s="5">
        <v>91.8764343261718</v>
      </c>
      <c r="D2142" s="5">
        <v>507.205352783203</v>
      </c>
      <c r="E2142" s="7">
        <f t="shared" ref="E2142:F2142" si="2140">C2142/C2141-1</f>
        <v>0.0715719104</v>
      </c>
      <c r="F2142" s="7">
        <f t="shared" si="2140"/>
        <v>0.01075738272</v>
      </c>
    </row>
    <row r="2143">
      <c r="A2143" s="3">
        <f>IFERROR(__xludf.DUMMYFUNCTION("""COMPUTED_VALUE"""),45364.66666666667)</f>
        <v>45364.66667</v>
      </c>
      <c r="B2143" s="5">
        <f>IFERROR(__xludf.DUMMYFUNCTION("""COMPUTED_VALUE"""),90.89)</f>
        <v>90.89</v>
      </c>
      <c r="C2143" s="5">
        <v>90.8518295288086</v>
      </c>
      <c r="D2143" s="5">
        <v>506.41030883789</v>
      </c>
      <c r="E2143" s="7">
        <f t="shared" ref="E2143:F2143" si="2141">C2143/C2142-1</f>
        <v>-0.01115198696</v>
      </c>
      <c r="F2143" s="7">
        <f t="shared" si="2141"/>
        <v>-0.001567499122</v>
      </c>
    </row>
    <row r="2144">
      <c r="A2144" s="3">
        <f>IFERROR(__xludf.DUMMYFUNCTION("""COMPUTED_VALUE"""),45365.66666666667)</f>
        <v>45365.66667</v>
      </c>
      <c r="B2144" s="5">
        <f>IFERROR(__xludf.DUMMYFUNCTION("""COMPUTED_VALUE"""),87.94)</f>
        <v>87.94</v>
      </c>
      <c r="C2144" s="5">
        <v>87.9090042114257</v>
      </c>
      <c r="D2144" s="5">
        <v>505.409271240234</v>
      </c>
      <c r="E2144" s="7">
        <f t="shared" ref="E2144:F2144" si="2142">C2144/C2143-1</f>
        <v>-0.03239148108</v>
      </c>
      <c r="F2144" s="7">
        <f t="shared" si="2142"/>
        <v>-0.001976732267</v>
      </c>
    </row>
    <row r="2145">
      <c r="A2145" s="3">
        <f>IFERROR(__xludf.DUMMYFUNCTION("""COMPUTED_VALUE"""),45366.66666666667)</f>
        <v>45366.66667</v>
      </c>
      <c r="B2145" s="5">
        <f>IFERROR(__xludf.DUMMYFUNCTION("""COMPUTED_VALUE"""),87.84)</f>
        <v>87.84</v>
      </c>
      <c r="C2145" s="5">
        <v>87.8020553588867</v>
      </c>
      <c r="D2145" s="5">
        <v>501.938781738281</v>
      </c>
      <c r="E2145" s="7">
        <f t="shared" ref="E2145:F2145" si="2143">C2145/C2144-1</f>
        <v>-0.001216585872</v>
      </c>
      <c r="F2145" s="7">
        <f t="shared" si="2143"/>
        <v>-0.006866691411</v>
      </c>
    </row>
    <row r="2146">
      <c r="A2146" s="3">
        <f>IFERROR(__xludf.DUMMYFUNCTION("""COMPUTED_VALUE"""),45369.66666666667)</f>
        <v>45369.66667</v>
      </c>
      <c r="B2146" s="5">
        <f>IFERROR(__xludf.DUMMYFUNCTION("""COMPUTED_VALUE"""),88.46)</f>
        <v>88.46</v>
      </c>
      <c r="C2146" s="5">
        <v>88.419807434082</v>
      </c>
      <c r="D2146" s="5">
        <v>504.921875</v>
      </c>
      <c r="E2146" s="7">
        <f t="shared" ref="E2146:F2146" si="2144">C2146/C2145-1</f>
        <v>0.007035735925</v>
      </c>
      <c r="F2146" s="7">
        <f t="shared" si="2144"/>
        <v>0.005943141615</v>
      </c>
    </row>
    <row r="2147">
      <c r="A2147" s="3">
        <f>IFERROR(__xludf.DUMMYFUNCTION("""COMPUTED_VALUE"""),45370.66666666667)</f>
        <v>45370.66667</v>
      </c>
      <c r="B2147" s="5">
        <f>IFERROR(__xludf.DUMMYFUNCTION("""COMPUTED_VALUE"""),89.4)</f>
        <v>89.4</v>
      </c>
      <c r="C2147" s="5">
        <v>89.3624267578125</v>
      </c>
      <c r="D2147" s="5">
        <v>507.727844238281</v>
      </c>
      <c r="E2147" s="7">
        <f t="shared" ref="E2147:F2147" si="2145">C2147/C2146-1</f>
        <v>0.01066072582</v>
      </c>
      <c r="F2147" s="7">
        <f t="shared" si="2145"/>
        <v>0.00555723445</v>
      </c>
    </row>
    <row r="2148">
      <c r="A2148" s="3">
        <f>IFERROR(__xludf.DUMMYFUNCTION("""COMPUTED_VALUE"""),45371.66666666667)</f>
        <v>45371.66667</v>
      </c>
      <c r="B2148" s="5">
        <f>IFERROR(__xludf.DUMMYFUNCTION("""COMPUTED_VALUE"""),90.37)</f>
        <v>90.37</v>
      </c>
      <c r="C2148" s="5">
        <v>90.3360443115234</v>
      </c>
      <c r="D2148" s="5">
        <v>512.423889160156</v>
      </c>
      <c r="E2148" s="7">
        <f t="shared" ref="E2148:F2148" si="2146">C2148/C2147-1</f>
        <v>0.01089515571</v>
      </c>
      <c r="F2148" s="7">
        <f t="shared" si="2146"/>
        <v>0.009249138047</v>
      </c>
    </row>
    <row r="2149">
      <c r="A2149" s="3">
        <f>IFERROR(__xludf.DUMMYFUNCTION("""COMPUTED_VALUE"""),45372.66666666667)</f>
        <v>45372.66667</v>
      </c>
      <c r="B2149" s="5">
        <f>IFERROR(__xludf.DUMMYFUNCTION("""COMPUTED_VALUE"""),91.44)</f>
        <v>91.44</v>
      </c>
      <c r="C2149" s="5">
        <v>91.3986129760742</v>
      </c>
      <c r="D2149" s="5">
        <v>514.117370605468</v>
      </c>
      <c r="E2149" s="7">
        <f t="shared" ref="E2149:F2149" si="2147">C2149/C2148-1</f>
        <v>0.01176239974</v>
      </c>
      <c r="F2149" s="7">
        <f t="shared" si="2147"/>
        <v>0.003304844839</v>
      </c>
    </row>
    <row r="2150">
      <c r="A2150" s="3">
        <f>IFERROR(__xludf.DUMMYFUNCTION("""COMPUTED_VALUE"""),45373.66666666667)</f>
        <v>45373.66667</v>
      </c>
      <c r="B2150" s="5">
        <f>IFERROR(__xludf.DUMMYFUNCTION("""COMPUTED_VALUE"""),94.29)</f>
        <v>94.29</v>
      </c>
      <c r="C2150" s="5">
        <v>94.251480102539</v>
      </c>
      <c r="D2150" s="5">
        <v>513.142700195312</v>
      </c>
      <c r="E2150" s="7">
        <f t="shared" ref="E2150:F2150" si="2148">C2150/C2149-1</f>
        <v>0.03121346193</v>
      </c>
      <c r="F2150" s="7">
        <f t="shared" si="2148"/>
        <v>-0.00189581303</v>
      </c>
    </row>
    <row r="2151">
      <c r="A2151" s="3">
        <f>IFERROR(__xludf.DUMMYFUNCTION("""COMPUTED_VALUE"""),45376.66666666667)</f>
        <v>45376.66667</v>
      </c>
      <c r="B2151" s="5">
        <f>IFERROR(__xludf.DUMMYFUNCTION("""COMPUTED_VALUE"""),95.0)</f>
        <v>95</v>
      </c>
      <c r="C2151" s="5">
        <v>94.9641876220703</v>
      </c>
      <c r="D2151" s="5">
        <v>511.724975585937</v>
      </c>
      <c r="E2151" s="7">
        <f t="shared" ref="E2151:F2151" si="2149">C2151/C2150-1</f>
        <v>0.007561764746</v>
      </c>
      <c r="F2151" s="7">
        <f t="shared" si="2149"/>
        <v>-0.0027628272</v>
      </c>
    </row>
    <row r="2152">
      <c r="A2152" s="3">
        <f>IFERROR(__xludf.DUMMYFUNCTION("""COMPUTED_VALUE"""),45377.66666666667)</f>
        <v>45377.66667</v>
      </c>
      <c r="B2152" s="5">
        <f>IFERROR(__xludf.DUMMYFUNCTION("""COMPUTED_VALUE"""),92.56)</f>
        <v>92.56</v>
      </c>
      <c r="C2152" s="5">
        <v>92.524169921875</v>
      </c>
      <c r="D2152" s="5">
        <v>510.779815673828</v>
      </c>
      <c r="E2152" s="7">
        <f t="shared" ref="E2152:F2152" si="2150">C2152/C2151-1</f>
        <v>-0.0256940828</v>
      </c>
      <c r="F2152" s="7">
        <f t="shared" si="2150"/>
        <v>-0.001847007587</v>
      </c>
    </row>
    <row r="2153">
      <c r="A2153" s="3">
        <f>IFERROR(__xludf.DUMMYFUNCTION("""COMPUTED_VALUE"""),45378.66666666667)</f>
        <v>45378.66667</v>
      </c>
      <c r="B2153" s="5">
        <f>IFERROR(__xludf.DUMMYFUNCTION("""COMPUTED_VALUE"""),90.25)</f>
        <v>90.25</v>
      </c>
      <c r="C2153" s="5">
        <v>90.2140960693359</v>
      </c>
      <c r="D2153" s="5">
        <v>515.072326660156</v>
      </c>
      <c r="E2153" s="7">
        <f t="shared" ref="E2153:F2153" si="2151">C2153/C2152-1</f>
        <v>-0.02496724753</v>
      </c>
      <c r="F2153" s="7">
        <f t="shared" si="2151"/>
        <v>0.008403838317</v>
      </c>
    </row>
    <row r="2154">
      <c r="A2154" s="3">
        <f>IFERROR(__xludf.DUMMYFUNCTION("""COMPUTED_VALUE"""),45379.66666666667)</f>
        <v>45379.66667</v>
      </c>
      <c r="B2154" s="5">
        <f>IFERROR(__xludf.DUMMYFUNCTION("""COMPUTED_VALUE"""),90.36)</f>
        <v>90.36</v>
      </c>
      <c r="C2154" s="5">
        <v>90.3200454711914</v>
      </c>
      <c r="D2154" s="5">
        <v>514.973937988281</v>
      </c>
      <c r="E2154" s="7">
        <f t="shared" ref="E2154:F2154" si="2152">C2154/C2153-1</f>
        <v>0.001174421808</v>
      </c>
      <c r="F2154" s="7">
        <f t="shared" si="2152"/>
        <v>-0.0001910191381</v>
      </c>
    </row>
    <row r="2155">
      <c r="A2155" s="3">
        <f>IFERROR(__xludf.DUMMYFUNCTION("""COMPUTED_VALUE"""),45383.66666666667)</f>
        <v>45383.66667</v>
      </c>
      <c r="B2155" s="5">
        <f>IFERROR(__xludf.DUMMYFUNCTION("""COMPUTED_VALUE"""),90.36)</f>
        <v>90.36</v>
      </c>
      <c r="C2155" s="5">
        <v>90.3270416259765</v>
      </c>
      <c r="D2155" s="5">
        <v>514.077880859375</v>
      </c>
      <c r="E2155" s="7">
        <f t="shared" ref="E2155:F2155" si="2153">C2155/C2154-1</f>
        <v>0.00007745960211</v>
      </c>
      <c r="F2155" s="7">
        <f t="shared" si="2153"/>
        <v>-0.00174000481</v>
      </c>
    </row>
    <row r="2156">
      <c r="A2156" s="3">
        <f>IFERROR(__xludf.DUMMYFUNCTION("""COMPUTED_VALUE"""),45384.66666666667)</f>
        <v>45384.66667</v>
      </c>
      <c r="B2156" s="5">
        <f>IFERROR(__xludf.DUMMYFUNCTION("""COMPUTED_VALUE"""),89.45)</f>
        <v>89.45</v>
      </c>
      <c r="C2156" s="5">
        <v>89.4164047241211</v>
      </c>
      <c r="D2156" s="5">
        <v>510.809387207031</v>
      </c>
      <c r="E2156" s="7">
        <f t="shared" ref="E2156:F2156" si="2154">C2156/C2155-1</f>
        <v>-0.01008155349</v>
      </c>
      <c r="F2156" s="7">
        <f t="shared" si="2154"/>
        <v>-0.006357973712</v>
      </c>
    </row>
    <row r="2157">
      <c r="A2157" s="3">
        <f>IFERROR(__xludf.DUMMYFUNCTION("""COMPUTED_VALUE"""),45385.66666666667)</f>
        <v>45385.66667</v>
      </c>
      <c r="B2157" s="5">
        <f>IFERROR(__xludf.DUMMYFUNCTION("""COMPUTED_VALUE"""),88.96)</f>
        <v>88.96</v>
      </c>
      <c r="C2157" s="5">
        <v>88.928596496582</v>
      </c>
      <c r="D2157" s="5">
        <v>511.370513916015</v>
      </c>
      <c r="E2157" s="7">
        <f t="shared" ref="E2157:F2157" si="2155">C2157/C2156-1</f>
        <v>-0.005455466802</v>
      </c>
      <c r="F2157" s="7">
        <f t="shared" si="2155"/>
        <v>0.001098505084</v>
      </c>
    </row>
    <row r="2158">
      <c r="A2158" s="3">
        <f>IFERROR(__xludf.DUMMYFUNCTION("""COMPUTED_VALUE"""),45386.66666666667)</f>
        <v>45386.66667</v>
      </c>
      <c r="B2158" s="5">
        <f>IFERROR(__xludf.DUMMYFUNCTION("""COMPUTED_VALUE"""),85.91)</f>
        <v>85.91</v>
      </c>
      <c r="C2158" s="5">
        <v>85.8708038330078</v>
      </c>
      <c r="D2158" s="5">
        <v>505.128662109375</v>
      </c>
      <c r="E2158" s="7">
        <f t="shared" ref="E2158:F2158" si="2156">C2158/C2157-1</f>
        <v>-0.03438480741</v>
      </c>
      <c r="F2158" s="7">
        <f t="shared" si="2156"/>
        <v>-0.01220612381</v>
      </c>
    </row>
    <row r="2159">
      <c r="A2159" s="3">
        <f>IFERROR(__xludf.DUMMYFUNCTION("""COMPUTED_VALUE"""),45387.66666666667)</f>
        <v>45387.66667</v>
      </c>
      <c r="B2159" s="5">
        <f>IFERROR(__xludf.DUMMYFUNCTION("""COMPUTED_VALUE"""),88.01)</f>
        <v>88.01</v>
      </c>
      <c r="C2159" s="5">
        <v>87.9729843139648</v>
      </c>
      <c r="D2159" s="5">
        <v>510.405700683593</v>
      </c>
      <c r="E2159" s="7">
        <f t="shared" ref="E2159:F2159" si="2157">C2159/C2158-1</f>
        <v>0.02448073603</v>
      </c>
      <c r="F2159" s="7">
        <f t="shared" si="2157"/>
        <v>0.01044691971</v>
      </c>
    </row>
    <row r="2160">
      <c r="A2160" s="3">
        <f>IFERROR(__xludf.DUMMYFUNCTION("""COMPUTED_VALUE"""),45390.66666666667)</f>
        <v>45390.66667</v>
      </c>
      <c r="B2160" s="5">
        <f>IFERROR(__xludf.DUMMYFUNCTION("""COMPUTED_VALUE"""),87.13)</f>
        <v>87.13</v>
      </c>
      <c r="C2160" s="5">
        <v>87.0983276367187</v>
      </c>
      <c r="D2160" s="5">
        <v>510.691162109375</v>
      </c>
      <c r="E2160" s="7">
        <f t="shared" ref="E2160:F2160" si="2158">C2160/C2159-1</f>
        <v>-0.009942332684</v>
      </c>
      <c r="F2160" s="7">
        <f t="shared" si="2158"/>
        <v>0.0005592833807</v>
      </c>
    </row>
    <row r="2161">
      <c r="A2161" s="3">
        <f>IFERROR(__xludf.DUMMYFUNCTION("""COMPUTED_VALUE"""),45391.66666666667)</f>
        <v>45391.66667</v>
      </c>
      <c r="B2161" s="5">
        <f>IFERROR(__xludf.DUMMYFUNCTION("""COMPUTED_VALUE"""),85.35)</f>
        <v>85.35</v>
      </c>
      <c r="C2161" s="5">
        <v>85.3200225830078</v>
      </c>
      <c r="D2161" s="5">
        <v>511.281951904296</v>
      </c>
      <c r="E2161" s="7">
        <f t="shared" ref="E2161:F2161" si="2159">C2161/C2160-1</f>
        <v>-0.02041721238</v>
      </c>
      <c r="F2161" s="7">
        <f t="shared" si="2159"/>
        <v>0.001156843585</v>
      </c>
    </row>
    <row r="2162">
      <c r="A2162" s="3">
        <f>IFERROR(__xludf.DUMMYFUNCTION("""COMPUTED_VALUE"""),45392.66666666667)</f>
        <v>45392.66667</v>
      </c>
      <c r="B2162" s="5">
        <f>IFERROR(__xludf.DUMMYFUNCTION("""COMPUTED_VALUE"""),87.04)</f>
        <v>87.04</v>
      </c>
      <c r="C2162" s="5">
        <v>87.0043716430664</v>
      </c>
      <c r="D2162" s="5">
        <v>506.162353515625</v>
      </c>
      <c r="E2162" s="7">
        <f t="shared" ref="E2162:F2162" si="2160">C2162/C2161-1</f>
        <v>0.01974154494</v>
      </c>
      <c r="F2162" s="7">
        <f t="shared" si="2160"/>
        <v>-0.01001325857</v>
      </c>
    </row>
    <row r="2163">
      <c r="A2163" s="3">
        <f>IFERROR(__xludf.DUMMYFUNCTION("""COMPUTED_VALUE"""),45393.66666666667)</f>
        <v>45393.66667</v>
      </c>
      <c r="B2163" s="5">
        <f>IFERROR(__xludf.DUMMYFUNCTION("""COMPUTED_VALUE"""),90.62)</f>
        <v>90.62</v>
      </c>
      <c r="C2163" s="5">
        <v>90.5799407958984</v>
      </c>
      <c r="D2163" s="5">
        <v>509.982391357421</v>
      </c>
      <c r="E2163" s="7">
        <f t="shared" ref="E2163:F2163" si="2161">C2163/C2162-1</f>
        <v>0.04109643096</v>
      </c>
      <c r="F2163" s="7">
        <f t="shared" si="2161"/>
        <v>0.007547060376</v>
      </c>
    </row>
    <row r="2164">
      <c r="A2164" s="3">
        <f>IFERROR(__xludf.DUMMYFUNCTION("""COMPUTED_VALUE"""),45394.66666666667)</f>
        <v>45394.66667</v>
      </c>
      <c r="B2164" s="5">
        <f>IFERROR(__xludf.DUMMYFUNCTION("""COMPUTED_VALUE"""),88.19)</f>
        <v>88.19</v>
      </c>
      <c r="C2164" s="5">
        <v>88.1509094238281</v>
      </c>
      <c r="D2164" s="5">
        <v>502.94302368164</v>
      </c>
      <c r="E2164" s="7">
        <f t="shared" ref="E2164:F2164" si="2162">C2164/C2163-1</f>
        <v>-0.02681643806</v>
      </c>
      <c r="F2164" s="7">
        <f t="shared" si="2162"/>
        <v>-0.0138031583</v>
      </c>
    </row>
    <row r="2165">
      <c r="A2165" s="3">
        <f>IFERROR(__xludf.DUMMYFUNCTION("""COMPUTED_VALUE"""),45397.66666666667)</f>
        <v>45397.66667</v>
      </c>
      <c r="B2165" s="5">
        <f>IFERROR(__xludf.DUMMYFUNCTION("""COMPUTED_VALUE"""),86.0)</f>
        <v>86</v>
      </c>
      <c r="C2165" s="5">
        <v>85.9667663574218</v>
      </c>
      <c r="D2165" s="5">
        <v>496.642120361328</v>
      </c>
      <c r="E2165" s="7">
        <f t="shared" ref="E2165:F2165" si="2163">C2165/C2164-1</f>
        <v>-0.02477731745</v>
      </c>
      <c r="F2165" s="7">
        <f t="shared" si="2163"/>
        <v>-0.01252806585</v>
      </c>
    </row>
    <row r="2166">
      <c r="A2166" s="3">
        <f>IFERROR(__xludf.DUMMYFUNCTION("""COMPUTED_VALUE"""),45398.66666666667)</f>
        <v>45398.66667</v>
      </c>
      <c r="B2166" s="5">
        <f>IFERROR(__xludf.DUMMYFUNCTION("""COMPUTED_VALUE"""),87.42)</f>
        <v>87.42</v>
      </c>
      <c r="C2166" s="5">
        <v>87.3802108764648</v>
      </c>
      <c r="D2166" s="5">
        <v>495.736358642578</v>
      </c>
      <c r="E2166" s="7">
        <f t="shared" ref="E2166:F2166" si="2164">C2166/C2165-1</f>
        <v>0.0164417551</v>
      </c>
      <c r="F2166" s="7">
        <f t="shared" si="2164"/>
        <v>-0.001823771448</v>
      </c>
    </row>
    <row r="2167">
      <c r="A2167" s="3">
        <f>IFERROR(__xludf.DUMMYFUNCTION("""COMPUTED_VALUE"""),45399.66666666667)</f>
        <v>45399.66667</v>
      </c>
      <c r="B2167" s="5">
        <f>IFERROR(__xludf.DUMMYFUNCTION("""COMPUTED_VALUE"""),84.04)</f>
        <v>84.04</v>
      </c>
      <c r="C2167" s="5">
        <v>84.0015640258789</v>
      </c>
      <c r="D2167" s="5">
        <v>492.802429199218</v>
      </c>
      <c r="E2167" s="7">
        <f t="shared" ref="E2167:F2167" si="2165">C2167/C2166-1</f>
        <v>-0.03866604139</v>
      </c>
      <c r="F2167" s="7">
        <f t="shared" si="2165"/>
        <v>-0.005918326127</v>
      </c>
    </row>
    <row r="2168">
      <c r="A2168" s="3">
        <f>IFERROR(__xludf.DUMMYFUNCTION("""COMPUTED_VALUE"""),45400.66666666667)</f>
        <v>45400.66667</v>
      </c>
      <c r="B2168" s="5">
        <f>IFERROR(__xludf.DUMMYFUNCTION("""COMPUTED_VALUE"""),84.67)</f>
        <v>84.67</v>
      </c>
      <c r="C2168" s="5">
        <v>84.6372985839843</v>
      </c>
      <c r="D2168" s="5">
        <v>491.788391113281</v>
      </c>
      <c r="E2168" s="7">
        <f t="shared" ref="E2168:F2168" si="2166">C2168/C2167-1</f>
        <v>0.007568127635</v>
      </c>
      <c r="F2168" s="7">
        <f t="shared" si="2166"/>
        <v>-0.002057697012</v>
      </c>
    </row>
    <row r="2169">
      <c r="A2169" s="3">
        <f>IFERROR(__xludf.DUMMYFUNCTION("""COMPUTED_VALUE"""),45401.66666666667)</f>
        <v>45401.66667</v>
      </c>
      <c r="B2169" s="5">
        <f>IFERROR(__xludf.DUMMYFUNCTION("""COMPUTED_VALUE"""),76.2)</f>
        <v>76.2</v>
      </c>
      <c r="C2169" s="5">
        <v>76.169677734375</v>
      </c>
      <c r="D2169" s="5">
        <v>487.495849609375</v>
      </c>
      <c r="E2169" s="7">
        <f t="shared" ref="E2169:F2169" si="2167">C2169/C2168-1</f>
        <v>-0.1000459725</v>
      </c>
      <c r="F2169" s="7">
        <f t="shared" si="2167"/>
        <v>-0.008728431946</v>
      </c>
    </row>
    <row r="2170">
      <c r="A2170" s="3">
        <f>IFERROR(__xludf.DUMMYFUNCTION("""COMPUTED_VALUE"""),45404.66666666667)</f>
        <v>45404.66667</v>
      </c>
      <c r="B2170" s="5">
        <f>IFERROR(__xludf.DUMMYFUNCTION("""COMPUTED_VALUE"""),79.52)</f>
        <v>79.52</v>
      </c>
      <c r="C2170" s="5">
        <v>79.4863510131836</v>
      </c>
      <c r="D2170" s="5">
        <v>491.985321044921</v>
      </c>
      <c r="E2170" s="7">
        <f t="shared" ref="E2170:F2170" si="2168">C2170/C2169-1</f>
        <v>0.0435432232</v>
      </c>
      <c r="F2170" s="7">
        <f t="shared" si="2168"/>
        <v>0.00920925058</v>
      </c>
    </row>
    <row r="2171">
      <c r="A2171" s="3">
        <f>IFERROR(__xludf.DUMMYFUNCTION("""COMPUTED_VALUE"""),45405.66666666667)</f>
        <v>45405.66667</v>
      </c>
      <c r="B2171" s="5">
        <f>IFERROR(__xludf.DUMMYFUNCTION("""COMPUTED_VALUE"""),82.42)</f>
        <v>82.42</v>
      </c>
      <c r="C2171" s="5">
        <v>82.3901977539062</v>
      </c>
      <c r="D2171" s="5">
        <v>497.823516845703</v>
      </c>
      <c r="E2171" s="7">
        <f t="shared" ref="E2171:F2171" si="2169">C2171/C2170-1</f>
        <v>0.03653264622</v>
      </c>
      <c r="F2171" s="7">
        <f t="shared" si="2169"/>
        <v>0.01186660567</v>
      </c>
    </row>
    <row r="2172">
      <c r="A2172" s="3">
        <f>IFERROR(__xludf.DUMMYFUNCTION("""COMPUTED_VALUE"""),45406.66666666667)</f>
        <v>45406.66667</v>
      </c>
      <c r="B2172" s="5">
        <f>IFERROR(__xludf.DUMMYFUNCTION("""COMPUTED_VALUE"""),79.68)</f>
        <v>79.68</v>
      </c>
      <c r="C2172" s="5">
        <v>79.6453018188476</v>
      </c>
      <c r="D2172" s="5">
        <v>497.587219238281</v>
      </c>
      <c r="E2172" s="7">
        <f t="shared" ref="E2172:F2172" si="2170">C2172/C2171-1</f>
        <v>-0.0333158071</v>
      </c>
      <c r="F2172" s="7">
        <f t="shared" si="2170"/>
        <v>-0.0004746613999</v>
      </c>
    </row>
    <row r="2173">
      <c r="A2173" s="3">
        <f>IFERROR(__xludf.DUMMYFUNCTION("""COMPUTED_VALUE"""),45407.66666666667)</f>
        <v>45407.66667</v>
      </c>
      <c r="B2173" s="5">
        <f>IFERROR(__xludf.DUMMYFUNCTION("""COMPUTED_VALUE"""),82.63)</f>
        <v>82.63</v>
      </c>
      <c r="C2173" s="5">
        <v>82.5991287231445</v>
      </c>
      <c r="D2173" s="5">
        <v>495.696960449218</v>
      </c>
      <c r="E2173" s="7">
        <f t="shared" ref="E2173:F2173" si="2171">C2173/C2172-1</f>
        <v>0.03708727115</v>
      </c>
      <c r="F2173" s="7">
        <f t="shared" si="2171"/>
        <v>-0.003798849158</v>
      </c>
    </row>
    <row r="2174">
      <c r="A2174" s="3">
        <f>IFERROR(__xludf.DUMMYFUNCTION("""COMPUTED_VALUE"""),45408.66666666667)</f>
        <v>45408.66667</v>
      </c>
      <c r="B2174" s="5">
        <f>IFERROR(__xludf.DUMMYFUNCTION("""COMPUTED_VALUE"""),87.74)</f>
        <v>87.74</v>
      </c>
      <c r="C2174" s="5">
        <v>87.7000961303711</v>
      </c>
      <c r="D2174" s="5">
        <v>500.393127441406</v>
      </c>
      <c r="E2174" s="7">
        <f t="shared" ref="E2174:F2174" si="2172">C2174/C2173-1</f>
        <v>0.06175570476</v>
      </c>
      <c r="F2174" s="7">
        <f t="shared" si="2172"/>
        <v>0.009473866832</v>
      </c>
    </row>
    <row r="2175">
      <c r="A2175" s="3">
        <f>IFERROR(__xludf.DUMMYFUNCTION("""COMPUTED_VALUE"""),45411.66666666667)</f>
        <v>45411.66667</v>
      </c>
      <c r="B2175" s="5">
        <f>IFERROR(__xludf.DUMMYFUNCTION("""COMPUTED_VALUE"""),87.76)</f>
        <v>87.76</v>
      </c>
      <c r="C2175" s="5">
        <v>87.7220764160156</v>
      </c>
      <c r="D2175" s="5">
        <v>502.165252685546</v>
      </c>
      <c r="E2175" s="7">
        <f t="shared" ref="E2175:F2175" si="2173">C2175/C2174-1</f>
        <v>0.0002506301203</v>
      </c>
      <c r="F2175" s="7">
        <f t="shared" si="2173"/>
        <v>0.003541465993</v>
      </c>
    </row>
    <row r="2176">
      <c r="A2176" s="3">
        <f>IFERROR(__xludf.DUMMYFUNCTION("""COMPUTED_VALUE"""),45412.66666666667)</f>
        <v>45412.66667</v>
      </c>
      <c r="B2176" s="5">
        <f>IFERROR(__xludf.DUMMYFUNCTION("""COMPUTED_VALUE"""),86.4)</f>
        <v>86.4</v>
      </c>
      <c r="C2176" s="5">
        <v>86.3676223754882</v>
      </c>
      <c r="D2176" s="5">
        <v>494.210327148437</v>
      </c>
      <c r="E2176" s="7">
        <f t="shared" ref="E2176:F2176" si="2174">C2176/C2175-1</f>
        <v>-0.01544028705</v>
      </c>
      <c r="F2176" s="7">
        <f t="shared" si="2174"/>
        <v>-0.01584125045</v>
      </c>
    </row>
    <row r="2177">
      <c r="A2177" s="3">
        <f>IFERROR(__xludf.DUMMYFUNCTION("""COMPUTED_VALUE"""),45413.66666666667)</f>
        <v>45413.66667</v>
      </c>
      <c r="B2177" s="5">
        <f>IFERROR(__xludf.DUMMYFUNCTION("""COMPUTED_VALUE"""),83.04)</f>
        <v>83.04</v>
      </c>
      <c r="C2177" s="5">
        <v>83.0079498291015</v>
      </c>
      <c r="D2177" s="5">
        <v>492.605529785156</v>
      </c>
      <c r="E2177" s="7">
        <f t="shared" ref="E2177:F2177" si="2175">C2177/C2176-1</f>
        <v>-0.03889967622</v>
      </c>
      <c r="F2177" s="7">
        <f t="shared" si="2175"/>
        <v>-0.003247195121</v>
      </c>
    </row>
    <row r="2178">
      <c r="A2178" s="3">
        <f>IFERROR(__xludf.DUMMYFUNCTION("""COMPUTED_VALUE"""),45414.66666666667)</f>
        <v>45414.66667</v>
      </c>
      <c r="B2178" s="5">
        <f>IFERROR(__xludf.DUMMYFUNCTION("""COMPUTED_VALUE"""),85.82)</f>
        <v>85.82</v>
      </c>
      <c r="C2178" s="5">
        <v>85.7828521728515</v>
      </c>
      <c r="D2178" s="5">
        <v>497.213073730468</v>
      </c>
      <c r="E2178" s="7">
        <f t="shared" ref="E2178:F2178" si="2176">C2178/C2177-1</f>
        <v>0.03342935646</v>
      </c>
      <c r="F2178" s="7">
        <f t="shared" si="2176"/>
        <v>0.009353414988</v>
      </c>
    </row>
    <row r="2179">
      <c r="A2179" s="3">
        <f>IFERROR(__xludf.DUMMYFUNCTION("""COMPUTED_VALUE"""),45415.66666666667)</f>
        <v>45415.66667</v>
      </c>
      <c r="B2179" s="5">
        <f>IFERROR(__xludf.DUMMYFUNCTION("""COMPUTED_VALUE"""),88.79)</f>
        <v>88.79</v>
      </c>
      <c r="C2179" s="5">
        <v>88.7536697387695</v>
      </c>
      <c r="D2179" s="5">
        <v>503.376251220703</v>
      </c>
      <c r="E2179" s="7">
        <f t="shared" ref="E2179:F2179" si="2177">C2179/C2178-1</f>
        <v>0.03463183481</v>
      </c>
      <c r="F2179" s="7">
        <f t="shared" si="2177"/>
        <v>0.01239544537</v>
      </c>
    </row>
    <row r="2180">
      <c r="A2180" s="3">
        <f>IFERROR(__xludf.DUMMYFUNCTION("""COMPUTED_VALUE"""),45418.66666666667)</f>
        <v>45418.66667</v>
      </c>
      <c r="B2180" s="5">
        <f>IFERROR(__xludf.DUMMYFUNCTION("""COMPUTED_VALUE"""),92.14)</f>
        <v>92.14</v>
      </c>
      <c r="C2180" s="5">
        <v>92.1033248901367</v>
      </c>
      <c r="D2180" s="5">
        <v>508.574554443359</v>
      </c>
      <c r="E2180" s="7">
        <f t="shared" ref="E2180:F2180" si="2178">C2180/C2179-1</f>
        <v>0.03774103269</v>
      </c>
      <c r="F2180" s="7">
        <f t="shared" si="2178"/>
        <v>0.0103268742</v>
      </c>
    </row>
    <row r="2181">
      <c r="A2181" s="3">
        <f>IFERROR(__xludf.DUMMYFUNCTION("""COMPUTED_VALUE"""),45419.66666666667)</f>
        <v>45419.66667</v>
      </c>
      <c r="B2181" s="5">
        <f>IFERROR(__xludf.DUMMYFUNCTION("""COMPUTED_VALUE"""),90.55)</f>
        <v>90.55</v>
      </c>
      <c r="C2181" s="5">
        <v>90.5179595947265</v>
      </c>
      <c r="D2181" s="5">
        <v>509.135681152343</v>
      </c>
      <c r="E2181" s="7">
        <f t="shared" ref="E2181:F2181" si="2179">C2181/C2180-1</f>
        <v>-0.01721289972</v>
      </c>
      <c r="F2181" s="7">
        <f t="shared" si="2179"/>
        <v>0.001103332253</v>
      </c>
    </row>
    <row r="2182">
      <c r="A2182" s="3">
        <f>IFERROR(__xludf.DUMMYFUNCTION("""COMPUTED_VALUE"""),45420.66666666667)</f>
        <v>45420.66667</v>
      </c>
      <c r="B2182" s="5">
        <f>IFERROR(__xludf.DUMMYFUNCTION("""COMPUTED_VALUE"""),90.41)</f>
        <v>90.41</v>
      </c>
      <c r="C2182" s="5">
        <v>90.3760299682617</v>
      </c>
      <c r="D2182" s="5">
        <v>509.184844970703</v>
      </c>
      <c r="E2182" s="7">
        <f t="shared" ref="E2182:F2182" si="2180">C2182/C2181-1</f>
        <v>-0.001567972004</v>
      </c>
      <c r="F2182" s="7">
        <f t="shared" si="2180"/>
        <v>0.00009656329379</v>
      </c>
    </row>
    <row r="2183">
      <c r="A2183" s="3">
        <f>IFERROR(__xludf.DUMMYFUNCTION("""COMPUTED_VALUE"""),45421.66666666667)</f>
        <v>45421.66667</v>
      </c>
      <c r="B2183" s="5">
        <f>IFERROR(__xludf.DUMMYFUNCTION("""COMPUTED_VALUE"""),88.75)</f>
        <v>88.75</v>
      </c>
      <c r="C2183" s="5">
        <v>88.711685180664</v>
      </c>
      <c r="D2183" s="5">
        <v>512.11865234375</v>
      </c>
      <c r="E2183" s="7">
        <f t="shared" ref="E2183:F2183" si="2181">C2183/C2182-1</f>
        <v>-0.01841577671</v>
      </c>
      <c r="F2183" s="7">
        <f t="shared" si="2181"/>
        <v>0.005761772767</v>
      </c>
    </row>
    <row r="2184">
      <c r="A2184" s="3">
        <f>IFERROR(__xludf.DUMMYFUNCTION("""COMPUTED_VALUE"""),45422.66666666667)</f>
        <v>45422.66667</v>
      </c>
      <c r="B2184" s="5">
        <f>IFERROR(__xludf.DUMMYFUNCTION("""COMPUTED_VALUE"""),89.88)</f>
        <v>89.88</v>
      </c>
      <c r="C2184" s="5">
        <v>89.8422393798828</v>
      </c>
      <c r="D2184" s="5">
        <v>512.778442382812</v>
      </c>
      <c r="E2184" s="7">
        <f t="shared" ref="E2184:F2184" si="2182">C2184/C2183-1</f>
        <v>0.01274414072</v>
      </c>
      <c r="F2184" s="7">
        <f t="shared" si="2182"/>
        <v>0.001288353853</v>
      </c>
    </row>
    <row r="2185">
      <c r="A2185" s="3">
        <f>IFERROR(__xludf.DUMMYFUNCTION("""COMPUTED_VALUE"""),45425.66666666667)</f>
        <v>45425.66667</v>
      </c>
      <c r="B2185" s="5">
        <f>IFERROR(__xludf.DUMMYFUNCTION("""COMPUTED_VALUE"""),90.4)</f>
        <v>90.4</v>
      </c>
      <c r="C2185" s="5">
        <v>90.3630294799804</v>
      </c>
      <c r="D2185" s="5">
        <v>512.847351074218</v>
      </c>
      <c r="E2185" s="7">
        <f t="shared" ref="E2185:F2185" si="2183">C2185/C2184-1</f>
        <v>0.00579671771</v>
      </c>
      <c r="F2185" s="7">
        <f t="shared" si="2183"/>
        <v>0.0001343829727</v>
      </c>
    </row>
    <row r="2186">
      <c r="A2186" s="3">
        <f>IFERROR(__xludf.DUMMYFUNCTION("""COMPUTED_VALUE"""),45426.66666666667)</f>
        <v>45426.66667</v>
      </c>
      <c r="B2186" s="5">
        <f>IFERROR(__xludf.DUMMYFUNCTION("""COMPUTED_VALUE"""),91.36)</f>
        <v>91.36</v>
      </c>
      <c r="C2186" s="5">
        <v>91.3196563720703</v>
      </c>
      <c r="D2186" s="5">
        <v>515.200317382812</v>
      </c>
      <c r="E2186" s="7">
        <f t="shared" ref="E2186:F2186" si="2184">C2186/C2185-1</f>
        <v>0.0105864854</v>
      </c>
      <c r="F2186" s="7">
        <f t="shared" si="2184"/>
        <v>0.004588044188</v>
      </c>
    </row>
    <row r="2187">
      <c r="A2187" s="3">
        <f>IFERROR(__xludf.DUMMYFUNCTION("""COMPUTED_VALUE"""),45427.66666666667)</f>
        <v>45427.66667</v>
      </c>
      <c r="B2187" s="5">
        <f>IFERROR(__xludf.DUMMYFUNCTION("""COMPUTED_VALUE"""),94.63)</f>
        <v>94.63</v>
      </c>
      <c r="C2187" s="5">
        <v>94.5923385620117</v>
      </c>
      <c r="D2187" s="5">
        <v>521.580078125</v>
      </c>
      <c r="E2187" s="7">
        <f t="shared" ref="E2187:F2187" si="2185">C2187/C2186-1</f>
        <v>0.03583765336</v>
      </c>
      <c r="F2187" s="7">
        <f t="shared" si="2185"/>
        <v>0.01238306835</v>
      </c>
    </row>
    <row r="2188">
      <c r="A2188" s="3">
        <f>IFERROR(__xludf.DUMMYFUNCTION("""COMPUTED_VALUE"""),45428.66666666667)</f>
        <v>45428.66667</v>
      </c>
      <c r="B2188" s="5">
        <f>IFERROR(__xludf.DUMMYFUNCTION("""COMPUTED_VALUE"""),94.36)</f>
        <v>94.36</v>
      </c>
      <c r="C2188" s="5">
        <v>94.3214492797851</v>
      </c>
      <c r="D2188" s="5">
        <v>520.5068359375</v>
      </c>
      <c r="E2188" s="7">
        <f t="shared" ref="E2188:F2188" si="2186">C2188/C2187-1</f>
        <v>-0.002863754997</v>
      </c>
      <c r="F2188" s="7">
        <f t="shared" si="2186"/>
        <v>-0.002057674809</v>
      </c>
    </row>
    <row r="2189">
      <c r="A2189" s="3">
        <f>IFERROR(__xludf.DUMMYFUNCTION("""COMPUTED_VALUE"""),45429.66666666667)</f>
        <v>45429.66667</v>
      </c>
      <c r="B2189" s="5">
        <f>IFERROR(__xludf.DUMMYFUNCTION("""COMPUTED_VALUE"""),92.48)</f>
        <v>92.48</v>
      </c>
      <c r="C2189" s="5">
        <v>92.4421997070312</v>
      </c>
      <c r="D2189" s="5">
        <v>521.255065917968</v>
      </c>
      <c r="E2189" s="7">
        <f t="shared" ref="E2189:F2189" si="2187">C2189/C2188-1</f>
        <v>-0.01992388356</v>
      </c>
      <c r="F2189" s="7">
        <f t="shared" si="2187"/>
        <v>0.001437502697</v>
      </c>
    </row>
    <row r="2190">
      <c r="A2190" s="3">
        <f>IFERROR(__xludf.DUMMYFUNCTION("""COMPUTED_VALUE"""),45432.66666666667)</f>
        <v>45432.66667</v>
      </c>
      <c r="B2190" s="5">
        <f>IFERROR(__xludf.DUMMYFUNCTION("""COMPUTED_VALUE"""),94.78)</f>
        <v>94.78</v>
      </c>
      <c r="C2190" s="5">
        <v>94.7422790527343</v>
      </c>
      <c r="D2190" s="5">
        <v>521.855712890625</v>
      </c>
      <c r="E2190" s="7">
        <f t="shared" ref="E2190:F2190" si="2188">C2190/C2189-1</f>
        <v>0.02488127017</v>
      </c>
      <c r="F2190" s="7">
        <f t="shared" si="2188"/>
        <v>0.001152309132</v>
      </c>
    </row>
    <row r="2191">
      <c r="A2191" s="3">
        <f>IFERROR(__xludf.DUMMYFUNCTION("""COMPUTED_VALUE"""),45433.66666666667)</f>
        <v>45433.66667</v>
      </c>
      <c r="B2191" s="5">
        <f>IFERROR(__xludf.DUMMYFUNCTION("""COMPUTED_VALUE"""),95.39)</f>
        <v>95.39</v>
      </c>
      <c r="C2191" s="5">
        <v>95.3480453491211</v>
      </c>
      <c r="D2191" s="5">
        <v>523.135559082031</v>
      </c>
      <c r="E2191" s="7">
        <f t="shared" ref="E2191:F2191" si="2189">C2191/C2190-1</f>
        <v>0.006393832853</v>
      </c>
      <c r="F2191" s="7">
        <f t="shared" si="2189"/>
        <v>0.002452490525</v>
      </c>
    </row>
    <row r="2192">
      <c r="A2192" s="3">
        <f>IFERROR(__xludf.DUMMYFUNCTION("""COMPUTED_VALUE"""),45434.66666666667)</f>
        <v>45434.66667</v>
      </c>
      <c r="B2192" s="5">
        <f>IFERROR(__xludf.DUMMYFUNCTION("""COMPUTED_VALUE"""),94.95)</f>
        <v>94.95</v>
      </c>
      <c r="C2192" s="5">
        <v>94.9122161865234</v>
      </c>
      <c r="D2192" s="5">
        <v>521.629211425781</v>
      </c>
      <c r="E2192" s="7">
        <f t="shared" ref="E2192:F2192" si="2190">C2192/C2191-1</f>
        <v>-0.004570929178</v>
      </c>
      <c r="F2192" s="7">
        <f t="shared" si="2190"/>
        <v>-0.002879459502</v>
      </c>
    </row>
    <row r="2193">
      <c r="A2193" s="3">
        <f>IFERROR(__xludf.DUMMYFUNCTION("""COMPUTED_VALUE"""),45435.66666666667)</f>
        <v>45435.66667</v>
      </c>
      <c r="B2193" s="5">
        <f>IFERROR(__xludf.DUMMYFUNCTION("""COMPUTED_VALUE"""),103.8)</f>
        <v>103.8</v>
      </c>
      <c r="C2193" s="5">
        <v>103.757705688476</v>
      </c>
      <c r="D2193" s="5">
        <v>517.819213867187</v>
      </c>
      <c r="E2193" s="7">
        <f t="shared" ref="E2193:F2193" si="2191">C2193/C2192-1</f>
        <v>0.09319653315</v>
      </c>
      <c r="F2193" s="7">
        <f t="shared" si="2191"/>
        <v>-0.007304034121</v>
      </c>
    </row>
    <row r="2194">
      <c r="A2194" s="3">
        <f>IFERROR(__xludf.DUMMYFUNCTION("""COMPUTED_VALUE"""),45436.66666666667)</f>
        <v>45436.66667</v>
      </c>
      <c r="B2194" s="5">
        <f>IFERROR(__xludf.DUMMYFUNCTION("""COMPUTED_VALUE"""),106.47)</f>
        <v>106.47</v>
      </c>
      <c r="C2194" s="5">
        <v>106.426643371582</v>
      </c>
      <c r="D2194" s="5">
        <v>521.245361328125</v>
      </c>
      <c r="E2194" s="7">
        <f t="shared" ref="E2194:F2194" si="2192">C2194/C2193-1</f>
        <v>0.02572279008</v>
      </c>
      <c r="F2194" s="7">
        <f t="shared" si="2192"/>
        <v>0.006616493497</v>
      </c>
    </row>
    <row r="2195">
      <c r="A2195" s="3">
        <f>IFERROR(__xludf.DUMMYFUNCTION("""COMPUTED_VALUE"""),45440.66666666667)</f>
        <v>45440.66667</v>
      </c>
      <c r="B2195" s="5">
        <f>IFERROR(__xludf.DUMMYFUNCTION("""COMPUTED_VALUE"""),113.9)</f>
        <v>113.9</v>
      </c>
      <c r="C2195" s="5">
        <v>113.855667114257</v>
      </c>
      <c r="D2195" s="5">
        <v>521.609558105468</v>
      </c>
      <c r="E2195" s="7">
        <f t="shared" ref="E2195:F2195" si="2193">C2195/C2194-1</f>
        <v>0.06980417222</v>
      </c>
      <c r="F2195" s="7">
        <f t="shared" si="2193"/>
        <v>0.0006987050713</v>
      </c>
    </row>
    <row r="2196">
      <c r="A2196" s="3">
        <f>IFERROR(__xludf.DUMMYFUNCTION("""COMPUTED_VALUE"""),45441.66666666667)</f>
        <v>45441.66667</v>
      </c>
      <c r="B2196" s="5">
        <f>IFERROR(__xludf.DUMMYFUNCTION("""COMPUTED_VALUE"""),114.83)</f>
        <v>114.83</v>
      </c>
      <c r="C2196" s="5">
        <v>114.779304504394</v>
      </c>
      <c r="D2196" s="5">
        <v>517.956970214843</v>
      </c>
      <c r="E2196" s="7">
        <f t="shared" ref="E2196:F2196" si="2194">C2196/C2195-1</f>
        <v>0.008112353241</v>
      </c>
      <c r="F2196" s="7">
        <f t="shared" si="2194"/>
        <v>-0.007002532515</v>
      </c>
    </row>
    <row r="2197">
      <c r="A2197" s="3">
        <f>IFERROR(__xludf.DUMMYFUNCTION("""COMPUTED_VALUE"""),45442.66666666667)</f>
        <v>45442.66667</v>
      </c>
      <c r="B2197" s="5">
        <f>IFERROR(__xludf.DUMMYFUNCTION("""COMPUTED_VALUE"""),110.5)</f>
        <v>110.5</v>
      </c>
      <c r="C2197" s="5">
        <v>110.456031799316</v>
      </c>
      <c r="D2197" s="5">
        <v>514.52099609375</v>
      </c>
      <c r="E2197" s="7">
        <f t="shared" ref="E2197:F2197" si="2195">C2197/C2196-1</f>
        <v>-0.03766596011</v>
      </c>
      <c r="F2197" s="7">
        <f t="shared" si="2195"/>
        <v>-0.00663370573</v>
      </c>
    </row>
    <row r="2198">
      <c r="A2198" s="3">
        <f>IFERROR(__xludf.DUMMYFUNCTION("""COMPUTED_VALUE"""),45443.66666666667)</f>
        <v>45443.66667</v>
      </c>
      <c r="B2198" s="5">
        <f>IFERROR(__xludf.DUMMYFUNCTION("""COMPUTED_VALUE"""),109.63)</f>
        <v>109.63</v>
      </c>
      <c r="C2198" s="5">
        <v>109.589370727539</v>
      </c>
      <c r="D2198" s="5">
        <v>519.207275390625</v>
      </c>
      <c r="E2198" s="7">
        <f t="shared" ref="E2198:F2198" si="2196">C2198/C2197-1</f>
        <v>-0.007846208647</v>
      </c>
      <c r="F2198" s="7">
        <f t="shared" si="2196"/>
        <v>0.009108042883</v>
      </c>
    </row>
    <row r="2199">
      <c r="A2199" s="3">
        <f>IFERROR(__xludf.DUMMYFUNCTION("""COMPUTED_VALUE"""),45446.66666666667)</f>
        <v>45446.66667</v>
      </c>
      <c r="B2199" s="5">
        <f>IFERROR(__xludf.DUMMYFUNCTION("""COMPUTED_VALUE"""),115.0)</f>
        <v>115</v>
      </c>
      <c r="C2199" s="5">
        <v>114.954238891601</v>
      </c>
      <c r="D2199" s="5">
        <v>519.630676269531</v>
      </c>
      <c r="E2199" s="7">
        <f t="shared" ref="E2199:F2199" si="2197">C2199/C2198-1</f>
        <v>0.04895427475</v>
      </c>
      <c r="F2199" s="7">
        <f t="shared" si="2197"/>
        <v>0.0008154756279</v>
      </c>
    </row>
    <row r="2200">
      <c r="A2200" s="3">
        <f>IFERROR(__xludf.DUMMYFUNCTION("""COMPUTED_VALUE"""),45447.66666666667)</f>
        <v>45447.66667</v>
      </c>
      <c r="B2200" s="5">
        <f>IFERROR(__xludf.DUMMYFUNCTION("""COMPUTED_VALUE"""),116.44)</f>
        <v>116.44</v>
      </c>
      <c r="C2200" s="5">
        <v>116.390663146972</v>
      </c>
      <c r="D2200" s="5">
        <v>520.211608886718</v>
      </c>
      <c r="E2200" s="7">
        <f t="shared" ref="E2200:F2200" si="2198">C2200/C2199-1</f>
        <v>0.01249561799</v>
      </c>
      <c r="F2200" s="7">
        <f t="shared" si="2198"/>
        <v>0.001117972136</v>
      </c>
    </row>
    <row r="2201">
      <c r="A2201" s="3">
        <f>IFERROR(__xludf.DUMMYFUNCTION("""COMPUTED_VALUE"""),45448.66666666667)</f>
        <v>45448.66667</v>
      </c>
      <c r="B2201" s="5">
        <f>IFERROR(__xludf.DUMMYFUNCTION("""COMPUTED_VALUE"""),122.44)</f>
        <v>122.44</v>
      </c>
      <c r="C2201" s="5">
        <v>122.391281127929</v>
      </c>
      <c r="D2201" s="5">
        <v>526.394348144531</v>
      </c>
      <c r="E2201" s="7">
        <f t="shared" ref="E2201:F2201" si="2199">C2201/C2200-1</f>
        <v>0.05155583634</v>
      </c>
      <c r="F2201" s="7">
        <f t="shared" si="2199"/>
        <v>0.01188504669</v>
      </c>
    </row>
    <row r="2202">
      <c r="A2202" s="3">
        <f>IFERROR(__xludf.DUMMYFUNCTION("""COMPUTED_VALUE"""),45449.66666666667)</f>
        <v>45449.66667</v>
      </c>
      <c r="B2202" s="5">
        <f>IFERROR(__xludf.DUMMYFUNCTION("""COMPUTED_VALUE"""),121.0)</f>
        <v>121</v>
      </c>
      <c r="C2202" s="5">
        <v>120.949851989746</v>
      </c>
      <c r="D2202" s="5">
        <v>526.384460449218</v>
      </c>
      <c r="E2202" s="7">
        <f t="shared" ref="E2202:F2202" si="2200">C2202/C2201-1</f>
        <v>-0.01177722077</v>
      </c>
      <c r="F2202" s="7">
        <f t="shared" si="2200"/>
        <v>-0.00001878381739</v>
      </c>
    </row>
    <row r="2203">
      <c r="A2203" s="3">
        <f>IFERROR(__xludf.DUMMYFUNCTION("""COMPUTED_VALUE"""),45450.66666666667)</f>
        <v>45450.66667</v>
      </c>
      <c r="B2203" s="5">
        <f>IFERROR(__xludf.DUMMYFUNCTION("""COMPUTED_VALUE"""),120.89)</f>
        <v>120.89</v>
      </c>
      <c r="C2203" s="5">
        <v>120.839897155761</v>
      </c>
      <c r="D2203" s="5">
        <v>525.74462890625</v>
      </c>
      <c r="E2203" s="7">
        <f t="shared" ref="E2203:F2203" si="2201">C2203/C2202-1</f>
        <v>-0.0009090944071</v>
      </c>
      <c r="F2203" s="7">
        <f t="shared" si="2201"/>
        <v>-0.001215521337</v>
      </c>
    </row>
    <row r="2204">
      <c r="A2204" s="3">
        <f>IFERROR(__xludf.DUMMYFUNCTION("""COMPUTED_VALUE"""),45453.66666666667)</f>
        <v>45453.66667</v>
      </c>
      <c r="B2204" s="5">
        <f>IFERROR(__xludf.DUMMYFUNCTION("""COMPUTED_VALUE"""),121.79)</f>
        <v>121.79</v>
      </c>
      <c r="C2204" s="5">
        <v>121.741539001464</v>
      </c>
      <c r="D2204" s="5">
        <v>527.368957519531</v>
      </c>
      <c r="E2204" s="7">
        <f t="shared" ref="E2204:F2204" si="2202">C2204/C2203-1</f>
        <v>0.007461458235</v>
      </c>
      <c r="F2204" s="7">
        <f t="shared" si="2202"/>
        <v>0.00308957719</v>
      </c>
    </row>
    <row r="2205">
      <c r="A2205" s="3">
        <f>IFERROR(__xludf.DUMMYFUNCTION("""COMPUTED_VALUE"""),45454.66666666667)</f>
        <v>45454.66667</v>
      </c>
      <c r="B2205" s="5">
        <f>IFERROR(__xludf.DUMMYFUNCTION("""COMPUTED_VALUE"""),120.91)</f>
        <v>120.91</v>
      </c>
      <c r="C2205" s="5">
        <v>120.87181854248</v>
      </c>
      <c r="D2205" s="5">
        <v>528.639038085937</v>
      </c>
      <c r="E2205" s="7">
        <f t="shared" ref="E2205:F2205" si="2203">C2205/C2204-1</f>
        <v>-0.007143991</v>
      </c>
      <c r="F2205" s="7">
        <f t="shared" si="2203"/>
        <v>0.002408333953</v>
      </c>
    </row>
    <row r="2206">
      <c r="A2206" s="3">
        <f>IFERROR(__xludf.DUMMYFUNCTION("""COMPUTED_VALUE"""),45455.66666666667)</f>
        <v>45455.66667</v>
      </c>
      <c r="B2206" s="5">
        <f>IFERROR(__xludf.DUMMYFUNCTION("""COMPUTED_VALUE"""),125.2)</f>
        <v>125.2</v>
      </c>
      <c r="C2206" s="5">
        <v>125.160461425781</v>
      </c>
      <c r="D2206" s="5">
        <v>532.980773925781</v>
      </c>
      <c r="E2206" s="7">
        <f t="shared" ref="E2206:F2206" si="2204">C2206/C2205-1</f>
        <v>0.03548091635</v>
      </c>
      <c r="F2206" s="7">
        <f t="shared" si="2204"/>
        <v>0.008213044303</v>
      </c>
    </row>
    <row r="2207">
      <c r="A2207" s="3">
        <f>IFERROR(__xludf.DUMMYFUNCTION("""COMPUTED_VALUE"""),45456.66666666667)</f>
        <v>45456.66667</v>
      </c>
      <c r="B2207" s="5">
        <f>IFERROR(__xludf.DUMMYFUNCTION("""COMPUTED_VALUE"""),129.61)</f>
        <v>129.61</v>
      </c>
      <c r="C2207" s="5">
        <v>129.569076538085</v>
      </c>
      <c r="D2207" s="5">
        <v>534.053955078125</v>
      </c>
      <c r="E2207" s="7">
        <f t="shared" ref="E2207:F2207" si="2205">C2207/C2206-1</f>
        <v>0.03522370453</v>
      </c>
      <c r="F2207" s="7">
        <f t="shared" si="2205"/>
        <v>0.002013545713</v>
      </c>
    </row>
    <row r="2208">
      <c r="A2208" s="3">
        <f>IFERROR(__xludf.DUMMYFUNCTION("""COMPUTED_VALUE"""),45457.66666666667)</f>
        <v>45457.66667</v>
      </c>
      <c r="B2208" s="5">
        <f>IFERROR(__xludf.DUMMYFUNCTION("""COMPUTED_VALUE"""),131.88)</f>
        <v>131.88</v>
      </c>
      <c r="C2208" s="5">
        <v>131.83836364746</v>
      </c>
      <c r="D2208" s="5">
        <v>534.378784179687</v>
      </c>
      <c r="E2208" s="7">
        <f t="shared" ref="E2208:F2208" si="2206">C2208/C2207-1</f>
        <v>0.01751411039</v>
      </c>
      <c r="F2208" s="7">
        <f t="shared" si="2206"/>
        <v>0.0006082327422</v>
      </c>
    </row>
    <row r="2209">
      <c r="A2209" s="3">
        <f>IFERROR(__xludf.DUMMYFUNCTION("""COMPUTED_VALUE"""),45460.66666666667)</f>
        <v>45460.66667</v>
      </c>
      <c r="B2209" s="5">
        <f>IFERROR(__xludf.DUMMYFUNCTION("""COMPUTED_VALUE"""),130.98)</f>
        <v>130.98</v>
      </c>
      <c r="C2209" s="5">
        <v>130.938644409179</v>
      </c>
      <c r="D2209" s="5">
        <v>538.631958007812</v>
      </c>
      <c r="E2209" s="7">
        <f t="shared" ref="E2209:F2209" si="2207">C2209/C2208-1</f>
        <v>-0.006824411449</v>
      </c>
      <c r="F2209" s="7">
        <f t="shared" si="2207"/>
        <v>0.007959099339</v>
      </c>
    </row>
    <row r="2210">
      <c r="A2210" s="3">
        <f>IFERROR(__xludf.DUMMYFUNCTION("""COMPUTED_VALUE"""),45461.66666666667)</f>
        <v>45461.66667</v>
      </c>
      <c r="B2210" s="5">
        <f>IFERROR(__xludf.DUMMYFUNCTION("""COMPUTED_VALUE"""),135.58)</f>
        <v>135.58</v>
      </c>
      <c r="C2210" s="5">
        <v>135.537185668945</v>
      </c>
      <c r="D2210" s="5">
        <v>540.000366210937</v>
      </c>
      <c r="E2210" s="7">
        <f t="shared" ref="E2210:F2210" si="2208">C2210/C2209-1</f>
        <v>0.03511981723</v>
      </c>
      <c r="F2210" s="7">
        <f t="shared" si="2208"/>
        <v>0.00254052546</v>
      </c>
    </row>
    <row r="2211">
      <c r="A2211" s="3">
        <f>IFERROR(__xludf.DUMMYFUNCTION("""COMPUTED_VALUE"""),45463.66666666667)</f>
        <v>45463.66667</v>
      </c>
      <c r="B2211" s="5">
        <f>IFERROR(__xludf.DUMMYFUNCTION("""COMPUTED_VALUE"""),130.78)</f>
        <v>130.78</v>
      </c>
      <c r="C2211" s="5">
        <v>130.738708496093</v>
      </c>
      <c r="D2211" s="5">
        <v>538.533508300781</v>
      </c>
      <c r="E2211" s="7">
        <f t="shared" ref="E2211:F2211" si="2209">C2211/C2210-1</f>
        <v>-0.03540339981</v>
      </c>
      <c r="F2211" s="7">
        <f t="shared" si="2209"/>
        <v>-0.002716401695</v>
      </c>
    </row>
    <row r="2212">
      <c r="A2212" s="3">
        <f>IFERROR(__xludf.DUMMYFUNCTION("""COMPUTED_VALUE"""),45464.66666666667)</f>
        <v>45464.66667</v>
      </c>
      <c r="B2212" s="5">
        <f>IFERROR(__xludf.DUMMYFUNCTION("""COMPUTED_VALUE"""),126.57)</f>
        <v>126.57</v>
      </c>
      <c r="C2212" s="5">
        <v>126.53002166748</v>
      </c>
      <c r="D2212" s="5">
        <v>537.811462402343</v>
      </c>
      <c r="E2212" s="7">
        <f t="shared" ref="E2212:F2212" si="2210">C2212/C2211-1</f>
        <v>-0.03219158945</v>
      </c>
      <c r="F2212" s="7">
        <f t="shared" si="2210"/>
        <v>-0.001340763179</v>
      </c>
    </row>
    <row r="2213">
      <c r="A2213" s="3">
        <f>IFERROR(__xludf.DUMMYFUNCTION("""COMPUTED_VALUE"""),45467.66666666667)</f>
        <v>45467.66667</v>
      </c>
      <c r="B2213" s="5">
        <f>IFERROR(__xludf.DUMMYFUNCTION("""COMPUTED_VALUE"""),118.11)</f>
        <v>118.11</v>
      </c>
      <c r="C2213" s="5">
        <v>118.072692871093</v>
      </c>
      <c r="D2213" s="5">
        <v>536.063232421875</v>
      </c>
      <c r="E2213" s="7">
        <f t="shared" ref="E2213:F2213" si="2211">C2213/C2212-1</f>
        <v>-0.06684049117</v>
      </c>
      <c r="F2213" s="7">
        <f t="shared" si="2211"/>
        <v>-0.003250637264</v>
      </c>
    </row>
    <row r="2214">
      <c r="A2214" s="3">
        <f>IFERROR(__xludf.DUMMYFUNCTION("""COMPUTED_VALUE"""),45468.66666666667)</f>
        <v>45468.66667</v>
      </c>
      <c r="B2214" s="5">
        <f>IFERROR(__xludf.DUMMYFUNCTION("""COMPUTED_VALUE"""),126.09)</f>
        <v>126.09</v>
      </c>
      <c r="C2214" s="5">
        <v>126.050170898437</v>
      </c>
      <c r="D2214" s="5">
        <v>538.127624511718</v>
      </c>
      <c r="E2214" s="7">
        <f t="shared" ref="E2214:F2214" si="2212">C2214/C2213-1</f>
        <v>0.06756412371</v>
      </c>
      <c r="F2214" s="7">
        <f t="shared" si="2212"/>
        <v>0.003851023471</v>
      </c>
    </row>
    <row r="2215">
      <c r="A2215" s="3">
        <f>IFERROR(__xludf.DUMMYFUNCTION("""COMPUTED_VALUE"""),45469.66666666667)</f>
        <v>45469.66667</v>
      </c>
      <c r="B2215" s="5">
        <f>IFERROR(__xludf.DUMMYFUNCTION("""COMPUTED_VALUE"""),126.4)</f>
        <v>126.4</v>
      </c>
      <c r="C2215" s="5">
        <v>126.360084533691</v>
      </c>
      <c r="D2215" s="5">
        <v>538.799194335937</v>
      </c>
      <c r="E2215" s="7">
        <f t="shared" ref="E2215:F2215" si="2213">C2215/C2214-1</f>
        <v>0.002458653035</v>
      </c>
      <c r="F2215" s="7">
        <f t="shared" si="2213"/>
        <v>0.001247975004</v>
      </c>
    </row>
    <row r="2216">
      <c r="A2216" s="3">
        <f>IFERROR(__xludf.DUMMYFUNCTION("""COMPUTED_VALUE"""),45470.66666666667)</f>
        <v>45470.66667</v>
      </c>
      <c r="B2216" s="5">
        <f>IFERROR(__xludf.DUMMYFUNCTION("""COMPUTED_VALUE"""),123.99)</f>
        <v>123.99</v>
      </c>
      <c r="C2216" s="5">
        <v>123.95083618164</v>
      </c>
      <c r="D2216" s="5">
        <v>539.648681640625</v>
      </c>
      <c r="E2216" s="7">
        <f t="shared" ref="E2216:F2216" si="2214">C2216/C2215-1</f>
        <v>-0.01906653008</v>
      </c>
      <c r="F2216" s="7">
        <f t="shared" si="2214"/>
        <v>0.001576630614</v>
      </c>
    </row>
    <row r="2217">
      <c r="A2217" s="3">
        <f>IFERROR(__xludf.DUMMYFUNCTION("""COMPUTED_VALUE"""),45471.66666666667)</f>
        <v>45471.66667</v>
      </c>
      <c r="B2217" s="5">
        <f>IFERROR(__xludf.DUMMYFUNCTION("""COMPUTED_VALUE"""),123.54)</f>
        <v>123.54</v>
      </c>
      <c r="C2217" s="5">
        <v>123.500984191894</v>
      </c>
      <c r="D2217" s="5">
        <v>537.524963378906</v>
      </c>
      <c r="E2217" s="7">
        <f t="shared" ref="E2217:F2217" si="2215">C2217/C2216-1</f>
        <v>-0.003629277572</v>
      </c>
      <c r="F2217" s="7">
        <f t="shared" si="2215"/>
        <v>-0.003935371908</v>
      </c>
    </row>
    <row r="2218">
      <c r="A2218" s="3">
        <f>IFERROR(__xludf.DUMMYFUNCTION("""COMPUTED_VALUE"""),45474.66666666667)</f>
        <v>45474.66667</v>
      </c>
      <c r="B2218" s="5">
        <f>IFERROR(__xludf.DUMMYFUNCTION("""COMPUTED_VALUE"""),124.3)</f>
        <v>124.3</v>
      </c>
      <c r="C2218" s="5">
        <v>124.260757446289</v>
      </c>
      <c r="D2218" s="5">
        <v>538.631286621093</v>
      </c>
      <c r="E2218" s="7">
        <f t="shared" ref="E2218:F2218" si="2216">C2218/C2217-1</f>
        <v>0.006151961131</v>
      </c>
      <c r="F2218" s="7">
        <f t="shared" si="2216"/>
        <v>0.00205818021</v>
      </c>
    </row>
    <row r="2219">
      <c r="A2219" s="3">
        <f>IFERROR(__xludf.DUMMYFUNCTION("""COMPUTED_VALUE"""),45475.66666666667)</f>
        <v>45475.66667</v>
      </c>
      <c r="B2219" s="5">
        <f>IFERROR(__xludf.DUMMYFUNCTION("""COMPUTED_VALUE"""),122.67)</f>
        <v>122.67</v>
      </c>
      <c r="C2219" s="5">
        <v>122.631256103515</v>
      </c>
      <c r="D2219" s="5">
        <v>542.256103515625</v>
      </c>
      <c r="E2219" s="7">
        <f t="shared" ref="E2219:F2219" si="2217">C2219/C2218-1</f>
        <v>-0.01311356358</v>
      </c>
      <c r="F2219" s="7">
        <f t="shared" si="2217"/>
        <v>0.006729681295</v>
      </c>
    </row>
    <row r="2220">
      <c r="A2220" s="3">
        <f>IFERROR(__xludf.DUMMYFUNCTION("""COMPUTED_VALUE"""),45476.54513888889)</f>
        <v>45476.54514</v>
      </c>
      <c r="B2220" s="5">
        <f>IFERROR(__xludf.DUMMYFUNCTION("""COMPUTED_VALUE"""),128.28)</f>
        <v>128.28</v>
      </c>
      <c r="C2220" s="5">
        <v>128.239486694335</v>
      </c>
      <c r="D2220" s="5">
        <v>544.676086425781</v>
      </c>
      <c r="E2220" s="7">
        <f t="shared" ref="E2220:F2220" si="2218">C2220/C2219-1</f>
        <v>0.04573247285</v>
      </c>
      <c r="F2220" s="7">
        <f t="shared" si="2218"/>
        <v>0.004462804373</v>
      </c>
    </row>
    <row r="2221">
      <c r="A2221" s="3">
        <f>IFERROR(__xludf.DUMMYFUNCTION("""COMPUTED_VALUE"""),45478.66666666667)</f>
        <v>45478.66667</v>
      </c>
      <c r="B2221" s="5">
        <f>IFERROR(__xludf.DUMMYFUNCTION("""COMPUTED_VALUE"""),125.83)</f>
        <v>125.83</v>
      </c>
      <c r="C2221" s="5">
        <v>125.790267944335</v>
      </c>
      <c r="D2221" s="5">
        <v>547.81689453125</v>
      </c>
      <c r="E2221" s="7">
        <f t="shared" ref="E2221:F2221" si="2219">C2221/C2220-1</f>
        <v>-0.01909878785</v>
      </c>
      <c r="F2221" s="7">
        <f t="shared" si="2219"/>
        <v>0.005766377823</v>
      </c>
    </row>
    <row r="2222">
      <c r="A2222" s="3">
        <f>IFERROR(__xludf.DUMMYFUNCTION("""COMPUTED_VALUE"""),45481.66666666667)</f>
        <v>45481.66667</v>
      </c>
      <c r="B2222" s="5">
        <f>IFERROR(__xludf.DUMMYFUNCTION("""COMPUTED_VALUE"""),128.2)</f>
        <v>128.2</v>
      </c>
      <c r="C2222" s="5">
        <v>128.159515380859</v>
      </c>
      <c r="D2222" s="5">
        <v>548.449035644531</v>
      </c>
      <c r="E2222" s="7">
        <f t="shared" ref="E2222:F2222" si="2220">C2222/C2221-1</f>
        <v>0.01883490253</v>
      </c>
      <c r="F2222" s="7">
        <f t="shared" si="2220"/>
        <v>0.001153927744</v>
      </c>
    </row>
    <row r="2223">
      <c r="A2223" s="3">
        <f>IFERROR(__xludf.DUMMYFUNCTION("""COMPUTED_VALUE"""),45482.66666666667)</f>
        <v>45482.66667</v>
      </c>
      <c r="B2223" s="5">
        <f>IFERROR(__xludf.DUMMYFUNCTION("""COMPUTED_VALUE"""),131.38)</f>
        <v>131.38</v>
      </c>
      <c r="C2223" s="5">
        <v>131.338516235351</v>
      </c>
      <c r="D2223" s="5">
        <v>548.982360839843</v>
      </c>
      <c r="E2223" s="7">
        <f t="shared" ref="E2223:F2223" si="2221">C2223/C2222-1</f>
        <v>0.0248050318</v>
      </c>
      <c r="F2223" s="7">
        <f t="shared" si="2221"/>
        <v>0.0009724243469</v>
      </c>
    </row>
    <row r="2224">
      <c r="A2224" s="3">
        <f>IFERROR(__xludf.DUMMYFUNCTION("""COMPUTED_VALUE"""),45483.66666666667)</f>
        <v>45483.66667</v>
      </c>
      <c r="B2224" s="5">
        <f>IFERROR(__xludf.DUMMYFUNCTION("""COMPUTED_VALUE"""),134.91)</f>
        <v>134.91</v>
      </c>
      <c r="C2224" s="5">
        <v>134.867401123046</v>
      </c>
      <c r="D2224" s="5">
        <v>554.414733886718</v>
      </c>
      <c r="E2224" s="7">
        <f t="shared" ref="E2224:F2224" si="2222">C2224/C2223-1</f>
        <v>0.02686862155</v>
      </c>
      <c r="F2224" s="7">
        <f t="shared" si="2222"/>
        <v>0.009895350806</v>
      </c>
    </row>
    <row r="2225">
      <c r="A2225" s="3">
        <f>IFERROR(__xludf.DUMMYFUNCTION("""COMPUTED_VALUE"""),45484.66666666667)</f>
        <v>45484.66667</v>
      </c>
      <c r="B2225" s="5">
        <f>IFERROR(__xludf.DUMMYFUNCTION("""COMPUTED_VALUE"""),127.4)</f>
        <v>127.4</v>
      </c>
      <c r="C2225" s="5">
        <v>127.359771728515</v>
      </c>
      <c r="D2225" s="5">
        <v>549.634155273437</v>
      </c>
      <c r="E2225" s="7">
        <f t="shared" ref="E2225:F2225" si="2223">C2225/C2224-1</f>
        <v>-0.05566674624</v>
      </c>
      <c r="F2225" s="7">
        <f t="shared" si="2223"/>
        <v>-0.008622748136</v>
      </c>
    </row>
    <row r="2226">
      <c r="A2226" s="3">
        <f>IFERROR(__xludf.DUMMYFUNCTION("""COMPUTED_VALUE"""),45485.66666666667)</f>
        <v>45485.66667</v>
      </c>
      <c r="B2226" s="5">
        <f>IFERROR(__xludf.DUMMYFUNCTION("""COMPUTED_VALUE"""),129.24)</f>
        <v>129.24</v>
      </c>
      <c r="C2226" s="5">
        <v>129.199188232421</v>
      </c>
      <c r="D2226" s="5">
        <v>553.10107421875</v>
      </c>
      <c r="E2226" s="7">
        <f t="shared" ref="E2226:F2226" si="2224">C2226/C2225-1</f>
        <v>0.0144426806</v>
      </c>
      <c r="F2226" s="7">
        <f t="shared" si="2224"/>
        <v>0.006307684688</v>
      </c>
    </row>
    <row r="2227">
      <c r="A2227" s="3">
        <f>IFERROR(__xludf.DUMMYFUNCTION("""COMPUTED_VALUE"""),45488.66666666667)</f>
        <v>45488.66667</v>
      </c>
      <c r="B2227" s="5">
        <f>IFERROR(__xludf.DUMMYFUNCTION("""COMPUTED_VALUE"""),128.44)</f>
        <v>128.44</v>
      </c>
      <c r="C2227" s="5">
        <v>128.399444580078</v>
      </c>
      <c r="D2227" s="5">
        <v>554.622131347656</v>
      </c>
      <c r="E2227" s="7">
        <f t="shared" ref="E2227:F2227" si="2225">C2227/C2226-1</f>
        <v>-0.006190005241</v>
      </c>
      <c r="F2227" s="7">
        <f t="shared" si="2225"/>
        <v>0.002750052748</v>
      </c>
    </row>
    <row r="2228">
      <c r="A2228" s="3">
        <f>IFERROR(__xludf.DUMMYFUNCTION("""COMPUTED_VALUE"""),45489.66666666667)</f>
        <v>45489.66667</v>
      </c>
      <c r="B2228" s="5">
        <f>IFERROR(__xludf.DUMMYFUNCTION("""COMPUTED_VALUE"""),126.36)</f>
        <v>126.36</v>
      </c>
      <c r="C2228" s="5">
        <v>126.320098876953</v>
      </c>
      <c r="D2228" s="5">
        <v>557.911193847656</v>
      </c>
      <c r="E2228" s="7">
        <f t="shared" ref="E2228:F2228" si="2226">C2228/C2227-1</f>
        <v>-0.01619435123</v>
      </c>
      <c r="F2228" s="7">
        <f t="shared" si="2226"/>
        <v>0.005930276334</v>
      </c>
    </row>
    <row r="2229">
      <c r="A2229" s="3">
        <f>IFERROR(__xludf.DUMMYFUNCTION("""COMPUTED_VALUE"""),45490.66666666667)</f>
        <v>45490.66667</v>
      </c>
      <c r="B2229" s="5">
        <f>IFERROR(__xludf.DUMMYFUNCTION("""COMPUTED_VALUE"""),117.99)</f>
        <v>117.99</v>
      </c>
      <c r="C2229" s="5">
        <v>117.952743530273</v>
      </c>
      <c r="D2229" s="5">
        <v>550.088562011718</v>
      </c>
      <c r="E2229" s="7">
        <f t="shared" ref="E2229:F2229" si="2227">C2229/C2228-1</f>
        <v>-0.06623930333</v>
      </c>
      <c r="F2229" s="7">
        <f t="shared" si="2227"/>
        <v>-0.01402128497</v>
      </c>
    </row>
    <row r="2230">
      <c r="A2230" s="3">
        <f>IFERROR(__xludf.DUMMYFUNCTION("""COMPUTED_VALUE"""),45491.66666666667)</f>
        <v>45491.66667</v>
      </c>
      <c r="B2230" s="5">
        <f>IFERROR(__xludf.DUMMYFUNCTION("""COMPUTED_VALUE"""),121.09)</f>
        <v>121.09</v>
      </c>
      <c r="C2230" s="5">
        <v>121.0517578125</v>
      </c>
      <c r="D2230" s="5">
        <v>545.861145019531</v>
      </c>
      <c r="E2230" s="7">
        <f t="shared" ref="E2230:F2230" si="2228">C2230/C2229-1</f>
        <v>0.02627335482</v>
      </c>
      <c r="F2230" s="7">
        <f t="shared" si="2228"/>
        <v>-0.007684975264</v>
      </c>
    </row>
    <row r="2231">
      <c r="A2231" s="3">
        <f>IFERROR(__xludf.DUMMYFUNCTION("""COMPUTED_VALUE"""),45492.66666666667)</f>
        <v>45492.66667</v>
      </c>
      <c r="B2231" s="5">
        <f>IFERROR(__xludf.DUMMYFUNCTION("""COMPUTED_VALUE"""),117.93)</f>
        <v>117.93</v>
      </c>
      <c r="C2231" s="5">
        <v>117.892753601074</v>
      </c>
      <c r="D2231" s="5">
        <v>542.236389160156</v>
      </c>
      <c r="E2231" s="7">
        <f t="shared" ref="E2231:F2231" si="2229">C2231/C2230-1</f>
        <v>-0.02609631011</v>
      </c>
      <c r="F2231" s="7">
        <f t="shared" si="2229"/>
        <v>-0.006640435745</v>
      </c>
    </row>
    <row r="2232">
      <c r="A2232" s="3">
        <f>IFERROR(__xludf.DUMMYFUNCTION("""COMPUTED_VALUE"""),45495.66666666667)</f>
        <v>45495.66667</v>
      </c>
      <c r="B2232" s="5">
        <f>IFERROR(__xludf.DUMMYFUNCTION("""COMPUTED_VALUE"""),123.54)</f>
        <v>123.54</v>
      </c>
      <c r="C2232" s="5">
        <v>123.500984191894</v>
      </c>
      <c r="D2232" s="5">
        <v>547.826782226562</v>
      </c>
      <c r="E2232" s="7">
        <f t="shared" ref="E2232:F2232" si="2230">C2232/C2231-1</f>
        <v>0.04757061329</v>
      </c>
      <c r="F2232" s="7">
        <f t="shared" si="2230"/>
        <v>0.01030988178</v>
      </c>
    </row>
    <row r="2233">
      <c r="A2233" s="3">
        <f>IFERROR(__xludf.DUMMYFUNCTION("""COMPUTED_VALUE"""),45496.66666666667)</f>
        <v>45496.66667</v>
      </c>
      <c r="B2233" s="5">
        <f>IFERROR(__xludf.DUMMYFUNCTION("""COMPUTED_VALUE"""),122.59)</f>
        <v>122.59</v>
      </c>
      <c r="C2233" s="5">
        <v>122.551277160644</v>
      </c>
      <c r="D2233" s="5">
        <v>546.967468261718</v>
      </c>
      <c r="E2233" s="7">
        <f t="shared" ref="E2233:F2233" si="2231">C2233/C2232-1</f>
        <v>-0.007689874194</v>
      </c>
      <c r="F2233" s="7">
        <f t="shared" si="2231"/>
        <v>-0.001568586993</v>
      </c>
    </row>
    <row r="2234">
      <c r="A2234" s="3">
        <f>IFERROR(__xludf.DUMMYFUNCTION("""COMPUTED_VALUE"""),45497.66666666667)</f>
        <v>45497.66667</v>
      </c>
      <c r="B2234" s="5">
        <f>IFERROR(__xludf.DUMMYFUNCTION("""COMPUTED_VALUE"""),114.25)</f>
        <v>114.25</v>
      </c>
      <c r="C2234" s="5">
        <v>114.213912963867</v>
      </c>
      <c r="D2234" s="5">
        <v>534.57177734375</v>
      </c>
      <c r="E2234" s="7">
        <f t="shared" ref="E2234:F2234" si="2232">C2234/C2233-1</f>
        <v>-0.06803163859</v>
      </c>
      <c r="F2234" s="7">
        <f t="shared" si="2232"/>
        <v>-0.02266257435</v>
      </c>
    </row>
    <row r="2235">
      <c r="A2235" s="3">
        <f>IFERROR(__xludf.DUMMYFUNCTION("""COMPUTED_VALUE"""),45498.66666666667)</f>
        <v>45498.66667</v>
      </c>
      <c r="B2235" s="5">
        <f>IFERROR(__xludf.DUMMYFUNCTION("""COMPUTED_VALUE"""),112.28)</f>
        <v>112.28</v>
      </c>
      <c r="C2235" s="5">
        <v>112.244537353515</v>
      </c>
      <c r="D2235" s="5">
        <v>531.786437988281</v>
      </c>
      <c r="E2235" s="7">
        <f t="shared" ref="E2235:F2235" si="2233">C2235/C2234-1</f>
        <v>-0.01724286962</v>
      </c>
      <c r="F2235" s="7">
        <f t="shared" si="2233"/>
        <v>-0.005210412284</v>
      </c>
    </row>
    <row r="2236">
      <c r="A2236" s="3">
        <f>IFERROR(__xludf.DUMMYFUNCTION("""COMPUTED_VALUE"""),45499.66666666667)</f>
        <v>45499.66667</v>
      </c>
      <c r="B2236" s="5">
        <f>IFERROR(__xludf.DUMMYFUNCTION("""COMPUTED_VALUE"""),113.06)</f>
        <v>113.06</v>
      </c>
      <c r="C2236" s="5">
        <v>113.024291992187</v>
      </c>
      <c r="D2236" s="5">
        <v>537.742370605468</v>
      </c>
      <c r="E2236" s="7">
        <f t="shared" ref="E2236:F2236" si="2234">C2236/C2235-1</f>
        <v>0.006946927281</v>
      </c>
      <c r="F2236" s="7">
        <f t="shared" si="2234"/>
        <v>0.01119985805</v>
      </c>
    </row>
    <row r="2237">
      <c r="A2237" s="3">
        <f>IFERROR(__xludf.DUMMYFUNCTION("""COMPUTED_VALUE"""),45502.66666666667)</f>
        <v>45502.66667</v>
      </c>
      <c r="B2237" s="5">
        <f>IFERROR(__xludf.DUMMYFUNCTION("""COMPUTED_VALUE"""),111.59)</f>
        <v>111.59</v>
      </c>
      <c r="C2237" s="5">
        <v>111.554748535156</v>
      </c>
      <c r="D2237" s="5">
        <v>538.058410644531</v>
      </c>
      <c r="E2237" s="7">
        <f t="shared" ref="E2237:F2237" si="2235">C2237/C2236-1</f>
        <v>-0.01300201427</v>
      </c>
      <c r="F2237" s="7">
        <f t="shared" si="2235"/>
        <v>0.0005877164537</v>
      </c>
    </row>
    <row r="2238">
      <c r="A2238" s="3">
        <f>IFERROR(__xludf.DUMMYFUNCTION("""COMPUTED_VALUE"""),45503.66666666667)</f>
        <v>45503.66667</v>
      </c>
      <c r="B2238" s="5">
        <f>IFERROR(__xludf.DUMMYFUNCTION("""COMPUTED_VALUE"""),103.73)</f>
        <v>103.73</v>
      </c>
      <c r="C2238" s="5">
        <v>103.697242736816</v>
      </c>
      <c r="D2238" s="5">
        <v>535.332275390625</v>
      </c>
      <c r="E2238" s="7">
        <f t="shared" ref="E2238:F2238" si="2236">C2238/C2237-1</f>
        <v>-0.0704363185</v>
      </c>
      <c r="F2238" s="7">
        <f t="shared" si="2236"/>
        <v>-0.005066615817</v>
      </c>
    </row>
    <row r="2239">
      <c r="A2239" s="3">
        <f>IFERROR(__xludf.DUMMYFUNCTION("""COMPUTED_VALUE"""),45504.66666666667)</f>
        <v>45504.66667</v>
      </c>
      <c r="B2239" s="5">
        <f>IFERROR(__xludf.DUMMYFUNCTION("""COMPUTED_VALUE"""),117.02)</f>
        <v>117.02</v>
      </c>
      <c r="C2239" s="5">
        <v>116.983032226562</v>
      </c>
      <c r="D2239" s="5">
        <v>544.033935546875</v>
      </c>
      <c r="E2239" s="7">
        <f t="shared" ref="E2239:F2239" si="2237">C2239/C2238-1</f>
        <v>0.1281209523</v>
      </c>
      <c r="F2239" s="7">
        <f t="shared" si="2237"/>
        <v>0.01625468995</v>
      </c>
    </row>
    <row r="2240">
      <c r="A2240" s="3">
        <f>IFERROR(__xludf.DUMMYFUNCTION("""COMPUTED_VALUE"""),45505.66666666667)</f>
        <v>45505.66667</v>
      </c>
      <c r="B2240" s="5">
        <f>IFERROR(__xludf.DUMMYFUNCTION("""COMPUTED_VALUE"""),109.21)</f>
        <v>109.21</v>
      </c>
      <c r="C2240" s="5">
        <v>109.175514221191</v>
      </c>
      <c r="D2240" s="5">
        <v>536.329956054687</v>
      </c>
      <c r="E2240" s="7">
        <f t="shared" ref="E2240:F2240" si="2238">C2240/C2239-1</f>
        <v>-0.06674060209</v>
      </c>
      <c r="F2240" s="7">
        <f t="shared" si="2238"/>
        <v>-0.01416084363</v>
      </c>
    </row>
    <row r="2241">
      <c r="A2241" s="3">
        <f>IFERROR(__xludf.DUMMYFUNCTION("""COMPUTED_VALUE"""),45506.66666666667)</f>
        <v>45506.66667</v>
      </c>
      <c r="B2241" s="5">
        <f>IFERROR(__xludf.DUMMYFUNCTION("""COMPUTED_VALUE"""),107.27)</f>
        <v>107.27</v>
      </c>
      <c r="C2241" s="5">
        <v>107.236122131347</v>
      </c>
      <c r="D2241" s="5">
        <v>526.34423828125</v>
      </c>
      <c r="E2241" s="7">
        <f t="shared" ref="E2241:F2241" si="2239">C2241/C2240-1</f>
        <v>-0.01776398402</v>
      </c>
      <c r="F2241" s="7">
        <f t="shared" si="2239"/>
        <v>-0.01861860905</v>
      </c>
    </row>
    <row r="2242">
      <c r="A2242" s="3">
        <f>IFERROR(__xludf.DUMMYFUNCTION("""COMPUTED_VALUE"""),45509.66666666667)</f>
        <v>45509.66667</v>
      </c>
      <c r="B2242" s="5">
        <f>IFERROR(__xludf.DUMMYFUNCTION("""COMPUTED_VALUE"""),100.45)</f>
        <v>100.45</v>
      </c>
      <c r="C2242" s="5">
        <v>100.418273925781</v>
      </c>
      <c r="D2242" s="5">
        <v>511.015258789062</v>
      </c>
      <c r="E2242" s="7">
        <f t="shared" ref="E2242:F2242" si="2240">C2242/C2241-1</f>
        <v>-0.06357790705</v>
      </c>
      <c r="F2242" s="7">
        <f t="shared" si="2240"/>
        <v>-0.02912348683</v>
      </c>
    </row>
    <row r="2243">
      <c r="A2243" s="3">
        <f>IFERROR(__xludf.DUMMYFUNCTION("""COMPUTED_VALUE"""),45510.66666666667)</f>
        <v>45510.66667</v>
      </c>
      <c r="B2243" s="5">
        <f>IFERROR(__xludf.DUMMYFUNCTION("""COMPUTED_VALUE"""),104.25)</f>
        <v>104.25</v>
      </c>
      <c r="C2243" s="5">
        <v>104.217079162597</v>
      </c>
      <c r="D2243" s="5">
        <v>515.726623535156</v>
      </c>
      <c r="E2243" s="7">
        <f t="shared" ref="E2243:F2243" si="2241">C2243/C2242-1</f>
        <v>0.03782982009</v>
      </c>
      <c r="F2243" s="7">
        <f t="shared" si="2241"/>
        <v>0.009219616567</v>
      </c>
    </row>
    <row r="2244">
      <c r="A2244" s="3">
        <f>IFERROR(__xludf.DUMMYFUNCTION("""COMPUTED_VALUE"""),45511.66666666667)</f>
        <v>45511.66667</v>
      </c>
      <c r="B2244" s="5">
        <f>IFERROR(__xludf.DUMMYFUNCTION("""COMPUTED_VALUE"""),98.91)</f>
        <v>98.91</v>
      </c>
      <c r="C2244" s="5">
        <v>98.8787689208984</v>
      </c>
      <c r="D2244" s="5">
        <v>512.279479980468</v>
      </c>
      <c r="E2244" s="7">
        <f t="shared" ref="E2244:F2244" si="2242">C2244/C2243-1</f>
        <v>-0.05122298844</v>
      </c>
      <c r="F2244" s="7">
        <f t="shared" si="2242"/>
        <v>-0.006684051971</v>
      </c>
    </row>
    <row r="2245">
      <c r="A2245" s="3">
        <f>IFERROR(__xludf.DUMMYFUNCTION("""COMPUTED_VALUE"""),45512.66666666667)</f>
        <v>45512.66667</v>
      </c>
      <c r="B2245" s="5">
        <f>IFERROR(__xludf.DUMMYFUNCTION("""COMPUTED_VALUE"""),104.97)</f>
        <v>104.97</v>
      </c>
      <c r="C2245" s="5">
        <v>104.936851501464</v>
      </c>
      <c r="D2245" s="5">
        <v>524.122009277343</v>
      </c>
      <c r="E2245" s="7">
        <f t="shared" ref="E2245:F2245" si="2243">C2245/C2244-1</f>
        <v>0.06126777919</v>
      </c>
      <c r="F2245" s="7">
        <f t="shared" si="2243"/>
        <v>0.02311732123</v>
      </c>
    </row>
    <row r="2246">
      <c r="A2246" s="3">
        <f>IFERROR(__xludf.DUMMYFUNCTION("""COMPUTED_VALUE"""),45513.66666666667)</f>
        <v>45513.66667</v>
      </c>
      <c r="B2246" s="5">
        <f>IFERROR(__xludf.DUMMYFUNCTION("""COMPUTED_VALUE"""),104.75)</f>
        <v>104.75</v>
      </c>
      <c r="C2246" s="5">
        <v>104.716918945312</v>
      </c>
      <c r="D2246" s="5">
        <v>526.433227539062</v>
      </c>
      <c r="E2246" s="7">
        <f t="shared" ref="E2246:F2246" si="2244">C2246/C2245-1</f>
        <v>-0.002095856251</v>
      </c>
      <c r="F2246" s="7">
        <f t="shared" si="2244"/>
        <v>0.004409695111</v>
      </c>
    </row>
    <row r="2247">
      <c r="A2247" s="3">
        <f>IFERROR(__xludf.DUMMYFUNCTION("""COMPUTED_VALUE"""),45516.66666666667)</f>
        <v>45516.66667</v>
      </c>
      <c r="B2247" s="5">
        <f>IFERROR(__xludf.DUMMYFUNCTION("""COMPUTED_VALUE"""),109.02)</f>
        <v>109.02</v>
      </c>
      <c r="C2247" s="5">
        <v>108.985572814941</v>
      </c>
      <c r="D2247" s="5">
        <v>526.709777832031</v>
      </c>
      <c r="E2247" s="7">
        <f t="shared" ref="E2247:F2247" si="2245">C2247/C2246-1</f>
        <v>0.04076374585</v>
      </c>
      <c r="F2247" s="7">
        <f t="shared" si="2245"/>
        <v>0.0005253283389</v>
      </c>
    </row>
    <row r="2248">
      <c r="A2248" s="3">
        <f>IFERROR(__xludf.DUMMYFUNCTION("""COMPUTED_VALUE"""),45517.66666666667)</f>
        <v>45517.66667</v>
      </c>
      <c r="B2248" s="5">
        <f>IFERROR(__xludf.DUMMYFUNCTION("""COMPUTED_VALUE"""),116.14)</f>
        <v>116.14</v>
      </c>
      <c r="C2248" s="5">
        <v>116.103317260742</v>
      </c>
      <c r="D2248" s="5">
        <v>535.371765136718</v>
      </c>
      <c r="E2248" s="7">
        <f t="shared" ref="E2248:F2248" si="2246">C2248/C2247-1</f>
        <v>0.06530905203</v>
      </c>
      <c r="F2248" s="7">
        <f t="shared" si="2246"/>
        <v>0.01644546517</v>
      </c>
    </row>
    <row r="2249">
      <c r="A2249" s="3">
        <f>IFERROR(__xludf.DUMMYFUNCTION("""COMPUTED_VALUE"""),45518.66666666667)</f>
        <v>45518.66667</v>
      </c>
      <c r="B2249" s="5">
        <f>IFERROR(__xludf.DUMMYFUNCTION("""COMPUTED_VALUE"""),118.08)</f>
        <v>118.08</v>
      </c>
      <c r="C2249" s="5">
        <v>118.04271697998</v>
      </c>
      <c r="D2249" s="5">
        <v>537.060852050781</v>
      </c>
      <c r="E2249" s="7">
        <f t="shared" ref="E2249:F2249" si="2247">C2249/C2248-1</f>
        <v>0.01670408534</v>
      </c>
      <c r="F2249" s="7">
        <f t="shared" si="2247"/>
        <v>0.003154979444</v>
      </c>
    </row>
    <row r="2250">
      <c r="A2250" s="3">
        <f>IFERROR(__xludf.DUMMYFUNCTION("""COMPUTED_VALUE"""),45519.66666666667)</f>
        <v>45519.66667</v>
      </c>
      <c r="B2250" s="5">
        <f>IFERROR(__xludf.DUMMYFUNCTION("""COMPUTED_VALUE"""),122.86)</f>
        <v>122.86</v>
      </c>
      <c r="C2250" s="5">
        <v>122.82120513916</v>
      </c>
      <c r="D2250" s="5">
        <v>546.266174316406</v>
      </c>
      <c r="E2250" s="7">
        <f t="shared" ref="E2250:F2250" si="2248">C2250/C2249-1</f>
        <v>0.0404810079</v>
      </c>
      <c r="F2250" s="7">
        <f t="shared" si="2248"/>
        <v>0.01714018482</v>
      </c>
    </row>
    <row r="2251">
      <c r="A2251" s="3">
        <f>IFERROR(__xludf.DUMMYFUNCTION("""COMPUTED_VALUE"""),45520.66666666667)</f>
        <v>45520.66667</v>
      </c>
      <c r="B2251" s="5">
        <f>IFERROR(__xludf.DUMMYFUNCTION("""COMPUTED_VALUE"""),124.58)</f>
        <v>124.58</v>
      </c>
      <c r="C2251" s="5">
        <v>124.540657043457</v>
      </c>
      <c r="D2251" s="5">
        <v>547.490966796875</v>
      </c>
      <c r="E2251" s="7">
        <f t="shared" ref="E2251:F2251" si="2249">C2251/C2250-1</f>
        <v>0.01399963388</v>
      </c>
      <c r="F2251" s="7">
        <f t="shared" si="2249"/>
        <v>0.002242116642</v>
      </c>
    </row>
    <row r="2252">
      <c r="A2252" s="3">
        <f>IFERROR(__xludf.DUMMYFUNCTION("""COMPUTED_VALUE"""),45523.66666666667)</f>
        <v>45523.66667</v>
      </c>
      <c r="B2252" s="5">
        <f>IFERROR(__xludf.DUMMYFUNCTION("""COMPUTED_VALUE"""),130.0)</f>
        <v>130</v>
      </c>
      <c r="C2252" s="5">
        <v>129.958923339843</v>
      </c>
      <c r="D2252" s="5">
        <v>552.725646972656</v>
      </c>
      <c r="E2252" s="7">
        <f t="shared" ref="E2252:F2252" si="2250">C2252/C2251-1</f>
        <v>0.04350600378</v>
      </c>
      <c r="F2252" s="7">
        <f t="shared" si="2250"/>
        <v>0.009561217432</v>
      </c>
    </row>
    <row r="2253">
      <c r="A2253" s="3">
        <f>IFERROR(__xludf.DUMMYFUNCTION("""COMPUTED_VALUE"""),45524.66666666667)</f>
        <v>45524.66667</v>
      </c>
      <c r="B2253" s="5">
        <f>IFERROR(__xludf.DUMMYFUNCTION("""COMPUTED_VALUE"""),127.25)</f>
        <v>127.25</v>
      </c>
      <c r="C2253" s="5">
        <v>127.209815979003</v>
      </c>
      <c r="D2253" s="5">
        <v>551.826904296875</v>
      </c>
      <c r="E2253" s="7">
        <f t="shared" ref="E2253:F2253" si="2251">C2253/C2252-1</f>
        <v>-0.02115366371</v>
      </c>
      <c r="F2253" s="7">
        <f t="shared" si="2251"/>
        <v>-0.001626019492</v>
      </c>
    </row>
    <row r="2254">
      <c r="A2254" s="3">
        <f>IFERROR(__xludf.DUMMYFUNCTION("""COMPUTED_VALUE"""),45525.66666666667)</f>
        <v>45525.66667</v>
      </c>
      <c r="B2254" s="5">
        <f>IFERROR(__xludf.DUMMYFUNCTION("""COMPUTED_VALUE"""),128.5)</f>
        <v>128.5</v>
      </c>
      <c r="C2254" s="5">
        <v>128.459411621093</v>
      </c>
      <c r="D2254" s="5">
        <v>553.723327636718</v>
      </c>
      <c r="E2254" s="7">
        <f t="shared" ref="E2254:F2254" si="2252">C2254/C2253-1</f>
        <v>0.009823107065</v>
      </c>
      <c r="F2254" s="7">
        <f t="shared" si="2252"/>
        <v>0.003436627183</v>
      </c>
    </row>
    <row r="2255">
      <c r="A2255" s="3">
        <f>IFERROR(__xludf.DUMMYFUNCTION("""COMPUTED_VALUE"""),45526.66666666667)</f>
        <v>45526.66667</v>
      </c>
      <c r="B2255" s="5">
        <f>IFERROR(__xludf.DUMMYFUNCTION("""COMPUTED_VALUE"""),123.74)</f>
        <v>123.74</v>
      </c>
      <c r="C2255" s="5">
        <v>123.70092010498</v>
      </c>
      <c r="D2255" s="5">
        <v>549.37744140625</v>
      </c>
      <c r="E2255" s="7">
        <f t="shared" ref="E2255:F2255" si="2253">C2255/C2254-1</f>
        <v>-0.03704276282</v>
      </c>
      <c r="F2255" s="7">
        <f t="shared" si="2253"/>
        <v>-0.007848479581</v>
      </c>
    </row>
    <row r="2256">
      <c r="A2256" s="3">
        <f>IFERROR(__xludf.DUMMYFUNCTION("""COMPUTED_VALUE"""),45527.66666666667)</f>
        <v>45527.66667</v>
      </c>
      <c r="B2256" s="5">
        <f>IFERROR(__xludf.DUMMYFUNCTION("""COMPUTED_VALUE"""),129.37)</f>
        <v>129.37</v>
      </c>
      <c r="C2256" s="5">
        <v>129.329132080078</v>
      </c>
      <c r="D2256" s="5">
        <v>555.214721679687</v>
      </c>
      <c r="E2256" s="7">
        <f t="shared" ref="E2256:F2256" si="2254">C2256/C2255-1</f>
        <v>0.04549854577</v>
      </c>
      <c r="F2256" s="7">
        <f t="shared" si="2254"/>
        <v>0.01062526386</v>
      </c>
    </row>
    <row r="2257">
      <c r="A2257" s="3">
        <f>IFERROR(__xludf.DUMMYFUNCTION("""COMPUTED_VALUE"""),45530.66666666667)</f>
        <v>45530.66667</v>
      </c>
      <c r="B2257" s="5">
        <f>IFERROR(__xludf.DUMMYFUNCTION("""COMPUTED_VALUE"""),126.46)</f>
        <v>126.46</v>
      </c>
      <c r="C2257" s="5">
        <v>126.420066833496</v>
      </c>
      <c r="D2257" s="5">
        <v>553.891235351562</v>
      </c>
      <c r="E2257" s="7">
        <f t="shared" ref="E2257:F2257" si="2255">C2257/C2256-1</f>
        <v>-0.0224935032</v>
      </c>
      <c r="F2257" s="7">
        <f t="shared" si="2255"/>
        <v>-0.002383737816</v>
      </c>
    </row>
    <row r="2258">
      <c r="A2258" s="3">
        <f>IFERROR(__xludf.DUMMYFUNCTION("""COMPUTED_VALUE"""),45531.66666666667)</f>
        <v>45531.66667</v>
      </c>
      <c r="B2258" s="5">
        <f>IFERROR(__xludf.DUMMYFUNCTION("""COMPUTED_VALUE"""),128.3)</f>
        <v>128.3</v>
      </c>
      <c r="C2258" s="5">
        <v>128.259490966796</v>
      </c>
      <c r="D2258" s="5">
        <v>554.651794433593</v>
      </c>
      <c r="E2258" s="7">
        <f t="shared" ref="E2258:F2258" si="2256">C2258/C2257-1</f>
        <v>0.01455009619</v>
      </c>
      <c r="F2258" s="7">
        <f t="shared" si="2256"/>
        <v>0.001373119908</v>
      </c>
    </row>
    <row r="2259">
      <c r="A2259" s="3">
        <f>IFERROR(__xludf.DUMMYFUNCTION("""COMPUTED_VALUE"""),45532.66666666667)</f>
        <v>45532.66667</v>
      </c>
      <c r="B2259" s="5">
        <f>IFERROR(__xludf.DUMMYFUNCTION("""COMPUTED_VALUE"""),125.61)</f>
        <v>125.61</v>
      </c>
      <c r="C2259" s="5">
        <v>125.570335388183</v>
      </c>
      <c r="D2259" s="5">
        <v>551.431823730468</v>
      </c>
      <c r="E2259" s="7">
        <f t="shared" ref="E2259:F2259" si="2257">C2259/C2258-1</f>
        <v>-0.02096652309</v>
      </c>
      <c r="F2259" s="7">
        <f t="shared" si="2257"/>
        <v>-0.005805391302</v>
      </c>
    </row>
    <row r="2260">
      <c r="A2260" s="3">
        <f>IFERROR(__xludf.DUMMYFUNCTION("""COMPUTED_VALUE"""),45533.66666666667)</f>
        <v>45533.66667</v>
      </c>
      <c r="B2260" s="5">
        <f>IFERROR(__xludf.DUMMYFUNCTION("""COMPUTED_VALUE"""),117.59)</f>
        <v>117.59</v>
      </c>
      <c r="C2260" s="5">
        <v>117.552856445312</v>
      </c>
      <c r="D2260" s="5">
        <v>551.481140136718</v>
      </c>
      <c r="E2260" s="7">
        <f t="shared" ref="E2260:F2260" si="2258">C2260/C2259-1</f>
        <v>-0.06384851102</v>
      </c>
      <c r="F2260" s="7">
        <f t="shared" si="2258"/>
        <v>0.00008943336987</v>
      </c>
    </row>
    <row r="2261">
      <c r="A2261" s="3">
        <f>IFERROR(__xludf.DUMMYFUNCTION("""COMPUTED_VALUE"""),45534.66666666667)</f>
        <v>45534.66667</v>
      </c>
      <c r="B2261" s="5">
        <f>IFERROR(__xludf.DUMMYFUNCTION("""COMPUTED_VALUE"""),119.37)</f>
        <v>119.37</v>
      </c>
      <c r="C2261" s="5">
        <v>119.332305908203</v>
      </c>
      <c r="D2261" s="5">
        <v>556.74560546875</v>
      </c>
      <c r="E2261" s="7">
        <f t="shared" ref="E2261:F2261" si="2259">C2261/C2260-1</f>
        <v>0.01513744129</v>
      </c>
      <c r="F2261" s="7">
        <f t="shared" si="2259"/>
        <v>0.009546047814</v>
      </c>
    </row>
    <row r="2262">
      <c r="A2262" s="3">
        <f>IFERROR(__xludf.DUMMYFUNCTION("""COMPUTED_VALUE"""),45538.66666666667)</f>
        <v>45538.66667</v>
      </c>
      <c r="B2262" s="5">
        <f>IFERROR(__xludf.DUMMYFUNCTION("""COMPUTED_VALUE"""),108.0)</f>
        <v>108</v>
      </c>
      <c r="C2262" s="5">
        <v>107.96588897705</v>
      </c>
      <c r="D2262" s="5">
        <v>545.288391113281</v>
      </c>
      <c r="E2262" s="7">
        <f t="shared" ref="E2262:F2262" si="2260">C2262/C2261-1</f>
        <v>-0.09525012397</v>
      </c>
      <c r="F2262" s="7">
        <f t="shared" si="2260"/>
        <v>-0.02057890398</v>
      </c>
    </row>
    <row r="2263">
      <c r="A2263" s="3">
        <f>IFERROR(__xludf.DUMMYFUNCTION("""COMPUTED_VALUE"""),45539.66666666667)</f>
        <v>45539.66667</v>
      </c>
      <c r="B2263" s="5">
        <f>IFERROR(__xludf.DUMMYFUNCTION("""COMPUTED_VALUE"""),106.21)</f>
        <v>106.21</v>
      </c>
      <c r="C2263" s="5">
        <v>106.176460266113</v>
      </c>
      <c r="D2263" s="5">
        <v>544.172241210937</v>
      </c>
      <c r="E2263" s="7">
        <f t="shared" ref="E2263:F2263" si="2261">C2263/C2262-1</f>
        <v>-0.01657401915</v>
      </c>
      <c r="F2263" s="7">
        <f t="shared" si="2261"/>
        <v>-0.00204689834</v>
      </c>
    </row>
    <row r="2264">
      <c r="A2264" s="3">
        <f>IFERROR(__xludf.DUMMYFUNCTION("""COMPUTED_VALUE"""),45540.66666666667)</f>
        <v>45540.66667</v>
      </c>
      <c r="B2264" s="5">
        <f>IFERROR(__xludf.DUMMYFUNCTION("""COMPUTED_VALUE"""),107.21)</f>
        <v>107.21</v>
      </c>
      <c r="C2264" s="5">
        <v>107.176139831542</v>
      </c>
      <c r="D2264" s="5">
        <v>542.848754882812</v>
      </c>
      <c r="E2264" s="7">
        <f t="shared" ref="E2264:F2264" si="2262">C2264/C2263-1</f>
        <v>0.00941526552</v>
      </c>
      <c r="F2264" s="7">
        <f t="shared" si="2262"/>
        <v>-0.002432109226</v>
      </c>
    </row>
    <row r="2265">
      <c r="A2265" s="3">
        <f>IFERROR(__xludf.DUMMYFUNCTION("""COMPUTED_VALUE"""),45541.66666666667)</f>
        <v>45541.66667</v>
      </c>
      <c r="B2265" s="5">
        <f>IFERROR(__xludf.DUMMYFUNCTION("""COMPUTED_VALUE"""),102.83)</f>
        <v>102.83</v>
      </c>
      <c r="C2265" s="5">
        <v>102.79751586914</v>
      </c>
      <c r="D2265" s="5">
        <v>533.712524414062</v>
      </c>
      <c r="E2265" s="7">
        <f t="shared" ref="E2265:F2265" si="2263">C2265/C2264-1</f>
        <v>-0.04085446602</v>
      </c>
      <c r="F2265" s="7">
        <f t="shared" si="2263"/>
        <v>-0.01683015828</v>
      </c>
    </row>
    <row r="2266">
      <c r="A2266" s="3">
        <f>IFERROR(__xludf.DUMMYFUNCTION("""COMPUTED_VALUE"""),45544.66666666667)</f>
        <v>45544.66667</v>
      </c>
      <c r="B2266" s="5">
        <f>IFERROR(__xludf.DUMMYFUNCTION("""COMPUTED_VALUE"""),106.47)</f>
        <v>106.47</v>
      </c>
      <c r="C2266" s="5">
        <v>106.436386108398</v>
      </c>
      <c r="D2266" s="5">
        <v>539.688110351562</v>
      </c>
      <c r="E2266" s="7">
        <f t="shared" ref="E2266:F2266" si="2264">C2266/C2265-1</f>
        <v>0.03539842581</v>
      </c>
      <c r="F2266" s="7">
        <f t="shared" si="2264"/>
        <v>0.01119626328</v>
      </c>
    </row>
    <row r="2267">
      <c r="A2267" s="3">
        <f>IFERROR(__xludf.DUMMYFUNCTION("""COMPUTED_VALUE"""),45545.66666666667)</f>
        <v>45545.66667</v>
      </c>
      <c r="B2267" s="5">
        <f>IFERROR(__xludf.DUMMYFUNCTION("""COMPUTED_VALUE"""),108.1)</f>
        <v>108.1</v>
      </c>
      <c r="C2267" s="5">
        <v>108.065856933593</v>
      </c>
      <c r="D2267" s="5">
        <v>542.038757324218</v>
      </c>
      <c r="E2267" s="7">
        <f t="shared" ref="E2267:F2267" si="2265">C2267/C2266-1</f>
        <v>0.01530934002</v>
      </c>
      <c r="F2267" s="7">
        <f t="shared" si="2265"/>
        <v>0.004355565608</v>
      </c>
    </row>
    <row r="2268">
      <c r="A2268" s="3">
        <f>IFERROR(__xludf.DUMMYFUNCTION("""COMPUTED_VALUE"""),45546.66666666667)</f>
        <v>45546.66667</v>
      </c>
      <c r="B2268" s="5">
        <f>IFERROR(__xludf.DUMMYFUNCTION("""COMPUTED_VALUE"""),116.91)</f>
        <v>116.91</v>
      </c>
      <c r="C2268" s="5">
        <v>116.873085021972</v>
      </c>
      <c r="D2268" s="5">
        <v>547.599548339843</v>
      </c>
      <c r="E2268" s="7">
        <f t="shared" ref="E2268:F2268" si="2266">C2268/C2267-1</f>
        <v>0.08149871142</v>
      </c>
      <c r="F2268" s="7">
        <f t="shared" si="2266"/>
        <v>0.01025902842</v>
      </c>
    </row>
    <row r="2269">
      <c r="A2269" s="3">
        <f>IFERROR(__xludf.DUMMYFUNCTION("""COMPUTED_VALUE"""),45547.66666666667)</f>
        <v>45547.66667</v>
      </c>
      <c r="B2269" s="5">
        <f>IFERROR(__xludf.DUMMYFUNCTION("""COMPUTED_VALUE"""),119.14)</f>
        <v>119.14</v>
      </c>
      <c r="C2269" s="5">
        <v>119.112564086914</v>
      </c>
      <c r="D2269" s="5">
        <v>552.212097167968</v>
      </c>
      <c r="E2269" s="7">
        <f t="shared" ref="E2269:F2269" si="2267">C2269/C2268-1</f>
        <v>0.01916163216</v>
      </c>
      <c r="F2269" s="7">
        <f t="shared" si="2267"/>
        <v>0.00842321518</v>
      </c>
    </row>
    <row r="2270">
      <c r="A2270" s="3">
        <f>IFERROR(__xludf.DUMMYFUNCTION("""COMPUTED_VALUE"""),45548.66666666667)</f>
        <v>45548.66667</v>
      </c>
      <c r="B2270" s="5">
        <f>IFERROR(__xludf.DUMMYFUNCTION("""COMPUTED_VALUE"""),119.1)</f>
        <v>119.1</v>
      </c>
      <c r="C2270" s="5">
        <v>119.072570800781</v>
      </c>
      <c r="D2270" s="5">
        <v>555.09619140625</v>
      </c>
      <c r="E2270" s="7">
        <f t="shared" ref="E2270:F2270" si="2268">C2270/C2269-1</f>
        <v>-0.0003357604333</v>
      </c>
      <c r="F2270" s="7">
        <f t="shared" si="2268"/>
        <v>0.005222801625</v>
      </c>
    </row>
    <row r="2271">
      <c r="A2271" s="3">
        <f>IFERROR(__xludf.DUMMYFUNCTION("""COMPUTED_VALUE"""),45551.66666666667)</f>
        <v>45551.66667</v>
      </c>
      <c r="B2271" s="5">
        <f>IFERROR(__xludf.DUMMYFUNCTION("""COMPUTED_VALUE"""),116.78)</f>
        <v>116.78</v>
      </c>
      <c r="C2271" s="5">
        <v>116.753105163574</v>
      </c>
      <c r="D2271" s="5">
        <v>555.916015625</v>
      </c>
      <c r="E2271" s="7">
        <f t="shared" ref="E2271:F2271" si="2269">C2271/C2270-1</f>
        <v>-0.01947942857</v>
      </c>
      <c r="F2271" s="7">
        <f t="shared" si="2269"/>
        <v>0.001476904781</v>
      </c>
    </row>
    <row r="2272">
      <c r="A2272" s="3">
        <f>IFERROR(__xludf.DUMMYFUNCTION("""COMPUTED_VALUE"""),45552.66666666667)</f>
        <v>45552.66667</v>
      </c>
      <c r="B2272" s="5">
        <f>IFERROR(__xludf.DUMMYFUNCTION("""COMPUTED_VALUE"""),115.59)</f>
        <v>115.59</v>
      </c>
      <c r="C2272" s="5">
        <v>115.563377380371</v>
      </c>
      <c r="D2272" s="5">
        <v>556.143188476562</v>
      </c>
      <c r="E2272" s="7">
        <f t="shared" ref="E2272:F2272" si="2270">C2272/C2271-1</f>
        <v>-0.01019011684</v>
      </c>
      <c r="F2272" s="7">
        <f t="shared" si="2270"/>
        <v>0.0004086459918</v>
      </c>
    </row>
    <row r="2273">
      <c r="A2273" s="3">
        <f>IFERROR(__xludf.DUMMYFUNCTION("""COMPUTED_VALUE"""),45553.66666666667)</f>
        <v>45553.66667</v>
      </c>
      <c r="B2273" s="5">
        <f>IFERROR(__xludf.DUMMYFUNCTION("""COMPUTED_VALUE"""),113.37)</f>
        <v>113.37</v>
      </c>
      <c r="C2273" s="5">
        <v>113.343887329101</v>
      </c>
      <c r="D2273" s="5">
        <v>554.493774414062</v>
      </c>
      <c r="E2273" s="7">
        <f t="shared" ref="E2273:F2273" si="2271">C2273/C2272-1</f>
        <v>-0.01920582542</v>
      </c>
      <c r="F2273" s="7">
        <f t="shared" si="2271"/>
        <v>-0.002965808261</v>
      </c>
    </row>
    <row r="2274">
      <c r="A2274" s="3">
        <f>IFERROR(__xludf.DUMMYFUNCTION("""COMPUTED_VALUE"""),45554.66666666667)</f>
        <v>45554.66667</v>
      </c>
      <c r="B2274" s="5">
        <f>IFERROR(__xludf.DUMMYFUNCTION("""COMPUTED_VALUE"""),117.87)</f>
        <v>117.87</v>
      </c>
      <c r="C2274" s="5">
        <v>117.842857360839</v>
      </c>
      <c r="D2274" s="5">
        <v>563.955871582031</v>
      </c>
      <c r="E2274" s="7">
        <f t="shared" ref="E2274:F2274" si="2272">C2274/C2273-1</f>
        <v>0.03969309804</v>
      </c>
      <c r="F2274" s="7">
        <f t="shared" si="2272"/>
        <v>0.01706438846</v>
      </c>
    </row>
    <row r="2275">
      <c r="A2275" s="3">
        <f>IFERROR(__xludf.DUMMYFUNCTION("""COMPUTED_VALUE"""),45555.66666666667)</f>
        <v>45555.66667</v>
      </c>
      <c r="B2275" s="5">
        <f>IFERROR(__xludf.DUMMYFUNCTION("""COMPUTED_VALUE"""),116.0)</f>
        <v>116</v>
      </c>
      <c r="C2275" s="5">
        <v>115.973289489746</v>
      </c>
      <c r="D2275" s="5">
        <v>562.981018066406</v>
      </c>
      <c r="E2275" s="7">
        <f t="shared" ref="E2275:F2275" si="2273">C2275/C2274-1</f>
        <v>-0.01586492311</v>
      </c>
      <c r="F2275" s="7">
        <f t="shared" si="2273"/>
        <v>-0.001728598929</v>
      </c>
    </row>
    <row r="2276">
      <c r="A2276" s="3">
        <f>IFERROR(__xludf.DUMMYFUNCTION("""COMPUTED_VALUE"""),45558.66666666667)</f>
        <v>45558.66667</v>
      </c>
      <c r="B2276" s="5">
        <f>IFERROR(__xludf.DUMMYFUNCTION("""COMPUTED_VALUE"""),116.26)</f>
        <v>116.26</v>
      </c>
      <c r="C2276" s="5">
        <v>116.23323059082</v>
      </c>
      <c r="D2276" s="5">
        <v>564.387756347656</v>
      </c>
      <c r="E2276" s="7">
        <f t="shared" ref="E2276:F2276" si="2274">C2276/C2275-1</f>
        <v>0.00224138767</v>
      </c>
      <c r="F2276" s="7">
        <f t="shared" si="2274"/>
        <v>0.002498731282</v>
      </c>
    </row>
    <row r="2277">
      <c r="A2277" s="3">
        <f>IFERROR(__xludf.DUMMYFUNCTION("""COMPUTED_VALUE"""),45559.66666666667)</f>
        <v>45559.66667</v>
      </c>
      <c r="B2277" s="5">
        <f>IFERROR(__xludf.DUMMYFUNCTION("""COMPUTED_VALUE"""),120.87)</f>
        <v>120.87</v>
      </c>
      <c r="C2277" s="5">
        <v>120.842170715332</v>
      </c>
      <c r="D2277" s="5">
        <v>566.002685546875</v>
      </c>
      <c r="E2277" s="7">
        <f t="shared" ref="E2277:F2277" si="2275">C2277/C2276-1</f>
        <v>0.03965251676</v>
      </c>
      <c r="F2277" s="7">
        <f t="shared" si="2275"/>
        <v>0.002861382411</v>
      </c>
    </row>
    <row r="2278">
      <c r="A2278" s="3">
        <f>IFERROR(__xludf.DUMMYFUNCTION("""COMPUTED_VALUE"""),45560.66666666667)</f>
        <v>45560.66667</v>
      </c>
      <c r="B2278" s="5">
        <f>IFERROR(__xludf.DUMMYFUNCTION("""COMPUTED_VALUE"""),123.51)</f>
        <v>123.51</v>
      </c>
      <c r="C2278" s="5">
        <v>123.481559753417</v>
      </c>
      <c r="D2278" s="5">
        <v>564.754333496093</v>
      </c>
      <c r="E2278" s="7">
        <f t="shared" ref="E2278:F2278" si="2276">C2278/C2277-1</f>
        <v>0.0218416222</v>
      </c>
      <c r="F2278" s="7">
        <f t="shared" si="2276"/>
        <v>-0.002205558529</v>
      </c>
    </row>
    <row r="2279">
      <c r="A2279" s="3">
        <f>IFERROR(__xludf.DUMMYFUNCTION("""COMPUTED_VALUE"""),45561.66666666667)</f>
        <v>45561.66667</v>
      </c>
      <c r="B2279" s="5">
        <f>IFERROR(__xludf.DUMMYFUNCTION("""COMPUTED_VALUE"""),124.04)</f>
        <v>124.04</v>
      </c>
      <c r="C2279" s="5">
        <v>124.011436462402</v>
      </c>
      <c r="D2279" s="5">
        <v>566.993408203125</v>
      </c>
      <c r="E2279" s="7">
        <f t="shared" ref="E2279:F2279" si="2277">C2279/C2278-1</f>
        <v>0.004291140394</v>
      </c>
      <c r="F2279" s="7">
        <f t="shared" si="2277"/>
        <v>0.003964687961</v>
      </c>
    </row>
    <row r="2280">
      <c r="A2280" s="3">
        <f>IFERROR(__xludf.DUMMYFUNCTION("""COMPUTED_VALUE"""),45562.66666666667)</f>
        <v>45562.66667</v>
      </c>
      <c r="B2280" s="5">
        <f>IFERROR(__xludf.DUMMYFUNCTION("""COMPUTED_VALUE"""),121.4)</f>
        <v>121.4</v>
      </c>
      <c r="C2280" s="5">
        <v>121.372047424316</v>
      </c>
      <c r="D2280" s="5">
        <v>566.171081542968</v>
      </c>
      <c r="E2280" s="7">
        <f t="shared" ref="E2280:F2280" si="2278">C2280/C2279-1</f>
        <v>-0.02128343251</v>
      </c>
      <c r="F2280" s="7">
        <f t="shared" si="2278"/>
        <v>-0.001450328431</v>
      </c>
    </row>
    <row r="2281">
      <c r="A2281" s="3">
        <f>IFERROR(__xludf.DUMMYFUNCTION("""COMPUTED_VALUE"""),45565.66666666667)</f>
        <v>45565.66667</v>
      </c>
      <c r="B2281" s="5">
        <f>IFERROR(__xludf.DUMMYFUNCTION("""COMPUTED_VALUE"""),121.44)</f>
        <v>121.44</v>
      </c>
      <c r="C2281" s="5">
        <v>121.412033081054</v>
      </c>
      <c r="D2281" s="5">
        <v>568.439880371093</v>
      </c>
      <c r="E2281" s="7">
        <f t="shared" ref="E2281:F2281" si="2279">C2281/C2280-1</f>
        <v>0.0003294469986</v>
      </c>
      <c r="F2281" s="7">
        <f t="shared" si="2279"/>
        <v>0.004007267241</v>
      </c>
    </row>
    <row r="2282">
      <c r="A2282" s="3">
        <f>IFERROR(__xludf.DUMMYFUNCTION("""COMPUTED_VALUE"""),45566.66666666667)</f>
        <v>45566.66667</v>
      </c>
      <c r="B2282" s="5">
        <f>IFERROR(__xludf.DUMMYFUNCTION("""COMPUTED_VALUE"""),117.0)</f>
        <v>117</v>
      </c>
      <c r="C2282" s="5">
        <v>116.97306060791</v>
      </c>
      <c r="D2282" s="5">
        <v>563.347595214843</v>
      </c>
      <c r="E2282" s="7">
        <f t="shared" ref="E2282:F2282" si="2280">C2282/C2281-1</f>
        <v>-0.03656122347</v>
      </c>
      <c r="F2282" s="7">
        <f t="shared" si="2280"/>
        <v>-0.008958353086</v>
      </c>
    </row>
    <row r="2283">
      <c r="A2283" s="3">
        <f>IFERROR(__xludf.DUMMYFUNCTION("""COMPUTED_VALUE"""),45567.66666666667)</f>
        <v>45567.66667</v>
      </c>
      <c r="B2283" s="5">
        <f>IFERROR(__xludf.DUMMYFUNCTION("""COMPUTED_VALUE"""),118.85)</f>
        <v>118.85</v>
      </c>
      <c r="C2283" s="5">
        <v>118.822624206542</v>
      </c>
      <c r="D2283" s="5">
        <v>563.585327148437</v>
      </c>
      <c r="E2283" s="7">
        <f t="shared" ref="E2283:F2283" si="2281">C2283/C2282-1</f>
        <v>0.01581187659</v>
      </c>
      <c r="F2283" s="7">
        <f t="shared" si="2281"/>
        <v>0.0004219986659</v>
      </c>
    </row>
    <row r="2284">
      <c r="A2284" s="3">
        <f>IFERROR(__xludf.DUMMYFUNCTION("""COMPUTED_VALUE"""),45568.66666666667)</f>
        <v>45568.66667</v>
      </c>
      <c r="B2284" s="5">
        <f>IFERROR(__xludf.DUMMYFUNCTION("""COMPUTED_VALUE"""),122.85)</f>
        <v>122.85</v>
      </c>
      <c r="C2284" s="5">
        <v>122.821708679199</v>
      </c>
      <c r="D2284" s="5">
        <v>562.554992675781</v>
      </c>
      <c r="E2284" s="7">
        <f t="shared" ref="E2284:F2284" si="2282">C2284/C2283-1</f>
        <v>0.0336559178</v>
      </c>
      <c r="F2284" s="7">
        <f t="shared" si="2282"/>
        <v>-0.001828178313</v>
      </c>
    </row>
    <row r="2285">
      <c r="A2285" s="3">
        <f>IFERROR(__xludf.DUMMYFUNCTION("""COMPUTED_VALUE"""),45569.66666666667)</f>
        <v>45569.66667</v>
      </c>
      <c r="B2285" s="5">
        <f>IFERROR(__xludf.DUMMYFUNCTION("""COMPUTED_VALUE"""),124.92)</f>
        <v>124.92</v>
      </c>
      <c r="C2285" s="5">
        <v>124.891227722167</v>
      </c>
      <c r="D2285" s="5">
        <v>567.667114257812</v>
      </c>
      <c r="E2285" s="7">
        <f t="shared" ref="E2285:F2285" si="2283">C2285/C2284-1</f>
        <v>0.01684978222</v>
      </c>
      <c r="F2285" s="7">
        <f t="shared" si="2283"/>
        <v>0.009087327725</v>
      </c>
    </row>
    <row r="2286">
      <c r="A2286" s="3">
        <f>IFERROR(__xludf.DUMMYFUNCTION("""COMPUTED_VALUE"""),45572.66666666667)</f>
        <v>45572.66667</v>
      </c>
      <c r="B2286" s="5">
        <f>IFERROR(__xludf.DUMMYFUNCTION("""COMPUTED_VALUE"""),127.72)</f>
        <v>127.72</v>
      </c>
      <c r="C2286" s="5">
        <v>127.690589904785</v>
      </c>
      <c r="D2286" s="5">
        <v>562.53515625</v>
      </c>
      <c r="E2286" s="7">
        <f t="shared" ref="E2286:F2286" si="2284">C2286/C2285-1</f>
        <v>0.02241440199</v>
      </c>
      <c r="F2286" s="7">
        <f t="shared" si="2284"/>
        <v>-0.009040435634</v>
      </c>
    </row>
    <row r="2287">
      <c r="A2287" s="3">
        <f>IFERROR(__xludf.DUMMYFUNCTION("""COMPUTED_VALUE"""),45573.66666666667)</f>
        <v>45573.66667</v>
      </c>
      <c r="B2287" s="5">
        <f>IFERROR(__xludf.DUMMYFUNCTION("""COMPUTED_VALUE"""),132.89)</f>
        <v>132.89</v>
      </c>
      <c r="C2287" s="5">
        <v>132.859390258789</v>
      </c>
      <c r="D2287" s="5">
        <v>567.855346679687</v>
      </c>
      <c r="E2287" s="7">
        <f t="shared" ref="E2287:F2287" si="2285">C2287/C2286-1</f>
        <v>0.04047910154</v>
      </c>
      <c r="F2287" s="7">
        <f t="shared" si="2285"/>
        <v>0.009457525224</v>
      </c>
    </row>
    <row r="2288">
      <c r="A2288" s="3">
        <f>IFERROR(__xludf.DUMMYFUNCTION("""COMPUTED_VALUE"""),45574.66666666667)</f>
        <v>45574.66667</v>
      </c>
      <c r="B2288" s="5">
        <f>IFERROR(__xludf.DUMMYFUNCTION("""COMPUTED_VALUE"""),132.65)</f>
        <v>132.65</v>
      </c>
      <c r="C2288" s="5">
        <v>132.619430541992</v>
      </c>
      <c r="D2288" s="5">
        <v>571.78857421875</v>
      </c>
      <c r="E2288" s="7">
        <f t="shared" ref="E2288:F2288" si="2286">C2288/C2287-1</f>
        <v>-0.001806117854</v>
      </c>
      <c r="F2288" s="7">
        <f t="shared" si="2286"/>
        <v>0.006926460343</v>
      </c>
    </row>
    <row r="2289">
      <c r="A2289" s="3">
        <f>IFERROR(__xludf.DUMMYFUNCTION("""COMPUTED_VALUE"""),45575.66666666667)</f>
        <v>45575.66667</v>
      </c>
      <c r="B2289" s="5">
        <f>IFERROR(__xludf.DUMMYFUNCTION("""COMPUTED_VALUE"""),134.81)</f>
        <v>134.81</v>
      </c>
      <c r="C2289" s="5">
        <v>134.778945922851</v>
      </c>
      <c r="D2289" s="5">
        <v>570.787902832031</v>
      </c>
      <c r="E2289" s="7">
        <f t="shared" ref="E2289:F2289" si="2287">C2289/C2288-1</f>
        <v>0.01628355191</v>
      </c>
      <c r="F2289" s="7">
        <f t="shared" si="2287"/>
        <v>-0.001750072373</v>
      </c>
    </row>
    <row r="2290">
      <c r="A2290" s="3">
        <f>IFERROR(__xludf.DUMMYFUNCTION("""COMPUTED_VALUE"""),45576.66666666667)</f>
        <v>45576.66667</v>
      </c>
      <c r="B2290" s="5">
        <f>IFERROR(__xludf.DUMMYFUNCTION("""COMPUTED_VALUE"""),134.8)</f>
        <v>134.8</v>
      </c>
      <c r="C2290" s="5">
        <v>134.768966674804</v>
      </c>
      <c r="D2290" s="5">
        <v>574.205871582031</v>
      </c>
      <c r="E2290" s="7">
        <f t="shared" ref="E2290:F2290" si="2288">C2290/C2289-1</f>
        <v>-0.00007404159439</v>
      </c>
      <c r="F2290" s="7">
        <f t="shared" si="2288"/>
        <v>0.005988159057</v>
      </c>
    </row>
    <row r="2291">
      <c r="A2291" s="3">
        <f>IFERROR(__xludf.DUMMYFUNCTION("""COMPUTED_VALUE"""),45579.66666666667)</f>
        <v>45579.66667</v>
      </c>
      <c r="B2291" s="5">
        <f>IFERROR(__xludf.DUMMYFUNCTION("""COMPUTED_VALUE"""),138.07)</f>
        <v>138.07</v>
      </c>
      <c r="C2291" s="5">
        <v>138.038223266601</v>
      </c>
      <c r="D2291" s="5">
        <v>578.901977539062</v>
      </c>
      <c r="E2291" s="7">
        <f t="shared" ref="E2291:F2291" si="2289">C2291/C2290-1</f>
        <v>0.02425823001</v>
      </c>
      <c r="F2291" s="7">
        <f t="shared" si="2289"/>
        <v>0.008178435975</v>
      </c>
    </row>
    <row r="2292">
      <c r="A2292" s="3">
        <f>IFERROR(__xludf.DUMMYFUNCTION("""COMPUTED_VALUE"""),45580.66666666667)</f>
        <v>45580.66667</v>
      </c>
      <c r="B2292" s="5">
        <f>IFERROR(__xludf.DUMMYFUNCTION("""COMPUTED_VALUE"""),131.6)</f>
        <v>131.6</v>
      </c>
      <c r="C2292" s="5">
        <v>131.569702148437</v>
      </c>
      <c r="D2292" s="5">
        <v>574.404113769531</v>
      </c>
      <c r="E2292" s="7">
        <f t="shared" ref="E2292:F2292" si="2290">C2292/C2291-1</f>
        <v>-0.04686036204</v>
      </c>
      <c r="F2292" s="7">
        <f t="shared" si="2290"/>
        <v>-0.007769646579</v>
      </c>
    </row>
    <row r="2293">
      <c r="A2293" s="3">
        <f>IFERROR(__xludf.DUMMYFUNCTION("""COMPUTED_VALUE"""),45581.66666666667)</f>
        <v>45581.66667</v>
      </c>
      <c r="B2293" s="5">
        <f>IFERROR(__xludf.DUMMYFUNCTION("""COMPUTED_VALUE"""),135.72)</f>
        <v>135.72</v>
      </c>
      <c r="C2293" s="5">
        <v>135.688735961914</v>
      </c>
      <c r="D2293" s="5">
        <v>576.900695800781</v>
      </c>
      <c r="E2293" s="7">
        <f t="shared" ref="E2293:F2293" si="2291">C2293/C2292-1</f>
        <v>0.03130685672</v>
      </c>
      <c r="F2293" s="7">
        <f t="shared" si="2291"/>
        <v>0.004346386057</v>
      </c>
    </row>
    <row r="2294">
      <c r="A2294" s="3">
        <f>IFERROR(__xludf.DUMMYFUNCTION("""COMPUTED_VALUE"""),45582.66666666667)</f>
        <v>45582.66667</v>
      </c>
      <c r="B2294" s="5">
        <f>IFERROR(__xludf.DUMMYFUNCTION("""COMPUTED_VALUE"""),136.93)</f>
        <v>136.93</v>
      </c>
      <c r="C2294" s="5">
        <v>136.898468017578</v>
      </c>
      <c r="D2294" s="5">
        <v>576.950256347656</v>
      </c>
      <c r="E2294" s="7">
        <f t="shared" ref="E2294:F2294" si="2292">C2294/C2293-1</f>
        <v>0.00891549359</v>
      </c>
      <c r="F2294" s="7">
        <f t="shared" si="2292"/>
        <v>0.00008590828064</v>
      </c>
    </row>
    <row r="2295">
      <c r="A2295" s="3">
        <f>IFERROR(__xludf.DUMMYFUNCTION("""COMPUTED_VALUE"""),45583.66666666667)</f>
        <v>45583.66667</v>
      </c>
      <c r="B2295" s="5">
        <f>IFERROR(__xludf.DUMMYFUNCTION("""COMPUTED_VALUE"""),138.0)</f>
        <v>138</v>
      </c>
      <c r="C2295" s="5">
        <v>137.968215942382</v>
      </c>
      <c r="D2295" s="5">
        <v>579.169494628906</v>
      </c>
      <c r="E2295" s="7">
        <f t="shared" ref="E2295:F2295" si="2293">C2295/C2294-1</f>
        <v>0.007814170168</v>
      </c>
      <c r="F2295" s="7">
        <f t="shared" si="2293"/>
        <v>0.003846498475</v>
      </c>
    </row>
    <row r="2296">
      <c r="A2296" s="3">
        <f>IFERROR(__xludf.DUMMYFUNCTION("""COMPUTED_VALUE"""),45586.66666666667)</f>
        <v>45586.66667</v>
      </c>
      <c r="B2296" s="5">
        <f>IFERROR(__xludf.DUMMYFUNCTION("""COMPUTED_VALUE"""),143.71)</f>
        <v>143.71</v>
      </c>
      <c r="C2296" s="5">
        <v>143.67691040039</v>
      </c>
      <c r="D2296" s="5">
        <v>578.218383789062</v>
      </c>
      <c r="E2296" s="7">
        <f t="shared" ref="E2296:F2296" si="2294">C2296/C2295-1</f>
        <v>0.04137688104</v>
      </c>
      <c r="F2296" s="7">
        <f t="shared" si="2294"/>
        <v>-0.001642197748</v>
      </c>
    </row>
    <row r="2297">
      <c r="A2297" s="3">
        <f>IFERROR(__xludf.DUMMYFUNCTION("""COMPUTED_VALUE"""),45587.66666666667)</f>
        <v>45587.66667</v>
      </c>
      <c r="B2297" s="5">
        <f>IFERROR(__xludf.DUMMYFUNCTION("""COMPUTED_VALUE"""),143.59)</f>
        <v>143.59</v>
      </c>
      <c r="C2297" s="5">
        <v>143.556945800781</v>
      </c>
      <c r="D2297" s="5">
        <v>577.911254882812</v>
      </c>
      <c r="E2297" s="7">
        <f t="shared" ref="E2297:F2297" si="2295">C2297/C2296-1</f>
        <v>-0.0008349608805</v>
      </c>
      <c r="F2297" s="7">
        <f t="shared" si="2295"/>
        <v>-0.0005311642017</v>
      </c>
    </row>
    <row r="2298">
      <c r="A2298" s="3">
        <f>IFERROR(__xludf.DUMMYFUNCTION("""COMPUTED_VALUE"""),45588.66666666667)</f>
        <v>45588.66667</v>
      </c>
      <c r="B2298" s="5">
        <f>IFERROR(__xludf.DUMMYFUNCTION("""COMPUTED_VALUE"""),139.56)</f>
        <v>139.56</v>
      </c>
      <c r="C2298" s="5">
        <v>139.527862548828</v>
      </c>
      <c r="D2298" s="5">
        <v>572.630615234375</v>
      </c>
      <c r="E2298" s="7">
        <f t="shared" ref="E2298:F2298" si="2296">C2298/C2297-1</f>
        <v>-0.0280660976</v>
      </c>
      <c r="F2298" s="7">
        <f t="shared" si="2296"/>
        <v>-0.009137457704</v>
      </c>
    </row>
    <row r="2299">
      <c r="A2299" s="3">
        <f>IFERROR(__xludf.DUMMYFUNCTION("""COMPUTED_VALUE"""),45589.66666666667)</f>
        <v>45589.66667</v>
      </c>
      <c r="B2299" s="5">
        <f>IFERROR(__xludf.DUMMYFUNCTION("""COMPUTED_VALUE"""),140.41)</f>
        <v>140.41</v>
      </c>
      <c r="C2299" s="5">
        <v>140.377670288085</v>
      </c>
      <c r="D2299" s="5">
        <v>573.869079589843</v>
      </c>
      <c r="E2299" s="7">
        <f t="shared" ref="E2299:F2299" si="2297">C2299/C2298-1</f>
        <v>0.006090595267</v>
      </c>
      <c r="F2299" s="7">
        <f t="shared" si="2297"/>
        <v>0.002162763084</v>
      </c>
    </row>
    <row r="2300">
      <c r="A2300" s="3">
        <f>IFERROR(__xludf.DUMMYFUNCTION("""COMPUTED_VALUE"""),45590.66666666667)</f>
        <v>45590.66667</v>
      </c>
      <c r="B2300" s="5">
        <f>IFERROR(__xludf.DUMMYFUNCTION("""COMPUTED_VALUE"""),141.54)</f>
        <v>141.54</v>
      </c>
      <c r="C2300" s="5">
        <v>141.507400512695</v>
      </c>
      <c r="D2300" s="5">
        <v>573.6708984375</v>
      </c>
      <c r="E2300" s="7">
        <f t="shared" ref="E2300:F2300" si="2298">C2300/C2299-1</f>
        <v>0.00804779152</v>
      </c>
      <c r="F2300" s="7">
        <f t="shared" si="2298"/>
        <v>-0.0003453420987</v>
      </c>
    </row>
    <row r="2301">
      <c r="A2301" s="3">
        <f>IFERROR(__xludf.DUMMYFUNCTION("""COMPUTED_VALUE"""),45593.66666666667)</f>
        <v>45593.66667</v>
      </c>
      <c r="B2301" s="5">
        <f>IFERROR(__xludf.DUMMYFUNCTION("""COMPUTED_VALUE"""),140.52)</f>
        <v>140.52</v>
      </c>
      <c r="C2301" s="5">
        <v>140.487655639648</v>
      </c>
      <c r="D2301" s="5">
        <v>575.4443359375</v>
      </c>
      <c r="E2301" s="7">
        <f t="shared" ref="E2301:F2301" si="2299">C2301/C2300-1</f>
        <v>-0.007206300655</v>
      </c>
      <c r="F2301" s="7">
        <f t="shared" si="2299"/>
        <v>0.003091384808</v>
      </c>
    </row>
    <row r="2302">
      <c r="A2302" s="3">
        <f>IFERROR(__xludf.DUMMYFUNCTION("""COMPUTED_VALUE"""),45594.66666666667)</f>
        <v>45594.66667</v>
      </c>
      <c r="B2302" s="5">
        <f>IFERROR(__xludf.DUMMYFUNCTION("""COMPUTED_VALUE"""),141.25)</f>
        <v>141.25</v>
      </c>
      <c r="C2302" s="5">
        <v>141.217468261718</v>
      </c>
      <c r="D2302" s="5">
        <v>576.375610351562</v>
      </c>
      <c r="E2302" s="7">
        <f t="shared" ref="E2302:F2302" si="2300">C2302/C2301-1</f>
        <v>0.005194852307</v>
      </c>
      <c r="F2302" s="7">
        <f t="shared" si="2300"/>
        <v>0.001618357078</v>
      </c>
    </row>
    <row r="2303">
      <c r="A2303" s="3">
        <f>IFERROR(__xludf.DUMMYFUNCTION("""COMPUTED_VALUE"""),45595.66666666667)</f>
        <v>45595.66667</v>
      </c>
      <c r="B2303" s="5">
        <f>IFERROR(__xludf.DUMMYFUNCTION("""COMPUTED_VALUE"""),139.34)</f>
        <v>139.34</v>
      </c>
      <c r="C2303" s="5">
        <v>139.307907104492</v>
      </c>
      <c r="D2303" s="5">
        <v>574.631958007812</v>
      </c>
      <c r="E2303" s="7">
        <f t="shared" ref="E2303:F2303" si="2301">C2303/C2302-1</f>
        <v>-0.01352213137</v>
      </c>
      <c r="F2303" s="7">
        <f t="shared" si="2301"/>
        <v>-0.00302520147</v>
      </c>
    </row>
    <row r="2304">
      <c r="A2304" s="3">
        <f>IFERROR(__xludf.DUMMYFUNCTION("""COMPUTED_VALUE"""),45596.66666666667)</f>
        <v>45596.66667</v>
      </c>
      <c r="B2304" s="5">
        <f>IFERROR(__xludf.DUMMYFUNCTION("""COMPUTED_VALUE"""),132.76)</f>
        <v>132.76</v>
      </c>
      <c r="C2304" s="5">
        <v>132.729431152343</v>
      </c>
      <c r="D2304" s="5">
        <v>563.367431640625</v>
      </c>
      <c r="E2304" s="7">
        <f t="shared" ref="E2304:F2304" si="2302">C2304/C2303-1</f>
        <v>-0.04722255964</v>
      </c>
      <c r="F2304" s="7">
        <f t="shared" si="2302"/>
        <v>-0.01960302801</v>
      </c>
    </row>
    <row r="2305">
      <c r="A2305" s="3">
        <f>IFERROR(__xludf.DUMMYFUNCTION("""COMPUTED_VALUE"""),45597.66666666667)</f>
        <v>45597.66667</v>
      </c>
      <c r="B2305" s="5">
        <f>IFERROR(__xludf.DUMMYFUNCTION("""COMPUTED_VALUE"""),135.4)</f>
        <v>135.4</v>
      </c>
      <c r="C2305" s="5">
        <v>135.368820190429</v>
      </c>
      <c r="D2305" s="5">
        <v>565.745056152343</v>
      </c>
      <c r="E2305" s="7">
        <f t="shared" ref="E2305:F2305" si="2303">C2305/C2304-1</f>
        <v>0.01988548444</v>
      </c>
      <c r="F2305" s="7">
        <f t="shared" si="2303"/>
        <v>0.00422037977</v>
      </c>
    </row>
    <row r="2306">
      <c r="A2306" s="3">
        <f>IFERROR(__xludf.DUMMYFUNCTION("""COMPUTED_VALUE"""),45600.66666666667)</f>
        <v>45600.66667</v>
      </c>
      <c r="B2306" s="5">
        <f>IFERROR(__xludf.DUMMYFUNCTION("""COMPUTED_VALUE"""),136.05)</f>
        <v>136.05</v>
      </c>
      <c r="C2306" s="5">
        <v>136.018676757812</v>
      </c>
      <c r="D2306" s="5">
        <v>564.526489257812</v>
      </c>
      <c r="E2306" s="7">
        <f t="shared" ref="E2306:F2306" si="2304">C2306/C2305-1</f>
        <v>0.004800637004</v>
      </c>
      <c r="F2306" s="7">
        <f t="shared" si="2304"/>
        <v>-0.002153915233</v>
      </c>
    </row>
    <row r="2307">
      <c r="A2307" s="3">
        <f>IFERROR(__xludf.DUMMYFUNCTION("""COMPUTED_VALUE"""),45601.66666666667)</f>
        <v>45601.66667</v>
      </c>
      <c r="B2307" s="5">
        <f>IFERROR(__xludf.DUMMYFUNCTION("""COMPUTED_VALUE"""),139.91)</f>
        <v>139.91</v>
      </c>
      <c r="C2307" s="5">
        <v>139.877777099609</v>
      </c>
      <c r="D2307" s="5">
        <v>571.352600097656</v>
      </c>
      <c r="E2307" s="7">
        <f t="shared" ref="E2307:F2307" si="2305">C2307/C2306-1</f>
        <v>0.02837184153</v>
      </c>
      <c r="F2307" s="7">
        <f t="shared" si="2305"/>
        <v>0.01209174586</v>
      </c>
    </row>
    <row r="2308">
      <c r="A2308" s="3">
        <f>IFERROR(__xludf.DUMMYFUNCTION("""COMPUTED_VALUE"""),45602.66666666667)</f>
        <v>45602.66667</v>
      </c>
      <c r="B2308" s="5">
        <f>IFERROR(__xludf.DUMMYFUNCTION("""COMPUTED_VALUE"""),145.61)</f>
        <v>145.61</v>
      </c>
      <c r="C2308" s="5">
        <v>145.576461791992</v>
      </c>
      <c r="D2308" s="5">
        <v>585.559631347656</v>
      </c>
      <c r="E2308" s="7">
        <f t="shared" ref="E2308:F2308" si="2306">C2308/C2307-1</f>
        <v>0.04074045792</v>
      </c>
      <c r="F2308" s="7">
        <f t="shared" si="2306"/>
        <v>0.02486561057</v>
      </c>
    </row>
    <row r="2309">
      <c r="A2309" s="3">
        <f>IFERROR(__xludf.DUMMYFUNCTION("""COMPUTED_VALUE"""),45603.66666666667)</f>
        <v>45603.66667</v>
      </c>
      <c r="B2309" s="5">
        <f>IFERROR(__xludf.DUMMYFUNCTION("""COMPUTED_VALUE"""),148.88)</f>
        <v>148.88</v>
      </c>
      <c r="C2309" s="5">
        <v>148.845733642578</v>
      </c>
      <c r="D2309" s="5">
        <v>590.087280273437</v>
      </c>
      <c r="E2309" s="7">
        <f t="shared" ref="E2309:F2309" si="2307">C2309/C2308-1</f>
        <v>0.02245742073</v>
      </c>
      <c r="F2309" s="7">
        <f t="shared" si="2307"/>
        <v>0.007732173947</v>
      </c>
    </row>
    <row r="2310">
      <c r="A2310" s="3">
        <f>IFERROR(__xludf.DUMMYFUNCTION("""COMPUTED_VALUE"""),45604.66666666667)</f>
        <v>45604.66667</v>
      </c>
      <c r="B2310" s="5">
        <f>IFERROR(__xludf.DUMMYFUNCTION("""COMPUTED_VALUE"""),147.63)</f>
        <v>147.63</v>
      </c>
      <c r="C2310" s="5">
        <v>147.595993041992</v>
      </c>
      <c r="D2310" s="5">
        <v>592.643432617187</v>
      </c>
      <c r="E2310" s="7">
        <f t="shared" ref="E2310:F2310" si="2308">C2310/C2309-1</f>
        <v>-0.008396213785</v>
      </c>
      <c r="F2310" s="7">
        <f t="shared" si="2308"/>
        <v>0.004331820782</v>
      </c>
    </row>
    <row r="2311">
      <c r="A2311" s="3">
        <f>IFERROR(__xludf.DUMMYFUNCTION("""COMPUTED_VALUE"""),45607.66666666667)</f>
        <v>45607.66667</v>
      </c>
      <c r="B2311" s="5">
        <f>IFERROR(__xludf.DUMMYFUNCTION("""COMPUTED_VALUE"""),145.26)</f>
        <v>145.26</v>
      </c>
      <c r="C2311" s="5">
        <v>145.226531982421</v>
      </c>
      <c r="D2311" s="5">
        <v>593.208068847656</v>
      </c>
      <c r="E2311" s="7">
        <f t="shared" ref="E2311:F2311" si="2309">C2311/C2310-1</f>
        <v>-0.01605369503</v>
      </c>
      <c r="F2311" s="7">
        <f t="shared" si="2309"/>
        <v>0.0009527419008</v>
      </c>
    </row>
    <row r="2312">
      <c r="A2312" s="3">
        <f>IFERROR(__xludf.DUMMYFUNCTION("""COMPUTED_VALUE"""),45608.66666666667)</f>
        <v>45608.66667</v>
      </c>
      <c r="B2312" s="5">
        <f>IFERROR(__xludf.DUMMYFUNCTION("""COMPUTED_VALUE"""),148.29)</f>
        <v>148.29</v>
      </c>
      <c r="C2312" s="5">
        <v>148.255828857421</v>
      </c>
      <c r="D2312" s="5">
        <v>591.365356445312</v>
      </c>
      <c r="E2312" s="7">
        <f t="shared" ref="E2312:F2312" si="2310">C2312/C2311-1</f>
        <v>0.02085911461</v>
      </c>
      <c r="F2312" s="7">
        <f t="shared" si="2310"/>
        <v>-0.003106350873</v>
      </c>
    </row>
    <row r="2313">
      <c r="A2313" s="3">
        <f>IFERROR(__xludf.DUMMYFUNCTION("""COMPUTED_VALUE"""),45609.66666666667)</f>
        <v>45609.66667</v>
      </c>
      <c r="B2313" s="5">
        <f>IFERROR(__xludf.DUMMYFUNCTION("""COMPUTED_VALUE"""),146.27)</f>
        <v>146.27</v>
      </c>
      <c r="C2313" s="5">
        <v>146.23631286621</v>
      </c>
      <c r="D2313" s="5">
        <v>591.652648925781</v>
      </c>
      <c r="E2313" s="7">
        <f t="shared" ref="E2313:F2313" si="2311">C2313/C2312-1</f>
        <v>-0.01362183198</v>
      </c>
      <c r="F2313" s="7">
        <f t="shared" si="2311"/>
        <v>0.0004858121588</v>
      </c>
    </row>
    <row r="2314">
      <c r="A2314" s="3">
        <f>IFERROR(__xludf.DUMMYFUNCTION("""COMPUTED_VALUE"""),45610.66666666667)</f>
        <v>45610.66667</v>
      </c>
      <c r="B2314" s="5">
        <f>IFERROR(__xludf.DUMMYFUNCTION("""COMPUTED_VALUE"""),146.76)</f>
        <v>146.76</v>
      </c>
      <c r="C2314" s="5">
        <v>146.726181030273</v>
      </c>
      <c r="D2314" s="5">
        <v>587.848205566406</v>
      </c>
      <c r="E2314" s="7">
        <f t="shared" ref="E2314:F2314" si="2312">C2314/C2313-1</f>
        <v>0.00334983941</v>
      </c>
      <c r="F2314" s="7">
        <f t="shared" si="2312"/>
        <v>-0.006430197458</v>
      </c>
    </row>
    <row r="2315">
      <c r="A2315" s="3">
        <f>IFERROR(__xludf.DUMMYFUNCTION("""COMPUTED_VALUE"""),45611.66666666667)</f>
        <v>45611.66667</v>
      </c>
      <c r="B2315" s="5">
        <f>IFERROR(__xludf.DUMMYFUNCTION("""COMPUTED_VALUE"""),141.98)</f>
        <v>141.98</v>
      </c>
      <c r="C2315" s="5">
        <v>141.947296142578</v>
      </c>
      <c r="D2315" s="5">
        <v>580.318664550781</v>
      </c>
      <c r="E2315" s="7">
        <f t="shared" ref="E2315:F2315" si="2313">C2315/C2314-1</f>
        <v>-0.03257008977</v>
      </c>
      <c r="F2315" s="7">
        <f t="shared" si="2313"/>
        <v>-0.01280864846</v>
      </c>
    </row>
    <row r="2316">
      <c r="A2316" s="3">
        <f>IFERROR(__xludf.DUMMYFUNCTION("""COMPUTED_VALUE"""),45614.66666666667)</f>
        <v>45614.66667</v>
      </c>
      <c r="B2316" s="5">
        <f>IFERROR(__xludf.DUMMYFUNCTION("""COMPUTED_VALUE"""),140.15)</f>
        <v>140.15</v>
      </c>
      <c r="C2316" s="5">
        <v>140.117706298828</v>
      </c>
      <c r="D2316" s="5">
        <v>582.696472167968</v>
      </c>
      <c r="E2316" s="7">
        <f t="shared" ref="E2316:F2316" si="2314">C2316/C2315-1</f>
        <v>-0.0128892194</v>
      </c>
      <c r="F2316" s="7">
        <f t="shared" si="2314"/>
        <v>0.004097417096</v>
      </c>
    </row>
    <row r="2317">
      <c r="A2317" s="3">
        <f>IFERROR(__xludf.DUMMYFUNCTION("""COMPUTED_VALUE"""),45615.66666666667)</f>
        <v>45615.66667</v>
      </c>
      <c r="B2317" s="5">
        <f>IFERROR(__xludf.DUMMYFUNCTION("""COMPUTED_VALUE"""),147.01)</f>
        <v>147.01</v>
      </c>
      <c r="C2317" s="5">
        <v>146.976135253906</v>
      </c>
      <c r="D2317" s="5">
        <v>584.826538085937</v>
      </c>
      <c r="E2317" s="7">
        <f t="shared" ref="E2317:F2317" si="2315">C2317/C2316-1</f>
        <v>0.04894762508</v>
      </c>
      <c r="F2317" s="7">
        <f t="shared" si="2315"/>
        <v>0.003655532545</v>
      </c>
    </row>
    <row r="2318">
      <c r="A2318" s="3">
        <f>IFERROR(__xludf.DUMMYFUNCTION("""COMPUTED_VALUE"""),45616.66666666667)</f>
        <v>45616.66667</v>
      </c>
      <c r="B2318" s="5">
        <f>IFERROR(__xludf.DUMMYFUNCTION("""COMPUTED_VALUE"""),145.89)</f>
        <v>145.89</v>
      </c>
      <c r="C2318" s="5">
        <v>145.856399536132</v>
      </c>
      <c r="D2318" s="5">
        <v>585.024658203125</v>
      </c>
      <c r="E2318" s="7">
        <f t="shared" ref="E2318:F2318" si="2316">C2318/C2317-1</f>
        <v>-0.007618486606</v>
      </c>
      <c r="F2318" s="7">
        <f t="shared" si="2316"/>
        <v>0.0003387673169</v>
      </c>
    </row>
    <row r="2319">
      <c r="A2319" s="3">
        <f>IFERROR(__xludf.DUMMYFUNCTION("""COMPUTED_VALUE"""),45617.66666666667)</f>
        <v>45617.66667</v>
      </c>
      <c r="B2319" s="5">
        <f>IFERROR(__xludf.DUMMYFUNCTION("""COMPUTED_VALUE"""),146.67)</f>
        <v>146.67</v>
      </c>
      <c r="C2319" s="5">
        <v>146.63623046875</v>
      </c>
      <c r="D2319" s="5">
        <v>588.165222167968</v>
      </c>
      <c r="E2319" s="7">
        <f t="shared" ref="E2319:F2319" si="2317">C2319/C2318-1</f>
        <v>0.005346566452</v>
      </c>
      <c r="F2319" s="7">
        <f t="shared" si="2317"/>
        <v>0.005368259134</v>
      </c>
    </row>
    <row r="2320">
      <c r="A2320" s="3">
        <f>IFERROR(__xludf.DUMMYFUNCTION("""COMPUTED_VALUE"""),45618.66666666667)</f>
        <v>45618.66667</v>
      </c>
      <c r="B2320" s="5">
        <f>IFERROR(__xludf.DUMMYFUNCTION("""COMPUTED_VALUE"""),141.95)</f>
        <v>141.95</v>
      </c>
      <c r="C2320" s="5">
        <v>141.917297363281</v>
      </c>
      <c r="D2320" s="5">
        <v>589.988220214843</v>
      </c>
      <c r="E2320" s="7">
        <f t="shared" ref="E2320:F2320" si="2318">C2320/C2319-1</f>
        <v>-0.03218122213</v>
      </c>
      <c r="F2320" s="7">
        <f t="shared" si="2318"/>
        <v>0.003099465895</v>
      </c>
    </row>
    <row r="2321">
      <c r="A2321" s="3">
        <f>IFERROR(__xludf.DUMMYFUNCTION("""COMPUTED_VALUE"""),45621.66666666667)</f>
        <v>45621.66667</v>
      </c>
      <c r="B2321" s="5">
        <f>IFERROR(__xludf.DUMMYFUNCTION("""COMPUTED_VALUE"""),136.02)</f>
        <v>136.02</v>
      </c>
      <c r="C2321" s="5">
        <v>135.988677978515</v>
      </c>
      <c r="D2321" s="5">
        <v>591.989562988281</v>
      </c>
      <c r="E2321" s="7">
        <f t="shared" ref="E2321:F2321" si="2319">C2321/C2320-1</f>
        <v>-0.04177517114</v>
      </c>
      <c r="F2321" s="7">
        <f t="shared" si="2319"/>
        <v>0.003392174123</v>
      </c>
    </row>
    <row r="2322">
      <c r="A2322" s="3">
        <f>IFERROR(__xludf.DUMMYFUNCTION("""COMPUTED_VALUE"""),45622.66666666667)</f>
        <v>45622.66667</v>
      </c>
      <c r="B2322" s="5">
        <f>IFERROR(__xludf.DUMMYFUNCTION("""COMPUTED_VALUE"""),136.92)</f>
        <v>136.92</v>
      </c>
      <c r="C2322" s="5">
        <v>136.888473510742</v>
      </c>
      <c r="D2322" s="5">
        <v>595.080627441406</v>
      </c>
      <c r="E2322" s="7">
        <f t="shared" ref="E2322:F2322" si="2320">C2322/C2321-1</f>
        <v>0.00661669446</v>
      </c>
      <c r="F2322" s="7">
        <f t="shared" si="2320"/>
        <v>0.005221484713</v>
      </c>
    </row>
    <row r="2323">
      <c r="A2323" s="3">
        <f>IFERROR(__xludf.DUMMYFUNCTION("""COMPUTED_VALUE"""),45623.66666666667)</f>
        <v>45623.66667</v>
      </c>
      <c r="B2323" s="5">
        <f>IFERROR(__xludf.DUMMYFUNCTION("""COMPUTED_VALUE"""),135.34)</f>
        <v>135.34</v>
      </c>
      <c r="C2323" s="5">
        <v>135.308822631835</v>
      </c>
      <c r="D2323" s="5">
        <v>593.277465820312</v>
      </c>
      <c r="E2323" s="7">
        <f t="shared" ref="E2323:F2323" si="2321">C2323/C2322-1</f>
        <v>-0.01153969241</v>
      </c>
      <c r="F2323" s="7">
        <f t="shared" si="2321"/>
        <v>-0.003030113127</v>
      </c>
    </row>
    <row r="2324">
      <c r="A2324" s="3">
        <f>IFERROR(__xludf.DUMMYFUNCTION("""COMPUTED_VALUE"""),45625.54513888889)</f>
        <v>45625.54514</v>
      </c>
      <c r="B2324" s="5">
        <f>IFERROR(__xludf.DUMMYFUNCTION("""COMPUTED_VALUE"""),138.25)</f>
        <v>138.25</v>
      </c>
      <c r="C2324" s="5">
        <v>138.218170166015</v>
      </c>
      <c r="D2324" s="5">
        <v>596.962951660156</v>
      </c>
      <c r="E2324" s="7">
        <f t="shared" ref="E2324:F2324" si="2322">C2324/C2323-1</f>
        <v>0.0215015361</v>
      </c>
      <c r="F2324" s="7">
        <f t="shared" si="2322"/>
        <v>0.00621207791</v>
      </c>
    </row>
    <row r="2325">
      <c r="A2325" s="3">
        <f>IFERROR(__xludf.DUMMYFUNCTION("""COMPUTED_VALUE"""),45628.66666666667)</f>
        <v>45628.66667</v>
      </c>
      <c r="B2325" s="5">
        <f>IFERROR(__xludf.DUMMYFUNCTION("""COMPUTED_VALUE"""),138.63)</f>
        <v>138.63</v>
      </c>
      <c r="C2325" s="5">
        <v>138.598068237304</v>
      </c>
      <c r="D2325" s="5">
        <v>598.032897949218</v>
      </c>
      <c r="E2325" s="7">
        <f t="shared" ref="E2325:F2325" si="2323">C2325/C2324-1</f>
        <v>0.00274853929</v>
      </c>
      <c r="F2325" s="7">
        <f t="shared" si="2323"/>
        <v>0.001792316066</v>
      </c>
    </row>
    <row r="2326">
      <c r="A2326" s="3">
        <f>IFERROR(__xludf.DUMMYFUNCTION("""COMPUTED_VALUE"""),45629.66666666667)</f>
        <v>45629.66667</v>
      </c>
      <c r="B2326" s="5">
        <f>IFERROR(__xludf.DUMMYFUNCTION("""COMPUTED_VALUE"""),140.26)</f>
        <v>140.26</v>
      </c>
      <c r="C2326" s="5">
        <v>140.227706909179</v>
      </c>
      <c r="D2326" s="5">
        <v>598.310241699218</v>
      </c>
      <c r="E2326" s="7">
        <f t="shared" ref="E2326:F2326" si="2324">C2326/C2325-1</f>
        <v>0.01175801865</v>
      </c>
      <c r="F2326" s="7">
        <f t="shared" si="2324"/>
        <v>0.0004637600222</v>
      </c>
    </row>
    <row r="2327">
      <c r="A2327" s="3">
        <f>IFERROR(__xludf.DUMMYFUNCTION("""COMPUTED_VALUE"""),45630.66666666667)</f>
        <v>45630.66667</v>
      </c>
      <c r="B2327" s="5">
        <f>IFERROR(__xludf.DUMMYFUNCTION("""COMPUTED_VALUE"""),145.14)</f>
        <v>145.14</v>
      </c>
      <c r="C2327" s="5">
        <v>145.106582641601</v>
      </c>
      <c r="D2327" s="5">
        <v>602.025512695312</v>
      </c>
      <c r="E2327" s="7">
        <f t="shared" ref="E2327:F2327" si="2325">C2327/C2326-1</f>
        <v>0.0347925231</v>
      </c>
      <c r="F2327" s="7">
        <f t="shared" si="2325"/>
        <v>0.006209606216</v>
      </c>
    </row>
    <row r="2328">
      <c r="A2328" s="3">
        <f>IFERROR(__xludf.DUMMYFUNCTION("""COMPUTED_VALUE"""),45631.66666666667)</f>
        <v>45631.66667</v>
      </c>
      <c r="B2328" s="5">
        <f>IFERROR(__xludf.DUMMYFUNCTION("""COMPUTED_VALUE"""),145.06)</f>
        <v>145.06</v>
      </c>
      <c r="C2328" s="5">
        <v>145.036590576171</v>
      </c>
      <c r="D2328" s="5">
        <v>601.034790039062</v>
      </c>
      <c r="E2328" s="7">
        <f t="shared" ref="E2328:F2328" si="2326">C2328/C2327-1</f>
        <v>-0.0004823493473</v>
      </c>
      <c r="F2328" s="7">
        <f t="shared" si="2326"/>
        <v>-0.001645648956</v>
      </c>
    </row>
    <row r="2329">
      <c r="A2329" s="3">
        <f>IFERROR(__xludf.DUMMYFUNCTION("""COMPUTED_VALUE"""),45632.66666666667)</f>
        <v>45632.66667</v>
      </c>
      <c r="B2329" s="5">
        <f>IFERROR(__xludf.DUMMYFUNCTION("""COMPUTED_VALUE"""),142.44)</f>
        <v>142.44</v>
      </c>
      <c r="C2329" s="5">
        <v>142.417007446289</v>
      </c>
      <c r="D2329" s="5">
        <v>602.174133300781</v>
      </c>
      <c r="E2329" s="7">
        <f t="shared" ref="E2329:F2329" si="2327">C2329/C2328-1</f>
        <v>-0.01806153274</v>
      </c>
      <c r="F2329" s="7">
        <f t="shared" si="2327"/>
        <v>0.001895636127</v>
      </c>
    </row>
    <row r="2330">
      <c r="A2330" s="3">
        <f>IFERROR(__xludf.DUMMYFUNCTION("""COMPUTED_VALUE"""),45635.66666666667)</f>
        <v>45635.66667</v>
      </c>
      <c r="B2330" s="5">
        <f>IFERROR(__xludf.DUMMYFUNCTION("""COMPUTED_VALUE"""),138.81)</f>
        <v>138.81</v>
      </c>
      <c r="C2330" s="5">
        <v>138.78758239746</v>
      </c>
      <c r="D2330" s="5">
        <v>599.073181152343</v>
      </c>
      <c r="E2330" s="7">
        <f t="shared" ref="E2330:F2330" si="2328">C2330/C2329-1</f>
        <v>-0.02548449173</v>
      </c>
      <c r="F2330" s="7">
        <f t="shared" si="2328"/>
        <v>-0.005149593742</v>
      </c>
    </row>
    <row r="2331">
      <c r="A2331" s="3">
        <f>IFERROR(__xludf.DUMMYFUNCTION("""COMPUTED_VALUE"""),45636.66666666667)</f>
        <v>45636.66667</v>
      </c>
      <c r="B2331" s="5">
        <f>IFERROR(__xludf.DUMMYFUNCTION("""COMPUTED_VALUE"""),135.07)</f>
        <v>135.07</v>
      </c>
      <c r="C2331" s="5">
        <v>135.048202514648</v>
      </c>
      <c r="D2331" s="5">
        <v>597.210632324218</v>
      </c>
      <c r="E2331" s="7">
        <f t="shared" ref="E2331:F2331" si="2329">C2331/C2330-1</f>
        <v>-0.0269431877</v>
      </c>
      <c r="F2331" s="7">
        <f t="shared" si="2329"/>
        <v>-0.003109050591</v>
      </c>
    </row>
    <row r="2332">
      <c r="A2332" s="3">
        <f>IFERROR(__xludf.DUMMYFUNCTION("""COMPUTED_VALUE"""),45637.66666666667)</f>
        <v>45637.66667</v>
      </c>
      <c r="B2332" s="5">
        <f>IFERROR(__xludf.DUMMYFUNCTION("""COMPUTED_VALUE"""),139.31)</f>
        <v>139.31</v>
      </c>
      <c r="C2332" s="5">
        <v>139.287506103515</v>
      </c>
      <c r="D2332" s="5">
        <v>601.827453613281</v>
      </c>
      <c r="E2332" s="7">
        <f t="shared" ref="E2332:F2332" si="2330">C2332/C2331-1</f>
        <v>0.03139104046</v>
      </c>
      <c r="F2332" s="7">
        <f t="shared" si="2330"/>
        <v>0.007730641484</v>
      </c>
    </row>
    <row r="2333">
      <c r="A2333" s="3">
        <f>IFERROR(__xludf.DUMMYFUNCTION("""COMPUTED_VALUE"""),45638.66666666667)</f>
        <v>45638.66667</v>
      </c>
      <c r="B2333" s="5">
        <f>IFERROR(__xludf.DUMMYFUNCTION("""COMPUTED_VALUE"""),137.34)</f>
        <v>137.34</v>
      </c>
      <c r="C2333" s="5">
        <v>137.317825317382</v>
      </c>
      <c r="D2333" s="5">
        <v>598.726440429687</v>
      </c>
      <c r="E2333" s="7">
        <f t="shared" ref="E2333:F2333" si="2331">C2333/C2332-1</f>
        <v>-0.01414111604</v>
      </c>
      <c r="F2333" s="7">
        <f t="shared" si="2331"/>
        <v>-0.005152661556</v>
      </c>
    </row>
    <row r="2334">
      <c r="A2334" s="3">
        <f>IFERROR(__xludf.DUMMYFUNCTION("""COMPUTED_VALUE"""),45639.66666666667)</f>
        <v>45639.66667</v>
      </c>
      <c r="B2334" s="5">
        <f>IFERROR(__xludf.DUMMYFUNCTION("""COMPUTED_VALUE"""),134.25)</f>
        <v>134.25</v>
      </c>
      <c r="C2334" s="5">
        <v>134.228332519531</v>
      </c>
      <c r="D2334" s="5">
        <v>598.607604980468</v>
      </c>
      <c r="E2334" s="7">
        <f t="shared" ref="E2334:F2334" si="2332">C2334/C2333-1</f>
        <v>-0.02249884741</v>
      </c>
      <c r="F2334" s="7">
        <f t="shared" si="2332"/>
        <v>-0.0001984803763</v>
      </c>
    </row>
    <row r="2335">
      <c r="A2335" s="3">
        <f>IFERROR(__xludf.DUMMYFUNCTION("""COMPUTED_VALUE"""),45642.66666666667)</f>
        <v>45642.66667</v>
      </c>
      <c r="B2335" s="5">
        <f>IFERROR(__xludf.DUMMYFUNCTION("""COMPUTED_VALUE"""),132.0)</f>
        <v>132</v>
      </c>
      <c r="C2335" s="5">
        <v>131.978683471679</v>
      </c>
      <c r="D2335" s="5">
        <v>601.16357421875</v>
      </c>
      <c r="E2335" s="7">
        <f t="shared" ref="E2335:F2335" si="2333">C2335/C2334-1</f>
        <v>-0.01675986735</v>
      </c>
      <c r="F2335" s="7">
        <f t="shared" si="2333"/>
        <v>0.004269857611</v>
      </c>
    </row>
    <row r="2336">
      <c r="A2336" s="3">
        <f>IFERROR(__xludf.DUMMYFUNCTION("""COMPUTED_VALUE"""),45643.66666666667)</f>
        <v>45643.66667</v>
      </c>
      <c r="B2336" s="5">
        <f>IFERROR(__xludf.DUMMYFUNCTION("""COMPUTED_VALUE"""),130.39)</f>
        <v>130.39</v>
      </c>
      <c r="C2336" s="5">
        <v>130.368957519531</v>
      </c>
      <c r="D2336" s="5">
        <v>598.686767578125</v>
      </c>
      <c r="E2336" s="7">
        <f t="shared" ref="E2336:F2336" si="2334">C2336/C2335-1</f>
        <v>-0.01219686323</v>
      </c>
      <c r="F2336" s="7">
        <f t="shared" si="2334"/>
        <v>-0.00412002115</v>
      </c>
    </row>
    <row r="2337">
      <c r="A2337" s="3">
        <f>IFERROR(__xludf.DUMMYFUNCTION("""COMPUTED_VALUE"""),45644.66666666667)</f>
        <v>45644.66667</v>
      </c>
      <c r="B2337" s="5">
        <f>IFERROR(__xludf.DUMMYFUNCTION("""COMPUTED_VALUE"""),128.91)</f>
        <v>128.91</v>
      </c>
      <c r="C2337" s="5">
        <v>128.889190673828</v>
      </c>
      <c r="D2337" s="5">
        <v>580.843811035156</v>
      </c>
      <c r="E2337" s="7">
        <f t="shared" ref="E2337:F2337" si="2335">C2337/C2336-1</f>
        <v>-0.01135060734</v>
      </c>
      <c r="F2337" s="7">
        <f t="shared" si="2335"/>
        <v>-0.02980349243</v>
      </c>
    </row>
    <row r="2338">
      <c r="A2338" s="3">
        <f>IFERROR(__xludf.DUMMYFUNCTION("""COMPUTED_VALUE"""),45645.66666666667)</f>
        <v>45645.66667</v>
      </c>
      <c r="B2338" s="5">
        <f>IFERROR(__xludf.DUMMYFUNCTION("""COMPUTED_VALUE"""),130.68)</f>
        <v>130.68</v>
      </c>
      <c r="C2338" s="5">
        <v>130.658889770507</v>
      </c>
      <c r="D2338" s="5">
        <v>580.665405273437</v>
      </c>
      <c r="E2338" s="7">
        <f t="shared" ref="E2338:F2338" si="2336">C2338/C2337-1</f>
        <v>0.01373039188</v>
      </c>
      <c r="F2338" s="7">
        <f t="shared" si="2336"/>
        <v>-0.0003071492858</v>
      </c>
    </row>
    <row r="2339">
      <c r="A2339" s="3">
        <f>IFERROR(__xludf.DUMMYFUNCTION("""COMPUTED_VALUE"""),45646.66666666667)</f>
        <v>45646.66667</v>
      </c>
      <c r="B2339" s="5">
        <f>IFERROR(__xludf.DUMMYFUNCTION("""COMPUTED_VALUE"""),134.7)</f>
        <v>134.7</v>
      </c>
      <c r="C2339" s="5">
        <v>134.678253173828</v>
      </c>
      <c r="D2339" s="5">
        <v>587.639831542968</v>
      </c>
      <c r="E2339" s="7">
        <f t="shared" ref="E2339:F2339" si="2337">C2339/C2338-1</f>
        <v>0.03076226509</v>
      </c>
      <c r="F2339" s="7">
        <f t="shared" si="2337"/>
        <v>0.01201109315</v>
      </c>
    </row>
    <row r="2340">
      <c r="A2340" s="3">
        <f>IFERROR(__xludf.DUMMYFUNCTION("""COMPUTED_VALUE"""),45649.66666666667)</f>
        <v>45649.66667</v>
      </c>
      <c r="B2340" s="5">
        <f>IFERROR(__xludf.DUMMYFUNCTION("""COMPUTED_VALUE"""),139.67)</f>
        <v>139.67</v>
      </c>
      <c r="C2340" s="5">
        <v>139.64744567871</v>
      </c>
      <c r="D2340" s="5">
        <v>591.158813476562</v>
      </c>
      <c r="E2340" s="7">
        <f t="shared" ref="E2340:F2340" si="2338">C2340/C2339-1</f>
        <v>0.0368967698</v>
      </c>
      <c r="F2340" s="7">
        <f t="shared" si="2338"/>
        <v>0.005988331193</v>
      </c>
    </row>
    <row r="2341">
      <c r="A2341" s="3">
        <f>IFERROR(__xludf.DUMMYFUNCTION("""COMPUTED_VALUE"""),45650.54513888889)</f>
        <v>45650.54514</v>
      </c>
      <c r="B2341" s="5">
        <f>IFERROR(__xludf.DUMMYFUNCTION("""COMPUTED_VALUE"""),140.22)</f>
        <v>140.22</v>
      </c>
      <c r="C2341" s="5">
        <v>140.197372436523</v>
      </c>
      <c r="D2341" s="5">
        <v>597.7294921875</v>
      </c>
      <c r="E2341" s="7">
        <f t="shared" ref="E2341:F2341" si="2339">C2341/C2340-1</f>
        <v>0.003937965031</v>
      </c>
      <c r="F2341" s="7">
        <f t="shared" si="2339"/>
        <v>0.01111491288</v>
      </c>
    </row>
    <row r="2342">
      <c r="A2342" s="3">
        <f>IFERROR(__xludf.DUMMYFUNCTION("""COMPUTED_VALUE"""),45652.66666666667)</f>
        <v>45652.66667</v>
      </c>
      <c r="B2342" s="5">
        <f>IFERROR(__xludf.DUMMYFUNCTION("""COMPUTED_VALUE"""),139.93)</f>
        <v>139.93</v>
      </c>
      <c r="C2342" s="5">
        <v>139.907409667968</v>
      </c>
      <c r="D2342" s="5">
        <v>597.769348144531</v>
      </c>
      <c r="E2342" s="7">
        <f t="shared" ref="E2342:F2342" si="2340">C2342/C2341-1</f>
        <v>-0.002068246812</v>
      </c>
      <c r="F2342" s="7">
        <f t="shared" si="2340"/>
        <v>0.00006667892007</v>
      </c>
    </row>
    <row r="2343">
      <c r="A2343" s="3">
        <f>IFERROR(__xludf.DUMMYFUNCTION("""COMPUTED_VALUE"""),45653.66666666667)</f>
        <v>45653.66667</v>
      </c>
      <c r="B2343" s="5">
        <f>IFERROR(__xludf.DUMMYFUNCTION("""COMPUTED_VALUE"""),137.01)</f>
        <v>137.01</v>
      </c>
      <c r="C2343" s="5">
        <v>136.987884521484</v>
      </c>
      <c r="D2343" s="5">
        <v>591.476867675781</v>
      </c>
      <c r="E2343" s="7">
        <f t="shared" ref="E2343:F2343" si="2341">C2343/C2342-1</f>
        <v>-0.020867552</v>
      </c>
      <c r="F2343" s="7">
        <f t="shared" si="2341"/>
        <v>-0.01052660276</v>
      </c>
    </row>
    <row r="2344">
      <c r="A2344" s="3">
        <f>IFERROR(__xludf.DUMMYFUNCTION("""COMPUTED_VALUE"""),45656.66666666667)</f>
        <v>45656.66667</v>
      </c>
      <c r="B2344" s="5">
        <f>IFERROR(__xludf.DUMMYFUNCTION("""COMPUTED_VALUE"""),137.49)</f>
        <v>137.49</v>
      </c>
      <c r="C2344" s="5">
        <v>137.467803955078</v>
      </c>
      <c r="D2344" s="5">
        <v>584.727172851562</v>
      </c>
      <c r="E2344" s="7">
        <f t="shared" ref="E2344:F2344" si="2342">C2344/C2343-1</f>
        <v>0.003503371377</v>
      </c>
      <c r="F2344" s="7">
        <f t="shared" si="2342"/>
        <v>-0.01141159561</v>
      </c>
    </row>
    <row r="2345">
      <c r="A2345" s="3">
        <f>IFERROR(__xludf.DUMMYFUNCTION("""COMPUTED_VALUE"""),45657.66666666667)</f>
        <v>45657.66667</v>
      </c>
      <c r="B2345" s="5">
        <f>IFERROR(__xludf.DUMMYFUNCTION("""COMPUTED_VALUE"""),134.29)</f>
        <v>134.29</v>
      </c>
      <c r="C2345" s="5">
        <v>134.268325805664</v>
      </c>
      <c r="D2345" s="5">
        <v>582.599914550781</v>
      </c>
      <c r="E2345" s="7">
        <f t="shared" ref="E2345:F2345" si="2343">C2345/C2344-1</f>
        <v>-0.02327438176</v>
      </c>
      <c r="F2345" s="7">
        <f t="shared" si="2343"/>
        <v>-0.003638035651</v>
      </c>
    </row>
    <row r="2346">
      <c r="A2346" s="3">
        <f>IFERROR(__xludf.DUMMYFUNCTION("""COMPUTED_VALUE"""),45659.66666666667)</f>
        <v>45659.66667</v>
      </c>
      <c r="B2346" s="5">
        <f>IFERROR(__xludf.DUMMYFUNCTION("""COMPUTED_VALUE"""),138.31)</f>
        <v>138.31</v>
      </c>
      <c r="C2346" s="5">
        <v>138.287673950195</v>
      </c>
      <c r="D2346" s="5">
        <v>581.16845703125</v>
      </c>
      <c r="E2346" s="7">
        <f t="shared" ref="E2346:F2346" si="2344">C2346/C2345-1</f>
        <v>0.02993519224</v>
      </c>
      <c r="F2346" s="7">
        <f t="shared" si="2344"/>
        <v>-0.002457016357</v>
      </c>
    </row>
    <row r="2347">
      <c r="A2347" s="3">
        <f>IFERROR(__xludf.DUMMYFUNCTION("""COMPUTED_VALUE"""),45660.66666666667)</f>
        <v>45660.66667</v>
      </c>
      <c r="B2347" s="5">
        <f>IFERROR(__xludf.DUMMYFUNCTION("""COMPUTED_VALUE"""),144.47)</f>
        <v>144.47</v>
      </c>
      <c r="C2347" s="5">
        <v>144.446685791015</v>
      </c>
      <c r="D2347" s="5">
        <v>588.43505859375</v>
      </c>
      <c r="E2347" s="7">
        <f t="shared" ref="E2347:F2347" si="2345">C2347/C2346-1</f>
        <v>0.04453767762</v>
      </c>
      <c r="F2347" s="7">
        <f t="shared" si="2345"/>
        <v>0.0125034342</v>
      </c>
    </row>
    <row r="2348">
      <c r="A2348" s="3">
        <f>IFERROR(__xludf.DUMMYFUNCTION("""COMPUTED_VALUE"""),45663.66666666667)</f>
        <v>45663.66667</v>
      </c>
      <c r="B2348" s="5">
        <f>IFERROR(__xludf.DUMMYFUNCTION("""COMPUTED_VALUE"""),149.43)</f>
        <v>149.43</v>
      </c>
      <c r="C2348" s="5">
        <v>149.405868530273</v>
      </c>
      <c r="D2348" s="5">
        <v>591.824768066406</v>
      </c>
      <c r="E2348" s="7">
        <f t="shared" ref="E2348:F2348" si="2346">C2348/C2347-1</f>
        <v>0.03433227085</v>
      </c>
      <c r="F2348" s="7">
        <f t="shared" si="2346"/>
        <v>0.005760549823</v>
      </c>
    </row>
    <row r="2349">
      <c r="A2349" s="3">
        <f>IFERROR(__xludf.DUMMYFUNCTION("""COMPUTED_VALUE"""),45664.66666666667)</f>
        <v>45664.66667</v>
      </c>
      <c r="B2349" s="5">
        <f>IFERROR(__xludf.DUMMYFUNCTION("""COMPUTED_VALUE"""),140.14)</f>
        <v>140.14</v>
      </c>
      <c r="C2349" s="5">
        <v>140.117370605468</v>
      </c>
      <c r="D2349" s="5">
        <v>585.134765625</v>
      </c>
      <c r="E2349" s="7">
        <f t="shared" ref="E2349:F2349" si="2347">C2349/C2348-1</f>
        <v>-0.06216956547</v>
      </c>
      <c r="F2349" s="7">
        <f t="shared" si="2347"/>
        <v>-0.01130402579</v>
      </c>
    </row>
    <row r="2350">
      <c r="A2350" s="3">
        <f>IFERROR(__xludf.DUMMYFUNCTION("""COMPUTED_VALUE"""),45665.66666666667)</f>
        <v>45665.66667</v>
      </c>
      <c r="B2350" s="5">
        <f>IFERROR(__xludf.DUMMYFUNCTION("""COMPUTED_VALUE"""),140.11)</f>
        <v>140.11</v>
      </c>
      <c r="C2350" s="5">
        <v>140.08738708496</v>
      </c>
      <c r="D2350" s="5">
        <v>585.989685058593</v>
      </c>
      <c r="E2350" s="7">
        <f t="shared" ref="E2350:F2350" si="2348">C2350/C2349-1</f>
        <v>-0.0002139886038</v>
      </c>
      <c r="F2350" s="7">
        <f t="shared" si="2348"/>
        <v>0.001461064158</v>
      </c>
    </row>
    <row r="2351">
      <c r="A2351" s="3">
        <f>IFERROR(__xludf.DUMMYFUNCTION("""COMPUTED_VALUE"""),45667.66666666667)</f>
        <v>45667.66667</v>
      </c>
      <c r="B2351" s="5">
        <f>IFERROR(__xludf.DUMMYFUNCTION("""COMPUTED_VALUE"""),135.91)</f>
        <v>135.91</v>
      </c>
      <c r="C2351" s="5">
        <v>135.888076782226</v>
      </c>
      <c r="D2351" s="5">
        <v>577.043090820312</v>
      </c>
      <c r="E2351" s="7">
        <f t="shared" ref="E2351:F2351" si="2349">C2351/C2350-1</f>
        <v>-0.02997636254</v>
      </c>
      <c r="F2351" s="7">
        <f t="shared" si="2349"/>
        <v>-0.01526749441</v>
      </c>
    </row>
    <row r="2352">
      <c r="A2352" s="3">
        <f>IFERROR(__xludf.DUMMYFUNCTION("""COMPUTED_VALUE"""),45670.66666666667)</f>
        <v>45670.66667</v>
      </c>
      <c r="B2352" s="5">
        <f>IFERROR(__xludf.DUMMYFUNCTION("""COMPUTED_VALUE"""),133.23)</f>
        <v>133.23</v>
      </c>
      <c r="C2352" s="5">
        <v>133.20849609375</v>
      </c>
      <c r="D2352" s="5">
        <v>577.937744140625</v>
      </c>
      <c r="E2352" s="7">
        <f t="shared" ref="E2352:F2352" si="2350">C2352/C2351-1</f>
        <v>-0.01971902725</v>
      </c>
      <c r="F2352" s="7">
        <f t="shared" si="2350"/>
        <v>0.001550409899</v>
      </c>
    </row>
    <row r="2353">
      <c r="A2353" s="3">
        <f>IFERROR(__xludf.DUMMYFUNCTION("""COMPUTED_VALUE"""),45671.66666666667)</f>
        <v>45671.66667</v>
      </c>
      <c r="B2353" s="5">
        <f>IFERROR(__xludf.DUMMYFUNCTION("""COMPUTED_VALUE"""),131.76)</f>
        <v>131.76</v>
      </c>
      <c r="C2353" s="5">
        <v>131.738723754882</v>
      </c>
      <c r="D2353" s="5">
        <v>578.732971191406</v>
      </c>
      <c r="E2353" s="7">
        <f t="shared" ref="E2353:F2353" si="2351">C2353/C2352-1</f>
        <v>-0.01103362309</v>
      </c>
      <c r="F2353" s="7">
        <f t="shared" si="2351"/>
        <v>0.001375973552</v>
      </c>
    </row>
    <row r="2354">
      <c r="A2354" s="3">
        <f>IFERROR(__xludf.DUMMYFUNCTION("""COMPUTED_VALUE"""),45672.66666666667)</f>
        <v>45672.66667</v>
      </c>
      <c r="B2354" s="5">
        <f>IFERROR(__xludf.DUMMYFUNCTION("""COMPUTED_VALUE"""),136.24)</f>
        <v>136.24</v>
      </c>
      <c r="C2354" s="5">
        <v>136.218017578125</v>
      </c>
      <c r="D2354" s="5">
        <v>589.260131835937</v>
      </c>
      <c r="E2354" s="7">
        <f t="shared" ref="E2354:F2354" si="2352">C2354/C2353-1</f>
        <v>0.0340013452</v>
      </c>
      <c r="F2354" s="7">
        <f t="shared" si="2352"/>
        <v>0.01819001365</v>
      </c>
    </row>
    <row r="2355">
      <c r="A2355" s="3">
        <f>IFERROR(__xludf.DUMMYFUNCTION("""COMPUTED_VALUE"""),45673.66666666667)</f>
        <v>45673.66667</v>
      </c>
      <c r="B2355" s="5">
        <f>IFERROR(__xludf.DUMMYFUNCTION("""COMPUTED_VALUE"""),133.57)</f>
        <v>133.57</v>
      </c>
      <c r="C2355" s="5">
        <v>133.548446655273</v>
      </c>
      <c r="D2355" s="5">
        <v>588.126892089843</v>
      </c>
      <c r="E2355" s="7">
        <f t="shared" ref="E2355:F2355" si="2353">C2355/C2354-1</f>
        <v>-0.01959778134</v>
      </c>
      <c r="F2355" s="7">
        <f t="shared" si="2353"/>
        <v>-0.001923156998</v>
      </c>
    </row>
    <row r="2356">
      <c r="A2356" s="3">
        <f>IFERROR(__xludf.DUMMYFUNCTION("""COMPUTED_VALUE"""),45674.66666666667)</f>
        <v>45674.66667</v>
      </c>
      <c r="B2356" s="5">
        <f>IFERROR(__xludf.DUMMYFUNCTION("""COMPUTED_VALUE"""),137.71)</f>
        <v>137.71</v>
      </c>
      <c r="C2356" s="5">
        <v>137.687774658203</v>
      </c>
      <c r="D2356" s="5">
        <v>594.031616210937</v>
      </c>
      <c r="E2356" s="7">
        <f t="shared" ref="E2356:F2356" si="2354">C2356/C2355-1</f>
        <v>0.03099495432</v>
      </c>
      <c r="F2356" s="7">
        <f t="shared" si="2354"/>
        <v>0.01003988119</v>
      </c>
    </row>
    <row r="2357">
      <c r="A2357" s="3">
        <f>IFERROR(__xludf.DUMMYFUNCTION("""COMPUTED_VALUE"""),45678.66666666667)</f>
        <v>45678.66667</v>
      </c>
      <c r="B2357" s="5">
        <f>IFERROR(__xludf.DUMMYFUNCTION("""COMPUTED_VALUE"""),140.83)</f>
        <v>140.83</v>
      </c>
      <c r="C2357" s="5">
        <v>140.807266235351</v>
      </c>
      <c r="D2357" s="5">
        <v>599.469116210937</v>
      </c>
      <c r="E2357" s="7">
        <f t="shared" ref="E2357:F2357" si="2355">C2357/C2356-1</f>
        <v>0.0226562713</v>
      </c>
      <c r="F2357" s="7">
        <f t="shared" si="2355"/>
        <v>0.009153553198</v>
      </c>
    </row>
    <row r="2358">
      <c r="A2358" s="3">
        <f>IFERROR(__xludf.DUMMYFUNCTION("""COMPUTED_VALUE"""),45679.66666666667)</f>
        <v>45679.66667</v>
      </c>
      <c r="B2358" s="5">
        <f>IFERROR(__xludf.DUMMYFUNCTION("""COMPUTED_VALUE"""),147.07)</f>
        <v>147.07</v>
      </c>
      <c r="C2358" s="5">
        <v>147.046279907226</v>
      </c>
      <c r="D2358" s="5">
        <v>602.838989257812</v>
      </c>
      <c r="E2358" s="7">
        <f t="shared" ref="E2358:F2358" si="2356">C2358/C2357-1</f>
        <v>0.04430889001</v>
      </c>
      <c r="F2358" s="7">
        <f t="shared" si="2356"/>
        <v>0.005621428954</v>
      </c>
    </row>
    <row r="2359">
      <c r="A2359" s="3">
        <f>IFERROR(__xludf.DUMMYFUNCTION("""COMPUTED_VALUE"""),45680.66666666667)</f>
        <v>45680.66667</v>
      </c>
      <c r="B2359" s="5">
        <f>IFERROR(__xludf.DUMMYFUNCTION("""COMPUTED_VALUE"""),147.22)</f>
        <v>147.22</v>
      </c>
      <c r="C2359" s="5">
        <v>147.196243286132</v>
      </c>
      <c r="D2359" s="5">
        <v>606.129333496093</v>
      </c>
      <c r="E2359" s="7">
        <f t="shared" ref="E2359:F2359" si="2357">C2359/C2358-1</f>
        <v>0.001019837965</v>
      </c>
      <c r="F2359" s="7">
        <f t="shared" si="2357"/>
        <v>0.00545808134</v>
      </c>
    </row>
    <row r="2360">
      <c r="A2360" s="3">
        <f>IFERROR(__xludf.DUMMYFUNCTION("""COMPUTED_VALUE"""),45681.66666666667)</f>
        <v>45681.66667</v>
      </c>
      <c r="B2360" s="5">
        <f>IFERROR(__xludf.DUMMYFUNCTION("""COMPUTED_VALUE"""),142.62)</f>
        <v>142.62</v>
      </c>
      <c r="C2360" s="5">
        <v>142.596969604492</v>
      </c>
      <c r="D2360" s="5">
        <v>604.35986328125</v>
      </c>
      <c r="E2360" s="7">
        <f t="shared" ref="E2360:F2360" si="2358">C2360/C2359-1</f>
        <v>-0.0312458632</v>
      </c>
      <c r="F2360" s="7">
        <f t="shared" si="2358"/>
        <v>-0.002919294806</v>
      </c>
    </row>
    <row r="2361">
      <c r="A2361" s="3">
        <f>IFERROR(__xludf.DUMMYFUNCTION("""COMPUTED_VALUE"""),45684.66666666667)</f>
        <v>45684.66667</v>
      </c>
      <c r="B2361" s="5">
        <f>IFERROR(__xludf.DUMMYFUNCTION("""COMPUTED_VALUE"""),118.42)</f>
        <v>118.42</v>
      </c>
      <c r="C2361" s="5">
        <v>118.40087890625</v>
      </c>
      <c r="D2361" s="5">
        <v>595.81103515625</v>
      </c>
      <c r="E2361" s="7">
        <f t="shared" ref="E2361:F2361" si="2359">C2361/C2360-1</f>
        <v>-0.1696816613</v>
      </c>
      <c r="F2361" s="7">
        <f t="shared" si="2359"/>
        <v>-0.0141452612</v>
      </c>
    </row>
    <row r="2362">
      <c r="A2362" s="3">
        <f>IFERROR(__xludf.DUMMYFUNCTION("""COMPUTED_VALUE"""),45685.66666666667)</f>
        <v>45685.66667</v>
      </c>
      <c r="B2362" s="5">
        <f>IFERROR(__xludf.DUMMYFUNCTION("""COMPUTED_VALUE"""),128.99)</f>
        <v>128.99</v>
      </c>
      <c r="C2362" s="5">
        <v>128.969192504882</v>
      </c>
      <c r="D2362" s="5">
        <v>600.930419921875</v>
      </c>
      <c r="E2362" s="7">
        <f t="shared" ref="E2362:F2362" si="2360">C2362/C2361-1</f>
        <v>0.08925874281</v>
      </c>
      <c r="F2362" s="7">
        <f t="shared" si="2360"/>
        <v>0.008592295986</v>
      </c>
    </row>
    <row r="2363">
      <c r="A2363" s="3">
        <f>IFERROR(__xludf.DUMMYFUNCTION("""COMPUTED_VALUE"""),45686.66666666667)</f>
        <v>45686.66667</v>
      </c>
      <c r="B2363" s="5">
        <f>IFERROR(__xludf.DUMMYFUNCTION("""COMPUTED_VALUE"""),123.7)</f>
        <v>123.7</v>
      </c>
      <c r="C2363" s="5">
        <v>123.680030822753</v>
      </c>
      <c r="D2363" s="5">
        <v>598.236511230468</v>
      </c>
      <c r="E2363" s="7">
        <f t="shared" ref="E2363:F2363" si="2361">C2363/C2362-1</f>
        <v>-0.04101104752</v>
      </c>
      <c r="F2363" s="7">
        <f t="shared" si="2361"/>
        <v>-0.004482896192</v>
      </c>
    </row>
    <row r="2364">
      <c r="A2364" s="3">
        <f>IFERROR(__xludf.DUMMYFUNCTION("""COMPUTED_VALUE"""),45687.66666666667)</f>
        <v>45687.66667</v>
      </c>
      <c r="B2364" s="5">
        <f>IFERROR(__xludf.DUMMYFUNCTION("""COMPUTED_VALUE"""),124.65)</f>
        <v>124.65</v>
      </c>
      <c r="C2364" s="5">
        <v>124.6298828125</v>
      </c>
      <c r="D2364" s="5">
        <v>601.447326660156</v>
      </c>
      <c r="E2364" s="7">
        <f t="shared" ref="E2364:F2364" si="2362">C2364/C2363-1</f>
        <v>0.007679913915</v>
      </c>
      <c r="F2364" s="7">
        <f t="shared" si="2362"/>
        <v>0.00536713385</v>
      </c>
    </row>
    <row r="2365">
      <c r="A2365" s="3">
        <f>IFERROR(__xludf.DUMMYFUNCTION("""COMPUTED_VALUE"""),45688.66666666667)</f>
        <v>45688.66667</v>
      </c>
      <c r="B2365" s="5">
        <f>IFERROR(__xludf.DUMMYFUNCTION("""COMPUTED_VALUE"""),120.07)</f>
        <v>120.07</v>
      </c>
      <c r="C2365" s="5">
        <v>120.050621032714</v>
      </c>
      <c r="D2365" s="5">
        <v>598.246459960937</v>
      </c>
      <c r="E2365" s="7">
        <f t="shared" ref="E2365:F2365" si="2363">C2365/C2364-1</f>
        <v>-0.03674288763</v>
      </c>
      <c r="F2365" s="7">
        <f t="shared" si="2363"/>
        <v>-0.005321940189</v>
      </c>
    </row>
    <row r="2366">
      <c r="A2366" s="3">
        <f>IFERROR(__xludf.DUMMYFUNCTION("""COMPUTED_VALUE"""),45691.66666666667)</f>
        <v>45691.66667</v>
      </c>
      <c r="B2366" s="5">
        <f>IFERROR(__xludf.DUMMYFUNCTION("""COMPUTED_VALUE"""),116.66)</f>
        <v>116.66</v>
      </c>
      <c r="C2366" s="5">
        <v>116.641174316406</v>
      </c>
      <c r="D2366" s="5">
        <v>594.220520019531</v>
      </c>
      <c r="E2366" s="7">
        <f t="shared" ref="E2366:F2366" si="2364">C2366/C2365-1</f>
        <v>-0.02840007563</v>
      </c>
      <c r="F2366" s="7">
        <f t="shared" si="2364"/>
        <v>-0.006729567512</v>
      </c>
    </row>
    <row r="2367">
      <c r="A2367" s="3">
        <f>IFERROR(__xludf.DUMMYFUNCTION("""COMPUTED_VALUE"""),45692.66666666667)</f>
        <v>45692.66667</v>
      </c>
      <c r="B2367" s="5">
        <f>IFERROR(__xludf.DUMMYFUNCTION("""COMPUTED_VALUE"""),118.65)</f>
        <v>118.65</v>
      </c>
      <c r="C2367" s="5">
        <v>118.630851745605</v>
      </c>
      <c r="D2367" s="5">
        <v>598.206665039062</v>
      </c>
      <c r="E2367" s="7">
        <f t="shared" ref="E2367:F2367" si="2365">C2367/C2366-1</f>
        <v>0.01705810526</v>
      </c>
      <c r="F2367" s="7">
        <f t="shared" si="2365"/>
        <v>0.006708191463</v>
      </c>
    </row>
    <row r="2368">
      <c r="A2368" s="3">
        <f>IFERROR(__xludf.DUMMYFUNCTION("""COMPUTED_VALUE"""),45693.66666666667)</f>
        <v>45693.66667</v>
      </c>
      <c r="B2368" s="5">
        <f>IFERROR(__xludf.DUMMYFUNCTION("""COMPUTED_VALUE"""),124.83)</f>
        <v>124.83</v>
      </c>
      <c r="C2368" s="5">
        <v>124.809852600097</v>
      </c>
      <c r="D2368" s="5">
        <v>600.632141113281</v>
      </c>
      <c r="E2368" s="7">
        <f t="shared" ref="E2368:F2368" si="2366">C2368/C2367-1</f>
        <v>0.05208595204</v>
      </c>
      <c r="F2368" s="7">
        <f t="shared" si="2366"/>
        <v>0.00405457882</v>
      </c>
    </row>
    <row r="2369">
      <c r="A2369" s="3">
        <f>IFERROR(__xludf.DUMMYFUNCTION("""COMPUTED_VALUE"""),45694.66666666667)</f>
        <v>45694.66667</v>
      </c>
      <c r="B2369" s="5">
        <f>IFERROR(__xludf.DUMMYFUNCTION("""COMPUTED_VALUE"""),128.68)</f>
        <v>128.68</v>
      </c>
      <c r="C2369" s="5">
        <v>128.659210205078</v>
      </c>
      <c r="D2369" s="5">
        <v>602.7197265625</v>
      </c>
      <c r="E2369" s="7">
        <f t="shared" ref="E2369:F2369" si="2367">C2369/C2368-1</f>
        <v>0.03084177671</v>
      </c>
      <c r="F2369" s="7">
        <f t="shared" si="2367"/>
        <v>0.003475647249</v>
      </c>
    </row>
    <row r="2370">
      <c r="A2370" s="3">
        <f>IFERROR(__xludf.DUMMYFUNCTION("""COMPUTED_VALUE"""),45695.66666666667)</f>
        <v>45695.66667</v>
      </c>
      <c r="B2370" s="5">
        <f>IFERROR(__xludf.DUMMYFUNCTION("""COMPUTED_VALUE"""),129.84)</f>
        <v>129.84</v>
      </c>
      <c r="C2370" s="5">
        <v>129.819030761718</v>
      </c>
      <c r="D2370" s="5">
        <v>597.202697753906</v>
      </c>
      <c r="E2370" s="7">
        <f t="shared" ref="E2370:F2370" si="2368">C2370/C2369-1</f>
        <v>0.00901467182</v>
      </c>
      <c r="F2370" s="7">
        <f t="shared" si="2368"/>
        <v>-0.009153556065</v>
      </c>
    </row>
    <row r="2371">
      <c r="A2371" s="3">
        <f>IFERROR(__xludf.DUMMYFUNCTION("""COMPUTED_VALUE"""),45698.66666666667)</f>
        <v>45698.66667</v>
      </c>
      <c r="B2371" s="5">
        <f>IFERROR(__xludf.DUMMYFUNCTION("""COMPUTED_VALUE"""),133.57)</f>
        <v>133.57</v>
      </c>
      <c r="C2371" s="5">
        <v>133.548446655273</v>
      </c>
      <c r="D2371" s="5">
        <v>601.258422851562</v>
      </c>
      <c r="E2371" s="7">
        <f t="shared" ref="E2371:F2371" si="2369">C2371/C2370-1</f>
        <v>0.02872780571</v>
      </c>
      <c r="F2371" s="7">
        <f t="shared" si="2369"/>
        <v>0.006791203578</v>
      </c>
    </row>
    <row r="2372">
      <c r="A2372" s="3">
        <f>IFERROR(__xludf.DUMMYFUNCTION("""COMPUTED_VALUE"""),45699.66666666667)</f>
        <v>45699.66667</v>
      </c>
      <c r="B2372" s="5">
        <f>IFERROR(__xludf.DUMMYFUNCTION("""COMPUTED_VALUE"""),132.8)</f>
        <v>132.8</v>
      </c>
      <c r="C2372" s="5">
        <v>132.778579711914</v>
      </c>
      <c r="D2372" s="5">
        <v>601.715759277343</v>
      </c>
      <c r="E2372" s="7">
        <f t="shared" ref="E2372:F2372" si="2370">C2372/C2371-1</f>
        <v>-0.005764701594</v>
      </c>
      <c r="F2372" s="7">
        <f t="shared" si="2370"/>
        <v>0.0007606320484</v>
      </c>
    </row>
    <row r="2373">
      <c r="A2373" s="3">
        <f>IFERROR(__xludf.DUMMYFUNCTION("""COMPUTED_VALUE"""),45700.66666666667)</f>
        <v>45700.66667</v>
      </c>
      <c r="B2373" s="5">
        <f>IFERROR(__xludf.DUMMYFUNCTION("""COMPUTED_VALUE"""),131.14)</f>
        <v>131.14</v>
      </c>
      <c r="C2373" s="5">
        <v>131.118835449218</v>
      </c>
      <c r="D2373" s="5">
        <v>599.777282714843</v>
      </c>
      <c r="E2373" s="7">
        <f t="shared" ref="E2373:F2373" si="2371">C2373/C2372-1</f>
        <v>-0.0125000905</v>
      </c>
      <c r="F2373" s="7">
        <f t="shared" si="2371"/>
        <v>-0.003221581839</v>
      </c>
    </row>
    <row r="2374">
      <c r="A2374" s="3">
        <f>IFERROR(__xludf.DUMMYFUNCTION("""COMPUTED_VALUE"""),45701.66666666667)</f>
        <v>45701.66667</v>
      </c>
      <c r="B2374" s="5">
        <f>IFERROR(__xludf.DUMMYFUNCTION("""COMPUTED_VALUE"""),135.29)</f>
        <v>135.29</v>
      </c>
      <c r="C2374" s="5">
        <v>135.268157958984</v>
      </c>
      <c r="D2374" s="5">
        <v>606.109436035156</v>
      </c>
      <c r="E2374" s="7">
        <f t="shared" ref="E2374:F2374" si="2372">C2374/C2373-1</f>
        <v>0.0316455107</v>
      </c>
      <c r="F2374" s="7">
        <f t="shared" si="2372"/>
        <v>0.01055750777</v>
      </c>
    </row>
    <row r="2375">
      <c r="A2375" s="3">
        <f>IFERROR(__xludf.DUMMYFUNCTION("""COMPUTED_VALUE"""),45702.66666666667)</f>
        <v>45702.66667</v>
      </c>
      <c r="B2375" s="5">
        <f>IFERROR(__xludf.DUMMYFUNCTION("""COMPUTED_VALUE"""),138.85)</f>
        <v>138.85</v>
      </c>
      <c r="C2375" s="5">
        <v>138.827590942382</v>
      </c>
      <c r="D2375" s="5">
        <v>606.079650878906</v>
      </c>
      <c r="E2375" s="7">
        <f t="shared" ref="E2375:F2375" si="2373">C2375/C2374-1</f>
        <v>0.02631390149</v>
      </c>
      <c r="F2375" s="7">
        <f t="shared" si="2373"/>
        <v>-0.0000491415485</v>
      </c>
    </row>
    <row r="2376">
      <c r="A2376" s="3">
        <f>IFERROR(__xludf.DUMMYFUNCTION("""COMPUTED_VALUE"""),45706.66666666667)</f>
        <v>45706.66667</v>
      </c>
      <c r="B2376" s="5">
        <f>IFERROR(__xludf.DUMMYFUNCTION("""COMPUTED_VALUE"""),139.4)</f>
        <v>139.4</v>
      </c>
      <c r="C2376" s="5">
        <v>139.377502441406</v>
      </c>
      <c r="D2376" s="5">
        <v>607.859008789062</v>
      </c>
      <c r="E2376" s="7">
        <f t="shared" ref="E2376:F2376" si="2374">C2376/C2375-1</f>
        <v>0.00396111101</v>
      </c>
      <c r="F2376" s="7">
        <f t="shared" si="2374"/>
        <v>0.002935848296</v>
      </c>
    </row>
    <row r="2377">
      <c r="A2377" s="3">
        <f>IFERROR(__xludf.DUMMYFUNCTION("""COMPUTED_VALUE"""),45707.66666666667)</f>
        <v>45707.66667</v>
      </c>
      <c r="B2377" s="5">
        <f>IFERROR(__xludf.DUMMYFUNCTION("""COMPUTED_VALUE"""),139.23)</f>
        <v>139.23</v>
      </c>
      <c r="C2377" s="5">
        <v>139.20751953125</v>
      </c>
      <c r="D2377" s="5">
        <v>609.290466308593</v>
      </c>
      <c r="E2377" s="7">
        <f t="shared" ref="E2377:F2377" si="2375">C2377/C2376-1</f>
        <v>-0.001219586427</v>
      </c>
      <c r="F2377" s="7">
        <f t="shared" si="2375"/>
        <v>0.00235491701</v>
      </c>
    </row>
    <row r="2378">
      <c r="A2378" s="3">
        <f>IFERROR(__xludf.DUMMYFUNCTION("""COMPUTED_VALUE"""),45708.66666666667)</f>
        <v>45708.66667</v>
      </c>
      <c r="B2378" s="5">
        <f>IFERROR(__xludf.DUMMYFUNCTION("""COMPUTED_VALUE"""),140.11)</f>
        <v>140.11</v>
      </c>
      <c r="C2378" s="5">
        <v>140.08738708496</v>
      </c>
      <c r="D2378" s="5">
        <v>606.755615234375</v>
      </c>
      <c r="E2378" s="7">
        <f t="shared" ref="E2378:F2378" si="2376">C2378/C2377-1</f>
        <v>0.006320546165</v>
      </c>
      <c r="F2378" s="7">
        <f t="shared" si="2376"/>
        <v>-0.004160332738</v>
      </c>
    </row>
    <row r="2379">
      <c r="A2379" s="3">
        <f>IFERROR(__xludf.DUMMYFUNCTION("""COMPUTED_VALUE"""),45709.66666666667)</f>
        <v>45709.66667</v>
      </c>
      <c r="B2379" s="5">
        <f>IFERROR(__xludf.DUMMYFUNCTION("""COMPUTED_VALUE"""),134.43)</f>
        <v>134.43</v>
      </c>
      <c r="C2379" s="5">
        <v>134.408294677734</v>
      </c>
      <c r="D2379" s="5">
        <v>596.377624511718</v>
      </c>
      <c r="E2379" s="7">
        <f t="shared" ref="E2379:F2379" si="2377">C2379/C2378-1</f>
        <v>-0.04053964119</v>
      </c>
      <c r="F2379" s="7">
        <f t="shared" si="2377"/>
        <v>-0.01710407034</v>
      </c>
    </row>
    <row r="2380">
      <c r="A2380" s="3">
        <f>IFERROR(__xludf.DUMMYFUNCTION("""COMPUTED_VALUE"""),45712.66666666667)</f>
        <v>45712.66667</v>
      </c>
      <c r="B2380" s="5">
        <f>IFERROR(__xludf.DUMMYFUNCTION("""COMPUTED_VALUE"""),130.28)</f>
        <v>130.28</v>
      </c>
      <c r="C2380" s="5">
        <v>130.258972167968</v>
      </c>
      <c r="D2380" s="5">
        <v>593.663818359375</v>
      </c>
      <c r="E2380" s="7">
        <f t="shared" ref="E2380:F2380" si="2378">C2380/C2379-1</f>
        <v>-0.03087103009</v>
      </c>
      <c r="F2380" s="7">
        <f t="shared" si="2378"/>
        <v>-0.00455048285</v>
      </c>
    </row>
    <row r="2381">
      <c r="A2381" s="3">
        <f>IFERROR(__xludf.DUMMYFUNCTION("""COMPUTED_VALUE"""),45713.66666666667)</f>
        <v>45713.66667</v>
      </c>
      <c r="B2381" s="5">
        <f>IFERROR(__xludf.DUMMYFUNCTION("""COMPUTED_VALUE"""),126.63)</f>
        <v>126.63</v>
      </c>
      <c r="C2381" s="5">
        <v>126.609565734863</v>
      </c>
      <c r="D2381" s="5">
        <v>590.71142578125</v>
      </c>
      <c r="E2381" s="7">
        <f t="shared" ref="E2381:F2381" si="2379">C2381/C2380-1</f>
        <v>-0.0280165456</v>
      </c>
      <c r="F2381" s="7">
        <f t="shared" si="2379"/>
        <v>-0.004973172504</v>
      </c>
    </row>
    <row r="2382">
      <c r="A2382" s="3">
        <f>IFERROR(__xludf.DUMMYFUNCTION("""COMPUTED_VALUE"""),45714.66666666667)</f>
        <v>45714.66667</v>
      </c>
      <c r="B2382" s="5">
        <f>IFERROR(__xludf.DUMMYFUNCTION("""COMPUTED_VALUE"""),131.28)</f>
        <v>131.28</v>
      </c>
      <c r="C2382" s="5">
        <v>131.258819580078</v>
      </c>
      <c r="D2382" s="5">
        <v>591.009643554687</v>
      </c>
      <c r="E2382" s="7">
        <f t="shared" ref="E2382:F2382" si="2380">C2382/C2381-1</f>
        <v>0.03672118942</v>
      </c>
      <c r="F2382" s="7">
        <f t="shared" si="2380"/>
        <v>0.0005048451078</v>
      </c>
    </row>
    <row r="2383">
      <c r="A2383" s="3">
        <f>IFERROR(__xludf.DUMMYFUNCTION("""COMPUTED_VALUE"""),45715.66666666667)</f>
        <v>45715.66667</v>
      </c>
      <c r="B2383" s="5">
        <f>IFERROR(__xludf.DUMMYFUNCTION("""COMPUTED_VALUE"""),120.15)</f>
        <v>120.15</v>
      </c>
      <c r="C2383" s="5">
        <v>120.130615234375</v>
      </c>
      <c r="D2383" s="5">
        <v>581.575988769531</v>
      </c>
      <c r="E2383" s="7">
        <f t="shared" ref="E2383:F2383" si="2381">C2383/C2382-1</f>
        <v>-0.08478062184</v>
      </c>
      <c r="F2383" s="7">
        <f t="shared" si="2381"/>
        <v>-0.01596193038</v>
      </c>
    </row>
    <row r="2384">
      <c r="A2384" s="3">
        <f>IFERROR(__xludf.DUMMYFUNCTION("""COMPUTED_VALUE"""),45716.66666666667)</f>
        <v>45716.66667</v>
      </c>
      <c r="B2384" s="5">
        <f>IFERROR(__xludf.DUMMYFUNCTION("""COMPUTED_VALUE"""),124.92)</f>
        <v>124.92</v>
      </c>
      <c r="C2384" s="5">
        <v>124.899833679199</v>
      </c>
      <c r="D2384" s="5">
        <v>590.651794433593</v>
      </c>
      <c r="E2384" s="7">
        <f t="shared" ref="E2384:F2384" si="2382">C2384/C2383-1</f>
        <v>0.03970027487</v>
      </c>
      <c r="F2384" s="7">
        <f t="shared" si="2382"/>
        <v>0.01560553709</v>
      </c>
    </row>
    <row r="2385">
      <c r="A2385" s="3">
        <f>IFERROR(__xludf.DUMMYFUNCTION("""COMPUTED_VALUE"""),45719.66666666667)</f>
        <v>45719.66667</v>
      </c>
      <c r="B2385" s="5">
        <f>IFERROR(__xludf.DUMMYFUNCTION("""COMPUTED_VALUE"""),114.06)</f>
        <v>114.06</v>
      </c>
      <c r="C2385" s="5">
        <v>114.041587829589</v>
      </c>
      <c r="D2385" s="5">
        <v>580.303649902343</v>
      </c>
      <c r="E2385" s="7">
        <f t="shared" ref="E2385:F2385" si="2383">C2385/C2384-1</f>
        <v>-0.08693563098</v>
      </c>
      <c r="F2385" s="7">
        <f t="shared" si="2383"/>
        <v>-0.01751987318</v>
      </c>
    </row>
    <row r="2386">
      <c r="A2386" s="3">
        <f>IFERROR(__xludf.DUMMYFUNCTION("""COMPUTED_VALUE"""),45720.66666666667)</f>
        <v>45720.66667</v>
      </c>
      <c r="B2386" s="5">
        <f>IFERROR(__xludf.DUMMYFUNCTION("""COMPUTED_VALUE"""),115.99)</f>
        <v>115.99</v>
      </c>
      <c r="C2386" s="5">
        <v>115.971275329589</v>
      </c>
      <c r="D2386" s="5">
        <v>573.434631347656</v>
      </c>
      <c r="E2386" s="7">
        <f t="shared" ref="E2386:F2386" si="2384">C2386/C2385-1</f>
        <v>0.01692091049</v>
      </c>
      <c r="F2386" s="7">
        <f t="shared" si="2384"/>
        <v>-0.0118369384</v>
      </c>
    </row>
    <row r="2387">
      <c r="A2387" s="3">
        <f>IFERROR(__xludf.DUMMYFUNCTION("""COMPUTED_VALUE"""),45721.66666666667)</f>
        <v>45721.66667</v>
      </c>
      <c r="B2387" s="5">
        <f>IFERROR(__xludf.DUMMYFUNCTION("""COMPUTED_VALUE"""),117.3)</f>
        <v>117.3</v>
      </c>
      <c r="C2387" s="5">
        <v>117.281066894531</v>
      </c>
      <c r="D2387" s="5">
        <v>579.597839355468</v>
      </c>
      <c r="E2387" s="7">
        <f t="shared" ref="E2387:F2387" si="2385">C2387/C2386-1</f>
        <v>0.01129410331</v>
      </c>
      <c r="F2387" s="7">
        <f t="shared" si="2385"/>
        <v>0.01074788245</v>
      </c>
    </row>
    <row r="2388">
      <c r="A2388" s="3">
        <f>IFERROR(__xludf.DUMMYFUNCTION("""COMPUTED_VALUE"""),45722.66666666667)</f>
        <v>45722.66667</v>
      </c>
      <c r="B2388" s="5">
        <f>IFERROR(__xludf.DUMMYFUNCTION("""COMPUTED_VALUE"""),110.57)</f>
        <v>110.57</v>
      </c>
      <c r="C2388" s="5">
        <v>110.552154541015</v>
      </c>
      <c r="D2388" s="5">
        <v>569.309326171875</v>
      </c>
      <c r="E2388" s="7">
        <f t="shared" ref="E2388:F2388" si="2386">C2388/C2387-1</f>
        <v>-0.05737424234</v>
      </c>
      <c r="F2388" s="7">
        <f t="shared" si="2386"/>
        <v>-0.01775112412</v>
      </c>
    </row>
    <row r="2389">
      <c r="A2389" s="3">
        <f>IFERROR(__xludf.DUMMYFUNCTION("""COMPUTED_VALUE"""),45723.66666666667)</f>
        <v>45723.66667</v>
      </c>
      <c r="B2389" s="5">
        <f>IFERROR(__xludf.DUMMYFUNCTION("""COMPUTED_VALUE"""),112.69)</f>
        <v>112.69</v>
      </c>
      <c r="C2389" s="5">
        <v>112.671813964843</v>
      </c>
      <c r="D2389" s="5">
        <v>572.500183105468</v>
      </c>
      <c r="E2389" s="7">
        <f t="shared" ref="E2389:F2389" si="2387">C2389/C2388-1</f>
        <v>0.01917338864</v>
      </c>
      <c r="F2389" s="7">
        <f t="shared" si="2387"/>
        <v>0.005604785987</v>
      </c>
    </row>
    <row r="2390">
      <c r="A2390" s="3">
        <f>IFERROR(__xludf.DUMMYFUNCTION("""COMPUTED_VALUE"""),45726.66666666667)</f>
        <v>45726.66667</v>
      </c>
      <c r="B2390" s="5">
        <f>IFERROR(__xludf.DUMMYFUNCTION("""COMPUTED_VALUE"""),106.98)</f>
        <v>106.98</v>
      </c>
      <c r="C2390" s="5">
        <v>106.962730407714</v>
      </c>
      <c r="D2390" s="5">
        <v>557.251342773437</v>
      </c>
      <c r="E2390" s="7">
        <f t="shared" ref="E2390:F2390" si="2388">C2390/C2389-1</f>
        <v>-0.05067002435</v>
      </c>
      <c r="F2390" s="7">
        <f t="shared" si="2388"/>
        <v>-0.02663552045</v>
      </c>
    </row>
    <row r="2391">
      <c r="A2391" s="3">
        <f>IFERROR(__xludf.DUMMYFUNCTION("""COMPUTED_VALUE"""),45727.66666666667)</f>
        <v>45727.66667</v>
      </c>
      <c r="B2391" s="5">
        <f>IFERROR(__xludf.DUMMYFUNCTION("""COMPUTED_VALUE"""),108.76)</f>
        <v>108.76</v>
      </c>
      <c r="C2391" s="5">
        <v>108.742446899414</v>
      </c>
      <c r="D2391" s="5">
        <v>552.618957519531</v>
      </c>
      <c r="E2391" s="7">
        <f t="shared" ref="E2391:F2391" si="2389">C2391/C2390-1</f>
        <v>0.01663865989</v>
      </c>
      <c r="F2391" s="7">
        <f t="shared" si="2389"/>
        <v>-0.008312918962</v>
      </c>
    </row>
    <row r="2392">
      <c r="A2392" s="3">
        <f>IFERROR(__xludf.DUMMYFUNCTION("""COMPUTED_VALUE"""),45728.66666666667)</f>
        <v>45728.66667</v>
      </c>
      <c r="B2392" s="5">
        <f>IFERROR(__xludf.DUMMYFUNCTION("""COMPUTED_VALUE"""),115.74)</f>
        <v>115.74</v>
      </c>
      <c r="C2392" s="5">
        <v>115.731964111328</v>
      </c>
      <c r="D2392" s="5">
        <v>555.551513671875</v>
      </c>
      <c r="E2392" s="7">
        <f t="shared" ref="E2392:F2392" si="2390">C2392/C2391-1</f>
        <v>0.06427588684</v>
      </c>
      <c r="F2392" s="7">
        <f t="shared" si="2390"/>
        <v>0.005306651378</v>
      </c>
    </row>
    <row r="2393">
      <c r="A2393" s="3">
        <f>IFERROR(__xludf.DUMMYFUNCTION("""COMPUTED_VALUE"""),45729.66666666667)</f>
        <v>45729.66667</v>
      </c>
      <c r="B2393" s="5">
        <f>IFERROR(__xludf.DUMMYFUNCTION("""COMPUTED_VALUE"""),115.58)</f>
        <v>115.58</v>
      </c>
      <c r="C2393" s="5">
        <v>115.571975708007</v>
      </c>
      <c r="D2393" s="5">
        <v>548.145690917968</v>
      </c>
      <c r="E2393" s="7">
        <f t="shared" ref="E2393:F2393" si="2391">C2393/C2392-1</f>
        <v>-0.001382404633</v>
      </c>
      <c r="F2393" s="7">
        <f t="shared" si="2391"/>
        <v>-0.01333057794</v>
      </c>
    </row>
    <row r="2394">
      <c r="A2394" s="3">
        <f>IFERROR(__xludf.DUMMYFUNCTION("""COMPUTED_VALUE"""),45730.66666666667)</f>
        <v>45730.66667</v>
      </c>
      <c r="B2394" s="5">
        <f>IFERROR(__xludf.DUMMYFUNCTION("""COMPUTED_VALUE"""),121.67)</f>
        <v>121.67</v>
      </c>
      <c r="C2394" s="5">
        <v>121.661552429199</v>
      </c>
      <c r="D2394" s="5">
        <v>559.468078613281</v>
      </c>
      <c r="E2394" s="7">
        <f t="shared" ref="E2394:F2394" si="2392">C2394/C2393-1</f>
        <v>0.05269077286</v>
      </c>
      <c r="F2394" s="7">
        <f t="shared" si="2392"/>
        <v>0.02065579988</v>
      </c>
    </row>
    <row r="2395">
      <c r="A2395" s="3">
        <f>IFERROR(__xludf.DUMMYFUNCTION("""COMPUTED_VALUE"""),45733.66666666667)</f>
        <v>45733.66667</v>
      </c>
      <c r="B2395" s="5">
        <f>IFERROR(__xludf.DUMMYFUNCTION("""COMPUTED_VALUE"""),119.53)</f>
        <v>119.53</v>
      </c>
      <c r="C2395" s="5">
        <v>119.521697998046</v>
      </c>
      <c r="D2395" s="5">
        <v>563.782348632812</v>
      </c>
      <c r="E2395" s="7">
        <f t="shared" ref="E2395:F2395" si="2393">C2395/C2394-1</f>
        <v>-0.01758858397</v>
      </c>
      <c r="F2395" s="7">
        <f t="shared" si="2393"/>
        <v>0.007711378333</v>
      </c>
    </row>
    <row r="2396">
      <c r="A2396" s="3">
        <f>IFERROR(__xludf.DUMMYFUNCTION("""COMPUTED_VALUE"""),45734.66666666667)</f>
        <v>45734.66667</v>
      </c>
      <c r="B2396" s="5">
        <f>IFERROR(__xludf.DUMMYFUNCTION("""COMPUTED_VALUE"""),115.43)</f>
        <v>115.43</v>
      </c>
      <c r="C2396" s="5">
        <v>115.421981811523</v>
      </c>
      <c r="D2396" s="5">
        <v>557.688720703125</v>
      </c>
      <c r="E2396" s="7">
        <f t="shared" ref="E2396:F2396" si="2394">C2396/C2395-1</f>
        <v>-0.03430102028</v>
      </c>
      <c r="F2396" s="7">
        <f t="shared" si="2394"/>
        <v>-0.0108084759</v>
      </c>
    </row>
    <row r="2397">
      <c r="A2397" s="3">
        <f>IFERROR(__xludf.DUMMYFUNCTION("""COMPUTED_VALUE"""),45735.66666666667)</f>
        <v>45735.66667</v>
      </c>
      <c r="B2397" s="5">
        <f>IFERROR(__xludf.DUMMYFUNCTION("""COMPUTED_VALUE"""),117.52)</f>
        <v>117.52</v>
      </c>
      <c r="C2397" s="5">
        <v>117.511833190917</v>
      </c>
      <c r="D2397" s="5">
        <v>563.762451171875</v>
      </c>
      <c r="E2397" s="7">
        <f t="shared" ref="E2397:F2397" si="2395">C2397/C2396-1</f>
        <v>0.01810618174</v>
      </c>
      <c r="F2397" s="7">
        <f t="shared" si="2395"/>
        <v>0.0108908971</v>
      </c>
    </row>
    <row r="2398">
      <c r="A2398" s="3">
        <f>IFERROR(__xludf.DUMMYFUNCTION("""COMPUTED_VALUE"""),45736.66666666667)</f>
        <v>45736.66667</v>
      </c>
      <c r="B2398" s="5">
        <f>IFERROR(__xludf.DUMMYFUNCTION("""COMPUTED_VALUE"""),118.53)</f>
        <v>118.53</v>
      </c>
      <c r="C2398" s="5">
        <v>118.521766662597</v>
      </c>
      <c r="D2398" s="5">
        <v>562.132141113281</v>
      </c>
      <c r="E2398" s="7">
        <f t="shared" ref="E2398:F2398" si="2396">C2398/C2397-1</f>
        <v>0.008594312966</v>
      </c>
      <c r="F2398" s="7">
        <f t="shared" si="2396"/>
        <v>-0.002891838673</v>
      </c>
    </row>
    <row r="2399">
      <c r="A2399" s="3">
        <f>IFERROR(__xludf.DUMMYFUNCTION("""COMPUTED_VALUE"""),45737.66666666667)</f>
        <v>45737.66667</v>
      </c>
      <c r="B2399" s="5">
        <f>IFERROR(__xludf.DUMMYFUNCTION("""COMPUTED_VALUE"""),117.7)</f>
        <v>117.7</v>
      </c>
      <c r="C2399" s="5">
        <v>117.691825866699</v>
      </c>
      <c r="D2399" s="5">
        <v>562.317626953125</v>
      </c>
      <c r="E2399" s="7">
        <f t="shared" ref="E2399:F2399" si="2397">C2399/C2398-1</f>
        <v>-0.007002433555</v>
      </c>
      <c r="F2399" s="7">
        <f t="shared" si="2397"/>
        <v>0.000329968394</v>
      </c>
    </row>
    <row r="2400">
      <c r="A2400" s="3">
        <f>IFERROR(__xludf.DUMMYFUNCTION("""COMPUTED_VALUE"""),45740.66666666667)</f>
        <v>45740.66667</v>
      </c>
      <c r="B2400" s="5">
        <f>IFERROR(__xludf.DUMMYFUNCTION("""COMPUTED_VALUE"""),121.41)</f>
        <v>121.41</v>
      </c>
      <c r="C2400" s="5">
        <v>121.401573181152</v>
      </c>
      <c r="D2400" s="5">
        <v>572.387878417968</v>
      </c>
      <c r="E2400" s="7">
        <f t="shared" ref="E2400:F2400" si="2398">C2400/C2399-1</f>
        <v>0.03152085786</v>
      </c>
      <c r="F2400" s="7">
        <f t="shared" si="2398"/>
        <v>0.01790847553</v>
      </c>
    </row>
    <row r="2401">
      <c r="A2401" s="3">
        <f>IFERROR(__xludf.DUMMYFUNCTION("""COMPUTED_VALUE"""),45741.66666666667)</f>
        <v>45741.66667</v>
      </c>
      <c r="B2401" s="5">
        <f>IFERROR(__xludf.DUMMYFUNCTION("""COMPUTED_VALUE"""),120.69)</f>
        <v>120.69</v>
      </c>
      <c r="C2401" s="5">
        <v>120.68162536621</v>
      </c>
      <c r="D2401" s="5">
        <v>573.763793945312</v>
      </c>
      <c r="E2401" s="7">
        <f t="shared" ref="E2401:F2401" si="2399">C2401/C2400-1</f>
        <v>-0.00593030054</v>
      </c>
      <c r="F2401" s="7">
        <f t="shared" si="2399"/>
        <v>0.002403816676</v>
      </c>
    </row>
    <row r="2402">
      <c r="A2402" s="3">
        <f>IFERROR(__xludf.DUMMYFUNCTION("""COMPUTED_VALUE"""),45742.66666666667)</f>
        <v>45742.66667</v>
      </c>
      <c r="B2402" s="5">
        <f>IFERROR(__xludf.DUMMYFUNCTION("""COMPUTED_VALUE"""),113.76)</f>
        <v>113.76</v>
      </c>
      <c r="C2402" s="5">
        <v>113.75210571289</v>
      </c>
      <c r="D2402" s="5">
        <v>566.9140625</v>
      </c>
      <c r="E2402" s="7">
        <f t="shared" ref="E2402:F2402" si="2400">C2402/C2401-1</f>
        <v>-0.05741984028</v>
      </c>
      <c r="F2402" s="7">
        <f t="shared" si="2400"/>
        <v>-0.01193824274</v>
      </c>
    </row>
    <row r="2403">
      <c r="A2403" s="3">
        <f>IFERROR(__xludf.DUMMYFUNCTION("""COMPUTED_VALUE"""),45743.66666666667)</f>
        <v>45743.66667</v>
      </c>
      <c r="B2403" s="5">
        <f>IFERROR(__xludf.DUMMYFUNCTION("""COMPUTED_VALUE"""),111.43)</f>
        <v>111.43</v>
      </c>
      <c r="C2403" s="5">
        <v>111.422264099121</v>
      </c>
      <c r="D2403" s="5">
        <v>565.408508300781</v>
      </c>
      <c r="E2403" s="7">
        <f t="shared" ref="E2403:F2403" si="2401">C2403/C2402-1</f>
        <v>-0.02048174492</v>
      </c>
      <c r="F2403" s="7">
        <f t="shared" si="2401"/>
        <v>-0.002655700923</v>
      </c>
    </row>
    <row r="2404">
      <c r="A2404" s="3">
        <f>IFERROR(__xludf.DUMMYFUNCTION("""COMPUTED_VALUE"""),45744.66666666667)</f>
        <v>45744.66667</v>
      </c>
      <c r="B2404" s="5">
        <f>IFERROR(__xludf.DUMMYFUNCTION("""COMPUTED_VALUE"""),109.67)</f>
        <v>109.67</v>
      </c>
      <c r="C2404" s="5">
        <v>109.662384033203</v>
      </c>
      <c r="D2404" s="5">
        <v>554.022155761718</v>
      </c>
      <c r="E2404" s="7">
        <f t="shared" ref="E2404:F2404" si="2402">C2404/C2403-1</f>
        <v>-0.01579468951</v>
      </c>
      <c r="F2404" s="7">
        <f t="shared" si="2402"/>
        <v>-0.0201382759</v>
      </c>
    </row>
    <row r="2405">
      <c r="A2405" s="3">
        <f>IFERROR(__xludf.DUMMYFUNCTION("""COMPUTED_VALUE"""),45747.66666666667)</f>
        <v>45747.66667</v>
      </c>
      <c r="B2405" s="5">
        <f>IFERROR(__xludf.DUMMYFUNCTION("""COMPUTED_VALUE"""),108.38)</f>
        <v>108.38</v>
      </c>
      <c r="C2405" s="5">
        <v>108.37247467041</v>
      </c>
      <c r="D2405" s="5">
        <v>557.741149902343</v>
      </c>
      <c r="E2405" s="7">
        <f t="shared" ref="E2405:F2405" si="2403">C2405/C2404-1</f>
        <v>-0.0117625508</v>
      </c>
      <c r="F2405" s="7">
        <f t="shared" si="2403"/>
        <v>0.006712717356</v>
      </c>
    </row>
    <row r="2406">
      <c r="A2406" s="3">
        <f>IFERROR(__xludf.DUMMYFUNCTION("""COMPUTED_VALUE"""),45748.66666666667)</f>
        <v>45748.66667</v>
      </c>
      <c r="B2406" s="5">
        <f>IFERROR(__xludf.DUMMYFUNCTION("""COMPUTED_VALUE"""),110.15)</f>
        <v>110.15</v>
      </c>
      <c r="C2406" s="5">
        <v>110.142349243164</v>
      </c>
      <c r="D2406" s="5">
        <v>559.316467285156</v>
      </c>
      <c r="E2406" s="7">
        <f t="shared" ref="E2406:F2406" si="2404">C2406/C2405-1</f>
        <v>0.01633140314</v>
      </c>
      <c r="F2406" s="7">
        <f t="shared" si="2404"/>
        <v>0.002824459668</v>
      </c>
    </row>
    <row r="2407">
      <c r="A2407" s="3">
        <f>IFERROR(__xludf.DUMMYFUNCTION("""COMPUTED_VALUE"""),45749.66666666667)</f>
        <v>45749.66667</v>
      </c>
      <c r="B2407" s="5">
        <f>IFERROR(__xludf.DUMMYFUNCTION("""COMPUTED_VALUE"""),110.42)</f>
        <v>110.42</v>
      </c>
      <c r="C2407" s="5">
        <v>110.412330627441</v>
      </c>
      <c r="D2407" s="5">
        <v>562.856079101562</v>
      </c>
      <c r="E2407" s="7">
        <f t="shared" ref="E2407:F2407" si="2405">C2407/C2406-1</f>
        <v>0.002451204157</v>
      </c>
      <c r="F2407" s="7">
        <f t="shared" si="2405"/>
        <v>0.006328459867</v>
      </c>
    </row>
    <row r="2408">
      <c r="A2408" s="3">
        <f>IFERROR(__xludf.DUMMYFUNCTION("""COMPUTED_VALUE"""),45750.66666666667)</f>
        <v>45750.66667</v>
      </c>
      <c r="B2408" s="5">
        <f>IFERROR(__xludf.DUMMYFUNCTION("""COMPUTED_VALUE"""),101.8)</f>
        <v>101.8</v>
      </c>
      <c r="C2408" s="5">
        <v>101.792930603027</v>
      </c>
      <c r="D2408" s="5">
        <v>535.118041992187</v>
      </c>
      <c r="E2408" s="7">
        <f t="shared" ref="E2408:F2408" si="2406">C2408/C2407-1</f>
        <v>-0.07806555641</v>
      </c>
      <c r="F2408" s="7">
        <f t="shared" si="2406"/>
        <v>-0.04928086973</v>
      </c>
    </row>
    <row r="2409">
      <c r="A2409" s="3">
        <f>IFERROR(__xludf.DUMMYFUNCTION("""COMPUTED_VALUE"""),45751.66666666667)</f>
        <v>45751.66667</v>
      </c>
      <c r="B2409" s="5">
        <f>IFERROR(__xludf.DUMMYFUNCTION("""COMPUTED_VALUE"""),94.31)</f>
        <v>94.31</v>
      </c>
      <c r="C2409" s="5">
        <v>94.3034515380859</v>
      </c>
      <c r="D2409" s="5">
        <v>503.790649414062</v>
      </c>
      <c r="E2409" s="7">
        <f t="shared" ref="E2409:F2409" si="2407">C2409/C2408-1</f>
        <v>-0.07357563065</v>
      </c>
      <c r="F2409" s="7">
        <f t="shared" si="2407"/>
        <v>-0.0585429571</v>
      </c>
    </row>
    <row r="2410">
      <c r="A2410" s="3">
        <f>IFERROR(__xludf.DUMMYFUNCTION("""COMPUTED_VALUE"""),45754.66666666667)</f>
        <v>45754.66667</v>
      </c>
      <c r="B2410" s="5">
        <f>IFERROR(__xludf.DUMMYFUNCTION("""COMPUTED_VALUE"""),97.64)</f>
        <v>97.64</v>
      </c>
      <c r="C2410" s="5">
        <v>97.6332168579101</v>
      </c>
      <c r="D2410" s="5">
        <v>502.893310546875</v>
      </c>
      <c r="E2410" s="7">
        <f t="shared" ref="E2410:F2410" si="2408">C2410/C2409-1</f>
        <v>0.03530905036</v>
      </c>
      <c r="F2410" s="7">
        <f t="shared" si="2408"/>
        <v>-0.001781174121</v>
      </c>
    </row>
    <row r="2411">
      <c r="A2411" s="3">
        <f>IFERROR(__xludf.DUMMYFUNCTION("""COMPUTED_VALUE"""),45755.66666666667)</f>
        <v>45755.66667</v>
      </c>
      <c r="B2411" s="5">
        <f>IFERROR(__xludf.DUMMYFUNCTION("""COMPUTED_VALUE"""),96.3)</f>
        <v>96.3</v>
      </c>
      <c r="C2411" s="5">
        <v>96.2933197021484</v>
      </c>
      <c r="D2411" s="5">
        <v>495.0166015625</v>
      </c>
      <c r="E2411" s="7">
        <f t="shared" ref="E2411:F2411" si="2409">C2411/C2410-1</f>
        <v>-0.01372378376</v>
      </c>
      <c r="F2411" s="7">
        <f t="shared" si="2409"/>
        <v>-0.01566278338</v>
      </c>
    </row>
    <row r="2412">
      <c r="A2412" s="3">
        <f>IFERROR(__xludf.DUMMYFUNCTION("""COMPUTED_VALUE"""),45756.66666666667)</f>
        <v>45756.66667</v>
      </c>
      <c r="B2412" s="5">
        <f>IFERROR(__xludf.DUMMYFUNCTION("""COMPUTED_VALUE"""),114.33)</f>
        <v>114.33</v>
      </c>
      <c r="C2412" s="5">
        <v>114.322059631347</v>
      </c>
      <c r="D2412" s="5">
        <v>547.0029296875</v>
      </c>
      <c r="E2412" s="7">
        <f t="shared" ref="E2412:F2412" si="2410">C2412/C2411-1</f>
        <v>0.1872273174</v>
      </c>
      <c r="F2412" s="7">
        <f t="shared" si="2410"/>
        <v>0.1050193629</v>
      </c>
    </row>
    <row r="2413">
      <c r="A2413" s="3">
        <f>IFERROR(__xludf.DUMMYFUNCTION("""COMPUTED_VALUE"""),45757.66666666667)</f>
        <v>45757.66667</v>
      </c>
      <c r="B2413" s="5">
        <f>IFERROR(__xludf.DUMMYFUNCTION("""COMPUTED_VALUE"""),107.57)</f>
        <v>107.57</v>
      </c>
      <c r="C2413" s="5">
        <v>107.562530517578</v>
      </c>
      <c r="D2413" s="5">
        <v>523.033752441406</v>
      </c>
      <c r="E2413" s="7">
        <f t="shared" ref="E2413:F2413" si="2411">C2413/C2412-1</f>
        <v>-0.05912707605</v>
      </c>
      <c r="F2413" s="7">
        <f t="shared" si="2411"/>
        <v>-0.04381910214</v>
      </c>
    </row>
    <row r="2414">
      <c r="A2414" s="3">
        <f>IFERROR(__xludf.DUMMYFUNCTION("""COMPUTED_VALUE"""),45758.66666666667)</f>
        <v>45758.66667</v>
      </c>
      <c r="B2414" s="5">
        <f>IFERROR(__xludf.DUMMYFUNCTION("""COMPUTED_VALUE"""),110.93)</f>
        <v>110.93</v>
      </c>
      <c r="C2414" s="5">
        <v>110.922294616699</v>
      </c>
      <c r="D2414" s="5">
        <v>532.366149902343</v>
      </c>
      <c r="E2414" s="7">
        <f t="shared" ref="E2414:F2414" si="2412">C2414/C2413-1</f>
        <v>0.03123545051</v>
      </c>
      <c r="F2414" s="7">
        <f t="shared" si="2412"/>
        <v>0.01784282069</v>
      </c>
    </row>
    <row r="2415">
      <c r="A2415" s="3">
        <f>IFERROR(__xludf.DUMMYFUNCTION("""COMPUTED_VALUE"""),45761.66666666667)</f>
        <v>45761.66667</v>
      </c>
      <c r="B2415" s="5">
        <f>IFERROR(__xludf.DUMMYFUNCTION("""COMPUTED_VALUE"""),110.71)</f>
        <v>110.71</v>
      </c>
      <c r="C2415" s="5">
        <v>110.702308654785</v>
      </c>
      <c r="D2415" s="5">
        <v>537.530883789062</v>
      </c>
      <c r="E2415" s="7">
        <f t="shared" ref="E2415:F2415" si="2413">C2415/C2414-1</f>
        <v>-0.00198324388</v>
      </c>
      <c r="F2415" s="7">
        <f t="shared" si="2413"/>
        <v>0.009701469351</v>
      </c>
    </row>
    <row r="2416">
      <c r="A2416" s="3">
        <f>IFERROR(__xludf.DUMMYFUNCTION("""COMPUTED_VALUE"""),45762.66666666667)</f>
        <v>45762.66667</v>
      </c>
      <c r="B2416" s="5">
        <f>IFERROR(__xludf.DUMMYFUNCTION("""COMPUTED_VALUE"""),112.2)</f>
        <v>112.2</v>
      </c>
      <c r="C2416" s="5">
        <v>112.192207336425</v>
      </c>
      <c r="D2416" s="5">
        <v>536.025329589843</v>
      </c>
      <c r="E2416" s="7">
        <f t="shared" ref="E2416:F2416" si="2414">C2416/C2415-1</f>
        <v>0.01345860533</v>
      </c>
      <c r="F2416" s="7">
        <f t="shared" si="2414"/>
        <v>-0.002800870135</v>
      </c>
    </row>
    <row r="2417">
      <c r="A2417" s="3">
        <f>IFERROR(__xludf.DUMMYFUNCTION("""COMPUTED_VALUE"""),45763.66666666667)</f>
        <v>45763.66667</v>
      </c>
      <c r="B2417" s="5">
        <f>IFERROR(__xludf.DUMMYFUNCTION("""COMPUTED_VALUE"""),104.49)</f>
        <v>104.49</v>
      </c>
      <c r="C2417" s="5">
        <v>104.48274230957</v>
      </c>
      <c r="D2417" s="5">
        <v>524.110534667968</v>
      </c>
      <c r="E2417" s="7">
        <f t="shared" ref="E2417:F2417" si="2415">C2417/C2416-1</f>
        <v>-0.0687165821</v>
      </c>
      <c r="F2417" s="7">
        <f t="shared" si="2415"/>
        <v>-0.02222804458</v>
      </c>
    </row>
    <row r="2418">
      <c r="A2418" s="3">
        <f>IFERROR(__xludf.DUMMYFUNCTION("""COMPUTED_VALUE"""),45764.66666666667)</f>
        <v>45764.66667</v>
      </c>
      <c r="B2418" s="5">
        <f>IFERROR(__xludf.DUMMYFUNCTION("""COMPUTED_VALUE"""),101.49)</f>
        <v>101.49</v>
      </c>
      <c r="C2418" s="5">
        <v>101.482948303222</v>
      </c>
      <c r="D2418" s="5">
        <v>524.858337402343</v>
      </c>
      <c r="E2418" s="7">
        <f t="shared" ref="E2418:F2418" si="2416">C2418/C2417-1</f>
        <v>-0.02871090421</v>
      </c>
      <c r="F2418" s="7">
        <f t="shared" si="2416"/>
        <v>0.001426803479</v>
      </c>
    </row>
    <row r="2419">
      <c r="A2419" s="3">
        <f>IFERROR(__xludf.DUMMYFUNCTION("""COMPUTED_VALUE"""),45768.66666666667)</f>
        <v>45768.66667</v>
      </c>
      <c r="B2419" s="5">
        <f>IFERROR(__xludf.DUMMYFUNCTION("""COMPUTED_VALUE"""),96.91)</f>
        <v>96.91</v>
      </c>
      <c r="C2419" s="5">
        <v>96.9032745361328</v>
      </c>
      <c r="D2419" s="5">
        <v>512.365295410156</v>
      </c>
      <c r="E2419" s="7">
        <f t="shared" ref="E2419:F2419" si="2417">C2419/C2418-1</f>
        <v>-0.04512751988</v>
      </c>
      <c r="F2419" s="7">
        <f t="shared" si="2417"/>
        <v>-0.02380269323</v>
      </c>
    </row>
    <row r="2420">
      <c r="A2420" s="3">
        <f>IFERROR(__xludf.DUMMYFUNCTION("""COMPUTED_VALUE"""),45769.66666666667)</f>
        <v>45769.66667</v>
      </c>
      <c r="B2420" s="5">
        <f>IFERROR(__xludf.DUMMYFUNCTION("""COMPUTED_VALUE"""),98.89)</f>
        <v>98.89</v>
      </c>
      <c r="C2420" s="5">
        <v>98.8831329345703</v>
      </c>
      <c r="D2420" s="5">
        <v>525.695922851562</v>
      </c>
      <c r="E2420" s="7">
        <f t="shared" ref="E2420:F2420" si="2418">C2420/C2419-1</f>
        <v>0.02043128478</v>
      </c>
      <c r="F2420" s="7">
        <f t="shared" si="2418"/>
        <v>0.02601781885</v>
      </c>
    </row>
    <row r="2421">
      <c r="A2421" s="3">
        <f>IFERROR(__xludf.DUMMYFUNCTION("""COMPUTED_VALUE"""),45770.66666666667)</f>
        <v>45770.66667</v>
      </c>
      <c r="B2421" s="5">
        <f>IFERROR(__xludf.DUMMYFUNCTION("""COMPUTED_VALUE"""),102.71)</f>
        <v>102.71</v>
      </c>
      <c r="C2421" s="5">
        <v>102.702865600585</v>
      </c>
      <c r="D2421" s="5">
        <v>533.841796875</v>
      </c>
      <c r="E2421" s="7">
        <f t="shared" ref="E2421:F2421" si="2419">C2421/C2420-1</f>
        <v>0.03862875854</v>
      </c>
      <c r="F2421" s="7">
        <f t="shared" si="2419"/>
        <v>0.01549541031</v>
      </c>
    </row>
    <row r="2422">
      <c r="A2422" s="3">
        <f>IFERROR(__xludf.DUMMYFUNCTION("""COMPUTED_VALUE"""),45771.66666666667)</f>
        <v>45771.66667</v>
      </c>
      <c r="B2422" s="5">
        <f>IFERROR(__xludf.DUMMYFUNCTION("""COMPUTED_VALUE"""),106.43)</f>
        <v>106.43</v>
      </c>
      <c r="C2422" s="5">
        <v>106.422607421875</v>
      </c>
      <c r="D2422" s="5">
        <v>545.07861328125</v>
      </c>
      <c r="E2422" s="7">
        <f t="shared" ref="E2422:F2422" si="2420">C2422/C2421-1</f>
        <v>0.03621848134</v>
      </c>
      <c r="F2422" s="7">
        <f t="shared" si="2420"/>
        <v>0.02104896333</v>
      </c>
    </row>
    <row r="2423">
      <c r="A2423" s="3">
        <f>IFERROR(__xludf.DUMMYFUNCTION("""COMPUTED_VALUE"""),45772.66666666667)</f>
        <v>45772.66667</v>
      </c>
      <c r="B2423" s="5">
        <f>IFERROR(__xludf.DUMMYFUNCTION("""COMPUTED_VALUE"""),111.01)</f>
        <v>111.01</v>
      </c>
      <c r="C2423" s="5">
        <v>111.002296447753</v>
      </c>
      <c r="D2423" s="5">
        <v>549.016967773437</v>
      </c>
      <c r="E2423" s="7">
        <f t="shared" ref="E2423:F2423" si="2421">C2423/C2422-1</f>
        <v>0.04303304661</v>
      </c>
      <c r="F2423" s="7">
        <f t="shared" si="2421"/>
        <v>0.007225296308</v>
      </c>
    </row>
    <row r="2424">
      <c r="A2424" s="3">
        <f>IFERROR(__xludf.DUMMYFUNCTION("""COMPUTED_VALUE"""),45775.66666666667)</f>
        <v>45775.66667</v>
      </c>
      <c r="B2424" s="5">
        <f>IFERROR(__xludf.DUMMYFUNCTION("""COMPUTED_VALUE"""),108.73)</f>
        <v>108.73</v>
      </c>
      <c r="C2424" s="5">
        <v>108.722450256347</v>
      </c>
      <c r="D2424" s="5">
        <v>549.226318359375</v>
      </c>
      <c r="E2424" s="7">
        <f t="shared" ref="E2424:F2424" si="2422">C2424/C2423-1</f>
        <v>-0.02053872996</v>
      </c>
      <c r="F2424" s="7">
        <f t="shared" si="2422"/>
        <v>0.0003813189723</v>
      </c>
    </row>
    <row r="2425">
      <c r="A2425" s="3">
        <f>IFERROR(__xludf.DUMMYFUNCTION("""COMPUTED_VALUE"""),45776.66666666667)</f>
        <v>45776.66667</v>
      </c>
      <c r="B2425" s="5">
        <f>IFERROR(__xludf.DUMMYFUNCTION("""COMPUTED_VALUE"""),109.02)</f>
        <v>109.02</v>
      </c>
      <c r="C2425" s="5">
        <v>109.012428283691</v>
      </c>
      <c r="D2425" s="5">
        <v>552.686096191406</v>
      </c>
      <c r="E2425" s="7">
        <f t="shared" ref="E2425:F2425" si="2423">C2425/C2424-1</f>
        <v>0.002667140289</v>
      </c>
      <c r="F2425" s="7">
        <f t="shared" si="2423"/>
        <v>0.006299366429</v>
      </c>
    </row>
    <row r="2426">
      <c r="A2426" s="3">
        <f>IFERROR(__xludf.DUMMYFUNCTION("""COMPUTED_VALUE"""),45777.66666666667)</f>
        <v>45777.66667</v>
      </c>
      <c r="B2426" s="5">
        <f>IFERROR(__xludf.DUMMYFUNCTION("""COMPUTED_VALUE"""),108.92)</f>
        <v>108.92</v>
      </c>
      <c r="C2426" s="5">
        <v>108.912437438964</v>
      </c>
      <c r="D2426" s="5">
        <v>552.905456542968</v>
      </c>
      <c r="E2426" s="7">
        <f t="shared" ref="E2426:F2426" si="2424">C2426/C2425-1</f>
        <v>-0.0009172426145</v>
      </c>
      <c r="F2426" s="7">
        <f t="shared" si="2424"/>
        <v>0.0003968986249</v>
      </c>
    </row>
    <row r="2427">
      <c r="A2427" s="3">
        <f>IFERROR(__xludf.DUMMYFUNCTION("""COMPUTED_VALUE"""),45778.66666666667)</f>
        <v>45778.66667</v>
      </c>
      <c r="B2427" s="5">
        <f>IFERROR(__xludf.DUMMYFUNCTION("""COMPUTED_VALUE"""),111.61)</f>
        <v>111.61</v>
      </c>
      <c r="C2427" s="5">
        <v>111.602249145507</v>
      </c>
      <c r="D2427" s="5">
        <v>556.823852539062</v>
      </c>
      <c r="E2427" s="7">
        <f t="shared" ref="E2427:F2427" si="2425">C2427/C2426-1</f>
        <v>0.02469701138</v>
      </c>
      <c r="F2427" s="7">
        <f t="shared" si="2425"/>
        <v>0.007086918658</v>
      </c>
    </row>
    <row r="2428">
      <c r="A2428" s="3">
        <f>IFERROR(__xludf.DUMMYFUNCTION("""COMPUTED_VALUE"""),45779.66666666667)</f>
        <v>45779.66667</v>
      </c>
      <c r="B2428" s="5">
        <f>IFERROR(__xludf.DUMMYFUNCTION("""COMPUTED_VALUE"""),114.5)</f>
        <v>114.5</v>
      </c>
      <c r="C2428" s="5">
        <v>114.492050170898</v>
      </c>
      <c r="D2428" s="5">
        <v>565.089416503906</v>
      </c>
      <c r="E2428" s="7">
        <f t="shared" ref="E2428:F2428" si="2426">C2428/C2427-1</f>
        <v>0.02589375257</v>
      </c>
      <c r="F2428" s="7">
        <f t="shared" si="2426"/>
        <v>0.01484412697</v>
      </c>
    </row>
    <row r="2429">
      <c r="A2429" s="3">
        <f>IFERROR(__xludf.DUMMYFUNCTION("""COMPUTED_VALUE"""),45782.66666666667)</f>
        <v>45782.66667</v>
      </c>
      <c r="B2429" s="5">
        <f>IFERROR(__xludf.DUMMYFUNCTION("""COMPUTED_VALUE"""),113.82)</f>
        <v>113.82</v>
      </c>
      <c r="C2429" s="5">
        <v>113.812095642089</v>
      </c>
      <c r="D2429" s="5">
        <v>561.848999023437</v>
      </c>
      <c r="E2429" s="7">
        <f t="shared" ref="E2429:F2429" si="2427">C2429/C2428-1</f>
        <v>-0.005938879842</v>
      </c>
      <c r="F2429" s="7">
        <f t="shared" si="2427"/>
        <v>-0.005734344664</v>
      </c>
    </row>
    <row r="2430">
      <c r="A2430" s="3">
        <f>IFERROR(__xludf.DUMMYFUNCTION("""COMPUTED_VALUE"""),45783.66666666667)</f>
        <v>45783.66667</v>
      </c>
      <c r="B2430" s="5">
        <f>IFERROR(__xludf.DUMMYFUNCTION("""COMPUTED_VALUE"""),113.54)</f>
        <v>113.54</v>
      </c>
      <c r="C2430" s="5">
        <v>113.532119750976</v>
      </c>
      <c r="D2430" s="5">
        <v>557.152893066406</v>
      </c>
      <c r="E2430" s="7">
        <f t="shared" ref="E2430:F2430" si="2428">C2430/C2429-1</f>
        <v>-0.002459983621</v>
      </c>
      <c r="F2430" s="7">
        <f t="shared" si="2428"/>
        <v>-0.008358306173</v>
      </c>
    </row>
    <row r="2431">
      <c r="A2431" s="3">
        <f>IFERROR(__xludf.DUMMYFUNCTION("""COMPUTED_VALUE"""),45784.66666666667)</f>
        <v>45784.66667</v>
      </c>
      <c r="B2431" s="5">
        <f>IFERROR(__xludf.DUMMYFUNCTION("""COMPUTED_VALUE"""),117.06)</f>
        <v>117.06</v>
      </c>
      <c r="C2431" s="5">
        <v>117.051872253417</v>
      </c>
      <c r="D2431" s="5">
        <v>559.495971679687</v>
      </c>
      <c r="E2431" s="7">
        <f t="shared" ref="E2431:F2431" si="2429">C2431/C2430-1</f>
        <v>0.03100226183</v>
      </c>
      <c r="F2431" s="7">
        <f t="shared" si="2429"/>
        <v>0.004205449963</v>
      </c>
    </row>
    <row r="2432">
      <c r="A2432" s="3">
        <f>IFERROR(__xludf.DUMMYFUNCTION("""COMPUTED_VALUE"""),45785.66666666667)</f>
        <v>45785.66667</v>
      </c>
      <c r="B2432" s="5">
        <f>IFERROR(__xludf.DUMMYFUNCTION("""COMPUTED_VALUE"""),117.37)</f>
        <v>117.37</v>
      </c>
      <c r="C2432" s="5">
        <v>117.361854553222</v>
      </c>
      <c r="D2432" s="5">
        <v>563.394470214843</v>
      </c>
      <c r="E2432" s="7">
        <f t="shared" ref="E2432:F2432" si="2430">C2432/C2431-1</f>
        <v>0.002648247259</v>
      </c>
      <c r="F2432" s="7">
        <f t="shared" si="2430"/>
        <v>0.006967875968</v>
      </c>
    </row>
    <row r="2433">
      <c r="A2433" s="3">
        <f>IFERROR(__xludf.DUMMYFUNCTION("""COMPUTED_VALUE"""),45786.66666666667)</f>
        <v>45786.66667</v>
      </c>
      <c r="B2433" s="5">
        <f>IFERROR(__xludf.DUMMYFUNCTION("""COMPUTED_VALUE"""),116.65)</f>
        <v>116.65</v>
      </c>
      <c r="C2433" s="5">
        <v>116.641899108886</v>
      </c>
      <c r="D2433" s="5">
        <v>562.676574707031</v>
      </c>
      <c r="E2433" s="7">
        <f t="shared" ref="E2433:F2433" si="2431">C2433/C2432-1</f>
        <v>-0.006134492737</v>
      </c>
      <c r="F2433" s="7">
        <f t="shared" si="2431"/>
        <v>-0.001274232435</v>
      </c>
    </row>
    <row r="2434">
      <c r="A2434" s="3">
        <f>IFERROR(__xludf.DUMMYFUNCTION("""COMPUTED_VALUE"""),45789.66666666667)</f>
        <v>45789.66667</v>
      </c>
      <c r="B2434" s="5">
        <f>IFERROR(__xludf.DUMMYFUNCTION("""COMPUTED_VALUE"""),123.0)</f>
        <v>123</v>
      </c>
      <c r="C2434" s="5">
        <v>122.991462707519</v>
      </c>
      <c r="D2434" s="5">
        <v>581.271606445312</v>
      </c>
      <c r="E2434" s="7">
        <f t="shared" ref="E2434:F2434" si="2432">C2434/C2433-1</f>
        <v>0.05443638733</v>
      </c>
      <c r="F2434" s="7">
        <f t="shared" si="2432"/>
        <v>0.03304746025</v>
      </c>
    </row>
    <row r="2435">
      <c r="A2435" s="3">
        <f>IFERROR(__xludf.DUMMYFUNCTION("""COMPUTED_VALUE"""),45790.66666666667)</f>
        <v>45790.66667</v>
      </c>
      <c r="B2435" s="5">
        <f>IFERROR(__xludf.DUMMYFUNCTION("""COMPUTED_VALUE"""),129.93)</f>
        <v>129.93</v>
      </c>
      <c r="C2435" s="5">
        <v>129.920974731445</v>
      </c>
      <c r="D2435" s="5">
        <v>585.110290527343</v>
      </c>
      <c r="E2435" s="7">
        <f t="shared" ref="E2435:F2435" si="2433">C2435/C2434-1</f>
        <v>0.05634140672</v>
      </c>
      <c r="F2435" s="7">
        <f t="shared" si="2433"/>
        <v>0.006603942184</v>
      </c>
    </row>
    <row r="2436">
      <c r="A2436" s="3">
        <f>IFERROR(__xludf.DUMMYFUNCTION("""COMPUTED_VALUE"""),45791.66666666667)</f>
        <v>45791.66667</v>
      </c>
      <c r="B2436" s="5">
        <f>IFERROR(__xludf.DUMMYFUNCTION("""COMPUTED_VALUE"""),135.34)</f>
        <v>135.34</v>
      </c>
      <c r="C2436" s="5">
        <v>135.330596923828</v>
      </c>
      <c r="D2436" s="5">
        <v>585.858093261718</v>
      </c>
      <c r="E2436" s="7">
        <f t="shared" ref="E2436:F2436" si="2434">C2436/C2435-1</f>
        <v>0.04163778946</v>
      </c>
      <c r="F2436" s="7">
        <f t="shared" si="2434"/>
        <v>0.00127805432</v>
      </c>
    </row>
    <row r="2437">
      <c r="A2437" s="3">
        <f>IFERROR(__xludf.DUMMYFUNCTION("""COMPUTED_VALUE"""),45792.66666666667)</f>
        <v>45792.66667</v>
      </c>
      <c r="B2437" s="5">
        <f>IFERROR(__xludf.DUMMYFUNCTION("""COMPUTED_VALUE"""),134.83)</f>
        <v>134.83</v>
      </c>
      <c r="C2437" s="5">
        <v>134.82063293457</v>
      </c>
      <c r="D2437" s="5">
        <v>588.719604492187</v>
      </c>
      <c r="E2437" s="7">
        <f t="shared" ref="E2437:F2437" si="2435">C2437/C2436-1</f>
        <v>-0.003768283011</v>
      </c>
      <c r="F2437" s="7">
        <f t="shared" si="2435"/>
        <v>0.004884307759</v>
      </c>
    </row>
    <row r="2438">
      <c r="A2438" s="3">
        <f>IFERROR(__xludf.DUMMYFUNCTION("""COMPUTED_VALUE"""),45793.66666666667)</f>
        <v>45793.66667</v>
      </c>
      <c r="B2438" s="5">
        <f>IFERROR(__xludf.DUMMYFUNCTION("""COMPUTED_VALUE"""),135.4)</f>
        <v>135.4</v>
      </c>
      <c r="C2438" s="5">
        <v>135.390594482421</v>
      </c>
      <c r="D2438" s="5">
        <v>592.448547363281</v>
      </c>
      <c r="E2438" s="7">
        <f t="shared" ref="E2438:F2438" si="2436">C2438/C2437-1</f>
        <v>0.00422755431</v>
      </c>
      <c r="F2438" s="7">
        <f t="shared" si="2436"/>
        <v>0.006333987934</v>
      </c>
    </row>
    <row r="2439">
      <c r="A2439" s="3">
        <f>IFERROR(__xludf.DUMMYFUNCTION("""COMPUTED_VALUE"""),45796.66666666667)</f>
        <v>45796.66667</v>
      </c>
      <c r="B2439" s="5">
        <f>IFERROR(__xludf.DUMMYFUNCTION("""COMPUTED_VALUE"""),135.57)</f>
        <v>135.57</v>
      </c>
      <c r="C2439" s="5">
        <v>135.560592651367</v>
      </c>
      <c r="D2439" s="5">
        <v>593.096618652343</v>
      </c>
      <c r="E2439" s="7">
        <f t="shared" ref="E2439:F2439" si="2437">C2439/C2438-1</f>
        <v>0.001255612841</v>
      </c>
      <c r="F2439" s="7">
        <f t="shared" si="2437"/>
        <v>0.001093886198</v>
      </c>
    </row>
    <row r="2440">
      <c r="A2440" s="3">
        <f>IFERROR(__xludf.DUMMYFUNCTION("""COMPUTED_VALUE"""),45797.66666666667)</f>
        <v>45797.66667</v>
      </c>
      <c r="B2440" s="5">
        <f>IFERROR(__xludf.DUMMYFUNCTION("""COMPUTED_VALUE"""),134.38)</f>
        <v>134.38</v>
      </c>
      <c r="C2440" s="5">
        <v>134.370666503906</v>
      </c>
      <c r="D2440" s="5">
        <v>591.1025390625</v>
      </c>
      <c r="E2440" s="7">
        <f t="shared" ref="E2440:F2440" si="2438">C2440/C2439-1</f>
        <v>-0.008777817537</v>
      </c>
      <c r="F2440" s="7">
        <f t="shared" si="2438"/>
        <v>-0.003362149652</v>
      </c>
    </row>
    <row r="2441">
      <c r="A2441" s="3">
        <f>IFERROR(__xludf.DUMMYFUNCTION("""COMPUTED_VALUE"""),45798.66666666667)</f>
        <v>45798.66667</v>
      </c>
      <c r="B2441" s="5">
        <f>IFERROR(__xludf.DUMMYFUNCTION("""COMPUTED_VALUE"""),131.8)</f>
        <v>131.8</v>
      </c>
      <c r="C2441" s="5">
        <v>131.79084777832</v>
      </c>
      <c r="D2441" s="5">
        <v>581.141967773437</v>
      </c>
      <c r="E2441" s="7">
        <f t="shared" ref="E2441:F2441" si="2439">C2441/C2440-1</f>
        <v>-0.01919927014</v>
      </c>
      <c r="F2441" s="7">
        <f t="shared" si="2439"/>
        <v>-0.01685083489</v>
      </c>
    </row>
    <row r="2442">
      <c r="A2442" s="3">
        <f>IFERROR(__xludf.DUMMYFUNCTION("""COMPUTED_VALUE"""),45799.66666666667)</f>
        <v>45799.66667</v>
      </c>
      <c r="B2442" s="5">
        <f>IFERROR(__xludf.DUMMYFUNCTION("""COMPUTED_VALUE"""),131.8)</f>
        <v>131.8</v>
      </c>
      <c r="C2442" s="5">
        <v>132.82078552246</v>
      </c>
      <c r="D2442" s="5">
        <v>581.371337890625</v>
      </c>
      <c r="E2442" s="7">
        <f t="shared" ref="E2442:F2442" si="2440">C2442/C2441-1</f>
        <v>0.007814941337</v>
      </c>
      <c r="F2442" s="7">
        <f t="shared" si="2440"/>
        <v>0.000394688613</v>
      </c>
    </row>
    <row r="2443">
      <c r="A2443" s="3">
        <f>IFERROR(__xludf.DUMMYFUNCTION("""COMPUTED_VALUE"""),45800.66666666667)</f>
        <v>45800.66667</v>
      </c>
      <c r="B2443" s="5">
        <f>IFERROR(__xludf.DUMMYFUNCTION("""COMPUTED_VALUE"""),131.29)</f>
        <v>131.29</v>
      </c>
      <c r="C2443" s="5">
        <v>131.280883789062</v>
      </c>
      <c r="D2443" s="5">
        <v>577.403015136718</v>
      </c>
      <c r="E2443" s="7">
        <f t="shared" ref="E2443:F2443" si="2441">C2443/C2442-1</f>
        <v>-0.01159383095</v>
      </c>
      <c r="F2443" s="7">
        <f t="shared" si="2441"/>
        <v>-0.006825797034</v>
      </c>
    </row>
    <row r="2444">
      <c r="A2444" s="3">
        <f>IFERROR(__xludf.DUMMYFUNCTION("""COMPUTED_VALUE"""),45804.66666666667)</f>
        <v>45804.66667</v>
      </c>
      <c r="B2444" s="5">
        <f>IFERROR(__xludf.DUMMYFUNCTION("""COMPUTED_VALUE"""),135.5)</f>
        <v>135.5</v>
      </c>
      <c r="C2444" s="5">
        <v>135.490585327148</v>
      </c>
      <c r="D2444" s="5">
        <v>589.407592773437</v>
      </c>
      <c r="E2444" s="7">
        <f t="shared" ref="E2444:F2444" si="2442">C2444/C2443-1</f>
        <v>0.0320663711</v>
      </c>
      <c r="F2444" s="7">
        <f t="shared" si="2442"/>
        <v>0.02079063899</v>
      </c>
    </row>
    <row r="2445">
      <c r="A2445" s="3">
        <f>IFERROR(__xludf.DUMMYFUNCTION("""COMPUTED_VALUE"""),45805.66666666667)</f>
        <v>45805.66667</v>
      </c>
      <c r="B2445" s="5">
        <f>IFERROR(__xludf.DUMMYFUNCTION("""COMPUTED_VALUE"""),134.81)</f>
        <v>134.81</v>
      </c>
      <c r="C2445" s="5">
        <v>134.800643920898</v>
      </c>
      <c r="D2445" s="5">
        <v>585.997619628906</v>
      </c>
      <c r="E2445" s="7">
        <f t="shared" ref="E2445:F2445" si="2443">C2445/C2444-1</f>
        <v>-0.005092172305</v>
      </c>
      <c r="F2445" s="7">
        <f t="shared" si="2443"/>
        <v>-0.005785424529</v>
      </c>
    </row>
    <row r="2446">
      <c r="A2446" s="3">
        <f>IFERROR(__xludf.DUMMYFUNCTION("""COMPUTED_VALUE"""),45806.66666666667)</f>
        <v>45806.66667</v>
      </c>
      <c r="B2446" s="5">
        <f>IFERROR(__xludf.DUMMYFUNCTION("""COMPUTED_VALUE"""),139.19)</f>
        <v>139.19</v>
      </c>
      <c r="C2446" s="5">
        <v>139.180343627929</v>
      </c>
      <c r="D2446" s="5">
        <v>588.310791015625</v>
      </c>
      <c r="E2446" s="7">
        <f t="shared" ref="E2446:F2446" si="2444">C2446/C2445-1</f>
        <v>0.03249019871</v>
      </c>
      <c r="F2446" s="7">
        <f t="shared" si="2444"/>
        <v>0.00394740748</v>
      </c>
    </row>
    <row r="2447">
      <c r="A2447" s="3">
        <f>IFERROR(__xludf.DUMMYFUNCTION("""COMPUTED_VALUE"""),45807.66666666667)</f>
        <v>45807.66667</v>
      </c>
      <c r="B2447" s="5">
        <f>IFERROR(__xludf.DUMMYFUNCTION("""COMPUTED_VALUE"""),135.13)</f>
        <v>135.13</v>
      </c>
      <c r="C2447" s="5">
        <v>135.120620727539</v>
      </c>
      <c r="D2447" s="5">
        <v>587.652770996093</v>
      </c>
      <c r="E2447" s="7">
        <f t="shared" ref="E2447:F2447" si="2445">C2447/C2446-1</f>
        <v>-0.02916879492</v>
      </c>
      <c r="F2447" s="7">
        <f t="shared" si="2445"/>
        <v>-0.001118490481</v>
      </c>
    </row>
    <row r="2448">
      <c r="A2448" s="3">
        <f>IFERROR(__xludf.DUMMYFUNCTION("""COMPUTED_VALUE"""),45810.66666666667)</f>
        <v>45810.66667</v>
      </c>
      <c r="B2448" s="5">
        <f>IFERROR(__xludf.DUMMYFUNCTION("""COMPUTED_VALUE"""),137.38)</f>
        <v>137.38</v>
      </c>
      <c r="C2448" s="5">
        <v>137.370468139648</v>
      </c>
      <c r="D2448" s="5">
        <v>590.962951660156</v>
      </c>
      <c r="E2448" s="7">
        <f t="shared" ref="E2448:F2448" si="2446">C2448/C2447-1</f>
        <v>0.01665065924</v>
      </c>
      <c r="F2448" s="7">
        <f t="shared" si="2446"/>
        <v>0.005632885315</v>
      </c>
    </row>
    <row r="2449">
      <c r="A2449" s="3">
        <f>IFERROR(__xludf.DUMMYFUNCTION("""COMPUTED_VALUE"""),45811.66666666667)</f>
        <v>45811.66667</v>
      </c>
      <c r="B2449" s="5">
        <f>IFERROR(__xludf.DUMMYFUNCTION("""COMPUTED_VALUE"""),141.22)</f>
        <v>141.22</v>
      </c>
      <c r="C2449" s="5">
        <v>141.210189819335</v>
      </c>
      <c r="D2449" s="5">
        <v>594.3330078125</v>
      </c>
      <c r="E2449" s="7">
        <f t="shared" ref="E2449:F2449" si="2447">C2449/C2448-1</f>
        <v>0.02795158036</v>
      </c>
      <c r="F2449" s="7">
        <f t="shared" si="2447"/>
        <v>0.005702652159</v>
      </c>
    </row>
    <row r="2450">
      <c r="A2450" s="3">
        <f>IFERROR(__xludf.DUMMYFUNCTION("""COMPUTED_VALUE"""),45812.66666666667)</f>
        <v>45812.66667</v>
      </c>
      <c r="B2450" s="5">
        <f>IFERROR(__xludf.DUMMYFUNCTION("""COMPUTED_VALUE"""),141.92)</f>
        <v>141.92</v>
      </c>
      <c r="C2450" s="5">
        <v>141.91014099121</v>
      </c>
      <c r="D2450" s="5">
        <v>594.173461914062</v>
      </c>
      <c r="E2450" s="7">
        <f t="shared" ref="E2450:F2450" si="2448">C2450/C2449-1</f>
        <v>0.004956803562</v>
      </c>
      <c r="F2450" s="7">
        <f t="shared" si="2448"/>
        <v>-0.000268445293</v>
      </c>
    </row>
    <row r="2451">
      <c r="A2451" s="3">
        <f>IFERROR(__xludf.DUMMYFUNCTION("""COMPUTED_VALUE"""),45813.66666666667)</f>
        <v>45813.66667</v>
      </c>
      <c r="B2451" s="5">
        <f>IFERROR(__xludf.DUMMYFUNCTION("""COMPUTED_VALUE"""),139.99)</f>
        <v>139.99</v>
      </c>
      <c r="C2451" s="5">
        <v>139.980285644531</v>
      </c>
      <c r="D2451" s="5">
        <v>591.301940917968</v>
      </c>
      <c r="E2451" s="7">
        <f t="shared" ref="E2451:F2451" si="2449">C2451/C2450-1</f>
        <v>-0.01359913628</v>
      </c>
      <c r="F2451" s="7">
        <f t="shared" si="2449"/>
        <v>-0.004832799141</v>
      </c>
    </row>
    <row r="2452">
      <c r="A2452" s="3">
        <f>IFERROR(__xludf.DUMMYFUNCTION("""COMPUTED_VALUE"""),45814.66666666667)</f>
        <v>45814.66667</v>
      </c>
      <c r="B2452" s="5">
        <f>IFERROR(__xludf.DUMMYFUNCTION("""COMPUTED_VALUE"""),141.72)</f>
        <v>141.72</v>
      </c>
      <c r="C2452" s="5">
        <v>141.710159301757</v>
      </c>
      <c r="D2452" s="5">
        <v>597.3740234375</v>
      </c>
      <c r="E2452" s="7">
        <f t="shared" ref="E2452:F2452" si="2450">C2452/C2451-1</f>
        <v>0.01235798062</v>
      </c>
      <c r="F2452" s="7">
        <f t="shared" si="2450"/>
        <v>0.01026900488</v>
      </c>
    </row>
    <row r="2453">
      <c r="A2453" s="3">
        <f>IFERROR(__xludf.DUMMYFUNCTION("""COMPUTED_VALUE"""),45817.66666666667)</f>
        <v>45817.66667</v>
      </c>
      <c r="B2453" s="5">
        <f>IFERROR(__xludf.DUMMYFUNCTION("""COMPUTED_VALUE"""),142.63)</f>
        <v>142.63</v>
      </c>
      <c r="C2453" s="5">
        <v>142.62010192871</v>
      </c>
      <c r="D2453" s="5">
        <v>597.912414550781</v>
      </c>
      <c r="E2453" s="7">
        <f t="shared" ref="E2453:F2453" si="2451">C2453/C2452-1</f>
        <v>0.006421153088</v>
      </c>
      <c r="F2453" s="7">
        <f t="shared" si="2451"/>
        <v>0.0009012630147</v>
      </c>
    </row>
    <row r="2454">
      <c r="A2454" s="3">
        <f>IFERROR(__xludf.DUMMYFUNCTION("""COMPUTED_VALUE"""),45818.66666666667)</f>
        <v>45818.66667</v>
      </c>
      <c r="B2454" s="5">
        <f>IFERROR(__xludf.DUMMYFUNCTION("""COMPUTED_VALUE"""),143.96)</f>
        <v>143.96</v>
      </c>
      <c r="C2454" s="5">
        <v>143.950012207031</v>
      </c>
      <c r="D2454" s="5">
        <v>601.302368164062</v>
      </c>
      <c r="E2454" s="7">
        <f t="shared" ref="E2454:F2454" si="2452">C2454/C2453-1</f>
        <v>0.009324844537</v>
      </c>
      <c r="F2454" s="7">
        <f t="shared" si="2452"/>
        <v>0.005669649151</v>
      </c>
    </row>
    <row r="2455">
      <c r="A2455" s="3">
        <f>IFERROR(__xludf.DUMMYFUNCTION("""COMPUTED_VALUE"""),45819.66666666667)</f>
        <v>45819.66667</v>
      </c>
      <c r="B2455" s="5">
        <f>IFERROR(__xludf.DUMMYFUNCTION("""COMPUTED_VALUE"""),142.83)</f>
        <v>142.83</v>
      </c>
      <c r="C2455" s="5">
        <v>142.830001831054</v>
      </c>
      <c r="D2455" s="5">
        <v>599.587463378906</v>
      </c>
      <c r="E2455" s="7">
        <f t="shared" ref="E2455:F2455" si="2453">C2455/C2454-1</f>
        <v>-0.007780550754</v>
      </c>
      <c r="F2455" s="7">
        <f t="shared" si="2453"/>
        <v>-0.002851984086</v>
      </c>
    </row>
    <row r="2456">
      <c r="A2456" s="3">
        <f>IFERROR(__xludf.DUMMYFUNCTION("""COMPUTED_VALUE"""),45820.66666666667)</f>
        <v>45820.66667</v>
      </c>
      <c r="B2456" s="5">
        <f>IFERROR(__xludf.DUMMYFUNCTION("""COMPUTED_VALUE"""),145.0)</f>
        <v>145</v>
      </c>
      <c r="C2456" s="5">
        <v>145.0</v>
      </c>
      <c r="D2456" s="5">
        <v>601.970397949218</v>
      </c>
      <c r="E2456" s="7">
        <f t="shared" ref="E2456:F2456" si="2454">C2456/C2455-1</f>
        <v>0.01519287363</v>
      </c>
      <c r="F2456" s="7">
        <f t="shared" si="2454"/>
        <v>0.003974290184</v>
      </c>
    </row>
    <row r="2457">
      <c r="A2457" s="3">
        <f>IFERROR(__xludf.DUMMYFUNCTION("""COMPUTED_VALUE"""),45821.66666666667)</f>
        <v>45821.66667</v>
      </c>
      <c r="B2457" s="5">
        <f>IFERROR(__xludf.DUMMYFUNCTION("""COMPUTED_VALUE"""),141.97)</f>
        <v>141.97</v>
      </c>
      <c r="C2457" s="5">
        <v>141.970001220703</v>
      </c>
      <c r="D2457" s="5">
        <v>595.240295410156</v>
      </c>
      <c r="E2457" s="7">
        <f t="shared" ref="E2457:F2457" si="2455">C2457/C2456-1</f>
        <v>-0.02089654331</v>
      </c>
      <c r="F2457" s="7">
        <f t="shared" si="2455"/>
        <v>-0.01118012208</v>
      </c>
    </row>
    <row r="2458">
      <c r="A2458" s="3">
        <f>IFERROR(__xludf.DUMMYFUNCTION("""COMPUTED_VALUE"""),45824.66666666667)</f>
        <v>45824.66667</v>
      </c>
      <c r="B2458" s="5">
        <f>IFERROR(__xludf.DUMMYFUNCTION("""COMPUTED_VALUE"""),144.69)</f>
        <v>144.69</v>
      </c>
      <c r="C2458" s="5">
        <v>144.690002441406</v>
      </c>
      <c r="D2458" s="5">
        <v>600.903564453125</v>
      </c>
      <c r="E2458" s="7">
        <f t="shared" ref="E2458:F2458" si="2456">C2458/C2457-1</f>
        <v>0.01915898568</v>
      </c>
      <c r="F2458" s="7">
        <f t="shared" si="2456"/>
        <v>0.009514256825</v>
      </c>
    </row>
    <row r="2459">
      <c r="A2459" s="3">
        <f>IFERROR(__xludf.DUMMYFUNCTION("""COMPUTED_VALUE"""),45825.66666666667)</f>
        <v>45825.66667</v>
      </c>
      <c r="B2459" s="5">
        <f>IFERROR(__xludf.DUMMYFUNCTION("""COMPUTED_VALUE"""),144.12)</f>
        <v>144.12</v>
      </c>
      <c r="C2459" s="5">
        <v>144.119995117187</v>
      </c>
      <c r="D2459" s="5">
        <v>595.768798828125</v>
      </c>
      <c r="E2459" s="7">
        <f t="shared" ref="E2459:F2459" si="2457">C2459/C2458-1</f>
        <v>-0.003939507323</v>
      </c>
      <c r="F2459" s="7">
        <f t="shared" si="2457"/>
        <v>-0.008545074333</v>
      </c>
    </row>
    <row r="2460">
      <c r="A2460" s="3">
        <f>IFERROR(__xludf.DUMMYFUNCTION("""COMPUTED_VALUE"""),45826.66666666667)</f>
        <v>45826.66667</v>
      </c>
      <c r="B2460" s="5">
        <f>IFERROR(__xludf.DUMMYFUNCTION("""COMPUTED_VALUE"""),145.48)</f>
        <v>145.48</v>
      </c>
      <c r="C2460" s="5">
        <v>145.479995727539</v>
      </c>
      <c r="D2460" s="5">
        <v>595.679016113281</v>
      </c>
      <c r="E2460" s="7">
        <f t="shared" ref="E2460:F2460" si="2458">C2460/C2459-1</f>
        <v>0.009436585182</v>
      </c>
      <c r="F2460" s="7">
        <f t="shared" si="2458"/>
        <v>-0.000150700599</v>
      </c>
    </row>
    <row r="2461">
      <c r="A2461" s="3">
        <f>IFERROR(__xludf.DUMMYFUNCTION("""COMPUTED_VALUE"""),45828.66666666667)</f>
        <v>45828.66667</v>
      </c>
      <c r="B2461" s="5">
        <f>IFERROR(__xludf.DUMMYFUNCTION("""COMPUTED_VALUE"""),143.85)</f>
        <v>143.85</v>
      </c>
      <c r="C2461" s="5">
        <v>143.850006103515</v>
      </c>
      <c r="D2461" s="5">
        <v>594.280029296875</v>
      </c>
      <c r="E2461" s="7">
        <f t="shared" ref="E2461:F2461" si="2459">C2461/C2460-1</f>
        <v>-0.01120421826</v>
      </c>
      <c r="F2461" s="7">
        <f t="shared" si="2459"/>
        <v>-0.002348558164</v>
      </c>
    </row>
    <row r="2462">
      <c r="A2462" s="3">
        <f>IFERROR(__xludf.DUMMYFUNCTION("""COMPUTED_VALUE"""),45831.66666666667)</f>
        <v>45831.66667</v>
      </c>
      <c r="B2462" s="5">
        <f>IFERROR(__xludf.DUMMYFUNCTION("""COMPUTED_VALUE"""),144.17)</f>
        <v>144.17</v>
      </c>
      <c r="C2462" s="5">
        <v>144.169998168945</v>
      </c>
      <c r="D2462" s="5">
        <v>600.150024414062</v>
      </c>
      <c r="E2462" s="7">
        <f t="shared" ref="E2462:F2462" si="2460">C2462/C2461-1</f>
        <v>0.002224484198</v>
      </c>
      <c r="F2462" s="7">
        <f t="shared" si="2460"/>
        <v>0.009877490119</v>
      </c>
    </row>
    <row r="2463">
      <c r="A2463" s="3">
        <f>IFERROR(__xludf.DUMMYFUNCTION("""COMPUTED_VALUE"""),45832.66666666667)</f>
        <v>45832.66667</v>
      </c>
      <c r="B2463" s="5">
        <f>IFERROR(__xludf.DUMMYFUNCTION("""COMPUTED_VALUE"""),147.9)</f>
        <v>147.9</v>
      </c>
      <c r="C2463" s="5">
        <v>147.899993896484</v>
      </c>
      <c r="D2463" s="5">
        <v>606.780029296875</v>
      </c>
      <c r="E2463" s="7">
        <f t="shared" ref="E2463:F2463" si="2461">C2463/C2462-1</f>
        <v>0.02587220486</v>
      </c>
      <c r="F2463" s="7">
        <f t="shared" si="2461"/>
        <v>0.01104724588</v>
      </c>
    </row>
    <row r="2464">
      <c r="A2464" s="3">
        <f>IFERROR(__xludf.DUMMYFUNCTION("""COMPUTED_VALUE"""),45833.66666666667)</f>
        <v>45833.66667</v>
      </c>
      <c r="B2464" s="5">
        <f>IFERROR(__xludf.DUMMYFUNCTION("""COMPUTED_VALUE"""),154.31)</f>
        <v>154.31</v>
      </c>
      <c r="C2464" s="5">
        <v>154.309997558593</v>
      </c>
      <c r="D2464" s="5">
        <v>607.119995117187</v>
      </c>
      <c r="E2464" s="7">
        <f t="shared" ref="E2464:F2464" si="2462">C2464/C2463-1</f>
        <v>0.04334012121</v>
      </c>
      <c r="F2464" s="7">
        <f t="shared" si="2462"/>
        <v>0.0005602785258</v>
      </c>
    </row>
    <row r="2465">
      <c r="A2465" s="3">
        <f>IFERROR(__xludf.DUMMYFUNCTION("""COMPUTED_VALUE"""),45834.66666666667)</f>
        <v>45834.66667</v>
      </c>
      <c r="B2465" s="5">
        <f>IFERROR(__xludf.DUMMYFUNCTION("""COMPUTED_VALUE"""),155.02)</f>
        <v>155.02</v>
      </c>
      <c r="C2465" s="5">
        <v>155.02000427246</v>
      </c>
      <c r="D2465" s="5">
        <v>611.869995117187</v>
      </c>
      <c r="E2465" s="7">
        <f t="shared" ref="E2465:F2465" si="2463">C2465/C2464-1</f>
        <v>0.004601171182</v>
      </c>
      <c r="F2465" s="7">
        <f t="shared" si="2463"/>
        <v>0.007823824019</v>
      </c>
    </row>
    <row r="2466">
      <c r="A2466" s="3">
        <f>IFERROR(__xludf.DUMMYFUNCTION("""COMPUTED_VALUE"""),45835.66666666667)</f>
        <v>45835.66667</v>
      </c>
      <c r="B2466" s="5">
        <f>IFERROR(__xludf.DUMMYFUNCTION("""COMPUTED_VALUE"""),157.75)</f>
        <v>157.75</v>
      </c>
      <c r="C2466" s="5">
        <v>157.75</v>
      </c>
      <c r="D2466" s="5">
        <v>614.909973144531</v>
      </c>
      <c r="E2466" s="7">
        <f t="shared" ref="E2466:F2466" si="2464">C2466/C2465-1</f>
        <v>0.01761060284</v>
      </c>
      <c r="F2466" s="7">
        <f t="shared" si="2464"/>
        <v>0.004968339764</v>
      </c>
    </row>
    <row r="2467">
      <c r="A2467" s="3">
        <f>IFERROR(__xludf.DUMMYFUNCTION("""COMPUTED_VALUE"""),45838.66666666667)</f>
        <v>45838.66667</v>
      </c>
      <c r="B2467" s="5">
        <f>IFERROR(__xludf.DUMMYFUNCTION("""COMPUTED_VALUE"""),157.99)</f>
        <v>157.99</v>
      </c>
      <c r="C2467" s="5">
        <v>157.990005493164</v>
      </c>
      <c r="D2467" s="5">
        <v>617.849975585937</v>
      </c>
      <c r="E2467" s="7">
        <f t="shared" ref="E2467:F2467" si="2465">C2467/C2466-1</f>
        <v>0.001521429434</v>
      </c>
      <c r="F2467" s="7">
        <f t="shared" si="2465"/>
        <v>0.00478119167</v>
      </c>
    </row>
    <row r="2468">
      <c r="A2468" s="3">
        <f>IFERROR(__xludf.DUMMYFUNCTION("""COMPUTED_VALUE"""),45839.66666666667)</f>
        <v>45839.66667</v>
      </c>
      <c r="B2468" s="5">
        <f>IFERROR(__xludf.DUMMYFUNCTION("""COMPUTED_VALUE"""),153.3)</f>
        <v>153.3</v>
      </c>
      <c r="C2468" s="5">
        <v>153.300003051757</v>
      </c>
      <c r="D2468" s="5">
        <v>617.650024414062</v>
      </c>
      <c r="E2468" s="7">
        <f t="shared" ref="E2468:F2468" si="2466">C2468/C2467-1</f>
        <v>-0.02968543755</v>
      </c>
      <c r="F2468" s="7">
        <f t="shared" si="2466"/>
        <v>-0.0003236241479</v>
      </c>
    </row>
    <row r="2469">
      <c r="A2469" s="3">
        <f>IFERROR(__xludf.DUMMYFUNCTION("""COMPUTED_VALUE"""),45840.66666666667)</f>
        <v>45840.66667</v>
      </c>
      <c r="B2469" s="5">
        <f>IFERROR(__xludf.DUMMYFUNCTION("""COMPUTED_VALUE"""),157.25)</f>
        <v>157.25</v>
      </c>
      <c r="C2469" s="5">
        <v>157.25</v>
      </c>
      <c r="D2469" s="5">
        <v>620.450012207031</v>
      </c>
      <c r="E2469" s="7">
        <f t="shared" ref="E2469:F2469" si="2467">C2469/C2468-1</f>
        <v>0.02576645055</v>
      </c>
      <c r="F2469" s="7">
        <f t="shared" si="2467"/>
        <v>0.004533291803</v>
      </c>
    </row>
    <row r="2470">
      <c r="A2470" s="3">
        <f>IFERROR(__xludf.DUMMYFUNCTION("""COMPUTED_VALUE"""),45841.54513888889)</f>
        <v>45841.54514</v>
      </c>
      <c r="B2470" s="5">
        <f>IFERROR(__xludf.DUMMYFUNCTION("""COMPUTED_VALUE"""),159.34)</f>
        <v>159.34</v>
      </c>
      <c r="C2470" s="5">
        <v>159.33999633789</v>
      </c>
      <c r="D2470" s="5">
        <v>625.340026855468</v>
      </c>
      <c r="E2470" s="7">
        <f t="shared" ref="E2470:F2470" si="2468">C2470/C2469-1</f>
        <v>0.01329091471</v>
      </c>
      <c r="F2470" s="7">
        <f t="shared" si="2468"/>
        <v>0.007881399875</v>
      </c>
    </row>
    <row r="2471">
      <c r="A2471" s="3">
        <f>IFERROR(__xludf.DUMMYFUNCTION("""COMPUTED_VALUE"""),45845.66666666667)</f>
        <v>45845.66667</v>
      </c>
      <c r="B2471" s="5">
        <f>IFERROR(__xludf.DUMMYFUNCTION("""COMPUTED_VALUE"""),158.24)</f>
        <v>158.24</v>
      </c>
      <c r="C2471" s="5">
        <v>158.240005493164</v>
      </c>
      <c r="D2471" s="5">
        <v>620.679992675781</v>
      </c>
      <c r="E2471" s="7">
        <f t="shared" ref="E2471:F2471" si="2469">C2471/C2470-1</f>
        <v>-0.006903419543</v>
      </c>
      <c r="F2471" s="7">
        <f t="shared" si="2469"/>
        <v>-0.007452000479</v>
      </c>
    </row>
    <row r="2472">
      <c r="A2472" s="3">
        <f>IFERROR(__xludf.DUMMYFUNCTION("""COMPUTED_VALUE"""),45846.66666666667)</f>
        <v>45846.66667</v>
      </c>
      <c r="B2472" s="5">
        <f>IFERROR(__xludf.DUMMYFUNCTION("""COMPUTED_VALUE"""),160.0)</f>
        <v>160</v>
      </c>
      <c r="C2472" s="5">
        <v>160.0</v>
      </c>
      <c r="D2472" s="5">
        <v>620.340026855468</v>
      </c>
      <c r="E2472" s="7">
        <f t="shared" ref="E2472:F2472" si="2470">C2472/C2471-1</f>
        <v>0.0111223107</v>
      </c>
      <c r="F2472" s="7">
        <f t="shared" si="2470"/>
        <v>-0.0005477312372</v>
      </c>
    </row>
    <row r="2473">
      <c r="A2473" s="3">
        <f>IFERROR(__xludf.DUMMYFUNCTION("""COMPUTED_VALUE"""),45847.66666666667)</f>
        <v>45847.66667</v>
      </c>
      <c r="B2473" s="5">
        <f>IFERROR(__xludf.DUMMYFUNCTION("""COMPUTED_VALUE"""),162.88)</f>
        <v>162.88</v>
      </c>
      <c r="C2473" s="5">
        <v>162.880004882812</v>
      </c>
      <c r="D2473" s="5">
        <v>624.059997558593</v>
      </c>
      <c r="E2473" s="7">
        <f t="shared" ref="E2473:F2473" si="2471">C2473/C2472-1</f>
        <v>0.01800003052</v>
      </c>
      <c r="F2473" s="7">
        <f t="shared" si="2471"/>
        <v>0.005996663994</v>
      </c>
    </row>
    <row r="2474">
      <c r="A2474" s="3">
        <f>IFERROR(__xludf.DUMMYFUNCTION("""COMPUTED_VALUE"""),45848.66666666667)</f>
        <v>45848.66667</v>
      </c>
      <c r="B2474" s="5">
        <f>IFERROR(__xludf.DUMMYFUNCTION("""COMPUTED_VALUE"""),164.1)</f>
        <v>164.1</v>
      </c>
      <c r="C2474" s="5">
        <v>164.100006103515</v>
      </c>
      <c r="D2474" s="5">
        <v>625.820007324218</v>
      </c>
      <c r="E2474" s="7">
        <f t="shared" ref="E2474:F2474" si="2472">C2474/C2473-1</f>
        <v>0.007490184087</v>
      </c>
      <c r="F2474" s="7">
        <f t="shared" si="2472"/>
        <v>0.002820257303</v>
      </c>
    </row>
    <row r="2475">
      <c r="A2475" s="3">
        <f>IFERROR(__xludf.DUMMYFUNCTION("""COMPUTED_VALUE"""),45849.66666666667)</f>
        <v>45849.66667</v>
      </c>
      <c r="B2475" s="5">
        <f>IFERROR(__xludf.DUMMYFUNCTION("""COMPUTED_VALUE"""),164.92)</f>
        <v>164.92</v>
      </c>
      <c r="C2475" s="5">
        <v>164.919998168945</v>
      </c>
      <c r="D2475" s="5">
        <v>623.619995117187</v>
      </c>
      <c r="E2475" s="7">
        <f t="shared" ref="E2475:F2475" si="2473">C2475/C2474-1</f>
        <v>0.004996904539</v>
      </c>
      <c r="F2475" s="7">
        <f t="shared" si="2473"/>
        <v>-0.003515407276</v>
      </c>
    </row>
    <row r="2476">
      <c r="A2476" s="3">
        <f>IFERROR(__xludf.DUMMYFUNCTION("""COMPUTED_VALUE"""),45852.66666666667)</f>
        <v>45852.66667</v>
      </c>
      <c r="B2476" s="5">
        <f>IFERROR(__xludf.DUMMYFUNCTION("""COMPUTED_VALUE"""),164.07)</f>
        <v>164.07</v>
      </c>
      <c r="C2476" s="5">
        <v>164.070007324218</v>
      </c>
      <c r="D2476" s="5">
        <v>624.809997558593</v>
      </c>
      <c r="E2476" s="7">
        <f t="shared" ref="E2476:F2476" si="2474">C2476/C2475-1</f>
        <v>-0.005153958611</v>
      </c>
      <c r="F2476" s="7">
        <f t="shared" si="2474"/>
        <v>0.001908217265</v>
      </c>
    </row>
    <row r="2477">
      <c r="A2477" s="3">
        <f>IFERROR(__xludf.DUMMYFUNCTION("""COMPUTED_VALUE"""),45853.66666666667)</f>
        <v>45853.66667</v>
      </c>
      <c r="B2477" s="5">
        <f>IFERROR(__xludf.DUMMYFUNCTION("""COMPUTED_VALUE"""),170.7)</f>
        <v>170.7</v>
      </c>
      <c r="C2477" s="5">
        <v>170.699996948242</v>
      </c>
      <c r="D2477" s="5">
        <v>622.140014648437</v>
      </c>
      <c r="E2477" s="7">
        <f t="shared" ref="E2477:F2477" si="2475">C2477/C2476-1</f>
        <v>0.04040951623</v>
      </c>
      <c r="F2477" s="7">
        <f t="shared" si="2475"/>
        <v>-0.004273271748</v>
      </c>
    </row>
    <row r="2478">
      <c r="A2478" s="3">
        <f>IFERROR(__xludf.DUMMYFUNCTION("""COMPUTED_VALUE"""),45854.66666666667)</f>
        <v>45854.66667</v>
      </c>
      <c r="B2478" s="5">
        <f>IFERROR(__xludf.DUMMYFUNCTION("""COMPUTED_VALUE"""),171.37)</f>
        <v>171.37</v>
      </c>
      <c r="C2478" s="5">
        <v>171.369995117187</v>
      </c>
      <c r="D2478" s="5">
        <v>624.219970703125</v>
      </c>
      <c r="E2478" s="7">
        <f t="shared" ref="E2478:F2478" si="2476">C2478/C2477-1</f>
        <v>0.003925003989</v>
      </c>
      <c r="F2478" s="7">
        <f t="shared" si="2476"/>
        <v>0.003343228221</v>
      </c>
    </row>
    <row r="2479">
      <c r="A2479" s="3">
        <f>IFERROR(__xludf.DUMMYFUNCTION("""COMPUTED_VALUE"""),45855.66666666667)</f>
        <v>45855.66667</v>
      </c>
      <c r="B2479" s="5">
        <f>IFERROR(__xludf.DUMMYFUNCTION("""COMPUTED_VALUE"""),173.0)</f>
        <v>173</v>
      </c>
      <c r="C2479" s="5">
        <v>173.0</v>
      </c>
      <c r="D2479" s="5">
        <v>628.039978027343</v>
      </c>
      <c r="E2479" s="7">
        <f t="shared" ref="E2479:F2479" si="2477">C2479/C2478-1</f>
        <v>0.009511611888</v>
      </c>
      <c r="F2479" s="7">
        <f t="shared" si="2477"/>
        <v>0.006119649328</v>
      </c>
    </row>
    <row r="2480">
      <c r="A2480" s="3">
        <f>IFERROR(__xludf.DUMMYFUNCTION("""COMPUTED_VALUE"""),45856.66666666667)</f>
        <v>45856.66667</v>
      </c>
      <c r="B2480" s="5">
        <f>IFERROR(__xludf.DUMMYFUNCTION("""COMPUTED_VALUE"""),172.41)</f>
        <v>172.41</v>
      </c>
      <c r="C2480" s="5">
        <v>172.410003662109</v>
      </c>
      <c r="D2480" s="5">
        <v>627.580017089843</v>
      </c>
      <c r="E2480" s="7">
        <f t="shared" ref="E2480:F2480" si="2478">C2480/C2479-1</f>
        <v>-0.003410383456</v>
      </c>
      <c r="F2480" s="7">
        <f t="shared" si="2478"/>
        <v>-0.0007323752525</v>
      </c>
    </row>
    <row r="2481">
      <c r="A2481" s="3">
        <f>IFERROR(__xludf.DUMMYFUNCTION("""COMPUTED_VALUE"""),45859.66666666667)</f>
        <v>45859.66667</v>
      </c>
      <c r="B2481" s="5">
        <f>IFERROR(__xludf.DUMMYFUNCTION("""COMPUTED_VALUE"""),171.38)</f>
        <v>171.38</v>
      </c>
      <c r="C2481" s="5">
        <v>171.380004882812</v>
      </c>
      <c r="D2481" s="5">
        <v>628.77001953125</v>
      </c>
      <c r="E2481" s="7">
        <f t="shared" ref="E2481:F2481" si="2479">C2481/C2480-1</f>
        <v>-0.005974124224</v>
      </c>
      <c r="F2481" s="7">
        <f t="shared" si="2479"/>
        <v>0.001896176438</v>
      </c>
    </row>
    <row r="2482">
      <c r="A2482" s="3">
        <f>IFERROR(__xludf.DUMMYFUNCTION("""COMPUTED_VALUE"""),45860.66666666667)</f>
        <v>45860.66667</v>
      </c>
      <c r="B2482" s="5">
        <f>IFERROR(__xludf.DUMMYFUNCTION("""COMPUTED_VALUE"""),167.03)</f>
        <v>167.03</v>
      </c>
      <c r="C2482" s="5">
        <v>167.029998779296</v>
      </c>
      <c r="D2482" s="5">
        <v>628.859985351562</v>
      </c>
      <c r="E2482" s="7">
        <f t="shared" ref="E2482:F2482" si="2480">C2482/C2481-1</f>
        <v>-0.02538222651</v>
      </c>
      <c r="F2482" s="7">
        <f t="shared" si="2480"/>
        <v>0.000143082236</v>
      </c>
    </row>
    <row r="2483">
      <c r="A2483" s="3">
        <f>IFERROR(__xludf.DUMMYFUNCTION("""COMPUTED_VALUE"""),45861.66666666667)</f>
        <v>45861.66667</v>
      </c>
      <c r="B2483" s="5">
        <f>IFERROR(__xludf.DUMMYFUNCTION("""COMPUTED_VALUE"""),170.78)</f>
        <v>170.78</v>
      </c>
      <c r="C2483" s="5">
        <v>170.779998779296</v>
      </c>
      <c r="D2483" s="5">
        <v>634.210021972656</v>
      </c>
      <c r="E2483" s="7">
        <f t="shared" ref="E2483:F2483" si="2481">C2483/C2482-1</f>
        <v>0.02245105686</v>
      </c>
      <c r="F2483" s="7">
        <f t="shared" si="2481"/>
        <v>0.008507516372</v>
      </c>
    </row>
    <row r="2484">
      <c r="A2484" s="3">
        <f>IFERROR(__xludf.DUMMYFUNCTION("""COMPUTED_VALUE"""),45862.66666666667)</f>
        <v>45862.66667</v>
      </c>
      <c r="B2484" s="5">
        <f>IFERROR(__xludf.DUMMYFUNCTION("""COMPUTED_VALUE"""),173.74)</f>
        <v>173.74</v>
      </c>
      <c r="C2484" s="5">
        <v>173.740005493164</v>
      </c>
      <c r="D2484" s="5">
        <v>634.419982910156</v>
      </c>
      <c r="E2484" s="7">
        <f t="shared" ref="E2484:F2484" si="2482">C2484/C2483-1</f>
        <v>0.01733227975</v>
      </c>
      <c r="F2484" s="7">
        <f t="shared" si="2482"/>
        <v>0.0003310590029</v>
      </c>
    </row>
    <row r="2485">
      <c r="A2485" s="3">
        <f>IFERROR(__xludf.DUMMYFUNCTION("""COMPUTED_VALUE"""),45863.66666666667)</f>
        <v>45863.66667</v>
      </c>
      <c r="B2485" s="5">
        <f>IFERROR(__xludf.DUMMYFUNCTION("""COMPUTED_VALUE"""),173.5)</f>
        <v>173.5</v>
      </c>
      <c r="C2485" s="5">
        <v>173.5</v>
      </c>
      <c r="D2485" s="5">
        <v>637.099975585937</v>
      </c>
      <c r="E2485" s="7">
        <f t="shared" ref="E2485:F2485" si="2483">C2485/C2484-1</f>
        <v>-0.001381406041</v>
      </c>
      <c r="F2485" s="7">
        <f t="shared" si="2483"/>
        <v>0.004224319454</v>
      </c>
    </row>
    <row r="2486">
      <c r="A2486" s="3">
        <f>IFERROR(__xludf.DUMMYFUNCTION("""COMPUTED_VALUE"""),45866.66666666667)</f>
        <v>45866.66667</v>
      </c>
      <c r="B2486" s="5">
        <f>IFERROR(__xludf.DUMMYFUNCTION("""COMPUTED_VALUE"""),176.75)</f>
        <v>176.75</v>
      </c>
      <c r="C2486" s="5">
        <v>176.75</v>
      </c>
      <c r="D2486" s="5">
        <v>636.940002441406</v>
      </c>
      <c r="E2486" s="7">
        <f t="shared" ref="E2486:F2486" si="2484">C2486/C2485-1</f>
        <v>0.01873198847</v>
      </c>
      <c r="F2486" s="7">
        <f t="shared" si="2484"/>
        <v>-0.0002510958259</v>
      </c>
    </row>
    <row r="2487">
      <c r="A2487" s="3">
        <f>IFERROR(__xludf.DUMMYFUNCTION("""COMPUTED_VALUE"""),45867.66666666667)</f>
        <v>45867.66667</v>
      </c>
      <c r="B2487" s="5">
        <f>IFERROR(__xludf.DUMMYFUNCTION("""COMPUTED_VALUE"""),175.51)</f>
        <v>175.51</v>
      </c>
      <c r="C2487" s="5">
        <v>175.509994506835</v>
      </c>
      <c r="D2487" s="5">
        <v>635.260009765625</v>
      </c>
      <c r="E2487" s="7">
        <f t="shared" ref="E2487:F2487" si="2485">C2487/C2486-1</f>
        <v>-0.007015589777</v>
      </c>
      <c r="F2487" s="7">
        <f t="shared" si="2485"/>
        <v>-0.002637599569</v>
      </c>
    </row>
    <row r="2488">
      <c r="A2488" s="3">
        <f>IFERROR(__xludf.DUMMYFUNCTION("""COMPUTED_VALUE"""),45868.66666666667)</f>
        <v>45868.66667</v>
      </c>
      <c r="B2488" s="5">
        <f>IFERROR(__xludf.DUMMYFUNCTION("""COMPUTED_VALUE"""),179.27)</f>
        <v>179.27</v>
      </c>
      <c r="C2488" s="5">
        <v>179.27000427246</v>
      </c>
      <c r="D2488" s="5">
        <v>634.460021972656</v>
      </c>
      <c r="E2488" s="7">
        <f t="shared" ref="E2488:F2488" si="2486">C2488/C2487-1</f>
        <v>0.02142333704</v>
      </c>
      <c r="F2488" s="7">
        <f t="shared" si="2486"/>
        <v>-0.001259307655</v>
      </c>
    </row>
    <row r="2489">
      <c r="A2489" s="3">
        <f>IFERROR(__xludf.DUMMYFUNCTION("""COMPUTED_VALUE"""),45869.66666666667)</f>
        <v>45869.66667</v>
      </c>
      <c r="B2489" s="5">
        <f>IFERROR(__xludf.DUMMYFUNCTION("""COMPUTED_VALUE"""),177.87)</f>
        <v>177.87</v>
      </c>
      <c r="C2489" s="5">
        <v>177.869995117187</v>
      </c>
      <c r="D2489" s="5">
        <v>632.080017089843</v>
      </c>
      <c r="E2489" s="7">
        <f t="shared" ref="E2489:F2489" si="2487">C2489/C2488-1</f>
        <v>-0.007809500317</v>
      </c>
      <c r="F2489" s="7">
        <f t="shared" si="2487"/>
        <v>-0.003751229077</v>
      </c>
    </row>
    <row r="2490">
      <c r="A2490" s="3">
        <f>IFERROR(__xludf.DUMMYFUNCTION("""COMPUTED_VALUE"""),45870.66666666667)</f>
        <v>45870.66667</v>
      </c>
      <c r="B2490" s="5">
        <f>IFERROR(__xludf.DUMMYFUNCTION("""COMPUTED_VALUE"""),173.72)</f>
        <v>173.72</v>
      </c>
      <c r="C2490" s="5">
        <v>173.720001220703</v>
      </c>
      <c r="D2490" s="5">
        <v>621.719970703125</v>
      </c>
      <c r="E2490" s="7">
        <f t="shared" ref="E2490:F2490" si="2488">C2490/C2489-1</f>
        <v>-0.02333161303</v>
      </c>
      <c r="F2490" s="7">
        <f t="shared" si="2488"/>
        <v>-0.01639040328</v>
      </c>
    </row>
    <row r="2491">
      <c r="A2491" s="3">
        <f>IFERROR(__xludf.DUMMYFUNCTION("""COMPUTED_VALUE"""),45873.66666666667)</f>
        <v>45873.66667</v>
      </c>
      <c r="B2491" s="5">
        <f>IFERROR(__xludf.DUMMYFUNCTION("""COMPUTED_VALUE"""),180.0)</f>
        <v>180</v>
      </c>
      <c r="C2491" s="5">
        <v>180.0</v>
      </c>
      <c r="D2491" s="5">
        <v>631.169982910156</v>
      </c>
      <c r="E2491" s="7">
        <f t="shared" ref="E2491:F2491" si="2489">C2491/C2490-1</f>
        <v>0.03615011936</v>
      </c>
      <c r="F2491" s="7">
        <f t="shared" si="2489"/>
        <v>0.01519978874</v>
      </c>
    </row>
    <row r="2492">
      <c r="A2492" s="3">
        <f>IFERROR(__xludf.DUMMYFUNCTION("""COMPUTED_VALUE"""),45874.66666666667)</f>
        <v>45874.66667</v>
      </c>
      <c r="B2492" s="5">
        <f>IFERROR(__xludf.DUMMYFUNCTION("""COMPUTED_VALUE"""),178.26)</f>
        <v>178.26</v>
      </c>
      <c r="C2492" s="5">
        <v>178.259994506835</v>
      </c>
      <c r="D2492" s="5">
        <v>627.969970703125</v>
      </c>
      <c r="E2492" s="7">
        <f t="shared" ref="E2492:F2492" si="2490">C2492/C2491-1</f>
        <v>-0.009666697184</v>
      </c>
      <c r="F2492" s="7">
        <f t="shared" si="2490"/>
        <v>-0.005069968937</v>
      </c>
    </row>
    <row r="2493">
      <c r="A2493" s="3">
        <f>IFERROR(__xludf.DUMMYFUNCTION("""COMPUTED_VALUE"""),45875.66666666667)</f>
        <v>45875.66667</v>
      </c>
      <c r="B2493" s="5">
        <f>IFERROR(__xludf.DUMMYFUNCTION("""COMPUTED_VALUE"""),179.42)</f>
        <v>179.42</v>
      </c>
      <c r="C2493" s="5">
        <v>179.419998168945</v>
      </c>
      <c r="D2493" s="5">
        <v>632.780029296875</v>
      </c>
      <c r="E2493" s="7">
        <f t="shared" ref="E2493:F2493" si="2491">C2493/C2492-1</f>
        <v>0.006507369561</v>
      </c>
      <c r="F2493" s="7">
        <f t="shared" si="2491"/>
        <v>0.007659695237</v>
      </c>
    </row>
    <row r="2494">
      <c r="A2494" s="3">
        <f>IFERROR(__xludf.DUMMYFUNCTION("""COMPUTED_VALUE"""),45876.66666666667)</f>
        <v>45876.66667</v>
      </c>
      <c r="B2494" s="5">
        <f>IFERROR(__xludf.DUMMYFUNCTION("""COMPUTED_VALUE"""),180.77)</f>
        <v>180.77</v>
      </c>
      <c r="C2494" s="5">
        <v>180.77000427246</v>
      </c>
      <c r="D2494" s="5">
        <v>632.25</v>
      </c>
      <c r="E2494" s="7">
        <f t="shared" ref="E2494:F2494" si="2492">C2494/C2493-1</f>
        <v>0.007524278884</v>
      </c>
      <c r="F2494" s="7">
        <f t="shared" si="2492"/>
        <v>-0.0008376201402</v>
      </c>
    </row>
    <row r="2495">
      <c r="A2495" s="3">
        <f>IFERROR(__xludf.DUMMYFUNCTION("""COMPUTED_VALUE"""),45877.66666666667)</f>
        <v>45877.66667</v>
      </c>
      <c r="B2495" s="5">
        <f>IFERROR(__xludf.DUMMYFUNCTION("""COMPUTED_VALUE"""),182.7)</f>
        <v>182.7</v>
      </c>
      <c r="C2495" s="5">
        <v>182.699996948242</v>
      </c>
      <c r="D2495" s="5">
        <v>637.179992675781</v>
      </c>
      <c r="E2495" s="7">
        <f t="shared" ref="E2495:F2495" si="2493">C2495/C2494-1</f>
        <v>0.01067650954</v>
      </c>
      <c r="F2495" s="7">
        <f t="shared" si="2493"/>
        <v>0.007797536854</v>
      </c>
    </row>
    <row r="2496">
      <c r="A2496" s="3">
        <f>IFERROR(__xludf.DUMMYFUNCTION("""COMPUTED_VALUE"""),45880.66666666667)</f>
        <v>45880.66667</v>
      </c>
      <c r="B2496" s="5">
        <f>IFERROR(__xludf.DUMMYFUNCTION("""COMPUTED_VALUE"""),182.06)</f>
        <v>182.06</v>
      </c>
      <c r="C2496" s="5">
        <v>182.059997558593</v>
      </c>
      <c r="D2496" s="5">
        <v>635.919982910156</v>
      </c>
      <c r="E2496" s="7">
        <f t="shared" ref="E2496:F2496" si="2494">C2496/C2495-1</f>
        <v>-0.003503007117</v>
      </c>
      <c r="F2496" s="7">
        <f t="shared" si="2494"/>
        <v>-0.001977478546</v>
      </c>
    </row>
    <row r="2497">
      <c r="A2497" s="3">
        <f>IFERROR(__xludf.DUMMYFUNCTION("""COMPUTED_VALUE"""),45881.66666666667)</f>
        <v>45881.66667</v>
      </c>
      <c r="B2497" s="5">
        <f>IFERROR(__xludf.DUMMYFUNCTION("""COMPUTED_VALUE"""),183.16)</f>
        <v>183.16</v>
      </c>
      <c r="C2497" s="5">
        <v>183.160003662109</v>
      </c>
      <c r="D2497" s="5">
        <v>642.690002441406</v>
      </c>
      <c r="E2497" s="7">
        <f t="shared" ref="E2497:F2497" si="2495">C2497/C2496-1</f>
        <v>0.006041997793</v>
      </c>
      <c r="F2497" s="7">
        <f t="shared" si="2495"/>
        <v>0.01064602421</v>
      </c>
    </row>
    <row r="2498">
      <c r="A2498" s="3">
        <f>IFERROR(__xludf.DUMMYFUNCTION("""COMPUTED_VALUE"""),45882.66666666667)</f>
        <v>45882.66667</v>
      </c>
      <c r="B2498" s="5">
        <f>IFERROR(__xludf.DUMMYFUNCTION("""COMPUTED_VALUE"""),181.59)</f>
        <v>181.59</v>
      </c>
      <c r="C2498" s="5">
        <v>181.58999633789</v>
      </c>
      <c r="D2498" s="5">
        <v>644.890014648437</v>
      </c>
      <c r="E2498" s="7">
        <f t="shared" ref="E2498:F2498" si="2496">C2498/C2497-1</f>
        <v>-0.008571780371</v>
      </c>
      <c r="F2498" s="7">
        <f t="shared" si="2496"/>
        <v>0.003423131212</v>
      </c>
    </row>
    <row r="2499">
      <c r="A2499" s="3">
        <f>IFERROR(__xludf.DUMMYFUNCTION("""COMPUTED_VALUE"""),45883.66666666667)</f>
        <v>45883.66667</v>
      </c>
      <c r="B2499" s="5">
        <f>IFERROR(__xludf.DUMMYFUNCTION("""COMPUTED_VALUE"""),182.02)</f>
        <v>182.02</v>
      </c>
      <c r="C2499" s="5">
        <v>182.02000427246</v>
      </c>
      <c r="D2499" s="5">
        <v>644.950012207031</v>
      </c>
      <c r="E2499" s="7">
        <f t="shared" ref="E2499:F2499" si="2497">C2499/C2498-1</f>
        <v>0.002368015547</v>
      </c>
      <c r="F2499" s="7">
        <f t="shared" si="2497"/>
        <v>0.00009303533507</v>
      </c>
    </row>
    <row r="2500">
      <c r="A2500" s="3">
        <f>IFERROR(__xludf.DUMMYFUNCTION("""COMPUTED_VALUE"""),45884.66666666667)</f>
        <v>45884.66667</v>
      </c>
      <c r="B2500" s="5">
        <f>IFERROR(__xludf.DUMMYFUNCTION("""COMPUTED_VALUE"""),180.45)</f>
        <v>180.45</v>
      </c>
      <c r="C2500" s="5">
        <v>180.449996948242</v>
      </c>
      <c r="D2500" s="5">
        <v>643.440002441406</v>
      </c>
      <c r="E2500" s="7">
        <f t="shared" ref="E2500:F2500" si="2498">C2500/C2499-1</f>
        <v>-0.008625465813</v>
      </c>
      <c r="F2500" s="7">
        <f t="shared" si="2498"/>
        <v>-0.002341281862</v>
      </c>
    </row>
    <row r="2501">
      <c r="A2501" s="3">
        <f>IFERROR(__xludf.DUMMYFUNCTION("""COMPUTED_VALUE"""),45887.66666666667)</f>
        <v>45887.66667</v>
      </c>
      <c r="B2501" s="5">
        <f>IFERROR(__xludf.DUMMYFUNCTION("""COMPUTED_VALUE"""),182.01)</f>
        <v>182.01</v>
      </c>
      <c r="C2501" s="5">
        <v>182.009994506835</v>
      </c>
      <c r="D2501" s="5">
        <v>643.299987792968</v>
      </c>
      <c r="E2501" s="7">
        <f t="shared" ref="E2501:F2501" si="2499">C2501/C2500-1</f>
        <v>0.008645040648</v>
      </c>
      <c r="F2501" s="7">
        <f t="shared" si="2499"/>
        <v>-0.0002176032698</v>
      </c>
    </row>
    <row r="2502">
      <c r="A2502" s="3">
        <f>IFERROR(__xludf.DUMMYFUNCTION("""COMPUTED_VALUE"""),45888.66666666667)</f>
        <v>45888.66667</v>
      </c>
      <c r="B2502" s="5">
        <f>IFERROR(__xludf.DUMMYFUNCTION("""COMPUTED_VALUE"""),175.64)</f>
        <v>175.64</v>
      </c>
      <c r="C2502" s="5">
        <v>175.639999389648</v>
      </c>
      <c r="D2502" s="5">
        <v>639.809997558593</v>
      </c>
      <c r="E2502" s="7">
        <f t="shared" ref="E2502:F2502" si="2500">C2502/C2501-1</f>
        <v>-0.03499805126</v>
      </c>
      <c r="F2502" s="7">
        <f t="shared" si="2500"/>
        <v>-0.005425136485</v>
      </c>
    </row>
    <row r="2503">
      <c r="A2503" s="3">
        <f>IFERROR(__xludf.DUMMYFUNCTION("""COMPUTED_VALUE"""),45889.66666666667)</f>
        <v>45889.66667</v>
      </c>
      <c r="B2503" s="5">
        <f>IFERROR(__xludf.DUMMYFUNCTION("""COMPUTED_VALUE"""),175.4)</f>
        <v>175.4</v>
      </c>
      <c r="C2503" s="5">
        <v>175.399993896484</v>
      </c>
      <c r="D2503" s="5">
        <v>638.109985351562</v>
      </c>
      <c r="E2503" s="7">
        <f t="shared" ref="E2503:F2503" si="2501">C2503/C2502-1</f>
        <v>-0.001366462617</v>
      </c>
      <c r="F2503" s="7">
        <f t="shared" si="2501"/>
        <v>-0.002657057898</v>
      </c>
    </row>
    <row r="2504">
      <c r="A2504" s="3">
        <f>IFERROR(__xludf.DUMMYFUNCTION("""COMPUTED_VALUE"""),45890.66666666667)</f>
        <v>45890.66667</v>
      </c>
      <c r="B2504" s="5">
        <f>IFERROR(__xludf.DUMMYFUNCTION("""COMPUTED_VALUE"""),174.98)</f>
        <v>174.98</v>
      </c>
      <c r="C2504" s="5">
        <v>174.979995727539</v>
      </c>
      <c r="D2504" s="5">
        <v>635.549987792968</v>
      </c>
      <c r="E2504" s="7">
        <f t="shared" ref="E2504:F2504" si="2502">C2504/C2503-1</f>
        <v>-0.00239451644</v>
      </c>
      <c r="F2504" s="7">
        <f t="shared" si="2502"/>
        <v>-0.004011843753</v>
      </c>
    </row>
    <row r="2505">
      <c r="A2505" s="3">
        <f>IFERROR(__xludf.DUMMYFUNCTION("""COMPUTED_VALUE"""),45891.66666666667)</f>
        <v>45891.66667</v>
      </c>
      <c r="B2505" s="5">
        <f>IFERROR(__xludf.DUMMYFUNCTION("""COMPUTED_VALUE"""),177.99)</f>
        <v>177.99</v>
      </c>
      <c r="C2505" s="5">
        <v>177.990005493164</v>
      </c>
      <c r="D2505" s="5">
        <v>645.309997558593</v>
      </c>
      <c r="E2505" s="7">
        <f t="shared" ref="E2505:F2505" si="2503">C2505/C2504-1</f>
        <v>0.01720202217</v>
      </c>
      <c r="F2505" s="7">
        <f t="shared" si="2503"/>
        <v>0.01535679325</v>
      </c>
    </row>
    <row r="2506">
      <c r="A2506" s="3">
        <f>IFERROR(__xludf.DUMMYFUNCTION("""COMPUTED_VALUE"""),45894.66666666667)</f>
        <v>45894.66667</v>
      </c>
      <c r="B2506" s="5">
        <f>IFERROR(__xludf.DUMMYFUNCTION("""COMPUTED_VALUE"""),179.81)</f>
        <v>179.81</v>
      </c>
      <c r="C2506" s="5">
        <v>179.809997558593</v>
      </c>
      <c r="D2506" s="5">
        <v>642.469970703125</v>
      </c>
      <c r="E2506" s="7">
        <f t="shared" ref="E2506:F2506" si="2504">C2506/C2505-1</f>
        <v>0.01022524866</v>
      </c>
      <c r="F2506" s="7">
        <f t="shared" si="2504"/>
        <v>-0.004401027206</v>
      </c>
    </row>
    <row r="2507">
      <c r="A2507" s="3">
        <f>IFERROR(__xludf.DUMMYFUNCTION("""COMPUTED_VALUE"""),45895.66666666667)</f>
        <v>45895.66667</v>
      </c>
      <c r="B2507" s="5">
        <f>IFERROR(__xludf.DUMMYFUNCTION("""COMPUTED_VALUE"""),181.77)</f>
        <v>181.77</v>
      </c>
      <c r="C2507" s="5">
        <v>181.77000427246</v>
      </c>
      <c r="D2507" s="5">
        <v>645.159973144531</v>
      </c>
      <c r="E2507" s="7">
        <f t="shared" ref="E2507:F2507" si="2505">C2507/C2506-1</f>
        <v>0.01090043235</v>
      </c>
      <c r="F2507" s="7">
        <f t="shared" si="2505"/>
        <v>0.004186969919</v>
      </c>
    </row>
    <row r="2508">
      <c r="A2508" s="3">
        <f>IFERROR(__xludf.DUMMYFUNCTION("""COMPUTED_VALUE"""),45896.66666666667)</f>
        <v>45896.66667</v>
      </c>
      <c r="B2508" s="5">
        <f>IFERROR(__xludf.DUMMYFUNCTION("""COMPUTED_VALUE"""),181.6)</f>
        <v>181.6</v>
      </c>
      <c r="C2508" s="5">
        <v>181.600006103515</v>
      </c>
      <c r="D2508" s="5">
        <v>646.630004882812</v>
      </c>
      <c r="E2508" s="7">
        <f t="shared" ref="E2508:F2508" si="2506">C2508/C2507-1</f>
        <v>-0.0009352377452</v>
      </c>
      <c r="F2508" s="7">
        <f t="shared" si="2506"/>
        <v>0.002278553846</v>
      </c>
    </row>
    <row r="2509">
      <c r="A2509" s="3">
        <f>IFERROR(__xludf.DUMMYFUNCTION("""COMPUTED_VALUE"""),45897.66666666667)</f>
        <v>45897.66667</v>
      </c>
      <c r="B2509" s="5">
        <f>IFERROR(__xludf.DUMMYFUNCTION("""COMPUTED_VALUE"""),180.17)</f>
        <v>180.17</v>
      </c>
      <c r="C2509" s="5">
        <v>180.169998168945</v>
      </c>
      <c r="D2509" s="5">
        <v>648.919982910156</v>
      </c>
      <c r="E2509" s="7">
        <f t="shared" ref="E2509:F2509" si="2507">C2509/C2508-1</f>
        <v>-0.007874492767</v>
      </c>
      <c r="F2509" s="7">
        <f t="shared" si="2507"/>
        <v>0.00354140391</v>
      </c>
    </row>
    <row r="2510">
      <c r="A2510" s="3">
        <f>IFERROR(__xludf.DUMMYFUNCTION("""COMPUTED_VALUE"""),45898.66666666667)</f>
        <v>45898.66667</v>
      </c>
      <c r="B2510" s="5">
        <f>IFERROR(__xludf.DUMMYFUNCTION("""COMPUTED_VALUE"""),174.18)</f>
        <v>174.18</v>
      </c>
      <c r="C2510" s="5">
        <v>174.179992675781</v>
      </c>
      <c r="D2510" s="5">
        <v>645.049987792968</v>
      </c>
      <c r="E2510" s="7">
        <f t="shared" ref="E2510:F2510" si="2508">C2510/C2509-1</f>
        <v>-0.03324640925</v>
      </c>
      <c r="F2510" s="7">
        <f t="shared" si="2508"/>
        <v>-0.005963747795</v>
      </c>
    </row>
    <row r="2511">
      <c r="A2511" s="3">
        <f>IFERROR(__xludf.DUMMYFUNCTION("""COMPUTED_VALUE"""),45902.66666666667)</f>
        <v>45902.66667</v>
      </c>
      <c r="B2511" s="5">
        <f>IFERROR(__xludf.DUMMYFUNCTION("""COMPUTED_VALUE"""),170.78)</f>
        <v>170.78</v>
      </c>
      <c r="C2511" s="5">
        <v>170.779998779296</v>
      </c>
      <c r="D2511" s="5">
        <v>640.27001953125</v>
      </c>
      <c r="E2511" s="7">
        <f t="shared" ref="E2511:F2511" si="2509">C2511/C2510-1</f>
        <v>-0.01952000252</v>
      </c>
      <c r="F2511" s="7">
        <f t="shared" si="2509"/>
        <v>-0.00741022921</v>
      </c>
    </row>
    <row r="2512">
      <c r="A2512" s="3">
        <f>IFERROR(__xludf.DUMMYFUNCTION("""COMPUTED_VALUE"""),45903.66666666667)</f>
        <v>45903.66667</v>
      </c>
      <c r="B2512" s="5">
        <f>IFERROR(__xludf.DUMMYFUNCTION("""COMPUTED_VALUE"""),170.62)</f>
        <v>170.62</v>
      </c>
      <c r="C2512" s="5">
        <v>170.619995117187</v>
      </c>
      <c r="D2512" s="5">
        <v>643.739990234375</v>
      </c>
      <c r="E2512" s="7">
        <f t="shared" ref="E2512:F2512" si="2510">C2512/C2511-1</f>
        <v>-0.0009368993047</v>
      </c>
      <c r="F2512" s="7">
        <f t="shared" si="2510"/>
        <v>0.005419542689</v>
      </c>
    </row>
    <row r="2513">
      <c r="A2513" s="3">
        <f>IFERROR(__xludf.DUMMYFUNCTION("""COMPUTED_VALUE"""),45904.66666666667)</f>
        <v>45904.66667</v>
      </c>
      <c r="B2513" s="5">
        <f>IFERROR(__xludf.DUMMYFUNCTION("""COMPUTED_VALUE"""),171.66)</f>
        <v>171.66</v>
      </c>
      <c r="C2513" s="5">
        <v>171.660003662109</v>
      </c>
      <c r="D2513" s="5">
        <v>649.119995117187</v>
      </c>
      <c r="E2513" s="7">
        <f t="shared" ref="E2513:F2513" si="2511">C2513/C2512-1</f>
        <v>0.006095466972</v>
      </c>
      <c r="F2513" s="7">
        <f t="shared" si="2511"/>
        <v>0.008357419089</v>
      </c>
    </row>
    <row r="2514">
      <c r="A2514" s="3">
        <f>IFERROR(__xludf.DUMMYFUNCTION("""COMPUTED_VALUE"""),45905.66666666667)</f>
        <v>45905.66667</v>
      </c>
      <c r="B2514" s="5">
        <f>IFERROR(__xludf.DUMMYFUNCTION("""COMPUTED_VALUE"""),167.02)</f>
        <v>167.02</v>
      </c>
      <c r="C2514" s="5">
        <v>167.02000427246</v>
      </c>
      <c r="D2514" s="5">
        <v>647.239990234375</v>
      </c>
      <c r="E2514" s="7">
        <f t="shared" ref="E2514:F2514" si="2512">C2514/C2513-1</f>
        <v>-0.0270301718</v>
      </c>
      <c r="F2514" s="7">
        <f t="shared" si="2512"/>
        <v>-0.002896236284</v>
      </c>
    </row>
    <row r="2515">
      <c r="A2515" s="3">
        <f>IFERROR(__xludf.DUMMYFUNCTION("""COMPUTED_VALUE"""),45908.66666666667)</f>
        <v>45908.66667</v>
      </c>
      <c r="B2515" s="5">
        <f>IFERROR(__xludf.DUMMYFUNCTION("""COMPUTED_VALUE"""),168.31)</f>
        <v>168.31</v>
      </c>
      <c r="C2515" s="5">
        <v>168.309997558593</v>
      </c>
      <c r="D2515" s="5">
        <v>648.830017089843</v>
      </c>
      <c r="E2515" s="7">
        <f t="shared" ref="E2515:F2515" si="2513">C2515/C2514-1</f>
        <v>0.007723585518</v>
      </c>
      <c r="F2515" s="7">
        <f t="shared" si="2513"/>
        <v>0.002456626413</v>
      </c>
    </row>
    <row r="2516">
      <c r="A2516" s="3">
        <f>IFERROR(__xludf.DUMMYFUNCTION("""COMPUTED_VALUE"""),45909.66666666667)</f>
        <v>45909.66667</v>
      </c>
      <c r="B2516" s="5">
        <f>IFERROR(__xludf.DUMMYFUNCTION("""COMPUTED_VALUE"""),170.76)</f>
        <v>170.76</v>
      </c>
      <c r="C2516" s="5"/>
      <c r="D2516" s="5"/>
    </row>
    <row r="2517">
      <c r="A2517" s="5"/>
      <c r="B2517" s="5"/>
      <c r="C2517" s="5"/>
      <c r="D2517" s="5"/>
    </row>
    <row r="2518">
      <c r="A2518" s="5"/>
      <c r="B2518" s="5"/>
      <c r="C2518" s="5"/>
      <c r="D2518" s="5"/>
    </row>
    <row r="2519">
      <c r="A2519" s="5"/>
      <c r="B2519" s="5"/>
      <c r="C2519" s="5"/>
      <c r="D2519" s="5"/>
    </row>
    <row r="2520">
      <c r="A2520" s="5"/>
      <c r="B2520" s="5"/>
      <c r="C2520" s="5"/>
      <c r="D2520" s="5"/>
    </row>
    <row r="2521">
      <c r="A2521" s="5"/>
      <c r="B2521" s="5"/>
      <c r="C2521" s="5"/>
      <c r="D2521" s="5"/>
    </row>
    <row r="2522">
      <c r="A2522" s="5"/>
      <c r="B2522" s="5"/>
      <c r="C2522" s="5"/>
      <c r="D2522" s="5"/>
    </row>
    <row r="2523">
      <c r="A2523" s="5"/>
      <c r="B2523" s="5"/>
      <c r="C2523" s="5"/>
      <c r="D2523" s="5"/>
    </row>
    <row r="2524">
      <c r="A2524" s="5"/>
      <c r="B2524" s="5"/>
      <c r="C2524" s="5"/>
      <c r="D2524" s="5"/>
    </row>
    <row r="2525">
      <c r="A2525" s="5"/>
      <c r="B2525" s="5"/>
      <c r="C2525" s="5"/>
      <c r="D2525" s="5"/>
    </row>
    <row r="2526">
      <c r="A2526" s="5"/>
      <c r="B2526" s="5"/>
      <c r="C2526" s="5"/>
      <c r="D2526" s="5"/>
    </row>
    <row r="2527">
      <c r="A2527" s="5"/>
      <c r="B2527" s="5"/>
      <c r="C2527" s="5"/>
      <c r="D2527" s="5"/>
    </row>
    <row r="2528">
      <c r="A2528" s="5"/>
      <c r="B2528" s="5"/>
      <c r="C2528" s="5"/>
      <c r="D2528" s="5"/>
    </row>
    <row r="2529">
      <c r="A2529" s="5"/>
      <c r="B2529" s="5"/>
      <c r="C2529" s="5"/>
      <c r="D2529" s="5"/>
    </row>
    <row r="2530">
      <c r="A2530" s="5"/>
      <c r="B2530" s="5"/>
      <c r="C2530" s="5"/>
      <c r="D2530" s="5"/>
    </row>
    <row r="2531">
      <c r="A2531" s="5"/>
      <c r="B2531" s="5"/>
      <c r="C2531" s="5"/>
      <c r="D2531" s="5"/>
    </row>
    <row r="2532">
      <c r="A2532" s="5"/>
      <c r="B2532" s="5"/>
      <c r="C2532" s="5"/>
      <c r="D2532" s="5"/>
    </row>
    <row r="2533">
      <c r="A2533" s="5"/>
      <c r="B2533" s="5"/>
      <c r="C2533" s="5"/>
      <c r="D2533" s="5"/>
    </row>
    <row r="2534">
      <c r="A2534" s="5"/>
      <c r="B2534" s="5"/>
      <c r="C2534" s="5"/>
      <c r="D2534" s="5"/>
    </row>
    <row r="2535">
      <c r="A2535" s="5"/>
      <c r="B2535" s="5"/>
      <c r="C2535" s="5"/>
      <c r="D2535" s="5"/>
    </row>
    <row r="2536">
      <c r="A2536" s="5"/>
      <c r="B2536" s="5"/>
      <c r="C2536" s="5"/>
      <c r="D2536" s="5"/>
    </row>
    <row r="2537">
      <c r="A2537" s="5"/>
      <c r="B2537" s="5"/>
      <c r="C2537" s="5"/>
      <c r="D2537" s="5"/>
    </row>
    <row r="2538">
      <c r="A2538" s="5"/>
      <c r="B2538" s="5"/>
      <c r="C2538" s="5"/>
      <c r="D2538" s="5"/>
    </row>
    <row r="2539">
      <c r="A2539" s="5"/>
      <c r="B2539" s="5"/>
      <c r="C2539" s="5"/>
      <c r="D2539" s="5"/>
    </row>
    <row r="2540">
      <c r="A2540" s="5"/>
      <c r="B2540" s="5"/>
      <c r="C2540" s="5"/>
      <c r="D2540" s="5"/>
    </row>
    <row r="2541">
      <c r="A2541" s="5"/>
      <c r="B2541" s="5"/>
      <c r="C2541" s="5"/>
      <c r="D2541" s="5"/>
    </row>
    <row r="2542">
      <c r="A2542" s="5"/>
      <c r="B2542" s="5"/>
      <c r="C2542" s="5"/>
      <c r="D2542" s="5"/>
    </row>
    <row r="2543">
      <c r="A2543" s="5"/>
      <c r="B2543" s="5"/>
      <c r="C2543" s="5"/>
      <c r="D2543" s="5"/>
    </row>
    <row r="2544">
      <c r="A2544" s="5"/>
      <c r="B2544" s="5"/>
      <c r="C2544" s="5"/>
      <c r="D2544" s="5"/>
    </row>
    <row r="2545">
      <c r="A2545" s="5"/>
      <c r="B2545" s="5"/>
      <c r="C2545" s="5"/>
      <c r="D2545" s="5"/>
    </row>
    <row r="2546">
      <c r="A2546" s="5"/>
      <c r="B2546" s="5"/>
      <c r="C2546" s="5"/>
      <c r="D2546" s="5"/>
    </row>
    <row r="2547">
      <c r="A2547" s="5"/>
      <c r="B2547" s="5"/>
      <c r="C2547" s="5"/>
      <c r="D2547" s="5"/>
    </row>
    <row r="2548">
      <c r="A2548" s="5"/>
      <c r="B2548" s="5"/>
      <c r="C2548" s="5"/>
      <c r="D2548" s="5"/>
    </row>
    <row r="2549">
      <c r="A2549" s="5"/>
      <c r="B2549" s="5"/>
      <c r="C2549" s="5"/>
      <c r="D2549" s="5"/>
    </row>
    <row r="2550">
      <c r="A2550" s="5"/>
      <c r="B2550" s="5"/>
      <c r="C2550" s="5"/>
      <c r="D2550" s="5"/>
    </row>
    <row r="2551">
      <c r="A2551" s="5"/>
      <c r="B2551" s="5"/>
      <c r="C2551" s="5"/>
      <c r="D2551" s="5"/>
    </row>
    <row r="2552">
      <c r="A2552" s="5"/>
      <c r="B2552" s="5"/>
      <c r="C2552" s="5"/>
      <c r="D2552" s="5"/>
    </row>
    <row r="2553">
      <c r="A2553" s="5"/>
      <c r="B2553" s="5"/>
      <c r="C2553" s="5"/>
      <c r="D2553" s="5"/>
    </row>
    <row r="2554">
      <c r="A2554" s="5"/>
      <c r="B2554" s="5"/>
      <c r="C2554" s="5"/>
      <c r="D2554" s="5"/>
    </row>
    <row r="2555">
      <c r="A2555" s="5"/>
      <c r="B2555" s="5"/>
      <c r="C2555" s="5"/>
      <c r="D2555" s="5"/>
    </row>
    <row r="2556">
      <c r="A2556" s="5"/>
      <c r="B2556" s="5"/>
      <c r="C2556" s="5"/>
      <c r="D2556" s="5"/>
    </row>
    <row r="2557">
      <c r="A2557" s="5"/>
      <c r="B2557" s="5"/>
      <c r="C2557" s="5"/>
      <c r="D2557" s="5"/>
    </row>
    <row r="2558">
      <c r="A2558" s="5"/>
      <c r="B2558" s="5"/>
      <c r="C2558" s="5"/>
      <c r="D2558" s="5"/>
    </row>
    <row r="2559">
      <c r="A2559" s="5"/>
      <c r="B2559" s="5"/>
      <c r="C2559" s="5"/>
      <c r="D2559" s="5"/>
    </row>
    <row r="2560">
      <c r="A2560" s="5"/>
      <c r="B2560" s="5"/>
      <c r="C2560" s="5"/>
      <c r="D2560" s="5"/>
    </row>
    <row r="2561">
      <c r="A2561" s="5"/>
      <c r="B2561" s="5"/>
      <c r="C2561" s="5"/>
      <c r="D2561" s="5"/>
    </row>
    <row r="2562">
      <c r="A2562" s="5"/>
      <c r="B2562" s="5"/>
      <c r="C2562" s="5"/>
      <c r="D2562" s="5"/>
    </row>
    <row r="2563">
      <c r="A2563" s="5"/>
      <c r="B2563" s="5"/>
      <c r="C2563" s="5"/>
      <c r="D2563" s="5"/>
    </row>
    <row r="2564">
      <c r="A2564" s="5"/>
      <c r="B2564" s="5"/>
      <c r="C2564" s="5"/>
      <c r="D2564" s="5"/>
    </row>
    <row r="2565">
      <c r="A2565" s="5"/>
      <c r="B2565" s="5"/>
      <c r="C2565" s="5"/>
      <c r="D2565" s="5"/>
    </row>
    <row r="2566">
      <c r="A2566" s="5"/>
      <c r="B2566" s="5"/>
      <c r="C2566" s="5"/>
      <c r="D2566" s="5"/>
    </row>
    <row r="2567">
      <c r="A2567" s="5"/>
      <c r="B2567" s="5"/>
      <c r="C2567" s="5"/>
      <c r="D2567" s="5"/>
    </row>
    <row r="2568">
      <c r="A2568" s="5"/>
      <c r="B2568" s="5"/>
      <c r="C2568" s="5"/>
      <c r="D2568" s="5"/>
    </row>
    <row r="2569">
      <c r="A2569" s="5"/>
      <c r="B2569" s="5"/>
      <c r="C2569" s="5"/>
      <c r="D2569" s="5"/>
    </row>
    <row r="2570">
      <c r="A2570" s="5"/>
      <c r="B2570" s="5"/>
      <c r="C2570" s="5"/>
      <c r="D2570" s="5"/>
    </row>
    <row r="2571">
      <c r="A2571" s="5"/>
      <c r="B2571" s="5"/>
      <c r="C2571" s="5"/>
      <c r="D2571" s="5"/>
    </row>
    <row r="2572">
      <c r="A2572" s="5"/>
      <c r="B2572" s="5"/>
      <c r="C2572" s="5"/>
      <c r="D2572" s="5"/>
    </row>
    <row r="2573">
      <c r="A2573" s="5"/>
      <c r="B2573" s="5"/>
      <c r="C2573" s="5"/>
      <c r="D2573" s="5"/>
    </row>
    <row r="2574">
      <c r="A2574" s="5"/>
      <c r="B2574" s="5"/>
      <c r="C2574" s="5"/>
      <c r="D2574" s="5"/>
    </row>
    <row r="2575">
      <c r="A2575" s="5"/>
      <c r="B2575" s="5"/>
      <c r="C2575" s="5"/>
      <c r="D2575" s="5"/>
    </row>
    <row r="2576">
      <c r="A2576" s="5"/>
      <c r="B2576" s="5"/>
      <c r="C2576" s="5"/>
      <c r="D2576" s="5"/>
    </row>
    <row r="2577">
      <c r="A2577" s="5"/>
      <c r="B2577" s="5"/>
      <c r="C2577" s="5"/>
      <c r="D2577" s="5"/>
    </row>
    <row r="2578">
      <c r="A2578" s="5"/>
      <c r="B2578" s="5"/>
      <c r="C2578" s="5"/>
      <c r="D2578" s="5"/>
    </row>
    <row r="2579">
      <c r="A2579" s="5"/>
      <c r="B2579" s="5"/>
      <c r="C2579" s="5"/>
      <c r="D2579" s="5"/>
    </row>
    <row r="2580">
      <c r="A2580" s="5"/>
      <c r="B2580" s="5"/>
      <c r="C2580" s="5"/>
      <c r="D2580" s="5"/>
    </row>
    <row r="2581">
      <c r="A2581" s="5"/>
      <c r="B2581" s="5"/>
      <c r="C2581" s="5"/>
      <c r="D2581" s="5"/>
    </row>
    <row r="2582">
      <c r="A2582" s="5"/>
      <c r="B2582" s="5"/>
      <c r="C2582" s="5"/>
      <c r="D2582" s="5"/>
    </row>
    <row r="2583">
      <c r="A2583" s="5"/>
      <c r="B2583" s="5"/>
      <c r="C2583" s="5"/>
      <c r="D2583" s="5"/>
    </row>
    <row r="2584">
      <c r="A2584" s="5"/>
      <c r="B2584" s="5"/>
      <c r="C2584" s="5"/>
      <c r="D2584" s="5"/>
    </row>
    <row r="2585">
      <c r="A2585" s="5"/>
      <c r="B2585" s="5"/>
      <c r="C2585" s="5"/>
      <c r="D2585" s="5"/>
    </row>
    <row r="2586">
      <c r="A2586" s="5"/>
      <c r="B2586" s="5"/>
      <c r="C2586" s="5"/>
      <c r="D2586" s="5"/>
    </row>
    <row r="2587">
      <c r="A2587" s="5"/>
      <c r="B2587" s="5"/>
      <c r="C2587" s="5"/>
      <c r="D2587" s="5"/>
    </row>
    <row r="2588">
      <c r="A2588" s="5"/>
      <c r="B2588" s="5"/>
      <c r="C2588" s="5"/>
      <c r="D2588" s="5"/>
    </row>
    <row r="2589">
      <c r="A2589" s="5"/>
      <c r="B2589" s="5"/>
      <c r="C2589" s="5"/>
      <c r="D2589" s="5"/>
    </row>
    <row r="2590">
      <c r="A2590" s="5"/>
      <c r="B2590" s="5"/>
      <c r="C2590" s="5"/>
      <c r="D2590" s="5"/>
    </row>
    <row r="2591">
      <c r="A2591" s="5"/>
      <c r="B2591" s="5"/>
      <c r="C2591" s="5"/>
      <c r="D2591" s="5"/>
    </row>
    <row r="2592">
      <c r="A2592" s="5"/>
      <c r="B2592" s="5"/>
      <c r="C2592" s="5"/>
      <c r="D2592" s="5"/>
    </row>
    <row r="2593">
      <c r="A2593" s="5"/>
      <c r="B2593" s="5"/>
      <c r="C2593" s="5"/>
      <c r="D2593" s="5"/>
    </row>
    <row r="2594">
      <c r="A2594" s="5"/>
      <c r="B2594" s="5"/>
      <c r="C2594" s="5"/>
      <c r="D2594" s="5"/>
    </row>
    <row r="2595">
      <c r="A2595" s="5"/>
      <c r="B2595" s="5"/>
      <c r="C2595" s="5"/>
      <c r="D2595" s="5"/>
    </row>
    <row r="2596">
      <c r="A2596" s="5"/>
      <c r="B2596" s="5"/>
      <c r="C2596" s="5"/>
      <c r="D2596" s="5"/>
    </row>
    <row r="2597">
      <c r="A2597" s="5"/>
      <c r="B2597" s="5"/>
      <c r="C2597" s="5"/>
      <c r="D2597" s="5"/>
    </row>
    <row r="2598">
      <c r="A2598" s="5"/>
      <c r="B2598" s="5"/>
      <c r="C2598" s="5"/>
      <c r="D2598" s="5"/>
    </row>
    <row r="2599">
      <c r="A2599" s="5"/>
      <c r="B2599" s="5"/>
      <c r="C2599" s="5"/>
      <c r="D2599" s="5"/>
    </row>
    <row r="2600">
      <c r="A2600" s="5"/>
      <c r="B2600" s="5"/>
      <c r="C2600" s="5"/>
      <c r="D2600" s="5"/>
    </row>
    <row r="2601">
      <c r="A2601" s="5"/>
      <c r="B2601" s="5"/>
      <c r="C2601" s="5"/>
      <c r="D2601" s="5"/>
    </row>
    <row r="2602">
      <c r="A2602" s="5"/>
      <c r="B2602" s="5"/>
      <c r="C2602" s="5"/>
      <c r="D2602" s="5"/>
    </row>
    <row r="2603">
      <c r="A2603" s="5"/>
      <c r="B2603" s="5"/>
      <c r="C2603" s="5"/>
      <c r="D2603" s="5"/>
    </row>
    <row r="2604">
      <c r="A2604" s="5"/>
      <c r="B2604" s="5"/>
      <c r="C2604" s="5"/>
      <c r="D2604" s="5"/>
    </row>
    <row r="2605">
      <c r="A2605" s="5"/>
      <c r="B2605" s="5"/>
      <c r="C2605" s="5"/>
      <c r="D2605" s="5"/>
    </row>
    <row r="2606">
      <c r="A2606" s="5"/>
      <c r="B2606" s="5"/>
      <c r="C2606" s="5"/>
      <c r="D2606" s="5"/>
    </row>
    <row r="2607">
      <c r="A2607" s="5"/>
      <c r="B2607" s="5"/>
      <c r="C2607" s="5"/>
      <c r="D2607" s="5"/>
    </row>
    <row r="2608">
      <c r="A2608" s="5"/>
      <c r="B2608" s="5"/>
      <c r="C2608" s="5"/>
      <c r="D2608" s="5"/>
    </row>
    <row r="2609">
      <c r="A2609" s="5"/>
      <c r="B2609" s="5"/>
      <c r="C2609" s="5"/>
      <c r="D2609" s="5"/>
    </row>
    <row r="2610">
      <c r="A2610" s="5"/>
      <c r="B2610" s="5"/>
      <c r="C2610" s="5"/>
      <c r="D2610" s="5"/>
    </row>
    <row r="2611">
      <c r="A2611" s="5"/>
      <c r="B2611" s="5"/>
      <c r="C2611" s="5"/>
      <c r="D2611" s="5"/>
    </row>
    <row r="2612">
      <c r="A2612" s="5"/>
      <c r="B2612" s="5"/>
      <c r="C2612" s="5"/>
      <c r="D2612" s="5"/>
    </row>
    <row r="2613">
      <c r="A2613" s="5"/>
      <c r="B2613" s="5"/>
      <c r="C2613" s="5"/>
      <c r="D2613" s="5"/>
    </row>
    <row r="2614">
      <c r="A2614" s="5"/>
      <c r="B2614" s="5"/>
      <c r="C2614" s="5"/>
      <c r="D2614" s="5"/>
    </row>
    <row r="2615">
      <c r="A2615" s="5"/>
      <c r="B2615" s="5"/>
      <c r="C2615" s="5"/>
      <c r="D2615" s="5"/>
    </row>
    <row r="2616">
      <c r="A2616" s="5"/>
      <c r="B2616" s="5"/>
      <c r="C2616" s="5"/>
      <c r="D2616" s="5"/>
    </row>
    <row r="2617">
      <c r="A2617" s="5"/>
      <c r="B2617" s="5"/>
      <c r="C2617" s="5"/>
      <c r="D2617" s="5"/>
    </row>
    <row r="2618">
      <c r="A2618" s="5"/>
      <c r="B2618" s="5"/>
      <c r="C2618" s="5"/>
      <c r="D2618" s="5"/>
    </row>
    <row r="2619">
      <c r="A2619" s="5"/>
      <c r="B2619" s="5"/>
      <c r="C2619" s="5"/>
      <c r="D2619" s="5"/>
    </row>
    <row r="2620">
      <c r="A2620" s="5"/>
      <c r="B2620" s="5"/>
      <c r="C2620" s="5"/>
      <c r="D2620" s="5"/>
    </row>
    <row r="2621">
      <c r="A2621" s="5"/>
      <c r="B2621" s="5"/>
      <c r="C2621" s="5"/>
      <c r="D2621" s="5"/>
    </row>
    <row r="2622">
      <c r="A2622" s="5"/>
      <c r="B2622" s="5"/>
      <c r="C2622" s="5"/>
      <c r="D2622" s="5"/>
    </row>
    <row r="2623">
      <c r="A2623" s="5"/>
      <c r="B2623" s="5"/>
      <c r="C2623" s="5"/>
      <c r="D2623" s="5"/>
    </row>
    <row r="2624">
      <c r="A2624" s="5"/>
      <c r="B2624" s="5"/>
      <c r="C2624" s="5"/>
      <c r="D2624" s="5"/>
    </row>
    <row r="2625">
      <c r="A2625" s="5"/>
      <c r="B2625" s="5"/>
      <c r="C2625" s="5"/>
      <c r="D2625" s="5"/>
    </row>
    <row r="2626">
      <c r="A2626" s="5"/>
      <c r="B2626" s="5"/>
      <c r="C2626" s="5"/>
      <c r="D2626" s="5"/>
    </row>
    <row r="2627">
      <c r="A2627" s="5"/>
      <c r="B2627" s="5"/>
      <c r="C2627" s="5"/>
      <c r="D2627" s="5"/>
    </row>
    <row r="2628">
      <c r="A2628" s="5"/>
      <c r="B2628" s="5"/>
      <c r="C2628" s="5"/>
      <c r="D2628" s="5"/>
    </row>
    <row r="2629">
      <c r="A2629" s="5"/>
      <c r="B2629" s="5"/>
      <c r="C2629" s="5"/>
      <c r="D2629" s="5"/>
    </row>
    <row r="2630">
      <c r="A2630" s="5"/>
      <c r="B2630" s="5"/>
      <c r="C2630" s="5"/>
      <c r="D2630" s="5"/>
    </row>
    <row r="2631">
      <c r="A2631" s="5"/>
      <c r="B2631" s="5"/>
      <c r="C2631" s="5"/>
      <c r="D2631" s="5"/>
    </row>
    <row r="2632">
      <c r="A2632" s="5"/>
      <c r="B2632" s="5"/>
      <c r="C2632" s="5"/>
      <c r="D2632" s="5"/>
    </row>
    <row r="2633">
      <c r="A2633" s="5"/>
      <c r="B2633" s="5"/>
      <c r="C2633" s="5"/>
      <c r="D2633" s="5"/>
    </row>
    <row r="2634">
      <c r="A2634" s="5"/>
      <c r="B2634" s="5"/>
      <c r="C2634" s="5"/>
      <c r="D2634" s="5"/>
    </row>
    <row r="2635">
      <c r="A2635" s="5"/>
      <c r="B2635" s="5"/>
      <c r="C2635" s="5"/>
      <c r="D2635" s="5"/>
    </row>
    <row r="2636">
      <c r="A2636" s="5"/>
      <c r="B2636" s="5"/>
      <c r="C2636" s="5"/>
      <c r="D2636" s="5"/>
    </row>
    <row r="2637">
      <c r="A2637" s="5"/>
      <c r="B2637" s="5"/>
      <c r="C2637" s="5"/>
      <c r="D2637" s="5"/>
    </row>
    <row r="2638">
      <c r="A2638" s="5"/>
      <c r="B2638" s="5"/>
      <c r="C2638" s="5"/>
      <c r="D2638" s="5"/>
    </row>
    <row r="2639">
      <c r="A2639" s="5"/>
      <c r="B2639" s="5"/>
      <c r="C2639" s="5"/>
      <c r="D2639" s="5"/>
    </row>
    <row r="2640">
      <c r="A2640" s="5"/>
      <c r="B2640" s="5"/>
      <c r="C2640" s="5"/>
      <c r="D2640" s="5"/>
    </row>
    <row r="2641">
      <c r="A2641" s="5"/>
      <c r="B2641" s="5"/>
      <c r="C2641" s="5"/>
      <c r="D2641" s="5"/>
    </row>
    <row r="2642">
      <c r="A2642" s="5"/>
      <c r="B2642" s="5"/>
      <c r="C2642" s="5"/>
      <c r="D2642" s="5"/>
    </row>
    <row r="2643">
      <c r="A2643" s="5"/>
      <c r="B2643" s="5"/>
      <c r="C2643" s="5"/>
      <c r="D2643" s="5"/>
    </row>
    <row r="2644">
      <c r="A2644" s="5"/>
      <c r="B2644" s="5"/>
      <c r="C2644" s="5"/>
      <c r="D2644" s="5"/>
    </row>
    <row r="2645">
      <c r="A2645" s="5"/>
      <c r="B2645" s="5"/>
      <c r="C2645" s="5"/>
      <c r="D2645" s="5"/>
    </row>
    <row r="2646">
      <c r="A2646" s="5"/>
      <c r="B2646" s="5"/>
      <c r="C2646" s="5"/>
      <c r="D2646" s="5"/>
    </row>
    <row r="2647">
      <c r="A2647" s="5"/>
      <c r="B2647" s="5"/>
      <c r="C2647" s="5"/>
      <c r="D2647" s="5"/>
    </row>
    <row r="2648">
      <c r="A2648" s="5"/>
      <c r="B2648" s="5"/>
      <c r="C2648" s="5"/>
      <c r="D2648" s="5"/>
    </row>
    <row r="2649">
      <c r="A2649" s="5"/>
      <c r="B2649" s="5"/>
      <c r="C2649" s="5"/>
      <c r="D2649" s="5"/>
    </row>
    <row r="2650">
      <c r="A2650" s="5"/>
      <c r="B2650" s="5"/>
      <c r="C2650" s="5"/>
      <c r="D2650" s="5"/>
    </row>
    <row r="2651">
      <c r="A2651" s="5"/>
      <c r="B2651" s="5"/>
      <c r="C2651" s="5"/>
      <c r="D2651" s="5"/>
    </row>
    <row r="2652">
      <c r="A2652" s="5"/>
      <c r="B2652" s="5"/>
      <c r="C2652" s="5"/>
      <c r="D2652" s="5"/>
    </row>
    <row r="2653">
      <c r="A2653" s="5"/>
      <c r="B2653" s="5"/>
      <c r="C2653" s="5"/>
      <c r="D2653" s="5"/>
    </row>
    <row r="2654">
      <c r="A2654" s="5"/>
      <c r="B2654" s="5"/>
      <c r="C2654" s="5"/>
      <c r="D2654" s="5"/>
    </row>
    <row r="2655">
      <c r="A2655" s="5"/>
      <c r="B2655" s="5"/>
      <c r="C2655" s="5"/>
      <c r="D2655" s="5"/>
    </row>
    <row r="2656">
      <c r="A2656" s="5"/>
      <c r="B2656" s="5"/>
      <c r="C2656" s="5"/>
      <c r="D2656" s="5"/>
    </row>
    <row r="2657">
      <c r="A2657" s="5"/>
      <c r="B2657" s="5"/>
      <c r="C2657" s="5"/>
      <c r="D2657" s="5"/>
    </row>
    <row r="2658">
      <c r="A2658" s="5"/>
      <c r="B2658" s="5"/>
      <c r="C2658" s="5"/>
      <c r="D2658" s="5"/>
    </row>
    <row r="2659">
      <c r="A2659" s="5"/>
      <c r="B2659" s="5"/>
      <c r="C2659" s="5"/>
      <c r="D2659" s="5"/>
    </row>
    <row r="2660">
      <c r="A2660" s="5"/>
      <c r="B2660" s="5"/>
      <c r="C2660" s="5"/>
      <c r="D2660" s="5"/>
    </row>
    <row r="2661">
      <c r="A2661" s="5"/>
      <c r="B2661" s="5"/>
      <c r="C2661" s="5"/>
      <c r="D2661" s="5"/>
    </row>
    <row r="2662">
      <c r="A2662" s="5"/>
      <c r="B2662" s="5"/>
      <c r="C2662" s="5"/>
      <c r="D2662" s="5"/>
    </row>
    <row r="2663">
      <c r="A2663" s="5"/>
      <c r="B2663" s="5"/>
      <c r="C2663" s="5"/>
      <c r="D2663" s="5"/>
    </row>
    <row r="2664">
      <c r="A2664" s="5"/>
      <c r="B2664" s="5"/>
      <c r="C2664" s="5"/>
      <c r="D2664" s="5"/>
    </row>
    <row r="2665">
      <c r="A2665" s="5"/>
      <c r="B2665" s="5"/>
      <c r="C2665" s="5"/>
      <c r="D2665" s="5"/>
    </row>
    <row r="2666">
      <c r="A2666" s="5"/>
      <c r="B2666" s="5"/>
      <c r="C2666" s="5"/>
      <c r="D2666" s="5"/>
    </row>
    <row r="2667">
      <c r="A2667" s="5"/>
      <c r="B2667" s="5"/>
      <c r="C2667" s="5"/>
      <c r="D2667" s="5"/>
    </row>
    <row r="2668">
      <c r="A2668" s="5"/>
      <c r="B2668" s="5"/>
      <c r="C2668" s="5"/>
      <c r="D2668" s="5"/>
    </row>
    <row r="2669">
      <c r="A2669" s="5"/>
      <c r="B2669" s="5"/>
      <c r="C2669" s="5"/>
      <c r="D2669" s="5"/>
    </row>
    <row r="2670">
      <c r="A2670" s="5"/>
      <c r="B2670" s="5"/>
      <c r="C2670" s="5"/>
      <c r="D2670" s="5"/>
    </row>
    <row r="2671">
      <c r="A2671" s="5"/>
      <c r="B2671" s="5"/>
      <c r="C2671" s="5"/>
      <c r="D2671" s="5"/>
    </row>
    <row r="2672">
      <c r="A2672" s="5"/>
      <c r="B2672" s="5"/>
      <c r="C2672" s="5"/>
      <c r="D2672" s="5"/>
    </row>
    <row r="2673">
      <c r="A2673" s="5"/>
      <c r="B2673" s="5"/>
      <c r="C2673" s="5"/>
      <c r="D2673" s="5"/>
    </row>
    <row r="2674">
      <c r="A2674" s="5"/>
      <c r="B2674" s="5"/>
      <c r="C2674" s="5"/>
      <c r="D2674" s="5"/>
    </row>
    <row r="2675">
      <c r="A2675" s="5"/>
      <c r="B2675" s="5"/>
      <c r="C2675" s="5"/>
      <c r="D2675" s="5"/>
    </row>
    <row r="2676">
      <c r="A2676" s="5"/>
      <c r="B2676" s="5"/>
      <c r="C2676" s="5"/>
      <c r="D2676" s="5"/>
    </row>
    <row r="2677">
      <c r="A2677" s="5"/>
      <c r="B2677" s="5"/>
      <c r="C2677" s="5"/>
      <c r="D2677" s="5"/>
    </row>
    <row r="2678">
      <c r="A2678" s="5"/>
      <c r="B2678" s="5"/>
      <c r="C2678" s="5"/>
      <c r="D2678" s="5"/>
    </row>
    <row r="2679">
      <c r="A2679" s="5"/>
      <c r="B2679" s="5"/>
      <c r="C2679" s="5"/>
      <c r="D2679" s="5"/>
    </row>
    <row r="2680">
      <c r="A2680" s="5"/>
      <c r="B2680" s="5"/>
      <c r="C2680" s="5"/>
      <c r="D2680" s="5"/>
    </row>
    <row r="2681">
      <c r="A2681" s="5"/>
      <c r="B2681" s="5"/>
      <c r="C2681" s="5"/>
      <c r="D2681" s="5"/>
    </row>
    <row r="2682">
      <c r="A2682" s="5"/>
      <c r="B2682" s="5"/>
      <c r="C2682" s="5"/>
      <c r="D2682" s="5"/>
    </row>
    <row r="2683">
      <c r="A2683" s="5"/>
      <c r="B2683" s="5"/>
      <c r="C2683" s="5"/>
      <c r="D2683" s="5"/>
    </row>
    <row r="2684">
      <c r="A2684" s="5"/>
      <c r="B2684" s="5"/>
      <c r="C2684" s="5"/>
      <c r="D2684" s="5"/>
    </row>
    <row r="2685">
      <c r="A2685" s="5"/>
      <c r="B2685" s="5"/>
      <c r="C2685" s="5"/>
      <c r="D2685" s="5"/>
    </row>
    <row r="2686">
      <c r="A2686" s="5"/>
      <c r="B2686" s="5"/>
      <c r="C2686" s="5"/>
      <c r="D2686" s="5"/>
    </row>
    <row r="2687">
      <c r="A2687" s="5"/>
      <c r="B2687" s="5"/>
      <c r="C2687" s="5"/>
      <c r="D2687" s="5"/>
    </row>
    <row r="2688">
      <c r="A2688" s="5"/>
      <c r="B2688" s="5"/>
      <c r="C2688" s="5"/>
      <c r="D2688" s="5"/>
    </row>
    <row r="2689">
      <c r="A2689" s="5"/>
      <c r="B2689" s="5"/>
      <c r="C2689" s="5"/>
      <c r="D2689" s="5"/>
    </row>
    <row r="2690">
      <c r="A2690" s="5"/>
      <c r="B2690" s="5"/>
      <c r="C2690" s="5"/>
      <c r="D2690" s="5"/>
    </row>
    <row r="2691">
      <c r="A2691" s="5"/>
      <c r="B2691" s="5"/>
      <c r="C2691" s="5"/>
      <c r="D2691" s="5"/>
    </row>
    <row r="2692">
      <c r="A2692" s="5"/>
      <c r="B2692" s="5"/>
      <c r="C2692" s="5"/>
      <c r="D2692" s="5"/>
    </row>
    <row r="2693">
      <c r="A2693" s="5"/>
      <c r="B2693" s="5"/>
      <c r="C2693" s="5"/>
      <c r="D2693" s="5"/>
    </row>
    <row r="2694">
      <c r="A2694" s="5"/>
      <c r="B2694" s="5"/>
      <c r="C2694" s="5"/>
      <c r="D2694" s="5"/>
    </row>
    <row r="2695">
      <c r="A2695" s="5"/>
      <c r="B2695" s="5"/>
      <c r="C2695" s="5"/>
      <c r="D2695" s="5"/>
    </row>
    <row r="2696">
      <c r="A2696" s="5"/>
      <c r="B2696" s="5"/>
      <c r="C2696" s="5"/>
      <c r="D2696" s="5"/>
    </row>
    <row r="2697">
      <c r="A2697" s="5"/>
      <c r="B2697" s="5"/>
      <c r="C2697" s="5"/>
      <c r="D2697" s="5"/>
    </row>
    <row r="2698">
      <c r="A2698" s="5"/>
      <c r="B2698" s="5"/>
      <c r="C2698" s="5"/>
      <c r="D2698" s="5"/>
    </row>
    <row r="2699">
      <c r="A2699" s="5"/>
      <c r="B2699" s="5"/>
      <c r="C2699" s="5"/>
      <c r="D2699" s="5"/>
    </row>
    <row r="2700">
      <c r="A2700" s="5"/>
      <c r="B2700" s="5"/>
      <c r="C2700" s="5"/>
      <c r="D2700" s="5"/>
    </row>
    <row r="2701">
      <c r="A2701" s="5"/>
      <c r="B2701" s="5"/>
      <c r="C2701" s="5"/>
      <c r="D2701" s="5"/>
    </row>
    <row r="2702">
      <c r="A2702" s="5"/>
      <c r="B2702" s="5"/>
      <c r="C2702" s="5"/>
      <c r="D2702" s="5"/>
    </row>
    <row r="2703">
      <c r="A2703" s="5"/>
      <c r="B2703" s="5"/>
      <c r="C2703" s="5"/>
      <c r="D2703" s="5"/>
    </row>
    <row r="2704">
      <c r="A2704" s="5"/>
      <c r="B2704" s="5"/>
      <c r="C2704" s="5"/>
      <c r="D2704" s="5"/>
    </row>
    <row r="2705">
      <c r="A2705" s="5"/>
      <c r="B2705" s="5"/>
      <c r="C2705" s="5"/>
      <c r="D2705" s="5"/>
    </row>
    <row r="2706">
      <c r="A2706" s="5"/>
      <c r="B2706" s="5"/>
      <c r="C2706" s="5"/>
      <c r="D2706" s="5"/>
    </row>
    <row r="2707">
      <c r="A2707" s="5"/>
      <c r="B2707" s="5"/>
      <c r="C2707" s="5"/>
      <c r="D2707" s="5"/>
    </row>
    <row r="2708">
      <c r="A2708" s="5"/>
      <c r="B2708" s="5"/>
      <c r="C2708" s="5"/>
      <c r="D2708" s="5"/>
    </row>
    <row r="2709">
      <c r="A2709" s="5"/>
      <c r="B2709" s="5"/>
      <c r="C2709" s="5"/>
      <c r="D2709" s="5"/>
    </row>
    <row r="2710">
      <c r="A2710" s="5"/>
      <c r="B2710" s="5"/>
      <c r="C2710" s="5"/>
      <c r="D2710" s="5"/>
    </row>
    <row r="2711">
      <c r="A2711" s="5"/>
      <c r="B2711" s="5"/>
      <c r="C2711" s="5"/>
      <c r="D2711" s="5"/>
    </row>
    <row r="2712">
      <c r="A2712" s="5"/>
      <c r="B2712" s="5"/>
      <c r="C2712" s="5"/>
      <c r="D2712" s="5"/>
    </row>
    <row r="2713">
      <c r="A2713" s="5"/>
      <c r="B2713" s="5"/>
      <c r="C2713" s="5"/>
      <c r="D2713" s="5"/>
    </row>
    <row r="2714">
      <c r="A2714" s="5"/>
      <c r="B2714" s="5"/>
      <c r="C2714" s="5"/>
      <c r="D2714" s="5"/>
    </row>
    <row r="2715">
      <c r="A2715" s="5"/>
      <c r="B2715" s="5"/>
      <c r="C2715" s="5"/>
      <c r="D2715" s="5"/>
    </row>
    <row r="2716">
      <c r="A2716" s="5"/>
      <c r="B2716" s="5"/>
      <c r="C2716" s="5"/>
      <c r="D2716" s="5"/>
    </row>
    <row r="2717">
      <c r="A2717" s="5"/>
      <c r="B2717" s="5"/>
      <c r="C2717" s="5"/>
      <c r="D2717" s="5"/>
    </row>
    <row r="2718">
      <c r="A2718" s="5"/>
      <c r="B2718" s="5"/>
      <c r="C2718" s="5"/>
      <c r="D2718" s="5"/>
    </row>
    <row r="2719">
      <c r="A2719" s="5"/>
      <c r="B2719" s="5"/>
      <c r="C2719" s="5"/>
      <c r="D2719" s="5"/>
    </row>
    <row r="2720">
      <c r="A2720" s="5"/>
      <c r="B2720" s="5"/>
      <c r="C2720" s="5"/>
      <c r="D2720" s="5"/>
    </row>
    <row r="2721">
      <c r="A2721" s="5"/>
      <c r="B2721" s="5"/>
      <c r="C2721" s="5"/>
      <c r="D2721" s="5"/>
    </row>
    <row r="2722">
      <c r="A2722" s="5"/>
      <c r="B2722" s="5"/>
      <c r="C2722" s="5"/>
      <c r="D2722" s="5"/>
    </row>
    <row r="2723">
      <c r="A2723" s="5"/>
      <c r="B2723" s="5"/>
      <c r="C2723" s="5"/>
      <c r="D2723" s="5"/>
    </row>
    <row r="2724">
      <c r="A2724" s="5"/>
      <c r="B2724" s="5"/>
      <c r="C2724" s="5"/>
      <c r="D2724" s="5"/>
    </row>
    <row r="2725">
      <c r="A2725" s="5"/>
      <c r="B2725" s="5"/>
      <c r="C2725" s="5"/>
      <c r="D2725" s="5"/>
    </row>
    <row r="2726">
      <c r="A2726" s="5"/>
      <c r="B2726" s="5"/>
      <c r="C2726" s="5"/>
      <c r="D2726" s="5"/>
    </row>
    <row r="2727">
      <c r="A2727" s="5"/>
      <c r="B2727" s="5"/>
      <c r="C2727" s="5"/>
      <c r="D2727" s="5"/>
    </row>
    <row r="2728">
      <c r="A2728" s="5"/>
      <c r="B2728" s="5"/>
      <c r="C2728" s="5"/>
      <c r="D2728" s="5"/>
    </row>
    <row r="2729">
      <c r="A2729" s="5"/>
      <c r="B2729" s="5"/>
      <c r="C2729" s="5"/>
      <c r="D2729" s="5"/>
    </row>
    <row r="2730">
      <c r="A2730" s="5"/>
      <c r="B2730" s="5"/>
      <c r="C2730" s="5"/>
      <c r="D2730" s="5"/>
    </row>
    <row r="2731">
      <c r="A2731" s="5"/>
      <c r="B2731" s="5"/>
      <c r="C2731" s="5"/>
      <c r="D2731" s="5"/>
    </row>
    <row r="2732">
      <c r="A2732" s="5"/>
      <c r="B2732" s="5"/>
      <c r="C2732" s="5"/>
      <c r="D2732" s="5"/>
    </row>
    <row r="2733">
      <c r="A2733" s="5"/>
      <c r="B2733" s="5"/>
      <c r="C2733" s="5"/>
      <c r="D2733" s="5"/>
    </row>
    <row r="2734">
      <c r="A2734" s="5"/>
      <c r="B2734" s="5"/>
      <c r="C2734" s="5"/>
      <c r="D2734" s="5"/>
    </row>
    <row r="2735">
      <c r="A2735" s="5"/>
      <c r="B2735" s="5"/>
      <c r="C2735" s="5"/>
      <c r="D2735" s="5"/>
    </row>
    <row r="2736">
      <c r="A2736" s="5"/>
      <c r="B2736" s="5"/>
      <c r="C2736" s="5"/>
      <c r="D2736" s="5"/>
    </row>
    <row r="2737">
      <c r="A2737" s="5"/>
      <c r="B2737" s="5"/>
      <c r="C2737" s="5"/>
      <c r="D2737" s="5"/>
    </row>
    <row r="2738">
      <c r="A2738" s="5"/>
      <c r="B2738" s="5"/>
      <c r="C2738" s="5"/>
      <c r="D2738" s="5"/>
    </row>
    <row r="2739">
      <c r="A2739" s="5"/>
      <c r="B2739" s="5"/>
      <c r="C2739" s="5"/>
      <c r="D2739" s="5"/>
    </row>
    <row r="2740">
      <c r="A2740" s="5"/>
      <c r="B2740" s="5"/>
      <c r="C2740" s="5"/>
      <c r="D2740" s="5"/>
    </row>
    <row r="2741">
      <c r="A2741" s="5"/>
      <c r="B2741" s="5"/>
      <c r="C2741" s="5"/>
      <c r="D2741" s="5"/>
    </row>
    <row r="2742">
      <c r="A2742" s="5"/>
      <c r="B2742" s="5"/>
      <c r="C2742" s="5"/>
      <c r="D2742" s="5"/>
    </row>
    <row r="2743">
      <c r="A2743" s="5"/>
      <c r="B2743" s="5"/>
      <c r="C2743" s="5"/>
      <c r="D2743" s="5"/>
    </row>
    <row r="2744">
      <c r="A2744" s="5"/>
      <c r="B2744" s="5"/>
      <c r="C2744" s="5"/>
      <c r="D2744" s="5"/>
    </row>
    <row r="2745">
      <c r="A2745" s="5"/>
      <c r="B2745" s="5"/>
      <c r="C2745" s="5"/>
      <c r="D2745" s="5"/>
    </row>
    <row r="2746">
      <c r="A2746" s="5"/>
      <c r="B2746" s="5"/>
      <c r="C2746" s="5"/>
      <c r="D2746" s="5"/>
    </row>
    <row r="2747">
      <c r="A2747" s="5"/>
      <c r="B2747" s="5"/>
      <c r="C2747" s="5"/>
      <c r="D2747" s="5"/>
    </row>
    <row r="2748">
      <c r="A2748" s="5"/>
      <c r="B2748" s="5"/>
      <c r="C2748" s="5"/>
      <c r="D2748" s="5"/>
    </row>
    <row r="2749">
      <c r="A2749" s="5"/>
      <c r="B2749" s="5"/>
      <c r="C2749" s="5"/>
      <c r="D2749" s="5"/>
    </row>
    <row r="2750">
      <c r="A2750" s="5"/>
      <c r="B2750" s="5"/>
      <c r="C2750" s="5"/>
      <c r="D2750" s="5"/>
    </row>
    <row r="2751">
      <c r="A2751" s="5"/>
      <c r="B2751" s="5"/>
      <c r="C2751" s="5"/>
      <c r="D2751" s="5"/>
    </row>
    <row r="2752">
      <c r="A2752" s="5"/>
      <c r="B2752" s="5"/>
      <c r="C2752" s="5"/>
      <c r="D2752" s="5"/>
    </row>
    <row r="2753">
      <c r="A2753" s="5"/>
      <c r="B2753" s="5"/>
      <c r="C2753" s="5"/>
      <c r="D2753" s="5"/>
    </row>
    <row r="2754">
      <c r="A2754" s="5"/>
      <c r="B2754" s="5"/>
      <c r="C2754" s="5"/>
      <c r="D2754" s="5"/>
    </row>
    <row r="2755">
      <c r="A2755" s="5"/>
      <c r="B2755" s="5"/>
      <c r="C2755" s="5"/>
      <c r="D2755" s="5"/>
    </row>
    <row r="2756">
      <c r="A2756" s="5"/>
      <c r="B2756" s="5"/>
      <c r="C2756" s="5"/>
      <c r="D2756" s="5"/>
    </row>
    <row r="2757">
      <c r="A2757" s="5"/>
      <c r="B2757" s="5"/>
      <c r="C2757" s="5"/>
      <c r="D2757" s="5"/>
    </row>
    <row r="2758">
      <c r="A2758" s="5"/>
      <c r="B2758" s="5"/>
      <c r="C2758" s="5"/>
      <c r="D2758" s="5"/>
    </row>
    <row r="2759">
      <c r="A2759" s="5"/>
      <c r="B2759" s="5"/>
      <c r="C2759" s="5"/>
      <c r="D2759" s="5"/>
    </row>
    <row r="2760">
      <c r="A2760" s="5"/>
      <c r="B2760" s="5"/>
      <c r="C2760" s="5"/>
      <c r="D2760" s="5"/>
    </row>
    <row r="2761">
      <c r="A2761" s="5"/>
      <c r="B2761" s="5"/>
      <c r="C2761" s="5"/>
      <c r="D2761" s="5"/>
    </row>
    <row r="2762">
      <c r="A2762" s="5"/>
      <c r="B2762" s="5"/>
      <c r="C2762" s="5"/>
      <c r="D2762" s="5"/>
    </row>
    <row r="2763">
      <c r="A2763" s="5"/>
      <c r="B2763" s="5"/>
      <c r="C2763" s="5"/>
      <c r="D2763" s="5"/>
    </row>
    <row r="2764">
      <c r="A2764" s="5"/>
      <c r="B2764" s="5"/>
      <c r="C2764" s="5"/>
      <c r="D2764" s="5"/>
    </row>
    <row r="2765">
      <c r="A2765" s="5"/>
      <c r="B2765" s="5"/>
      <c r="C2765" s="5"/>
      <c r="D2765" s="5"/>
    </row>
    <row r="2766">
      <c r="A2766" s="5"/>
      <c r="B2766" s="5"/>
      <c r="C2766" s="5"/>
      <c r="D2766" s="5"/>
    </row>
    <row r="2767">
      <c r="A2767" s="5"/>
      <c r="B2767" s="5"/>
      <c r="C2767" s="5"/>
      <c r="D2767" s="5"/>
    </row>
    <row r="2768">
      <c r="A2768" s="5"/>
      <c r="B2768" s="5"/>
      <c r="C2768" s="5"/>
      <c r="D2768" s="5"/>
    </row>
    <row r="2769">
      <c r="A2769" s="5"/>
      <c r="B2769" s="5"/>
      <c r="C2769" s="5"/>
      <c r="D2769" s="5"/>
    </row>
    <row r="2770">
      <c r="A2770" s="5"/>
      <c r="B2770" s="5"/>
      <c r="C2770" s="5"/>
      <c r="D2770" s="5"/>
    </row>
    <row r="2771">
      <c r="A2771" s="5"/>
      <c r="B2771" s="5"/>
      <c r="C2771" s="5"/>
      <c r="D2771" s="5"/>
    </row>
    <row r="2772">
      <c r="A2772" s="5"/>
      <c r="B2772" s="5"/>
      <c r="C2772" s="5"/>
      <c r="D2772" s="5"/>
    </row>
    <row r="2773">
      <c r="A2773" s="5"/>
      <c r="B2773" s="5"/>
      <c r="C2773" s="5"/>
      <c r="D2773" s="5"/>
    </row>
    <row r="2774">
      <c r="A2774" s="5"/>
      <c r="B2774" s="5"/>
      <c r="C2774" s="5"/>
      <c r="D2774" s="5"/>
    </row>
    <row r="2775">
      <c r="A2775" s="5"/>
      <c r="B2775" s="5"/>
      <c r="C2775" s="5"/>
      <c r="D2775" s="5"/>
    </row>
    <row r="2776">
      <c r="A2776" s="5"/>
      <c r="B2776" s="5"/>
      <c r="C2776" s="5"/>
      <c r="D2776" s="5"/>
    </row>
    <row r="2777">
      <c r="A2777" s="5"/>
      <c r="B2777" s="5"/>
      <c r="C2777" s="5"/>
      <c r="D2777" s="5"/>
    </row>
    <row r="2778">
      <c r="A2778" s="5"/>
      <c r="B2778" s="5"/>
      <c r="C2778" s="5"/>
      <c r="D2778" s="5"/>
    </row>
    <row r="2779">
      <c r="A2779" s="5"/>
      <c r="B2779" s="5"/>
      <c r="C2779" s="5"/>
      <c r="D2779" s="5"/>
    </row>
    <row r="2780">
      <c r="A2780" s="5"/>
      <c r="B2780" s="5"/>
      <c r="C2780" s="5"/>
      <c r="D2780" s="5"/>
    </row>
    <row r="2781">
      <c r="A2781" s="5"/>
      <c r="B2781" s="5"/>
      <c r="C2781" s="5"/>
      <c r="D2781" s="5"/>
    </row>
    <row r="2782">
      <c r="A2782" s="5"/>
      <c r="B2782" s="5"/>
      <c r="C2782" s="5"/>
      <c r="D2782" s="5"/>
    </row>
    <row r="2783">
      <c r="A2783" s="5"/>
      <c r="B2783" s="5"/>
      <c r="C2783" s="5"/>
      <c r="D2783" s="5"/>
    </row>
    <row r="2784">
      <c r="A2784" s="5"/>
      <c r="B2784" s="5"/>
      <c r="C2784" s="5"/>
      <c r="D2784" s="5"/>
    </row>
    <row r="2785">
      <c r="A2785" s="5"/>
      <c r="B2785" s="5"/>
      <c r="C2785" s="5"/>
      <c r="D2785" s="5"/>
    </row>
    <row r="2786">
      <c r="A2786" s="5"/>
      <c r="B2786" s="5"/>
      <c r="C2786" s="5"/>
      <c r="D2786" s="5"/>
    </row>
    <row r="2787">
      <c r="A2787" s="5"/>
      <c r="B2787" s="5"/>
      <c r="C2787" s="5"/>
      <c r="D2787" s="5"/>
    </row>
    <row r="2788">
      <c r="A2788" s="5"/>
      <c r="B2788" s="5"/>
      <c r="C2788" s="5"/>
      <c r="D2788" s="5"/>
    </row>
    <row r="2789">
      <c r="A2789" s="5"/>
      <c r="B2789" s="5"/>
      <c r="C2789" s="5"/>
      <c r="D2789" s="5"/>
    </row>
    <row r="2790">
      <c r="A2790" s="5"/>
      <c r="B2790" s="5"/>
      <c r="C2790" s="5"/>
      <c r="D2790" s="5"/>
    </row>
    <row r="2791">
      <c r="A2791" s="5"/>
      <c r="B2791" s="5"/>
      <c r="C2791" s="5"/>
      <c r="D2791" s="5"/>
    </row>
    <row r="2792">
      <c r="A2792" s="5"/>
      <c r="B2792" s="5"/>
      <c r="C2792" s="5"/>
      <c r="D2792" s="5"/>
    </row>
    <row r="2793">
      <c r="A2793" s="5"/>
      <c r="B2793" s="5"/>
      <c r="C2793" s="5"/>
      <c r="D2793" s="5"/>
    </row>
    <row r="2794">
      <c r="A2794" s="5"/>
      <c r="B2794" s="5"/>
      <c r="C2794" s="5"/>
      <c r="D2794" s="5"/>
    </row>
    <row r="2795">
      <c r="A2795" s="5"/>
      <c r="B2795" s="5"/>
      <c r="C2795" s="5"/>
      <c r="D2795" s="5"/>
    </row>
    <row r="2796">
      <c r="A2796" s="5"/>
      <c r="B2796" s="5"/>
      <c r="C2796" s="5"/>
      <c r="D2796" s="5"/>
    </row>
    <row r="2797">
      <c r="A2797" s="5"/>
      <c r="B2797" s="5"/>
      <c r="C2797" s="5"/>
      <c r="D2797" s="5"/>
    </row>
    <row r="2798">
      <c r="A2798" s="5"/>
      <c r="B2798" s="5"/>
      <c r="C2798" s="5"/>
      <c r="D2798" s="5"/>
    </row>
    <row r="2799">
      <c r="A2799" s="5"/>
      <c r="B2799" s="5"/>
      <c r="C2799" s="5"/>
      <c r="D2799" s="5"/>
    </row>
    <row r="2800">
      <c r="A2800" s="5"/>
      <c r="B2800" s="5"/>
      <c r="C2800" s="5"/>
      <c r="D2800" s="5"/>
    </row>
    <row r="2801">
      <c r="A2801" s="5"/>
      <c r="B2801" s="5"/>
      <c r="C2801" s="5"/>
      <c r="D2801" s="5"/>
    </row>
    <row r="2802">
      <c r="A2802" s="5"/>
      <c r="B2802" s="5"/>
      <c r="C2802" s="5"/>
      <c r="D2802" s="5"/>
    </row>
    <row r="2803">
      <c r="A2803" s="5"/>
      <c r="B2803" s="5"/>
      <c r="C2803" s="5"/>
      <c r="D2803" s="5"/>
    </row>
    <row r="2804">
      <c r="A2804" s="5"/>
      <c r="B2804" s="5"/>
      <c r="C2804" s="5"/>
      <c r="D2804" s="5"/>
    </row>
    <row r="2805">
      <c r="A2805" s="5"/>
      <c r="B2805" s="5"/>
      <c r="C2805" s="5"/>
      <c r="D2805" s="5"/>
    </row>
    <row r="2806">
      <c r="A2806" s="5"/>
      <c r="B2806" s="5"/>
      <c r="C2806" s="5"/>
      <c r="D2806" s="5"/>
    </row>
    <row r="2807">
      <c r="A2807" s="5"/>
      <c r="B2807" s="5"/>
      <c r="C2807" s="5"/>
      <c r="D2807" s="5"/>
    </row>
    <row r="2808">
      <c r="A2808" s="5"/>
      <c r="B2808" s="5"/>
      <c r="C2808" s="5"/>
      <c r="D2808" s="5"/>
    </row>
    <row r="2809">
      <c r="A2809" s="5"/>
      <c r="B2809" s="5"/>
      <c r="C2809" s="5"/>
      <c r="D2809" s="5"/>
    </row>
    <row r="2810">
      <c r="A2810" s="5"/>
      <c r="B2810" s="5"/>
      <c r="C2810" s="5"/>
      <c r="D2810" s="5"/>
    </row>
    <row r="2811">
      <c r="A2811" s="5"/>
      <c r="B2811" s="5"/>
      <c r="C2811" s="5"/>
      <c r="D2811" s="5"/>
    </row>
    <row r="2812">
      <c r="A2812" s="5"/>
      <c r="B2812" s="5"/>
      <c r="C2812" s="5"/>
      <c r="D2812" s="5"/>
    </row>
    <row r="2813">
      <c r="A2813" s="5"/>
      <c r="B2813" s="5"/>
      <c r="C2813" s="5"/>
      <c r="D2813" s="5"/>
    </row>
    <row r="2814">
      <c r="A2814" s="5"/>
      <c r="B2814" s="5"/>
      <c r="C2814" s="5"/>
      <c r="D2814" s="5"/>
    </row>
    <row r="2815">
      <c r="A2815" s="5"/>
      <c r="B2815" s="5"/>
      <c r="C2815" s="5"/>
      <c r="D2815" s="5"/>
    </row>
    <row r="2816">
      <c r="A2816" s="5"/>
      <c r="B2816" s="5"/>
      <c r="C2816" s="5"/>
      <c r="D2816" s="5"/>
    </row>
    <row r="2817">
      <c r="A2817" s="5"/>
      <c r="B2817" s="5"/>
      <c r="C2817" s="5"/>
      <c r="D2817" s="5"/>
    </row>
    <row r="2818">
      <c r="A2818" s="5"/>
      <c r="B2818" s="5"/>
      <c r="C2818" s="5"/>
      <c r="D2818" s="5"/>
    </row>
    <row r="2819">
      <c r="A2819" s="5"/>
      <c r="B2819" s="5"/>
      <c r="C2819" s="5"/>
      <c r="D2819" s="5"/>
    </row>
    <row r="2820">
      <c r="A2820" s="5"/>
      <c r="B2820" s="5"/>
      <c r="C2820" s="5"/>
      <c r="D2820" s="5"/>
    </row>
    <row r="2821">
      <c r="A2821" s="5"/>
      <c r="B2821" s="5"/>
      <c r="C2821" s="5"/>
      <c r="D2821" s="5"/>
    </row>
    <row r="2822">
      <c r="A2822" s="5"/>
      <c r="B2822" s="5"/>
      <c r="C2822" s="5"/>
      <c r="D2822" s="5"/>
    </row>
    <row r="2823">
      <c r="A2823" s="5"/>
      <c r="B2823" s="5"/>
      <c r="C2823" s="5"/>
      <c r="D2823" s="5"/>
    </row>
    <row r="2824">
      <c r="A2824" s="5"/>
      <c r="B2824" s="5"/>
      <c r="C2824" s="5"/>
      <c r="D2824" s="5"/>
    </row>
    <row r="2825">
      <c r="A2825" s="5"/>
      <c r="B2825" s="5"/>
      <c r="C2825" s="5"/>
      <c r="D2825" s="5"/>
    </row>
    <row r="2826">
      <c r="A2826" s="5"/>
      <c r="B2826" s="5"/>
      <c r="C2826" s="5"/>
      <c r="D2826" s="5"/>
    </row>
    <row r="2827">
      <c r="A2827" s="5"/>
      <c r="B2827" s="5"/>
      <c r="C2827" s="5"/>
      <c r="D2827" s="5"/>
    </row>
    <row r="2828">
      <c r="A2828" s="5"/>
      <c r="B2828" s="5"/>
      <c r="C2828" s="5"/>
      <c r="D2828" s="5"/>
    </row>
    <row r="2829">
      <c r="A2829" s="5"/>
      <c r="B2829" s="5"/>
      <c r="C2829" s="5"/>
      <c r="D2829" s="5"/>
    </row>
    <row r="2830">
      <c r="A2830" s="5"/>
      <c r="B2830" s="5"/>
      <c r="C2830" s="5"/>
      <c r="D2830" s="5"/>
    </row>
    <row r="2831">
      <c r="A2831" s="5"/>
      <c r="B2831" s="5"/>
      <c r="C2831" s="5"/>
      <c r="D2831" s="5"/>
    </row>
    <row r="2832">
      <c r="A2832" s="5"/>
      <c r="B2832" s="5"/>
      <c r="C2832" s="5"/>
      <c r="D2832" s="5"/>
    </row>
    <row r="2833">
      <c r="A2833" s="5"/>
      <c r="B2833" s="5"/>
      <c r="C2833" s="5"/>
      <c r="D2833" s="5"/>
    </row>
    <row r="2834">
      <c r="A2834" s="5"/>
      <c r="B2834" s="5"/>
      <c r="C2834" s="5"/>
      <c r="D2834" s="5"/>
    </row>
    <row r="2835">
      <c r="A2835" s="5"/>
      <c r="B2835" s="5"/>
      <c r="C2835" s="5"/>
      <c r="D2835" s="5"/>
    </row>
    <row r="2836">
      <c r="A2836" s="5"/>
      <c r="B2836" s="5"/>
      <c r="C2836" s="5"/>
      <c r="D2836" s="5"/>
    </row>
    <row r="2837">
      <c r="A2837" s="5"/>
      <c r="B2837" s="5"/>
      <c r="C2837" s="5"/>
      <c r="D2837" s="5"/>
    </row>
    <row r="2838">
      <c r="A2838" s="5"/>
      <c r="B2838" s="5"/>
      <c r="C2838" s="5"/>
      <c r="D2838" s="5"/>
    </row>
    <row r="2839">
      <c r="A2839" s="5"/>
      <c r="B2839" s="5"/>
      <c r="C2839" s="5"/>
      <c r="D2839" s="5"/>
    </row>
    <row r="2840">
      <c r="A2840" s="5"/>
      <c r="B2840" s="5"/>
      <c r="C2840" s="5"/>
      <c r="D2840" s="5"/>
    </row>
    <row r="2841">
      <c r="A2841" s="5"/>
      <c r="B2841" s="5"/>
      <c r="C2841" s="5"/>
      <c r="D2841" s="5"/>
    </row>
    <row r="2842">
      <c r="A2842" s="5"/>
      <c r="B2842" s="5"/>
      <c r="C2842" s="5"/>
      <c r="D2842" s="5"/>
    </row>
    <row r="2843">
      <c r="A2843" s="5"/>
      <c r="B2843" s="5"/>
      <c r="C2843" s="5"/>
      <c r="D2843" s="5"/>
    </row>
    <row r="2844">
      <c r="A2844" s="5"/>
      <c r="B2844" s="5"/>
      <c r="C2844" s="5"/>
      <c r="D2844" s="5"/>
    </row>
    <row r="2845">
      <c r="A2845" s="5"/>
      <c r="B2845" s="5"/>
      <c r="C2845" s="5"/>
      <c r="D2845" s="5"/>
    </row>
    <row r="2846">
      <c r="A2846" s="5"/>
      <c r="B2846" s="5"/>
      <c r="C2846" s="5"/>
      <c r="D2846" s="5"/>
    </row>
    <row r="2847">
      <c r="A2847" s="5"/>
      <c r="B2847" s="5"/>
      <c r="C2847" s="5"/>
      <c r="D2847" s="5"/>
    </row>
    <row r="2848">
      <c r="A2848" s="5"/>
      <c r="B2848" s="5"/>
      <c r="C2848" s="5"/>
      <c r="D2848" s="5"/>
    </row>
    <row r="2849">
      <c r="A2849" s="5"/>
      <c r="B2849" s="5"/>
      <c r="C2849" s="5"/>
      <c r="D2849" s="5"/>
    </row>
    <row r="2850">
      <c r="A2850" s="5"/>
      <c r="B2850" s="5"/>
      <c r="C2850" s="5"/>
      <c r="D2850" s="5"/>
    </row>
    <row r="2851">
      <c r="A2851" s="5"/>
      <c r="B2851" s="5"/>
      <c r="C2851" s="5"/>
      <c r="D2851" s="5"/>
    </row>
    <row r="2852">
      <c r="A2852" s="5"/>
      <c r="B2852" s="5"/>
      <c r="C2852" s="5"/>
      <c r="D2852" s="5"/>
    </row>
    <row r="2853">
      <c r="A2853" s="5"/>
      <c r="B2853" s="5"/>
      <c r="C2853" s="5"/>
      <c r="D2853" s="5"/>
    </row>
    <row r="2854">
      <c r="A2854" s="5"/>
      <c r="B2854" s="5"/>
      <c r="C2854" s="5"/>
      <c r="D2854" s="5"/>
    </row>
    <row r="2855">
      <c r="A2855" s="5"/>
      <c r="B2855" s="5"/>
      <c r="C2855" s="5"/>
      <c r="D2855" s="5"/>
    </row>
    <row r="2856">
      <c r="A2856" s="5"/>
      <c r="B2856" s="5"/>
      <c r="C2856" s="5"/>
      <c r="D2856" s="5"/>
    </row>
    <row r="2857">
      <c r="A2857" s="5"/>
      <c r="B2857" s="5"/>
      <c r="C2857" s="5"/>
      <c r="D2857" s="5"/>
    </row>
    <row r="2858">
      <c r="A2858" s="5"/>
      <c r="B2858" s="5"/>
      <c r="C2858" s="5"/>
      <c r="D2858" s="5"/>
    </row>
    <row r="2859">
      <c r="A2859" s="5"/>
      <c r="B2859" s="5"/>
      <c r="C2859" s="5"/>
      <c r="D2859" s="5"/>
    </row>
    <row r="2860">
      <c r="A2860" s="5"/>
      <c r="B2860" s="5"/>
      <c r="C2860" s="5"/>
      <c r="D2860" s="5"/>
    </row>
    <row r="2861">
      <c r="A2861" s="5"/>
      <c r="B2861" s="5"/>
      <c r="C2861" s="5"/>
      <c r="D2861" s="5"/>
    </row>
    <row r="2862">
      <c r="A2862" s="5"/>
      <c r="B2862" s="5"/>
      <c r="C2862" s="5"/>
      <c r="D2862" s="5"/>
    </row>
    <row r="2863">
      <c r="A2863" s="5"/>
      <c r="B2863" s="5"/>
      <c r="C2863" s="5"/>
      <c r="D2863" s="5"/>
    </row>
    <row r="2864">
      <c r="A2864" s="5"/>
      <c r="B2864" s="5"/>
      <c r="C2864" s="5"/>
      <c r="D2864" s="5"/>
    </row>
    <row r="2865">
      <c r="A2865" s="5"/>
      <c r="B2865" s="5"/>
      <c r="C2865" s="5"/>
      <c r="D2865" s="5"/>
    </row>
    <row r="2866">
      <c r="A2866" s="5"/>
      <c r="B2866" s="5"/>
      <c r="C2866" s="5"/>
      <c r="D2866" s="5"/>
    </row>
    <row r="2867">
      <c r="A2867" s="5"/>
      <c r="B2867" s="5"/>
      <c r="C2867" s="5"/>
      <c r="D2867" s="5"/>
    </row>
    <row r="2868">
      <c r="A2868" s="5"/>
      <c r="B2868" s="5"/>
      <c r="C2868" s="5"/>
      <c r="D2868" s="5"/>
    </row>
    <row r="2869">
      <c r="A2869" s="5"/>
      <c r="B2869" s="5"/>
      <c r="C2869" s="5"/>
      <c r="D2869" s="5"/>
    </row>
    <row r="2870">
      <c r="A2870" s="5"/>
      <c r="B2870" s="5"/>
      <c r="C2870" s="5"/>
      <c r="D2870" s="5"/>
    </row>
    <row r="2871">
      <c r="A2871" s="5"/>
      <c r="B2871" s="5"/>
      <c r="C2871" s="5"/>
      <c r="D2871" s="5"/>
    </row>
    <row r="2872">
      <c r="A2872" s="5"/>
      <c r="B2872" s="5"/>
      <c r="C2872" s="5"/>
      <c r="D2872" s="5"/>
    </row>
    <row r="2873">
      <c r="A2873" s="5"/>
      <c r="B2873" s="5"/>
      <c r="C2873" s="5"/>
      <c r="D2873" s="5"/>
    </row>
    <row r="2874">
      <c r="A2874" s="5"/>
      <c r="B2874" s="5"/>
      <c r="C2874" s="5"/>
      <c r="D2874" s="5"/>
    </row>
    <row r="2875">
      <c r="A2875" s="5"/>
      <c r="B2875" s="5"/>
      <c r="C2875" s="5"/>
      <c r="D2875" s="5"/>
    </row>
    <row r="2876">
      <c r="A2876" s="5"/>
      <c r="B2876" s="5"/>
      <c r="C2876" s="5"/>
      <c r="D2876" s="5"/>
    </row>
    <row r="2877">
      <c r="A2877" s="5"/>
      <c r="B2877" s="5"/>
      <c r="C2877" s="5"/>
      <c r="D2877" s="5"/>
    </row>
    <row r="2878">
      <c r="A2878" s="5"/>
      <c r="B2878" s="5"/>
      <c r="C2878" s="5"/>
      <c r="D2878" s="5"/>
    </row>
    <row r="2879">
      <c r="A2879" s="5"/>
      <c r="B2879" s="5"/>
      <c r="C2879" s="5"/>
      <c r="D2879" s="5"/>
    </row>
    <row r="2880">
      <c r="A2880" s="5"/>
      <c r="B2880" s="5"/>
      <c r="C2880" s="5"/>
      <c r="D2880" s="5"/>
    </row>
    <row r="2881">
      <c r="A2881" s="5"/>
      <c r="B2881" s="5"/>
      <c r="C2881" s="5"/>
      <c r="D2881" s="5"/>
    </row>
    <row r="2882">
      <c r="A2882" s="5"/>
      <c r="B2882" s="5"/>
      <c r="C2882" s="5"/>
      <c r="D2882" s="5"/>
    </row>
    <row r="2883">
      <c r="A2883" s="5"/>
      <c r="B2883" s="5"/>
      <c r="C2883" s="5"/>
      <c r="D2883" s="5"/>
    </row>
    <row r="2884">
      <c r="A2884" s="5"/>
      <c r="B2884" s="5"/>
      <c r="C2884" s="5"/>
      <c r="D2884" s="5"/>
    </row>
    <row r="2885">
      <c r="A2885" s="5"/>
      <c r="B2885" s="5"/>
      <c r="C2885" s="5"/>
      <c r="D2885" s="5"/>
    </row>
    <row r="2886">
      <c r="A2886" s="5"/>
      <c r="B2886" s="5"/>
      <c r="C2886" s="5"/>
      <c r="D2886" s="5"/>
    </row>
    <row r="2887">
      <c r="A2887" s="5"/>
      <c r="B2887" s="5"/>
      <c r="C2887" s="5"/>
      <c r="D2887" s="5"/>
    </row>
    <row r="2888">
      <c r="A2888" s="5"/>
      <c r="B2888" s="5"/>
      <c r="C2888" s="5"/>
      <c r="D2888" s="5"/>
    </row>
    <row r="2889">
      <c r="A2889" s="5"/>
      <c r="B2889" s="5"/>
      <c r="C2889" s="5"/>
      <c r="D2889" s="5"/>
    </row>
    <row r="2890">
      <c r="A2890" s="5"/>
      <c r="B2890" s="5"/>
      <c r="C2890" s="5"/>
      <c r="D2890" s="5"/>
    </row>
    <row r="2891">
      <c r="A2891" s="5"/>
      <c r="B2891" s="5"/>
      <c r="C2891" s="5"/>
      <c r="D2891" s="5"/>
    </row>
    <row r="2892">
      <c r="A2892" s="5"/>
      <c r="B2892" s="5"/>
      <c r="C2892" s="5"/>
      <c r="D2892" s="5"/>
    </row>
    <row r="2893">
      <c r="A2893" s="5"/>
      <c r="B2893" s="5"/>
      <c r="C2893" s="5"/>
      <c r="D2893" s="5"/>
    </row>
    <row r="2894">
      <c r="A2894" s="5"/>
      <c r="B2894" s="5"/>
      <c r="C2894" s="5"/>
      <c r="D2894" s="5"/>
    </row>
    <row r="2895">
      <c r="A2895" s="5"/>
      <c r="B2895" s="5"/>
      <c r="C2895" s="5"/>
      <c r="D2895" s="5"/>
    </row>
    <row r="2896">
      <c r="A2896" s="5"/>
      <c r="B2896" s="5"/>
      <c r="C2896" s="5"/>
      <c r="D2896" s="5"/>
    </row>
    <row r="2897">
      <c r="A2897" s="5"/>
      <c r="B2897" s="5"/>
      <c r="C2897" s="5"/>
      <c r="D2897" s="5"/>
    </row>
    <row r="2898">
      <c r="A2898" s="5"/>
      <c r="B2898" s="5"/>
      <c r="C2898" s="5"/>
      <c r="D2898" s="5"/>
    </row>
    <row r="2899">
      <c r="A2899" s="5"/>
      <c r="B2899" s="5"/>
      <c r="C2899" s="5"/>
      <c r="D2899" s="5"/>
    </row>
    <row r="2900">
      <c r="A2900" s="5"/>
      <c r="B2900" s="5"/>
      <c r="C2900" s="5"/>
      <c r="D2900" s="5"/>
    </row>
    <row r="2901">
      <c r="A2901" s="5"/>
      <c r="B2901" s="5"/>
      <c r="C2901" s="5"/>
      <c r="D2901" s="5"/>
    </row>
    <row r="2902">
      <c r="A2902" s="5"/>
      <c r="B2902" s="5"/>
      <c r="C2902" s="5"/>
      <c r="D2902" s="5"/>
    </row>
    <row r="2903">
      <c r="A2903" s="5"/>
      <c r="B2903" s="5"/>
      <c r="C2903" s="5"/>
      <c r="D2903" s="5"/>
    </row>
    <row r="2904">
      <c r="A2904" s="5"/>
      <c r="B2904" s="5"/>
      <c r="C2904" s="5"/>
      <c r="D2904" s="5"/>
    </row>
    <row r="2905">
      <c r="A2905" s="5"/>
      <c r="B2905" s="5"/>
      <c r="C2905" s="5"/>
      <c r="D2905" s="5"/>
    </row>
    <row r="2906">
      <c r="A2906" s="5"/>
      <c r="B2906" s="5"/>
      <c r="C2906" s="5"/>
      <c r="D2906" s="5"/>
    </row>
    <row r="2907">
      <c r="A2907" s="5"/>
      <c r="B2907" s="5"/>
      <c r="C2907" s="5"/>
      <c r="D2907" s="5"/>
    </row>
    <row r="2908">
      <c r="A2908" s="5"/>
      <c r="B2908" s="5"/>
      <c r="C2908" s="5"/>
      <c r="D2908" s="5"/>
    </row>
    <row r="2909">
      <c r="A2909" s="5"/>
      <c r="B2909" s="5"/>
      <c r="C2909" s="5"/>
      <c r="D2909" s="5"/>
    </row>
    <row r="2910">
      <c r="A2910" s="5"/>
      <c r="B2910" s="5"/>
      <c r="C2910" s="5"/>
      <c r="D2910" s="5"/>
    </row>
    <row r="2911">
      <c r="A2911" s="5"/>
      <c r="B2911" s="5"/>
      <c r="C2911" s="5"/>
      <c r="D2911" s="5"/>
    </row>
    <row r="2912">
      <c r="A2912" s="5"/>
      <c r="B2912" s="5"/>
      <c r="C2912" s="5"/>
      <c r="D2912" s="5"/>
    </row>
    <row r="2913">
      <c r="A2913" s="5"/>
      <c r="B2913" s="5"/>
      <c r="C2913" s="5"/>
      <c r="D2913" s="5"/>
    </row>
    <row r="2914">
      <c r="A2914" s="5"/>
      <c r="B2914" s="5"/>
      <c r="C2914" s="5"/>
      <c r="D2914" s="5"/>
    </row>
    <row r="2915">
      <c r="A2915" s="5"/>
      <c r="B2915" s="5"/>
      <c r="C2915" s="5"/>
      <c r="D2915" s="5"/>
    </row>
    <row r="2916">
      <c r="A2916" s="5"/>
      <c r="B2916" s="5"/>
      <c r="C2916" s="5"/>
      <c r="D2916" s="5"/>
    </row>
    <row r="2917">
      <c r="A2917" s="5"/>
      <c r="B2917" s="5"/>
      <c r="C2917" s="5"/>
      <c r="D2917" s="5"/>
    </row>
    <row r="2918">
      <c r="A2918" s="5"/>
      <c r="B2918" s="5"/>
      <c r="C2918" s="5"/>
      <c r="D2918" s="5"/>
    </row>
    <row r="2919">
      <c r="A2919" s="5"/>
      <c r="B2919" s="5"/>
      <c r="C2919" s="5"/>
      <c r="D2919" s="5"/>
    </row>
    <row r="2920">
      <c r="A2920" s="5"/>
      <c r="B2920" s="5"/>
      <c r="C2920" s="5"/>
      <c r="D2920" s="5"/>
    </row>
    <row r="2921">
      <c r="A2921" s="5"/>
      <c r="B2921" s="5"/>
      <c r="C2921" s="5"/>
      <c r="D2921" s="5"/>
    </row>
    <row r="2922">
      <c r="A2922" s="5"/>
      <c r="B2922" s="5"/>
      <c r="C2922" s="5"/>
      <c r="D2922" s="5"/>
    </row>
    <row r="2923">
      <c r="A2923" s="5"/>
      <c r="B2923" s="5"/>
      <c r="C2923" s="5"/>
      <c r="D2923" s="5"/>
    </row>
    <row r="2924">
      <c r="A2924" s="5"/>
      <c r="B2924" s="5"/>
      <c r="C2924" s="5"/>
      <c r="D2924" s="5"/>
    </row>
    <row r="2925">
      <c r="A2925" s="5"/>
      <c r="B2925" s="5"/>
      <c r="C2925" s="5"/>
      <c r="D2925" s="5"/>
    </row>
    <row r="2926">
      <c r="A2926" s="5"/>
      <c r="B2926" s="5"/>
      <c r="C2926" s="5"/>
      <c r="D2926" s="5"/>
    </row>
    <row r="2927">
      <c r="A2927" s="5"/>
      <c r="B2927" s="5"/>
      <c r="C2927" s="5"/>
      <c r="D2927" s="5"/>
    </row>
    <row r="2928">
      <c r="A2928" s="5"/>
      <c r="B2928" s="5"/>
      <c r="C2928" s="5"/>
      <c r="D2928" s="5"/>
    </row>
    <row r="2929">
      <c r="A2929" s="5"/>
      <c r="B2929" s="5"/>
      <c r="C2929" s="5"/>
      <c r="D2929" s="5"/>
    </row>
    <row r="2930">
      <c r="A2930" s="5"/>
      <c r="B2930" s="5"/>
      <c r="C2930" s="5"/>
      <c r="D2930" s="5"/>
    </row>
    <row r="2931">
      <c r="A2931" s="5"/>
      <c r="B2931" s="5"/>
      <c r="C2931" s="5"/>
      <c r="D2931" s="5"/>
    </row>
    <row r="2932">
      <c r="A2932" s="5"/>
      <c r="B2932" s="5"/>
      <c r="C2932" s="5"/>
      <c r="D2932" s="5"/>
    </row>
    <row r="2933">
      <c r="A2933" s="5"/>
      <c r="B2933" s="5"/>
      <c r="C2933" s="5"/>
      <c r="D2933" s="5"/>
    </row>
    <row r="2934">
      <c r="A2934" s="5"/>
      <c r="B2934" s="5"/>
      <c r="C2934" s="5"/>
      <c r="D2934" s="5"/>
    </row>
    <row r="2935">
      <c r="A2935" s="5"/>
      <c r="B2935" s="5"/>
      <c r="C2935" s="5"/>
      <c r="D2935" s="5"/>
    </row>
    <row r="2936">
      <c r="A2936" s="5"/>
      <c r="B2936" s="5"/>
      <c r="C2936" s="5"/>
      <c r="D2936" s="5"/>
    </row>
    <row r="2937">
      <c r="A2937" s="5"/>
      <c r="B2937" s="5"/>
      <c r="C2937" s="5"/>
      <c r="D2937" s="5"/>
    </row>
    <row r="2938">
      <c r="A2938" s="5"/>
      <c r="B2938" s="5"/>
      <c r="C2938" s="5"/>
      <c r="D2938" s="5"/>
    </row>
    <row r="2939">
      <c r="A2939" s="5"/>
      <c r="B2939" s="5"/>
      <c r="C2939" s="5"/>
      <c r="D2939" s="5"/>
    </row>
    <row r="2940">
      <c r="A2940" s="5"/>
      <c r="B2940" s="5"/>
      <c r="C2940" s="5"/>
      <c r="D2940" s="5"/>
    </row>
    <row r="2941">
      <c r="A2941" s="5"/>
      <c r="B2941" s="5"/>
      <c r="C2941" s="5"/>
      <c r="D2941" s="5"/>
    </row>
    <row r="2942">
      <c r="A2942" s="5"/>
      <c r="B2942" s="5"/>
      <c r="C2942" s="5"/>
      <c r="D2942" s="5"/>
    </row>
    <row r="2943">
      <c r="A2943" s="5"/>
      <c r="B2943" s="5"/>
      <c r="C2943" s="5"/>
      <c r="D2943" s="5"/>
    </row>
    <row r="2944">
      <c r="A2944" s="5"/>
      <c r="B2944" s="5"/>
      <c r="C2944" s="5"/>
      <c r="D2944" s="5"/>
    </row>
    <row r="2945">
      <c r="A2945" s="5"/>
      <c r="B2945" s="5"/>
      <c r="C2945" s="5"/>
      <c r="D2945" s="5"/>
    </row>
    <row r="2946">
      <c r="A2946" s="5"/>
      <c r="B2946" s="5"/>
      <c r="C2946" s="5"/>
      <c r="D2946" s="5"/>
    </row>
    <row r="2947">
      <c r="A2947" s="5"/>
      <c r="B2947" s="5"/>
      <c r="C2947" s="5"/>
      <c r="D2947" s="5"/>
    </row>
    <row r="2948">
      <c r="A2948" s="5"/>
      <c r="B2948" s="5"/>
      <c r="C2948" s="5"/>
      <c r="D2948" s="5"/>
    </row>
    <row r="2949">
      <c r="A2949" s="5"/>
      <c r="B2949" s="5"/>
      <c r="C2949" s="5"/>
      <c r="D2949" s="5"/>
    </row>
    <row r="2950">
      <c r="A2950" s="5"/>
      <c r="B2950" s="5"/>
      <c r="C2950" s="5"/>
      <c r="D2950" s="5"/>
    </row>
    <row r="2951">
      <c r="A2951" s="5"/>
      <c r="B2951" s="5"/>
      <c r="C2951" s="5"/>
      <c r="D2951" s="5"/>
    </row>
    <row r="2952">
      <c r="A2952" s="5"/>
      <c r="B2952" s="5"/>
      <c r="C2952" s="5"/>
      <c r="D2952" s="5"/>
    </row>
    <row r="2953">
      <c r="A2953" s="5"/>
      <c r="B2953" s="5"/>
      <c r="C2953" s="5"/>
      <c r="D2953" s="5"/>
    </row>
    <row r="2954">
      <c r="A2954" s="5"/>
      <c r="B2954" s="5"/>
      <c r="C2954" s="5"/>
      <c r="D2954" s="5"/>
    </row>
    <row r="2955">
      <c r="A2955" s="5"/>
      <c r="B2955" s="5"/>
      <c r="C2955" s="5"/>
      <c r="D2955" s="5"/>
    </row>
    <row r="2956">
      <c r="A2956" s="5"/>
      <c r="B2956" s="5"/>
      <c r="C2956" s="5"/>
      <c r="D2956" s="5"/>
    </row>
    <row r="2957">
      <c r="A2957" s="5"/>
      <c r="B2957" s="5"/>
      <c r="C2957" s="5"/>
      <c r="D2957" s="5"/>
    </row>
    <row r="2958">
      <c r="A2958" s="5"/>
      <c r="B2958" s="5"/>
      <c r="C2958" s="5"/>
      <c r="D2958" s="5"/>
    </row>
    <row r="2959">
      <c r="A2959" s="5"/>
      <c r="B2959" s="5"/>
      <c r="C2959" s="5"/>
      <c r="D2959" s="5"/>
    </row>
    <row r="2960">
      <c r="A2960" s="5"/>
      <c r="B2960" s="5"/>
      <c r="C2960" s="5"/>
      <c r="D2960" s="5"/>
    </row>
    <row r="2961">
      <c r="A2961" s="5"/>
      <c r="B2961" s="5"/>
      <c r="C2961" s="5"/>
      <c r="D2961" s="5"/>
    </row>
    <row r="2962">
      <c r="A2962" s="5"/>
      <c r="B2962" s="5"/>
      <c r="C2962" s="5"/>
      <c r="D2962" s="5"/>
    </row>
    <row r="2963">
      <c r="A2963" s="5"/>
      <c r="B2963" s="5"/>
      <c r="C2963" s="5"/>
      <c r="D2963" s="5"/>
    </row>
    <row r="2964">
      <c r="A2964" s="5"/>
      <c r="B2964" s="5"/>
      <c r="C2964" s="5"/>
      <c r="D2964" s="5"/>
    </row>
    <row r="2965">
      <c r="A2965" s="5"/>
      <c r="B2965" s="5"/>
      <c r="C2965" s="5"/>
      <c r="D2965" s="5"/>
    </row>
    <row r="2966">
      <c r="A2966" s="5"/>
      <c r="B2966" s="5"/>
      <c r="C2966" s="5"/>
      <c r="D2966" s="5"/>
    </row>
    <row r="2967">
      <c r="A2967" s="5"/>
      <c r="B2967" s="5"/>
      <c r="C2967" s="5"/>
      <c r="D2967" s="5"/>
    </row>
    <row r="2968">
      <c r="A2968" s="5"/>
      <c r="B2968" s="5"/>
      <c r="C2968" s="5"/>
      <c r="D2968" s="5"/>
    </row>
    <row r="2969">
      <c r="A2969" s="5"/>
      <c r="B2969" s="5"/>
      <c r="C2969" s="5"/>
      <c r="D2969" s="5"/>
    </row>
    <row r="2970">
      <c r="A2970" s="5"/>
      <c r="B2970" s="5"/>
      <c r="C2970" s="5"/>
      <c r="D2970" s="5"/>
    </row>
    <row r="2971">
      <c r="A2971" s="5"/>
      <c r="B2971" s="5"/>
      <c r="C2971" s="5"/>
      <c r="D2971" s="5"/>
    </row>
    <row r="2972">
      <c r="A2972" s="5"/>
      <c r="B2972" s="5"/>
      <c r="C2972" s="5"/>
      <c r="D2972" s="5"/>
    </row>
    <row r="2973">
      <c r="A2973" s="5"/>
      <c r="B2973" s="5"/>
      <c r="C2973" s="5"/>
      <c r="D2973" s="5"/>
    </row>
    <row r="2974">
      <c r="A2974" s="5"/>
      <c r="B2974" s="5"/>
      <c r="C2974" s="5"/>
      <c r="D2974" s="5"/>
    </row>
    <row r="2975">
      <c r="A2975" s="5"/>
      <c r="B2975" s="5"/>
      <c r="C2975" s="5"/>
      <c r="D2975" s="5"/>
    </row>
    <row r="2976">
      <c r="A2976" s="5"/>
      <c r="B2976" s="5"/>
      <c r="C2976" s="5"/>
      <c r="D2976" s="5"/>
    </row>
    <row r="2977">
      <c r="A2977" s="5"/>
      <c r="B2977" s="5"/>
      <c r="C2977" s="5"/>
      <c r="D2977" s="5"/>
    </row>
    <row r="2978">
      <c r="A2978" s="5"/>
      <c r="B2978" s="5"/>
      <c r="C2978" s="5"/>
      <c r="D2978" s="5"/>
    </row>
    <row r="2979">
      <c r="A2979" s="5"/>
      <c r="B2979" s="5"/>
      <c r="C2979" s="5"/>
      <c r="D2979" s="5"/>
    </row>
    <row r="2980">
      <c r="A2980" s="5"/>
      <c r="B2980" s="5"/>
      <c r="C2980" s="5"/>
      <c r="D2980" s="5"/>
    </row>
    <row r="2981">
      <c r="A2981" s="5"/>
      <c r="B2981" s="5"/>
      <c r="C2981" s="5"/>
      <c r="D2981" s="5"/>
    </row>
    <row r="2982">
      <c r="A2982" s="5"/>
      <c r="B2982" s="5"/>
      <c r="C2982" s="5"/>
      <c r="D2982" s="5"/>
    </row>
    <row r="2983">
      <c r="A2983" s="5"/>
      <c r="B2983" s="5"/>
      <c r="C2983" s="5"/>
      <c r="D2983" s="5"/>
    </row>
    <row r="2984">
      <c r="A2984" s="5"/>
      <c r="B2984" s="5"/>
      <c r="C2984" s="5"/>
      <c r="D2984" s="5"/>
    </row>
    <row r="2985">
      <c r="A2985" s="5"/>
      <c r="B2985" s="5"/>
      <c r="C2985" s="5"/>
      <c r="D2985" s="5"/>
    </row>
    <row r="2986">
      <c r="A2986" s="5"/>
      <c r="B2986" s="5"/>
      <c r="C2986" s="5"/>
      <c r="D2986" s="5"/>
    </row>
    <row r="2987">
      <c r="A2987" s="5"/>
      <c r="B2987" s="5"/>
      <c r="C2987" s="5"/>
      <c r="D2987" s="5"/>
    </row>
    <row r="2988">
      <c r="A2988" s="5"/>
      <c r="B2988" s="5"/>
      <c r="C2988" s="5"/>
      <c r="D2988" s="5"/>
    </row>
    <row r="2989">
      <c r="A2989" s="5"/>
      <c r="B2989" s="5"/>
      <c r="C2989" s="5"/>
      <c r="D2989" s="5"/>
    </row>
    <row r="2990">
      <c r="A2990" s="5"/>
      <c r="B2990" s="5"/>
      <c r="C2990" s="5"/>
      <c r="D2990" s="5"/>
    </row>
    <row r="2991">
      <c r="A2991" s="5"/>
      <c r="B2991" s="5"/>
      <c r="C2991" s="5"/>
      <c r="D2991" s="5"/>
    </row>
    <row r="2992">
      <c r="A2992" s="5"/>
      <c r="B2992" s="5"/>
      <c r="C2992" s="5"/>
      <c r="D2992" s="5"/>
    </row>
    <row r="2993">
      <c r="A2993" s="5"/>
      <c r="B2993" s="5"/>
      <c r="C2993" s="5"/>
      <c r="D2993" s="5"/>
    </row>
    <row r="2994">
      <c r="A2994" s="5"/>
      <c r="B2994" s="5"/>
      <c r="C2994" s="5"/>
      <c r="D2994" s="5"/>
    </row>
    <row r="2995">
      <c r="A2995" s="5"/>
      <c r="B2995" s="5"/>
      <c r="C2995" s="5"/>
      <c r="D2995" s="5"/>
    </row>
    <row r="2996">
      <c r="A2996" s="5"/>
      <c r="B2996" s="5"/>
      <c r="C2996" s="5"/>
      <c r="D2996" s="5"/>
    </row>
    <row r="2997">
      <c r="A2997" s="5"/>
      <c r="B2997" s="5"/>
      <c r="C2997" s="5"/>
      <c r="D2997" s="5"/>
    </row>
    <row r="2998">
      <c r="A2998" s="5"/>
      <c r="B2998" s="5"/>
      <c r="C2998" s="5"/>
      <c r="D2998" s="5"/>
    </row>
    <row r="2999">
      <c r="A2999" s="5"/>
      <c r="B2999" s="5"/>
      <c r="C2999" s="5"/>
      <c r="D2999" s="5"/>
    </row>
    <row r="3000">
      <c r="A3000" s="5"/>
      <c r="B3000" s="5"/>
      <c r="C3000" s="5"/>
      <c r="D3000" s="5"/>
    </row>
    <row r="3001">
      <c r="A3001" s="5"/>
      <c r="B3001" s="5"/>
      <c r="C3001" s="5"/>
      <c r="D3001" s="5"/>
    </row>
    <row r="3002">
      <c r="A3002" s="5"/>
      <c r="B3002" s="5"/>
      <c r="C3002" s="5"/>
      <c r="D3002" s="5"/>
    </row>
    <row r="3003">
      <c r="A3003" s="5"/>
      <c r="B3003" s="5"/>
      <c r="C3003" s="5"/>
      <c r="D3003" s="5"/>
    </row>
    <row r="3004">
      <c r="A3004" s="5"/>
      <c r="B3004" s="5"/>
      <c r="C3004" s="5"/>
      <c r="D3004" s="5"/>
    </row>
    <row r="3005">
      <c r="A3005" s="5"/>
      <c r="B3005" s="5"/>
      <c r="C3005" s="5"/>
      <c r="D3005" s="5"/>
    </row>
    <row r="3006">
      <c r="A3006" s="5"/>
      <c r="B3006" s="5"/>
      <c r="C3006" s="5"/>
      <c r="D3006" s="5"/>
    </row>
    <row r="3007">
      <c r="A3007" s="5"/>
      <c r="B3007" s="5"/>
      <c r="C3007" s="5"/>
      <c r="D3007" s="5"/>
    </row>
    <row r="3008">
      <c r="A3008" s="5"/>
      <c r="B3008" s="5"/>
      <c r="C3008" s="5"/>
      <c r="D3008" s="5"/>
    </row>
    <row r="3009">
      <c r="A3009" s="5"/>
      <c r="B3009" s="5"/>
      <c r="C3009" s="5"/>
      <c r="D3009" s="5"/>
    </row>
    <row r="3010">
      <c r="A3010" s="5"/>
      <c r="B3010" s="5"/>
      <c r="C3010" s="5"/>
      <c r="D3010" s="5"/>
    </row>
    <row r="3011">
      <c r="A3011" s="5"/>
      <c r="B3011" s="5"/>
      <c r="C3011" s="5"/>
      <c r="D3011" s="5"/>
    </row>
    <row r="3012">
      <c r="A3012" s="5"/>
      <c r="B3012" s="5"/>
      <c r="C3012" s="5"/>
      <c r="D3012" s="5"/>
    </row>
    <row r="3013">
      <c r="A3013" s="5"/>
      <c r="B3013" s="5"/>
      <c r="C3013" s="5"/>
      <c r="D3013" s="5"/>
    </row>
    <row r="3014">
      <c r="A3014" s="5"/>
      <c r="B3014" s="5"/>
      <c r="C3014" s="5"/>
      <c r="D3014" s="5"/>
    </row>
    <row r="3015">
      <c r="A3015" s="5"/>
      <c r="B3015" s="5"/>
      <c r="C3015" s="5"/>
      <c r="D3015" s="5"/>
    </row>
    <row r="3016">
      <c r="A3016" s="5"/>
      <c r="B3016" s="5"/>
      <c r="C3016" s="5"/>
      <c r="D3016" s="5"/>
    </row>
    <row r="3017">
      <c r="A3017" s="5"/>
      <c r="B3017" s="5"/>
      <c r="C3017" s="5"/>
      <c r="D3017" s="5"/>
    </row>
    <row r="3018">
      <c r="A3018" s="5"/>
      <c r="B3018" s="5"/>
      <c r="C3018" s="5"/>
      <c r="D3018" s="5"/>
    </row>
    <row r="3019">
      <c r="A3019" s="5"/>
      <c r="B3019" s="5"/>
      <c r="C3019" s="5"/>
      <c r="D3019" s="5"/>
    </row>
    <row r="3020">
      <c r="A3020" s="5"/>
      <c r="B3020" s="5"/>
      <c r="C3020" s="5"/>
      <c r="D3020" s="5"/>
    </row>
    <row r="3021">
      <c r="A3021" s="5"/>
      <c r="B3021" s="5"/>
      <c r="C3021" s="5"/>
      <c r="D3021" s="5"/>
    </row>
    <row r="3022">
      <c r="A3022" s="5"/>
      <c r="B3022" s="5"/>
      <c r="C3022" s="5"/>
      <c r="D3022" s="5"/>
    </row>
    <row r="3023">
      <c r="A3023" s="5"/>
      <c r="B3023" s="5"/>
      <c r="C3023" s="5"/>
      <c r="D3023" s="5"/>
    </row>
    <row r="3024">
      <c r="A3024" s="5"/>
      <c r="B3024" s="5"/>
      <c r="C3024" s="5"/>
      <c r="D3024" s="5"/>
    </row>
    <row r="3025">
      <c r="A3025" s="5"/>
      <c r="B3025" s="5"/>
      <c r="C3025" s="5"/>
      <c r="D3025" s="5"/>
    </row>
    <row r="3026">
      <c r="A3026" s="5"/>
      <c r="B3026" s="5"/>
      <c r="C3026" s="5"/>
      <c r="D3026" s="5"/>
    </row>
    <row r="3027">
      <c r="A3027" s="5"/>
      <c r="B3027" s="5"/>
      <c r="C3027" s="5"/>
      <c r="D3027" s="5"/>
    </row>
    <row r="3028">
      <c r="A3028" s="5"/>
      <c r="B3028" s="5"/>
      <c r="C3028" s="5"/>
      <c r="D3028" s="5"/>
    </row>
    <row r="3029">
      <c r="A3029" s="5"/>
      <c r="B3029" s="5"/>
      <c r="C3029" s="5"/>
      <c r="D3029" s="5"/>
    </row>
    <row r="3030">
      <c r="A3030" s="5"/>
      <c r="B3030" s="5"/>
      <c r="C3030" s="5"/>
      <c r="D3030" s="5"/>
    </row>
    <row r="3031">
      <c r="A3031" s="5"/>
      <c r="B3031" s="5"/>
      <c r="C3031" s="5"/>
      <c r="D3031" s="5"/>
    </row>
    <row r="3032">
      <c r="A3032" s="5"/>
      <c r="B3032" s="5"/>
      <c r="C3032" s="5"/>
      <c r="D3032" s="5"/>
    </row>
    <row r="3033">
      <c r="A3033" s="5"/>
      <c r="B3033" s="5"/>
      <c r="C3033" s="5"/>
      <c r="D3033" s="5"/>
    </row>
    <row r="3034">
      <c r="A3034" s="5"/>
      <c r="B3034" s="5"/>
      <c r="C3034" s="5"/>
      <c r="D3034" s="5"/>
    </row>
    <row r="3035">
      <c r="A3035" s="5"/>
      <c r="B3035" s="5"/>
      <c r="C3035" s="5"/>
      <c r="D3035" s="5"/>
    </row>
    <row r="3036">
      <c r="A3036" s="5"/>
      <c r="B3036" s="5"/>
      <c r="C3036" s="5"/>
      <c r="D3036" s="5"/>
    </row>
    <row r="3037">
      <c r="A3037" s="5"/>
      <c r="B3037" s="5"/>
      <c r="C3037" s="5"/>
      <c r="D3037" s="5"/>
    </row>
    <row r="3038">
      <c r="A3038" s="5"/>
      <c r="B3038" s="5"/>
      <c r="C3038" s="5"/>
      <c r="D3038" s="5"/>
    </row>
    <row r="3039">
      <c r="A3039" s="5"/>
      <c r="B3039" s="5"/>
      <c r="C3039" s="5"/>
      <c r="D3039" s="5"/>
    </row>
    <row r="3040">
      <c r="A3040" s="5"/>
      <c r="B3040" s="5"/>
      <c r="C3040" s="5"/>
      <c r="D3040" s="5"/>
    </row>
    <row r="3041">
      <c r="A3041" s="5"/>
      <c r="B3041" s="5"/>
      <c r="C3041" s="5"/>
      <c r="D3041" s="5"/>
    </row>
    <row r="3042">
      <c r="A3042" s="5"/>
      <c r="B3042" s="5"/>
      <c r="C3042" s="5"/>
      <c r="D3042" s="5"/>
    </row>
    <row r="3043">
      <c r="A3043" s="5"/>
      <c r="B3043" s="5"/>
      <c r="C3043" s="5"/>
      <c r="D3043" s="5"/>
    </row>
    <row r="3044">
      <c r="A3044" s="5"/>
      <c r="B3044" s="5"/>
      <c r="C3044" s="5"/>
      <c r="D3044" s="5"/>
    </row>
    <row r="3045">
      <c r="A3045" s="5"/>
      <c r="B3045" s="5"/>
      <c r="C3045" s="5"/>
      <c r="D3045" s="5"/>
    </row>
    <row r="3046">
      <c r="A3046" s="5"/>
      <c r="B3046" s="5"/>
      <c r="C3046" s="5"/>
      <c r="D3046" s="5"/>
    </row>
    <row r="3047">
      <c r="A3047" s="5"/>
      <c r="B3047" s="5"/>
      <c r="C3047" s="5"/>
      <c r="D3047" s="5"/>
    </row>
    <row r="3048">
      <c r="A3048" s="5"/>
      <c r="B3048" s="5"/>
      <c r="C3048" s="5"/>
      <c r="D3048" s="5"/>
    </row>
    <row r="3049">
      <c r="A3049" s="5"/>
      <c r="B3049" s="5"/>
      <c r="C3049" s="5"/>
      <c r="D3049" s="5"/>
    </row>
    <row r="3050">
      <c r="A3050" s="5"/>
      <c r="B3050" s="5"/>
      <c r="C3050" s="5"/>
      <c r="D3050" s="5"/>
    </row>
    <row r="3051">
      <c r="A3051" s="5"/>
      <c r="B3051" s="5"/>
      <c r="C3051" s="5"/>
      <c r="D3051" s="5"/>
    </row>
    <row r="3052">
      <c r="A3052" s="5"/>
      <c r="B3052" s="5"/>
      <c r="C3052" s="5"/>
      <c r="D3052" s="5"/>
    </row>
    <row r="3053">
      <c r="A3053" s="5"/>
      <c r="B3053" s="5"/>
      <c r="C3053" s="5"/>
      <c r="D3053" s="5"/>
    </row>
    <row r="3054">
      <c r="A3054" s="5"/>
      <c r="B3054" s="5"/>
      <c r="C3054" s="5"/>
      <c r="D3054" s="5"/>
    </row>
    <row r="3055">
      <c r="A3055" s="5"/>
      <c r="B3055" s="5"/>
      <c r="C3055" s="5"/>
      <c r="D3055" s="5"/>
    </row>
    <row r="3056">
      <c r="A3056" s="5"/>
      <c r="B3056" s="5"/>
      <c r="C3056" s="5"/>
      <c r="D3056" s="5"/>
    </row>
    <row r="3057">
      <c r="A3057" s="5"/>
      <c r="B3057" s="5"/>
      <c r="C3057" s="5"/>
      <c r="D3057" s="5"/>
    </row>
    <row r="3058">
      <c r="A3058" s="5"/>
      <c r="B3058" s="5"/>
      <c r="C3058" s="5"/>
      <c r="D3058" s="5"/>
    </row>
    <row r="3059">
      <c r="A3059" s="5"/>
      <c r="B3059" s="5"/>
      <c r="C3059" s="5"/>
      <c r="D3059" s="5"/>
    </row>
    <row r="3060">
      <c r="A3060" s="5"/>
      <c r="B3060" s="5"/>
      <c r="C3060" s="5"/>
      <c r="D3060" s="5"/>
    </row>
    <row r="3061">
      <c r="A3061" s="5"/>
      <c r="B3061" s="5"/>
      <c r="C3061" s="5"/>
      <c r="D3061" s="5"/>
    </row>
    <row r="3062">
      <c r="A3062" s="5"/>
      <c r="B3062" s="5"/>
      <c r="C3062" s="5"/>
      <c r="D3062" s="5"/>
    </row>
    <row r="3063">
      <c r="A3063" s="5"/>
      <c r="B3063" s="5"/>
      <c r="C3063" s="5"/>
      <c r="D3063" s="5"/>
    </row>
    <row r="3064">
      <c r="A3064" s="5"/>
      <c r="B3064" s="5"/>
      <c r="C3064" s="5"/>
      <c r="D3064" s="5"/>
    </row>
    <row r="3065">
      <c r="A3065" s="5"/>
      <c r="B3065" s="5"/>
      <c r="C3065" s="5"/>
      <c r="D3065" s="5"/>
    </row>
    <row r="3066">
      <c r="A3066" s="5"/>
      <c r="B3066" s="5"/>
      <c r="C3066" s="5"/>
      <c r="D3066" s="5"/>
    </row>
    <row r="3067">
      <c r="A3067" s="5"/>
      <c r="B3067" s="5"/>
      <c r="C3067" s="5"/>
      <c r="D3067" s="5"/>
    </row>
    <row r="3068">
      <c r="A3068" s="5"/>
      <c r="B3068" s="5"/>
      <c r="C3068" s="5"/>
      <c r="D3068" s="5"/>
    </row>
    <row r="3069">
      <c r="A3069" s="5"/>
      <c r="B3069" s="5"/>
      <c r="C3069" s="5"/>
      <c r="D3069" s="5"/>
    </row>
    <row r="3070">
      <c r="A3070" s="5"/>
      <c r="B3070" s="5"/>
      <c r="C3070" s="5"/>
      <c r="D3070" s="5"/>
    </row>
    <row r="3071">
      <c r="A3071" s="5"/>
      <c r="B3071" s="5"/>
      <c r="C3071" s="5"/>
      <c r="D3071" s="5"/>
    </row>
    <row r="3072">
      <c r="A3072" s="5"/>
      <c r="B3072" s="5"/>
      <c r="C3072" s="5"/>
      <c r="D3072" s="5"/>
    </row>
    <row r="3073">
      <c r="A3073" s="5"/>
      <c r="B3073" s="5"/>
      <c r="C3073" s="5"/>
      <c r="D3073" s="5"/>
    </row>
    <row r="3074">
      <c r="A3074" s="5"/>
      <c r="B3074" s="5"/>
      <c r="C3074" s="5"/>
      <c r="D3074" s="5"/>
    </row>
    <row r="3075">
      <c r="A3075" s="5"/>
      <c r="B3075" s="5"/>
      <c r="C3075" s="5"/>
      <c r="D3075" s="5"/>
    </row>
    <row r="3076">
      <c r="A3076" s="5"/>
      <c r="B3076" s="5"/>
      <c r="C3076" s="5"/>
      <c r="D3076" s="5"/>
    </row>
    <row r="3077">
      <c r="A3077" s="5"/>
      <c r="B3077" s="5"/>
      <c r="C3077" s="5"/>
      <c r="D3077" s="5"/>
    </row>
    <row r="3078">
      <c r="A3078" s="5"/>
      <c r="B3078" s="5"/>
      <c r="C3078" s="5"/>
      <c r="D3078" s="5"/>
    </row>
    <row r="3079">
      <c r="A3079" s="5"/>
      <c r="B3079" s="5"/>
      <c r="C3079" s="5"/>
      <c r="D3079" s="5"/>
    </row>
    <row r="3080">
      <c r="A3080" s="5"/>
      <c r="B3080" s="5"/>
      <c r="C3080" s="5"/>
      <c r="D3080" s="5"/>
    </row>
    <row r="3081">
      <c r="A3081" s="5"/>
      <c r="B3081" s="5"/>
      <c r="C3081" s="5"/>
      <c r="D3081" s="5"/>
    </row>
    <row r="3082">
      <c r="A3082" s="5"/>
      <c r="B3082" s="5"/>
      <c r="C3082" s="5"/>
      <c r="D3082" s="5"/>
    </row>
    <row r="3083">
      <c r="A3083" s="5"/>
      <c r="B3083" s="5"/>
      <c r="C3083" s="5"/>
      <c r="D3083" s="5"/>
    </row>
    <row r="3084">
      <c r="A3084" s="5"/>
      <c r="B3084" s="5"/>
      <c r="C3084" s="5"/>
      <c r="D3084" s="5"/>
    </row>
    <row r="3085">
      <c r="A3085" s="5"/>
      <c r="B3085" s="5"/>
      <c r="C3085" s="5"/>
      <c r="D3085" s="5"/>
    </row>
    <row r="3086">
      <c r="A3086" s="5"/>
      <c r="B3086" s="5"/>
      <c r="C3086" s="5"/>
      <c r="D3086" s="5"/>
    </row>
    <row r="3087">
      <c r="A3087" s="5"/>
      <c r="B3087" s="5"/>
      <c r="C3087" s="5"/>
      <c r="D3087" s="5"/>
    </row>
    <row r="3088">
      <c r="A3088" s="5"/>
      <c r="B3088" s="5"/>
      <c r="C3088" s="5"/>
      <c r="D3088" s="5"/>
    </row>
    <row r="3089">
      <c r="A3089" s="5"/>
      <c r="B3089" s="5"/>
      <c r="C3089" s="5"/>
      <c r="D3089" s="5"/>
    </row>
    <row r="3090">
      <c r="A3090" s="5"/>
      <c r="B3090" s="5"/>
      <c r="C3090" s="5"/>
      <c r="D3090" s="5"/>
    </row>
    <row r="3091">
      <c r="A3091" s="5"/>
      <c r="B3091" s="5"/>
      <c r="C3091" s="5"/>
      <c r="D3091" s="5"/>
    </row>
    <row r="3092">
      <c r="A3092" s="5"/>
      <c r="B3092" s="5"/>
      <c r="C3092" s="5"/>
      <c r="D3092" s="5"/>
    </row>
    <row r="3093">
      <c r="A3093" s="5"/>
      <c r="B3093" s="5"/>
      <c r="C3093" s="5"/>
      <c r="D3093" s="5"/>
    </row>
    <row r="3094">
      <c r="A3094" s="5"/>
      <c r="B3094" s="5"/>
      <c r="C3094" s="5"/>
      <c r="D3094" s="5"/>
    </row>
    <row r="3095">
      <c r="A3095" s="5"/>
      <c r="B3095" s="5"/>
      <c r="C3095" s="5"/>
      <c r="D3095" s="5"/>
    </row>
    <row r="3096">
      <c r="A3096" s="5"/>
      <c r="B3096" s="5"/>
      <c r="C3096" s="5"/>
      <c r="D3096" s="5"/>
    </row>
    <row r="3097">
      <c r="A3097" s="5"/>
      <c r="B3097" s="5"/>
      <c r="C3097" s="5"/>
      <c r="D3097" s="5"/>
    </row>
    <row r="3098">
      <c r="A3098" s="5"/>
      <c r="B3098" s="5"/>
      <c r="C3098" s="5"/>
      <c r="D3098" s="5"/>
    </row>
    <row r="3099">
      <c r="A3099" s="5"/>
      <c r="B3099" s="5"/>
      <c r="C3099" s="5"/>
      <c r="D3099" s="5"/>
    </row>
    <row r="3100">
      <c r="A3100" s="5"/>
      <c r="B3100" s="5"/>
      <c r="C3100" s="5"/>
      <c r="D3100" s="5"/>
    </row>
    <row r="3101">
      <c r="A3101" s="5"/>
      <c r="B3101" s="5"/>
      <c r="C3101" s="5"/>
      <c r="D3101" s="5"/>
    </row>
    <row r="3102">
      <c r="A3102" s="5"/>
      <c r="B3102" s="5"/>
      <c r="C3102" s="5"/>
      <c r="D3102" s="5"/>
    </row>
    <row r="3103">
      <c r="A3103" s="5"/>
      <c r="B3103" s="5"/>
      <c r="C3103" s="5"/>
      <c r="D3103" s="5"/>
    </row>
    <row r="3104">
      <c r="A3104" s="5"/>
      <c r="B3104" s="5"/>
      <c r="C3104" s="5"/>
      <c r="D3104" s="5"/>
    </row>
    <row r="3105">
      <c r="A3105" s="5"/>
      <c r="B3105" s="5"/>
      <c r="C3105" s="5"/>
      <c r="D3105" s="5"/>
    </row>
    <row r="3106">
      <c r="A3106" s="5"/>
      <c r="B3106" s="5"/>
      <c r="C3106" s="5"/>
      <c r="D3106" s="5"/>
    </row>
    <row r="3107">
      <c r="A3107" s="5"/>
      <c r="B3107" s="5"/>
      <c r="C3107" s="5"/>
      <c r="D3107" s="5"/>
    </row>
    <row r="3108">
      <c r="A3108" s="5"/>
      <c r="B3108" s="5"/>
      <c r="C3108" s="5"/>
      <c r="D3108" s="5"/>
    </row>
    <row r="3109">
      <c r="A3109" s="5"/>
      <c r="B3109" s="5"/>
      <c r="C3109" s="5"/>
      <c r="D3109" s="5"/>
    </row>
    <row r="3110">
      <c r="A3110" s="5"/>
      <c r="B3110" s="5"/>
      <c r="C3110" s="5"/>
      <c r="D3110" s="5"/>
    </row>
    <row r="3111">
      <c r="A3111" s="5"/>
      <c r="B3111" s="5"/>
      <c r="C3111" s="5"/>
      <c r="D3111" s="5"/>
    </row>
    <row r="3112">
      <c r="A3112" s="5"/>
      <c r="B3112" s="5"/>
      <c r="C3112" s="5"/>
      <c r="D3112" s="5"/>
    </row>
    <row r="3113">
      <c r="A3113" s="5"/>
      <c r="B3113" s="5"/>
      <c r="C3113" s="5"/>
      <c r="D3113" s="5"/>
    </row>
    <row r="3114">
      <c r="A3114" s="5"/>
      <c r="B3114" s="5"/>
      <c r="C3114" s="5"/>
      <c r="D3114" s="5"/>
    </row>
    <row r="3115">
      <c r="A3115" s="5"/>
      <c r="B3115" s="5"/>
      <c r="C3115" s="5"/>
      <c r="D3115" s="5"/>
    </row>
    <row r="3116">
      <c r="A3116" s="5"/>
      <c r="B3116" s="5"/>
      <c r="C3116" s="5"/>
      <c r="D3116" s="5"/>
    </row>
    <row r="3117">
      <c r="A3117" s="5"/>
      <c r="B3117" s="5"/>
      <c r="C3117" s="5"/>
      <c r="D3117" s="5"/>
    </row>
    <row r="3118">
      <c r="A3118" s="5"/>
      <c r="B3118" s="5"/>
      <c r="C3118" s="5"/>
      <c r="D3118" s="5"/>
    </row>
    <row r="3119">
      <c r="A3119" s="5"/>
      <c r="B3119" s="5"/>
      <c r="C3119" s="5"/>
      <c r="D3119" s="5"/>
    </row>
    <row r="3120">
      <c r="A3120" s="5"/>
      <c r="B3120" s="5"/>
      <c r="C3120" s="5"/>
      <c r="D3120" s="5"/>
    </row>
    <row r="3121">
      <c r="A3121" s="5"/>
      <c r="B3121" s="5"/>
      <c r="C3121" s="5"/>
      <c r="D3121" s="5"/>
    </row>
    <row r="3122">
      <c r="A3122" s="5"/>
      <c r="B3122" s="5"/>
      <c r="C3122" s="5"/>
      <c r="D3122" s="5"/>
    </row>
    <row r="3123">
      <c r="A3123" s="5"/>
      <c r="B3123" s="5"/>
      <c r="C3123" s="5"/>
      <c r="D3123" s="5"/>
    </row>
    <row r="3124">
      <c r="A3124" s="5"/>
      <c r="B3124" s="5"/>
      <c r="C3124" s="5"/>
      <c r="D3124" s="5"/>
    </row>
    <row r="3125">
      <c r="A3125" s="5"/>
      <c r="B3125" s="5"/>
      <c r="C3125" s="5"/>
      <c r="D3125" s="5"/>
    </row>
    <row r="3126">
      <c r="A3126" s="5"/>
      <c r="B3126" s="5"/>
      <c r="C3126" s="5"/>
      <c r="D3126" s="5"/>
    </row>
    <row r="3127">
      <c r="A3127" s="5"/>
      <c r="B3127" s="5"/>
      <c r="C3127" s="5"/>
      <c r="D3127" s="5"/>
    </row>
    <row r="3128">
      <c r="A3128" s="5"/>
      <c r="B3128" s="5"/>
      <c r="C3128" s="5"/>
      <c r="D3128" s="5"/>
    </row>
    <row r="3129">
      <c r="A3129" s="5"/>
      <c r="B3129" s="5"/>
      <c r="C3129" s="5"/>
      <c r="D3129" s="5"/>
    </row>
    <row r="3130">
      <c r="A3130" s="5"/>
      <c r="B3130" s="5"/>
      <c r="C3130" s="5"/>
      <c r="D3130" s="5"/>
    </row>
    <row r="3131">
      <c r="A3131" s="5"/>
      <c r="B3131" s="5"/>
      <c r="C3131" s="5"/>
      <c r="D3131" s="5"/>
    </row>
    <row r="3132">
      <c r="A3132" s="5"/>
      <c r="B3132" s="5"/>
      <c r="C3132" s="5"/>
      <c r="D3132" s="5"/>
    </row>
    <row r="3133">
      <c r="A3133" s="5"/>
      <c r="B3133" s="5"/>
      <c r="C3133" s="5"/>
      <c r="D3133" s="5"/>
    </row>
    <row r="3134">
      <c r="A3134" s="5"/>
      <c r="B3134" s="5"/>
      <c r="C3134" s="5"/>
      <c r="D3134" s="5"/>
    </row>
    <row r="3135">
      <c r="A3135" s="5"/>
      <c r="B3135" s="5"/>
      <c r="C3135" s="5"/>
      <c r="D3135" s="5"/>
    </row>
    <row r="3136">
      <c r="A3136" s="5"/>
      <c r="B3136" s="5"/>
      <c r="C3136" s="5"/>
      <c r="D3136" s="5"/>
    </row>
    <row r="3137">
      <c r="A3137" s="5"/>
      <c r="B3137" s="5"/>
      <c r="C3137" s="5"/>
      <c r="D3137" s="5"/>
    </row>
    <row r="3138">
      <c r="A3138" s="5"/>
      <c r="B3138" s="5"/>
      <c r="C3138" s="5"/>
      <c r="D3138" s="5"/>
    </row>
    <row r="3139">
      <c r="A3139" s="5"/>
      <c r="B3139" s="5"/>
      <c r="C3139" s="5"/>
      <c r="D3139" s="5"/>
    </row>
    <row r="3140">
      <c r="A3140" s="5"/>
      <c r="B3140" s="5"/>
      <c r="C3140" s="5"/>
      <c r="D3140" s="5"/>
    </row>
    <row r="3141">
      <c r="A3141" s="5"/>
      <c r="B3141" s="5"/>
      <c r="C3141" s="5"/>
      <c r="D3141" s="5"/>
    </row>
    <row r="3142">
      <c r="A3142" s="5"/>
      <c r="B3142" s="5"/>
      <c r="C3142" s="5"/>
      <c r="D3142" s="5"/>
    </row>
    <row r="3143">
      <c r="A3143" s="5"/>
      <c r="B3143" s="5"/>
      <c r="C3143" s="5"/>
      <c r="D3143" s="5"/>
    </row>
    <row r="3144">
      <c r="A3144" s="5"/>
      <c r="B3144" s="5"/>
      <c r="C3144" s="5"/>
      <c r="D3144" s="5"/>
    </row>
    <row r="3145">
      <c r="A3145" s="5"/>
      <c r="B3145" s="5"/>
      <c r="C3145" s="5"/>
      <c r="D3145" s="5"/>
    </row>
    <row r="3146">
      <c r="A3146" s="5"/>
      <c r="B3146" s="5"/>
      <c r="C3146" s="5"/>
      <c r="D3146" s="5"/>
    </row>
    <row r="3147">
      <c r="A3147" s="5"/>
      <c r="B3147" s="5"/>
      <c r="C3147" s="5"/>
      <c r="D3147" s="5"/>
    </row>
    <row r="3148">
      <c r="A3148" s="5"/>
      <c r="B3148" s="5"/>
      <c r="C3148" s="5"/>
      <c r="D3148" s="5"/>
    </row>
    <row r="3149">
      <c r="A3149" s="5"/>
      <c r="B3149" s="5"/>
      <c r="C3149" s="5"/>
      <c r="D3149" s="5"/>
    </row>
    <row r="3150">
      <c r="A3150" s="5"/>
      <c r="B3150" s="5"/>
      <c r="C3150" s="5"/>
      <c r="D3150" s="5"/>
    </row>
    <row r="3151">
      <c r="A3151" s="5"/>
      <c r="B3151" s="5"/>
      <c r="C3151" s="5"/>
      <c r="D3151" s="5"/>
    </row>
    <row r="3152">
      <c r="A3152" s="5"/>
      <c r="B3152" s="5"/>
      <c r="C3152" s="5"/>
      <c r="D3152" s="5"/>
    </row>
    <row r="3153">
      <c r="A3153" s="5"/>
      <c r="B3153" s="5"/>
      <c r="C3153" s="5"/>
      <c r="D3153" s="5"/>
    </row>
    <row r="3154">
      <c r="A3154" s="5"/>
      <c r="B3154" s="5"/>
      <c r="C3154" s="5"/>
      <c r="D3154" s="5"/>
    </row>
    <row r="3155">
      <c r="A3155" s="5"/>
      <c r="B3155" s="5"/>
      <c r="C3155" s="5"/>
      <c r="D3155" s="5"/>
    </row>
    <row r="3156">
      <c r="A3156" s="5"/>
      <c r="B3156" s="5"/>
      <c r="C3156" s="5"/>
      <c r="D3156" s="5"/>
    </row>
    <row r="3157">
      <c r="A3157" s="5"/>
      <c r="B3157" s="5"/>
      <c r="C3157" s="5"/>
      <c r="D3157" s="5"/>
    </row>
    <row r="3158">
      <c r="A3158" s="5"/>
      <c r="B3158" s="5"/>
      <c r="C3158" s="5"/>
      <c r="D3158" s="5"/>
    </row>
    <row r="3159">
      <c r="A3159" s="5"/>
      <c r="B3159" s="5"/>
      <c r="C3159" s="5"/>
      <c r="D3159" s="5"/>
    </row>
    <row r="3160">
      <c r="A3160" s="5"/>
      <c r="B3160" s="5"/>
      <c r="C3160" s="5"/>
      <c r="D3160" s="5"/>
    </row>
    <row r="3161">
      <c r="A3161" s="5"/>
      <c r="B3161" s="5"/>
      <c r="C3161" s="5"/>
      <c r="D3161" s="5"/>
    </row>
    <row r="3162">
      <c r="A3162" s="5"/>
      <c r="B3162" s="5"/>
      <c r="C3162" s="5"/>
      <c r="D3162" s="5"/>
    </row>
    <row r="3163">
      <c r="A3163" s="5"/>
      <c r="B3163" s="5"/>
      <c r="C3163" s="5"/>
      <c r="D3163" s="5"/>
    </row>
    <row r="3164">
      <c r="A3164" s="5"/>
      <c r="B3164" s="5"/>
      <c r="C3164" s="5"/>
      <c r="D3164" s="5"/>
    </row>
    <row r="3165">
      <c r="A3165" s="5"/>
      <c r="B3165" s="5"/>
      <c r="C3165" s="5"/>
      <c r="D3165" s="5"/>
    </row>
    <row r="3166">
      <c r="A3166" s="5"/>
      <c r="B3166" s="5"/>
      <c r="C3166" s="5"/>
      <c r="D3166" s="5"/>
    </row>
    <row r="3167">
      <c r="A3167" s="5"/>
      <c r="B3167" s="5"/>
      <c r="C3167" s="5"/>
      <c r="D3167" s="5"/>
    </row>
    <row r="3168">
      <c r="A3168" s="5"/>
      <c r="B3168" s="5"/>
      <c r="C3168" s="5"/>
      <c r="D3168" s="5"/>
    </row>
    <row r="3169">
      <c r="A3169" s="5"/>
      <c r="B3169" s="5"/>
      <c r="C3169" s="5"/>
      <c r="D3169" s="5"/>
    </row>
    <row r="3170">
      <c r="A3170" s="5"/>
      <c r="B3170" s="5"/>
      <c r="C3170" s="5"/>
      <c r="D3170" s="5"/>
    </row>
    <row r="3171">
      <c r="A3171" s="5"/>
      <c r="B3171" s="5"/>
      <c r="C3171" s="5"/>
      <c r="D3171" s="5"/>
    </row>
    <row r="3172">
      <c r="A3172" s="5"/>
      <c r="B3172" s="5"/>
      <c r="C3172" s="5"/>
      <c r="D3172" s="5"/>
    </row>
    <row r="3173">
      <c r="A3173" s="5"/>
      <c r="B3173" s="5"/>
      <c r="C3173" s="5"/>
      <c r="D3173" s="5"/>
    </row>
    <row r="3174">
      <c r="A3174" s="5"/>
      <c r="B3174" s="5"/>
      <c r="C3174" s="5"/>
      <c r="D3174" s="5"/>
    </row>
    <row r="3175">
      <c r="A3175" s="5"/>
      <c r="B3175" s="5"/>
      <c r="C3175" s="5"/>
      <c r="D3175" s="5"/>
    </row>
    <row r="3176">
      <c r="A3176" s="5"/>
      <c r="B3176" s="5"/>
      <c r="C3176" s="5"/>
      <c r="D3176" s="5"/>
    </row>
    <row r="3177">
      <c r="A3177" s="5"/>
      <c r="B3177" s="5"/>
      <c r="C3177" s="5"/>
      <c r="D3177" s="5"/>
    </row>
    <row r="3178">
      <c r="A3178" s="5"/>
      <c r="B3178" s="5"/>
      <c r="C3178" s="5"/>
      <c r="D3178" s="5"/>
    </row>
    <row r="3179">
      <c r="A3179" s="5"/>
      <c r="B3179" s="5"/>
      <c r="C3179" s="5"/>
      <c r="D3179" s="5"/>
    </row>
    <row r="3180">
      <c r="A3180" s="5"/>
      <c r="B3180" s="5"/>
      <c r="C3180" s="5"/>
      <c r="D3180" s="5"/>
    </row>
    <row r="3181">
      <c r="A3181" s="5"/>
      <c r="B3181" s="5"/>
      <c r="C3181" s="5"/>
      <c r="D3181" s="5"/>
    </row>
    <row r="3182">
      <c r="A3182" s="5"/>
      <c r="B3182" s="5"/>
      <c r="C3182" s="5"/>
      <c r="D3182" s="5"/>
    </row>
    <row r="3183">
      <c r="A3183" s="5"/>
      <c r="B3183" s="5"/>
      <c r="C3183" s="5"/>
      <c r="D3183" s="5"/>
    </row>
    <row r="3184">
      <c r="A3184" s="5"/>
      <c r="B3184" s="5"/>
      <c r="C3184" s="5"/>
      <c r="D3184" s="5"/>
    </row>
    <row r="3185">
      <c r="A3185" s="5"/>
      <c r="B3185" s="5"/>
      <c r="C3185" s="5"/>
      <c r="D3185" s="5"/>
    </row>
    <row r="3186">
      <c r="A3186" s="5"/>
      <c r="B3186" s="5"/>
      <c r="C3186" s="5"/>
      <c r="D3186" s="5"/>
    </row>
    <row r="3187">
      <c r="A3187" s="5"/>
      <c r="B3187" s="5"/>
      <c r="C3187" s="5"/>
      <c r="D3187" s="5"/>
    </row>
    <row r="3188">
      <c r="A3188" s="5"/>
      <c r="B3188" s="5"/>
      <c r="C3188" s="5"/>
      <c r="D3188" s="5"/>
    </row>
    <row r="3189">
      <c r="A3189" s="5"/>
      <c r="B3189" s="5"/>
      <c r="C3189" s="5"/>
      <c r="D3189" s="5"/>
    </row>
  </sheetData>
  <drawing r:id="rId1"/>
</worksheet>
</file>