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I:\2025_중진공 기후공시 ESG 지원사업\(주)삼화당피앤티\2단계 연계 컨설팅_(주)삼화당피앤티\"/>
    </mc:Choice>
  </mc:AlternateContent>
  <bookViews>
    <workbookView xWindow="-105" yWindow="-105" windowWidth="19080" windowHeight="11400" tabRatio="872" activeTab="2"/>
  </bookViews>
  <sheets>
    <sheet name="표지" sheetId="1" r:id="rId1"/>
    <sheet name="1. 작성요령 및 유의사항" sheetId="21" r:id="rId2"/>
    <sheet name="2. 사업장 일반현황" sheetId="22" r:id="rId3"/>
    <sheet name="3. 기준연도 활동자료 입력" sheetId="27" r:id="rId4"/>
    <sheet name="4. 기준연도 배출량 산정" sheetId="11" r:id="rId5"/>
    <sheet name="5. 배출량 총괄" sheetId="25" r:id="rId6"/>
    <sheet name="6. 에너지절감효과 산정" sheetId="33" r:id="rId7"/>
    <sheet name="참고) 스팀_프로판 단위 변환" sheetId="29" r:id="rId8"/>
    <sheet name="Reference" sheetId="28" r:id="rId9"/>
  </sheets>
  <definedNames>
    <definedName name="_xlnm.Print_Area" localSheetId="0">표지!$B$2:$O$32</definedName>
    <definedName name="UNI_AA_VERSION" hidden="1">"150.2.0"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고상" comment="고상폐기물 목록">Reference!#REF!</definedName>
    <definedName name="고상사업장폐기물" comment="사업장폐기물 중 고상">Reference!#REF!</definedName>
    <definedName name="고상생활폐기물" comment="생활폐기물 중 고상">Reference!#REF!</definedName>
    <definedName name="고상하수슬러지">Reference!#REF!</definedName>
    <definedName name="공정상_탄산염_사용량">Reference!#REF!</definedName>
    <definedName name="기상" comment="기상 폐기물 2가지">Reference!#REF!</definedName>
    <definedName name="납_생산량">Reference!#REF!</definedName>
    <definedName name="석회_생산량">Reference!#REF!</definedName>
    <definedName name="소다회_생산량">Reference!#REF!</definedName>
    <definedName name="아연_생산량">Reference!#REF!</definedName>
    <definedName name="액상액상폐기물" comment="액상 폐기물">Reference!#REF!</definedName>
    <definedName name="유리_생산량">Reference!#REF!</definedName>
    <definedName name="카바이드_생산량">Reference!#REF!</definedName>
    <definedName name="합금철_생산량">Reference!#REF!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6" i="33" l="1"/>
  <c r="K35" i="33"/>
  <c r="K34" i="33"/>
  <c r="K33" i="33"/>
  <c r="K32" i="33"/>
  <c r="K31" i="33"/>
  <c r="K30" i="33"/>
  <c r="J36" i="33"/>
  <c r="L36" i="33" s="1"/>
  <c r="J35" i="33"/>
  <c r="L35" i="33" s="1"/>
  <c r="J34" i="33"/>
  <c r="L34" i="33" s="1"/>
  <c r="J33" i="33"/>
  <c r="L33" i="33" s="1"/>
  <c r="J32" i="33"/>
  <c r="L32" i="33" s="1"/>
  <c r="J31" i="33"/>
  <c r="L31" i="33" s="1"/>
  <c r="J30" i="33"/>
  <c r="L30" i="33" s="1"/>
  <c r="F48" i="28"/>
  <c r="E48" i="28"/>
  <c r="D48" i="28"/>
  <c r="H6" i="28" l="1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8" i="28"/>
  <c r="H29" i="28"/>
  <c r="H30" i="28"/>
  <c r="H5" i="28"/>
  <c r="E108" i="11" l="1"/>
  <c r="E106" i="11"/>
  <c r="E104" i="11"/>
  <c r="E102" i="11"/>
  <c r="E100" i="11"/>
  <c r="E98" i="11"/>
  <c r="E96" i="11"/>
  <c r="E94" i="11"/>
  <c r="E92" i="11"/>
  <c r="E90" i="11"/>
  <c r="E88" i="11"/>
  <c r="E86" i="11" l="1"/>
  <c r="D108" i="11"/>
  <c r="D106" i="11"/>
  <c r="D104" i="11"/>
  <c r="D102" i="11"/>
  <c r="D100" i="11"/>
  <c r="D98" i="11"/>
  <c r="D96" i="11"/>
  <c r="D94" i="11"/>
  <c r="D92" i="11"/>
  <c r="D90" i="11"/>
  <c r="D88" i="11"/>
  <c r="D86" i="11"/>
  <c r="G2" i="27" l="1"/>
  <c r="O32" i="33" l="1"/>
  <c r="P32" i="33"/>
  <c r="O33" i="33"/>
  <c r="P33" i="33"/>
  <c r="O34" i="33"/>
  <c r="P34" i="33"/>
  <c r="O35" i="33"/>
  <c r="P35" i="33"/>
  <c r="O36" i="33"/>
  <c r="P36" i="33"/>
  <c r="P31" i="33"/>
  <c r="O31" i="33"/>
  <c r="P30" i="33"/>
  <c r="O30" i="33"/>
  <c r="F30" i="33" l="1"/>
  <c r="K29" i="33"/>
  <c r="J29" i="33"/>
  <c r="L29" i="33" s="1"/>
  <c r="O29" i="33" l="1"/>
  <c r="P29" i="33"/>
  <c r="F32" i="33"/>
  <c r="F33" i="33"/>
  <c r="F34" i="33"/>
  <c r="F35" i="33"/>
  <c r="F36" i="33"/>
  <c r="F31" i="33"/>
  <c r="C12" i="25" l="1"/>
  <c r="C13" i="25"/>
  <c r="D13" i="25" s="1"/>
  <c r="C14" i="25"/>
  <c r="D14" i="25" s="1"/>
  <c r="C15" i="25"/>
  <c r="D15" i="25" s="1"/>
  <c r="C16" i="25"/>
  <c r="C17" i="25"/>
  <c r="D17" i="25" s="1"/>
  <c r="C18" i="25"/>
  <c r="D18" i="25" s="1"/>
  <c r="C19" i="25"/>
  <c r="D19" i="25" s="1"/>
  <c r="C20" i="25"/>
  <c r="D20" i="25" s="1"/>
  <c r="C21" i="25"/>
  <c r="D21" i="25" s="1"/>
  <c r="C22" i="25"/>
  <c r="D22" i="25" s="1"/>
  <c r="H13" i="33"/>
  <c r="F14" i="33"/>
  <c r="F13" i="33"/>
  <c r="F12" i="33"/>
  <c r="F11" i="33"/>
  <c r="F10" i="33"/>
  <c r="J8" i="33"/>
  <c r="F9" i="33"/>
  <c r="F8" i="33"/>
  <c r="C11" i="25"/>
  <c r="D11" i="25" s="1"/>
  <c r="D69" i="25"/>
  <c r="D68" i="25"/>
  <c r="D67" i="25"/>
  <c r="D66" i="25"/>
  <c r="D64" i="25"/>
  <c r="D63" i="25"/>
  <c r="D62" i="25"/>
  <c r="D61" i="25"/>
  <c r="B13" i="25" l="1"/>
  <c r="B14" i="25"/>
  <c r="B12" i="25"/>
  <c r="B11" i="25"/>
  <c r="B15" i="25"/>
  <c r="B16" i="25"/>
  <c r="B17" i="25"/>
  <c r="B18" i="25"/>
  <c r="B19" i="25"/>
  <c r="B20" i="25"/>
  <c r="B21" i="25"/>
  <c r="B22" i="25"/>
  <c r="D16" i="25"/>
  <c r="D12" i="25"/>
  <c r="D59" i="25"/>
  <c r="D58" i="25"/>
  <c r="D57" i="25"/>
  <c r="D56" i="25"/>
  <c r="M36" i="33" l="1"/>
  <c r="M35" i="33"/>
  <c r="M34" i="33"/>
  <c r="N34" i="33"/>
  <c r="M33" i="33"/>
  <c r="M32" i="33"/>
  <c r="M31" i="33"/>
  <c r="M30" i="33"/>
  <c r="M29" i="33"/>
  <c r="Q31" i="33" l="1"/>
  <c r="Q33" i="33"/>
  <c r="L21" i="33"/>
  <c r="P21" i="33"/>
  <c r="O21" i="33"/>
  <c r="N33" i="33"/>
  <c r="K21" i="33"/>
  <c r="G21" i="33" s="1"/>
  <c r="N35" i="33"/>
  <c r="N30" i="33"/>
  <c r="Q30" i="33"/>
  <c r="N32" i="33"/>
  <c r="Q35" i="33"/>
  <c r="I21" i="33"/>
  <c r="N31" i="33"/>
  <c r="Q32" i="33"/>
  <c r="Q34" i="33"/>
  <c r="N36" i="33"/>
  <c r="Q36" i="33"/>
  <c r="H21" i="33"/>
  <c r="Q29" i="33"/>
  <c r="N29" i="33" l="1"/>
  <c r="J21" i="33"/>
  <c r="Q21" i="33"/>
  <c r="N21" i="33"/>
  <c r="I13" i="11" l="1"/>
  <c r="J13" i="11"/>
  <c r="K13" i="11"/>
  <c r="L13" i="11"/>
  <c r="M13" i="11"/>
  <c r="N13" i="11"/>
  <c r="O13" i="11"/>
  <c r="P13" i="11"/>
  <c r="Q13" i="11"/>
  <c r="R13" i="11"/>
  <c r="S13" i="11"/>
  <c r="I14" i="11"/>
  <c r="J14" i="11"/>
  <c r="K14" i="11"/>
  <c r="L14" i="11"/>
  <c r="M14" i="11"/>
  <c r="N14" i="11"/>
  <c r="O14" i="11"/>
  <c r="P14" i="11"/>
  <c r="Q14" i="11"/>
  <c r="R14" i="11"/>
  <c r="S14" i="11"/>
  <c r="I15" i="11"/>
  <c r="J15" i="11"/>
  <c r="K15" i="11"/>
  <c r="L15" i="11"/>
  <c r="M15" i="11"/>
  <c r="N15" i="11"/>
  <c r="O15" i="11"/>
  <c r="P15" i="11"/>
  <c r="Q15" i="11"/>
  <c r="R15" i="11"/>
  <c r="S15" i="11"/>
  <c r="I16" i="11"/>
  <c r="J16" i="11"/>
  <c r="K16" i="11"/>
  <c r="L16" i="11"/>
  <c r="M16" i="11"/>
  <c r="N16" i="11"/>
  <c r="O16" i="11"/>
  <c r="P16" i="11"/>
  <c r="Q16" i="11"/>
  <c r="R16" i="11"/>
  <c r="S16" i="11"/>
  <c r="I17" i="11"/>
  <c r="J17" i="11"/>
  <c r="K17" i="11"/>
  <c r="L17" i="11"/>
  <c r="M17" i="11"/>
  <c r="N17" i="11"/>
  <c r="O17" i="11"/>
  <c r="P17" i="11"/>
  <c r="Q17" i="11"/>
  <c r="R17" i="11"/>
  <c r="S17" i="11"/>
  <c r="I18" i="11"/>
  <c r="J18" i="11"/>
  <c r="K18" i="11"/>
  <c r="L18" i="11"/>
  <c r="M18" i="11"/>
  <c r="N18" i="11"/>
  <c r="O18" i="11"/>
  <c r="P18" i="11"/>
  <c r="Q18" i="11"/>
  <c r="R18" i="11"/>
  <c r="S18" i="11"/>
  <c r="I19" i="11"/>
  <c r="J19" i="11"/>
  <c r="K19" i="11"/>
  <c r="L19" i="11"/>
  <c r="M19" i="11"/>
  <c r="N19" i="11"/>
  <c r="O19" i="11"/>
  <c r="P19" i="11"/>
  <c r="Q19" i="11"/>
  <c r="R19" i="11"/>
  <c r="S19" i="11"/>
  <c r="I20" i="11"/>
  <c r="J20" i="11"/>
  <c r="K20" i="11"/>
  <c r="L20" i="11"/>
  <c r="M20" i="11"/>
  <c r="N20" i="11"/>
  <c r="O20" i="11"/>
  <c r="P20" i="11"/>
  <c r="Q20" i="11"/>
  <c r="R20" i="11"/>
  <c r="S20" i="11"/>
  <c r="I21" i="11"/>
  <c r="J21" i="11"/>
  <c r="K21" i="11"/>
  <c r="L21" i="11"/>
  <c r="M21" i="11"/>
  <c r="N21" i="11"/>
  <c r="O21" i="11"/>
  <c r="P21" i="11"/>
  <c r="Q21" i="11"/>
  <c r="R21" i="11"/>
  <c r="S21" i="11"/>
  <c r="I22" i="11"/>
  <c r="J22" i="11"/>
  <c r="K22" i="11"/>
  <c r="L22" i="11"/>
  <c r="M22" i="11"/>
  <c r="N22" i="11"/>
  <c r="O22" i="11"/>
  <c r="P22" i="11"/>
  <c r="Q22" i="11"/>
  <c r="R22" i="11"/>
  <c r="S22" i="11"/>
  <c r="I23" i="11"/>
  <c r="I107" i="11" s="1"/>
  <c r="J23" i="11"/>
  <c r="J107" i="11" s="1"/>
  <c r="K23" i="11"/>
  <c r="K107" i="11" s="1"/>
  <c r="L23" i="11"/>
  <c r="L107" i="11" s="1"/>
  <c r="M23" i="11"/>
  <c r="M107" i="11" s="1"/>
  <c r="N23" i="11"/>
  <c r="N107" i="11" s="1"/>
  <c r="O23" i="11"/>
  <c r="O107" i="11" s="1"/>
  <c r="P23" i="11"/>
  <c r="P107" i="11" s="1"/>
  <c r="Q23" i="11"/>
  <c r="Q107" i="11" s="1"/>
  <c r="R23" i="11"/>
  <c r="R107" i="11" s="1"/>
  <c r="S23" i="11"/>
  <c r="S107" i="11" s="1"/>
  <c r="I24" i="11"/>
  <c r="I109" i="11" s="1"/>
  <c r="J24" i="11"/>
  <c r="J109" i="11" s="1"/>
  <c r="K24" i="11"/>
  <c r="K109" i="11" s="1"/>
  <c r="L24" i="11"/>
  <c r="L109" i="11" s="1"/>
  <c r="M24" i="11"/>
  <c r="M109" i="11" s="1"/>
  <c r="N24" i="11"/>
  <c r="N109" i="11" s="1"/>
  <c r="O24" i="11"/>
  <c r="O109" i="11" s="1"/>
  <c r="P24" i="11"/>
  <c r="P109" i="11" s="1"/>
  <c r="Q24" i="11"/>
  <c r="Q109" i="11" s="1"/>
  <c r="R24" i="11"/>
  <c r="R109" i="11" s="1"/>
  <c r="S24" i="11"/>
  <c r="S109" i="11" s="1"/>
  <c r="H14" i="11"/>
  <c r="H15" i="11"/>
  <c r="H16" i="11"/>
  <c r="H17" i="11"/>
  <c r="H18" i="11"/>
  <c r="H19" i="11"/>
  <c r="H20" i="11"/>
  <c r="H21" i="11"/>
  <c r="H22" i="11"/>
  <c r="H23" i="11"/>
  <c r="H107" i="11" s="1"/>
  <c r="H24" i="11"/>
  <c r="H109" i="11" s="1"/>
  <c r="H13" i="11"/>
  <c r="D14" i="11"/>
  <c r="D35" i="11" s="1"/>
  <c r="E14" i="11"/>
  <c r="D15" i="11"/>
  <c r="D39" i="11" s="1"/>
  <c r="E15" i="11"/>
  <c r="D16" i="11"/>
  <c r="D43" i="11" s="1"/>
  <c r="E16" i="11"/>
  <c r="D17" i="11"/>
  <c r="D47" i="11" s="1"/>
  <c r="E17" i="11"/>
  <c r="D18" i="11"/>
  <c r="D51" i="11" s="1"/>
  <c r="E18" i="11"/>
  <c r="D19" i="11"/>
  <c r="D55" i="11" s="1"/>
  <c r="E19" i="11"/>
  <c r="D20" i="11"/>
  <c r="D59" i="11" s="1"/>
  <c r="E20" i="11"/>
  <c r="D21" i="11"/>
  <c r="D63" i="11" s="1"/>
  <c r="E21" i="11"/>
  <c r="D22" i="11"/>
  <c r="D67" i="11" s="1"/>
  <c r="E22" i="11"/>
  <c r="D23" i="11"/>
  <c r="D71" i="11" s="1"/>
  <c r="E23" i="11"/>
  <c r="D24" i="11"/>
  <c r="D75" i="11" s="1"/>
  <c r="E24" i="11"/>
  <c r="E13" i="11"/>
  <c r="E31" i="11" s="1"/>
  <c r="D13" i="11"/>
  <c r="D31" i="11" s="1"/>
  <c r="E8" i="29"/>
  <c r="D9" i="29"/>
  <c r="D8" i="29"/>
  <c r="H100" i="11" l="1"/>
  <c r="H96" i="11"/>
  <c r="H94" i="11"/>
  <c r="H92" i="11"/>
  <c r="H88" i="11"/>
  <c r="P105" i="11"/>
  <c r="P104" i="11"/>
  <c r="S108" i="11"/>
  <c r="Q105" i="11"/>
  <c r="Q104" i="11"/>
  <c r="O101" i="11"/>
  <c r="O100" i="11"/>
  <c r="K93" i="11"/>
  <c r="K92" i="11"/>
  <c r="I89" i="11"/>
  <c r="I88" i="11"/>
  <c r="Q108" i="11"/>
  <c r="O105" i="11"/>
  <c r="O104" i="11"/>
  <c r="M101" i="11"/>
  <c r="M100" i="11"/>
  <c r="I93" i="11"/>
  <c r="I92" i="11"/>
  <c r="S89" i="11"/>
  <c r="S88" i="11"/>
  <c r="N100" i="11"/>
  <c r="N101" i="11"/>
  <c r="P108" i="11"/>
  <c r="N105" i="11"/>
  <c r="N104" i="11"/>
  <c r="L100" i="11"/>
  <c r="L101" i="11"/>
  <c r="R89" i="11"/>
  <c r="R88" i="11"/>
  <c r="H108" i="11"/>
  <c r="H104" i="11"/>
  <c r="H105" i="11"/>
  <c r="O108" i="11"/>
  <c r="M104" i="11"/>
  <c r="M105" i="11"/>
  <c r="K101" i="11"/>
  <c r="K100" i="11"/>
  <c r="S93" i="11"/>
  <c r="S92" i="11"/>
  <c r="Q89" i="11"/>
  <c r="Q88" i="11"/>
  <c r="N108" i="11"/>
  <c r="L105" i="11"/>
  <c r="L104" i="11"/>
  <c r="J101" i="11"/>
  <c r="J100" i="11"/>
  <c r="R93" i="11"/>
  <c r="R92" i="11"/>
  <c r="P89" i="11"/>
  <c r="P88" i="11"/>
  <c r="R108" i="11"/>
  <c r="M108" i="11"/>
  <c r="K104" i="11"/>
  <c r="K105" i="11"/>
  <c r="I101" i="11"/>
  <c r="I100" i="11"/>
  <c r="Q93" i="11"/>
  <c r="Q92" i="11"/>
  <c r="O89" i="11"/>
  <c r="O88" i="11"/>
  <c r="L108" i="11"/>
  <c r="J105" i="11"/>
  <c r="J104" i="11"/>
  <c r="P93" i="11"/>
  <c r="P92" i="11"/>
  <c r="N89" i="11"/>
  <c r="N88" i="11"/>
  <c r="J92" i="11"/>
  <c r="J93" i="11"/>
  <c r="K108" i="11"/>
  <c r="I105" i="11"/>
  <c r="I104" i="11"/>
  <c r="S101" i="11"/>
  <c r="S100" i="11"/>
  <c r="O93" i="11"/>
  <c r="O92" i="11"/>
  <c r="M89" i="11"/>
  <c r="M88" i="11"/>
  <c r="R101" i="11"/>
  <c r="R100" i="11"/>
  <c r="N93" i="11"/>
  <c r="N92" i="11"/>
  <c r="L89" i="11"/>
  <c r="L88" i="11"/>
  <c r="J108" i="11"/>
  <c r="I108" i="11"/>
  <c r="S105" i="11"/>
  <c r="S104" i="11"/>
  <c r="Q101" i="11"/>
  <c r="Q100" i="11"/>
  <c r="M93" i="11"/>
  <c r="M92" i="11"/>
  <c r="K89" i="11"/>
  <c r="K88" i="11"/>
  <c r="R105" i="11"/>
  <c r="R104" i="11"/>
  <c r="P101" i="11"/>
  <c r="P100" i="11"/>
  <c r="L92" i="11"/>
  <c r="L93" i="11"/>
  <c r="J88" i="11"/>
  <c r="J89" i="11"/>
  <c r="H86" i="11"/>
  <c r="S87" i="11"/>
  <c r="S86" i="11"/>
  <c r="R87" i="11"/>
  <c r="R86" i="11"/>
  <c r="Q86" i="11"/>
  <c r="Q87" i="11"/>
  <c r="P87" i="11"/>
  <c r="P86" i="11"/>
  <c r="O87" i="11"/>
  <c r="O86" i="11"/>
  <c r="N87" i="11"/>
  <c r="N86" i="11"/>
  <c r="M87" i="11"/>
  <c r="M86" i="11"/>
  <c r="L87" i="11"/>
  <c r="L86" i="11"/>
  <c r="K87" i="11"/>
  <c r="K86" i="11"/>
  <c r="J87" i="11"/>
  <c r="J86" i="11"/>
  <c r="I87" i="11"/>
  <c r="I86" i="11"/>
  <c r="H98" i="11"/>
  <c r="N99" i="11"/>
  <c r="N98" i="11"/>
  <c r="M97" i="11"/>
  <c r="M96" i="11"/>
  <c r="L94" i="11"/>
  <c r="L95" i="11"/>
  <c r="L97" i="11"/>
  <c r="L96" i="11"/>
  <c r="L99" i="11"/>
  <c r="L98" i="11"/>
  <c r="K97" i="11"/>
  <c r="K96" i="11"/>
  <c r="J95" i="11"/>
  <c r="J94" i="11"/>
  <c r="M99" i="11"/>
  <c r="M98" i="11"/>
  <c r="K99" i="11"/>
  <c r="K98" i="11"/>
  <c r="J97" i="11"/>
  <c r="J96" i="11"/>
  <c r="I95" i="11"/>
  <c r="I94" i="11"/>
  <c r="J99" i="11"/>
  <c r="J98" i="11"/>
  <c r="I97" i="11"/>
  <c r="I96" i="11"/>
  <c r="K95" i="11"/>
  <c r="K94" i="11"/>
  <c r="I99" i="11"/>
  <c r="I98" i="11"/>
  <c r="S95" i="11"/>
  <c r="S94" i="11"/>
  <c r="S97" i="11"/>
  <c r="S96" i="11"/>
  <c r="R95" i="11"/>
  <c r="R94" i="11"/>
  <c r="S99" i="11"/>
  <c r="S98" i="11"/>
  <c r="R97" i="11"/>
  <c r="R96" i="11"/>
  <c r="Q95" i="11"/>
  <c r="Q94" i="11"/>
  <c r="R98" i="11"/>
  <c r="R99" i="11"/>
  <c r="Q97" i="11"/>
  <c r="Q96" i="11"/>
  <c r="P95" i="11"/>
  <c r="P94" i="11"/>
  <c r="Q99" i="11"/>
  <c r="Q98" i="11"/>
  <c r="P96" i="11"/>
  <c r="P97" i="11"/>
  <c r="O95" i="11"/>
  <c r="O94" i="11"/>
  <c r="P99" i="11"/>
  <c r="P98" i="11"/>
  <c r="O97" i="11"/>
  <c r="O96" i="11"/>
  <c r="N94" i="11"/>
  <c r="N95" i="11"/>
  <c r="O99" i="11"/>
  <c r="O98" i="11"/>
  <c r="N96" i="11"/>
  <c r="N97" i="11"/>
  <c r="M95" i="11"/>
  <c r="M94" i="11"/>
  <c r="P103" i="11"/>
  <c r="P102" i="11"/>
  <c r="M102" i="11"/>
  <c r="M103" i="11"/>
  <c r="L103" i="11"/>
  <c r="L102" i="11"/>
  <c r="K103" i="11"/>
  <c r="K102" i="11"/>
  <c r="N103" i="11"/>
  <c r="N102" i="11"/>
  <c r="J103" i="11"/>
  <c r="J102" i="11"/>
  <c r="O102" i="11"/>
  <c r="O103" i="11"/>
  <c r="I103" i="11"/>
  <c r="I102" i="11"/>
  <c r="H102" i="11"/>
  <c r="H103" i="11"/>
  <c r="S103" i="11"/>
  <c r="S102" i="11"/>
  <c r="R103" i="11"/>
  <c r="R102" i="11"/>
  <c r="Q103" i="11"/>
  <c r="Q102" i="11"/>
  <c r="L90" i="11"/>
  <c r="M90" i="11"/>
  <c r="N91" i="11"/>
  <c r="N90" i="11"/>
  <c r="O90" i="11"/>
  <c r="P90" i="11"/>
  <c r="Q91" i="11"/>
  <c r="Q90" i="11"/>
  <c r="R91" i="11"/>
  <c r="R90" i="11"/>
  <c r="S91" i="11"/>
  <c r="S90" i="11"/>
  <c r="I91" i="11"/>
  <c r="I90" i="11"/>
  <c r="J91" i="11"/>
  <c r="O91" i="11"/>
  <c r="J90" i="11"/>
  <c r="K91" i="11"/>
  <c r="L91" i="11"/>
  <c r="M91" i="11"/>
  <c r="H90" i="11"/>
  <c r="K90" i="11"/>
  <c r="P91" i="11"/>
  <c r="E55" i="11"/>
  <c r="H99" i="11"/>
  <c r="E51" i="11"/>
  <c r="H97" i="11"/>
  <c r="E47" i="11"/>
  <c r="H95" i="11"/>
  <c r="E67" i="11"/>
  <c r="E43" i="11"/>
  <c r="H93" i="11"/>
  <c r="E39" i="11"/>
  <c r="N41" i="11" s="1"/>
  <c r="H91" i="11"/>
  <c r="E75" i="11"/>
  <c r="R77" i="11" s="1"/>
  <c r="E63" i="11"/>
  <c r="E59" i="11"/>
  <c r="H101" i="11"/>
  <c r="E35" i="11"/>
  <c r="H89" i="11"/>
  <c r="E71" i="11"/>
  <c r="R71" i="11" s="1"/>
  <c r="H87" i="11"/>
  <c r="L47" i="11"/>
  <c r="L49" i="11"/>
  <c r="L48" i="11"/>
  <c r="R75" i="11"/>
  <c r="R76" i="11"/>
  <c r="K47" i="11"/>
  <c r="K49" i="11"/>
  <c r="K48" i="11"/>
  <c r="Q75" i="11"/>
  <c r="Q77" i="11"/>
  <c r="Q76" i="11"/>
  <c r="L55" i="11"/>
  <c r="L56" i="11"/>
  <c r="L57" i="11"/>
  <c r="I43" i="11"/>
  <c r="I45" i="11"/>
  <c r="I44" i="11"/>
  <c r="N67" i="11"/>
  <c r="N68" i="11"/>
  <c r="N69" i="11"/>
  <c r="M63" i="11"/>
  <c r="M65" i="11"/>
  <c r="M64" i="11"/>
  <c r="L59" i="11"/>
  <c r="L60" i="11"/>
  <c r="L61" i="11"/>
  <c r="K55" i="11"/>
  <c r="K57" i="11"/>
  <c r="K56" i="11"/>
  <c r="J51" i="11"/>
  <c r="J53" i="11"/>
  <c r="J52" i="11"/>
  <c r="I47" i="11"/>
  <c r="I49" i="11"/>
  <c r="I48" i="11"/>
  <c r="R35" i="11"/>
  <c r="R37" i="11"/>
  <c r="R36" i="11"/>
  <c r="Q31" i="11"/>
  <c r="Q33" i="11"/>
  <c r="Q32" i="11"/>
  <c r="H63" i="11"/>
  <c r="H65" i="11"/>
  <c r="H64" i="11"/>
  <c r="O75" i="11"/>
  <c r="O77" i="11"/>
  <c r="O76" i="11"/>
  <c r="M67" i="11"/>
  <c r="M69" i="11"/>
  <c r="M68" i="11"/>
  <c r="L63" i="11"/>
  <c r="L65" i="11"/>
  <c r="L64" i="11"/>
  <c r="K59" i="11"/>
  <c r="K60" i="11"/>
  <c r="K61" i="11"/>
  <c r="J55" i="11"/>
  <c r="J56" i="11"/>
  <c r="J57" i="11"/>
  <c r="I51" i="11"/>
  <c r="I53" i="11"/>
  <c r="I52" i="11"/>
  <c r="S43" i="11"/>
  <c r="S44" i="11"/>
  <c r="S45" i="11"/>
  <c r="Q35" i="11"/>
  <c r="Q36" i="11"/>
  <c r="Q37" i="11"/>
  <c r="P31" i="11"/>
  <c r="P33" i="11"/>
  <c r="P32" i="11"/>
  <c r="H31" i="11"/>
  <c r="H33" i="11"/>
  <c r="H32" i="11"/>
  <c r="N55" i="11"/>
  <c r="N57" i="11"/>
  <c r="N56" i="11"/>
  <c r="H75" i="11"/>
  <c r="H76" i="11"/>
  <c r="H77" i="11"/>
  <c r="S31" i="11"/>
  <c r="S33" i="11"/>
  <c r="S32" i="11"/>
  <c r="N75" i="11"/>
  <c r="N76" i="11"/>
  <c r="N77" i="11"/>
  <c r="L67" i="11"/>
  <c r="L69" i="11"/>
  <c r="L68" i="11"/>
  <c r="P35" i="11"/>
  <c r="P37" i="11"/>
  <c r="P36" i="11"/>
  <c r="N31" i="11"/>
  <c r="N32" i="11"/>
  <c r="N33" i="11"/>
  <c r="H51" i="11"/>
  <c r="H52" i="11"/>
  <c r="H53" i="11"/>
  <c r="L75" i="11"/>
  <c r="L76" i="11"/>
  <c r="L77" i="11"/>
  <c r="J67" i="11"/>
  <c r="J68" i="11"/>
  <c r="J69" i="11"/>
  <c r="I63" i="11"/>
  <c r="I65" i="11"/>
  <c r="I64" i="11"/>
  <c r="S55" i="11"/>
  <c r="S57" i="11"/>
  <c r="S56" i="11"/>
  <c r="R51" i="11"/>
  <c r="R52" i="11"/>
  <c r="R53" i="11"/>
  <c r="Q47" i="11"/>
  <c r="Q49" i="11"/>
  <c r="Q48" i="11"/>
  <c r="P43" i="11"/>
  <c r="P45" i="11"/>
  <c r="P44" i="11"/>
  <c r="N35" i="11"/>
  <c r="N37" i="11"/>
  <c r="N36" i="11"/>
  <c r="M31" i="11"/>
  <c r="M33" i="11"/>
  <c r="M32" i="11"/>
  <c r="S75" i="11"/>
  <c r="S77" i="11"/>
  <c r="S76" i="11"/>
  <c r="M51" i="11"/>
  <c r="M53" i="11"/>
  <c r="M52" i="11"/>
  <c r="M55" i="11"/>
  <c r="M57" i="11"/>
  <c r="M56" i="11"/>
  <c r="O67" i="11"/>
  <c r="O69" i="11"/>
  <c r="O68" i="11"/>
  <c r="R33" i="11"/>
  <c r="R32" i="11"/>
  <c r="R31" i="11"/>
  <c r="J59" i="11"/>
  <c r="J60" i="11"/>
  <c r="J61" i="11"/>
  <c r="O31" i="11"/>
  <c r="O33" i="11"/>
  <c r="O32" i="11"/>
  <c r="I59" i="11"/>
  <c r="I61" i="11"/>
  <c r="I60" i="11"/>
  <c r="H47" i="11"/>
  <c r="H48" i="11"/>
  <c r="H49" i="11"/>
  <c r="K75" i="11"/>
  <c r="K77" i="11"/>
  <c r="K76" i="11"/>
  <c r="I67" i="11"/>
  <c r="I69" i="11"/>
  <c r="I68" i="11"/>
  <c r="S59" i="11"/>
  <c r="S61" i="11"/>
  <c r="S60" i="11"/>
  <c r="R55" i="11"/>
  <c r="R56" i="11"/>
  <c r="R57" i="11"/>
  <c r="Q51" i="11"/>
  <c r="Q53" i="11"/>
  <c r="Q52" i="11"/>
  <c r="P47" i="11"/>
  <c r="P49" i="11"/>
  <c r="P48" i="11"/>
  <c r="O43" i="11"/>
  <c r="O45" i="11"/>
  <c r="O44" i="11"/>
  <c r="M35" i="11"/>
  <c r="M37" i="11"/>
  <c r="M36" i="11"/>
  <c r="L31" i="11"/>
  <c r="L33" i="11"/>
  <c r="L32" i="11"/>
  <c r="Q67" i="11"/>
  <c r="Q69" i="11"/>
  <c r="Q68" i="11"/>
  <c r="K43" i="11"/>
  <c r="K45" i="11"/>
  <c r="K44" i="11"/>
  <c r="P67" i="11"/>
  <c r="P68" i="11"/>
  <c r="P69" i="11"/>
  <c r="J43" i="11"/>
  <c r="J45" i="11"/>
  <c r="J44" i="11"/>
  <c r="K51" i="11"/>
  <c r="K52" i="11"/>
  <c r="K53" i="11"/>
  <c r="H67" i="11"/>
  <c r="H68" i="11"/>
  <c r="H69" i="11"/>
  <c r="S47" i="11"/>
  <c r="S48" i="11"/>
  <c r="S49" i="11"/>
  <c r="K67" i="11"/>
  <c r="K69" i="11"/>
  <c r="K68" i="11"/>
  <c r="Q43" i="11"/>
  <c r="Q44" i="11"/>
  <c r="Q45" i="11"/>
  <c r="H43" i="11"/>
  <c r="H44" i="11"/>
  <c r="H45" i="11"/>
  <c r="J75" i="11"/>
  <c r="J76" i="11"/>
  <c r="J77" i="11"/>
  <c r="S63" i="11"/>
  <c r="S64" i="11"/>
  <c r="S65" i="11"/>
  <c r="R59" i="11"/>
  <c r="R61" i="11"/>
  <c r="R60" i="11"/>
  <c r="Q55" i="11"/>
  <c r="Q57" i="11"/>
  <c r="Q56" i="11"/>
  <c r="P51" i="11"/>
  <c r="P53" i="11"/>
  <c r="P52" i="11"/>
  <c r="O47" i="11"/>
  <c r="O49" i="11"/>
  <c r="O48" i="11"/>
  <c r="N43" i="11"/>
  <c r="N45" i="11"/>
  <c r="N44" i="11"/>
  <c r="M40" i="11"/>
  <c r="L35" i="11"/>
  <c r="L37" i="11"/>
  <c r="L36" i="11"/>
  <c r="K31" i="11"/>
  <c r="K33" i="11"/>
  <c r="K32" i="11"/>
  <c r="O59" i="11"/>
  <c r="O61" i="11"/>
  <c r="O60" i="11"/>
  <c r="J40" i="11"/>
  <c r="O63" i="11"/>
  <c r="O65" i="11"/>
  <c r="O64" i="11"/>
  <c r="L51" i="11"/>
  <c r="L52" i="11"/>
  <c r="L53" i="11"/>
  <c r="H73" i="11"/>
  <c r="M59" i="11"/>
  <c r="M61" i="11"/>
  <c r="M60" i="11"/>
  <c r="S35" i="11"/>
  <c r="S36" i="11"/>
  <c r="S37" i="11"/>
  <c r="H59" i="11"/>
  <c r="H61" i="11"/>
  <c r="H60" i="11"/>
  <c r="I55" i="11"/>
  <c r="I57" i="11"/>
  <c r="I56" i="11"/>
  <c r="R43" i="11"/>
  <c r="R45" i="11"/>
  <c r="R44" i="11"/>
  <c r="H55" i="11"/>
  <c r="H57" i="11"/>
  <c r="H56" i="11"/>
  <c r="J63" i="11"/>
  <c r="J65" i="11"/>
  <c r="J64" i="11"/>
  <c r="R47" i="11"/>
  <c r="R48" i="11"/>
  <c r="R49" i="11"/>
  <c r="H41" i="11"/>
  <c r="I75" i="11"/>
  <c r="I77" i="11"/>
  <c r="I76" i="11"/>
  <c r="S67" i="11"/>
  <c r="S69" i="11"/>
  <c r="S68" i="11"/>
  <c r="R63" i="11"/>
  <c r="R64" i="11"/>
  <c r="R65" i="11"/>
  <c r="Q59" i="11"/>
  <c r="Q61" i="11"/>
  <c r="Q60" i="11"/>
  <c r="P55" i="11"/>
  <c r="P56" i="11"/>
  <c r="P57" i="11"/>
  <c r="O51" i="11"/>
  <c r="O53" i="11"/>
  <c r="O52" i="11"/>
  <c r="N47" i="11"/>
  <c r="N48" i="11"/>
  <c r="N49" i="11"/>
  <c r="M43" i="11"/>
  <c r="M45" i="11"/>
  <c r="M44" i="11"/>
  <c r="K35" i="11"/>
  <c r="K37" i="11"/>
  <c r="K36" i="11"/>
  <c r="J31" i="11"/>
  <c r="J33" i="11"/>
  <c r="J32" i="11"/>
  <c r="P63" i="11"/>
  <c r="P64" i="11"/>
  <c r="P65" i="11"/>
  <c r="I35" i="11"/>
  <c r="I37" i="11"/>
  <c r="I36" i="11"/>
  <c r="N59" i="11"/>
  <c r="N60" i="11"/>
  <c r="N61" i="11"/>
  <c r="N63" i="11"/>
  <c r="N65" i="11"/>
  <c r="N64" i="11"/>
  <c r="J47" i="11"/>
  <c r="J49" i="11"/>
  <c r="J48" i="11"/>
  <c r="P75" i="11"/>
  <c r="P77" i="11"/>
  <c r="P76" i="11"/>
  <c r="K63" i="11"/>
  <c r="K65" i="11"/>
  <c r="K64" i="11"/>
  <c r="Q41" i="11"/>
  <c r="M75" i="11"/>
  <c r="M77" i="11"/>
  <c r="M76" i="11"/>
  <c r="S51" i="11"/>
  <c r="S53" i="11"/>
  <c r="S52" i="11"/>
  <c r="O35" i="11"/>
  <c r="O37" i="11"/>
  <c r="O36" i="11"/>
  <c r="H35" i="11"/>
  <c r="H37" i="11"/>
  <c r="H36" i="11"/>
  <c r="R67" i="11"/>
  <c r="R69" i="11"/>
  <c r="R68" i="11"/>
  <c r="Q63" i="11"/>
  <c r="Q64" i="11"/>
  <c r="Q65" i="11"/>
  <c r="P59" i="11"/>
  <c r="P60" i="11"/>
  <c r="P61" i="11"/>
  <c r="O55" i="11"/>
  <c r="O57" i="11"/>
  <c r="O56" i="11"/>
  <c r="N51" i="11"/>
  <c r="N52" i="11"/>
  <c r="N53" i="11"/>
  <c r="M47" i="11"/>
  <c r="M49" i="11"/>
  <c r="M48" i="11"/>
  <c r="L43" i="11"/>
  <c r="L45" i="11"/>
  <c r="L44" i="11"/>
  <c r="J35" i="11"/>
  <c r="J37" i="11"/>
  <c r="J36" i="11"/>
  <c r="I31" i="11"/>
  <c r="I33" i="11"/>
  <c r="I32" i="11"/>
  <c r="G14" i="11"/>
  <c r="G15" i="11"/>
  <c r="G16" i="11"/>
  <c r="G17" i="11"/>
  <c r="G18" i="11"/>
  <c r="G19" i="11"/>
  <c r="G20" i="11"/>
  <c r="G21" i="11"/>
  <c r="G22" i="11"/>
  <c r="G23" i="11"/>
  <c r="G24" i="11"/>
  <c r="C38" i="29"/>
  <c r="G48" i="28" s="1"/>
  <c r="H10" i="27"/>
  <c r="F13" i="25" s="1"/>
  <c r="H11" i="27"/>
  <c r="F14" i="25" s="1"/>
  <c r="H12" i="27"/>
  <c r="F15" i="25" s="1"/>
  <c r="H13" i="27"/>
  <c r="F16" i="25" s="1"/>
  <c r="H14" i="27"/>
  <c r="F17" i="25" s="1"/>
  <c r="H15" i="27"/>
  <c r="F18" i="25" s="1"/>
  <c r="H16" i="27"/>
  <c r="F19" i="25" s="1"/>
  <c r="H17" i="27"/>
  <c r="F20" i="25" s="1"/>
  <c r="H18" i="27"/>
  <c r="F21" i="25" s="1"/>
  <c r="F13" i="27"/>
  <c r="F10" i="27"/>
  <c r="E13" i="25" s="1"/>
  <c r="F26" i="27"/>
  <c r="F14" i="27"/>
  <c r="E17" i="25" s="1"/>
  <c r="F15" i="27"/>
  <c r="E18" i="25" s="1"/>
  <c r="F9" i="27"/>
  <c r="F11" i="27"/>
  <c r="E14" i="25" s="1"/>
  <c r="F8" i="27"/>
  <c r="F12" i="27"/>
  <c r="F19" i="27"/>
  <c r="E22" i="25" s="1"/>
  <c r="F18" i="27"/>
  <c r="F17" i="27"/>
  <c r="E20" i="25" s="1"/>
  <c r="F16" i="27"/>
  <c r="R72" i="11" l="1"/>
  <c r="Q73" i="11"/>
  <c r="H72" i="11"/>
  <c r="G72" i="11" s="1"/>
  <c r="I73" i="11"/>
  <c r="S73" i="11"/>
  <c r="I71" i="11"/>
  <c r="S72" i="11"/>
  <c r="P72" i="11"/>
  <c r="O72" i="11"/>
  <c r="Q71" i="11"/>
  <c r="S71" i="11"/>
  <c r="P73" i="11"/>
  <c r="P71" i="11"/>
  <c r="M72" i="11"/>
  <c r="J72" i="11"/>
  <c r="K72" i="11"/>
  <c r="L72" i="11"/>
  <c r="N73" i="11"/>
  <c r="H71" i="11"/>
  <c r="M73" i="11"/>
  <c r="J73" i="11"/>
  <c r="K73" i="11"/>
  <c r="L73" i="11"/>
  <c r="N72" i="11"/>
  <c r="I72" i="11"/>
  <c r="M71" i="11"/>
  <c r="J71" i="11"/>
  <c r="G71" i="11" s="1"/>
  <c r="K71" i="11"/>
  <c r="L71" i="11"/>
  <c r="N71" i="11"/>
  <c r="Q72" i="11"/>
  <c r="O73" i="11"/>
  <c r="O71" i="11"/>
  <c r="R73" i="11"/>
  <c r="K39" i="11"/>
  <c r="L39" i="11"/>
  <c r="N39" i="11"/>
  <c r="M41" i="11"/>
  <c r="Q39" i="11"/>
  <c r="H39" i="11"/>
  <c r="J39" i="11"/>
  <c r="M39" i="11"/>
  <c r="H40" i="11"/>
  <c r="I40" i="11"/>
  <c r="P40" i="11"/>
  <c r="G40" i="11" s="1"/>
  <c r="O40" i="11"/>
  <c r="I41" i="11"/>
  <c r="P41" i="11"/>
  <c r="O41" i="11"/>
  <c r="I39" i="11"/>
  <c r="P39" i="11"/>
  <c r="O39" i="11"/>
  <c r="R40" i="11"/>
  <c r="S41" i="11"/>
  <c r="Q40" i="11"/>
  <c r="R41" i="11"/>
  <c r="S40" i="11"/>
  <c r="J41" i="11"/>
  <c r="R39" i="11"/>
  <c r="S39" i="11"/>
  <c r="K40" i="11"/>
  <c r="L40" i="11"/>
  <c r="N40" i="11"/>
  <c r="K41" i="11"/>
  <c r="L41" i="11"/>
  <c r="G107" i="11"/>
  <c r="I48" i="28"/>
  <c r="G91" i="11"/>
  <c r="G90" i="11"/>
  <c r="G105" i="11"/>
  <c r="G104" i="11"/>
  <c r="G103" i="11"/>
  <c r="G102" i="11"/>
  <c r="G101" i="11"/>
  <c r="G100" i="11"/>
  <c r="G99" i="11"/>
  <c r="G98" i="11"/>
  <c r="G109" i="11"/>
  <c r="G108" i="11"/>
  <c r="G97" i="11"/>
  <c r="G96" i="11"/>
  <c r="G95" i="11"/>
  <c r="G94" i="11"/>
  <c r="G93" i="11"/>
  <c r="G92" i="11"/>
  <c r="G89" i="11"/>
  <c r="G88" i="11"/>
  <c r="E19" i="25"/>
  <c r="F21" i="11"/>
  <c r="G61" i="11"/>
  <c r="G60" i="11"/>
  <c r="G59" i="11"/>
  <c r="G77" i="11"/>
  <c r="G76" i="11"/>
  <c r="G75" i="11"/>
  <c r="G69" i="11"/>
  <c r="G68" i="11"/>
  <c r="G67" i="11"/>
  <c r="G41" i="11"/>
  <c r="G39" i="11"/>
  <c r="G57" i="11"/>
  <c r="G55" i="11"/>
  <c r="G56" i="11"/>
  <c r="G43" i="11"/>
  <c r="G44" i="11"/>
  <c r="G45" i="11"/>
  <c r="F18" i="11"/>
  <c r="E16" i="25"/>
  <c r="G73" i="11"/>
  <c r="F23" i="11"/>
  <c r="E21" i="25"/>
  <c r="F14" i="11"/>
  <c r="E12" i="25"/>
  <c r="F13" i="11"/>
  <c r="E11" i="25"/>
  <c r="G65" i="11"/>
  <c r="G64" i="11"/>
  <c r="G63" i="11"/>
  <c r="F17" i="11"/>
  <c r="E15" i="25"/>
  <c r="G53" i="11"/>
  <c r="G52" i="11"/>
  <c r="G51" i="11"/>
  <c r="G49" i="11"/>
  <c r="G48" i="11"/>
  <c r="G47" i="11"/>
  <c r="G37" i="11"/>
  <c r="G36" i="11"/>
  <c r="G35" i="11"/>
  <c r="F24" i="11"/>
  <c r="F22" i="11"/>
  <c r="F20" i="11"/>
  <c r="F19" i="11"/>
  <c r="F16" i="11"/>
  <c r="F15" i="11"/>
  <c r="Q9" i="29"/>
  <c r="F9" i="29"/>
  <c r="O9" i="29"/>
  <c r="G9" i="29"/>
  <c r="H9" i="29"/>
  <c r="I9" i="29"/>
  <c r="J9" i="29"/>
  <c r="K9" i="29"/>
  <c r="L9" i="29"/>
  <c r="M9" i="29"/>
  <c r="N9" i="29"/>
  <c r="P9" i="29"/>
  <c r="S106" i="11" l="1"/>
  <c r="I106" i="11"/>
  <c r="J106" i="11"/>
  <c r="L106" i="11"/>
  <c r="M106" i="11"/>
  <c r="N106" i="11"/>
  <c r="O106" i="11"/>
  <c r="K106" i="11"/>
  <c r="P106" i="11"/>
  <c r="Q106" i="11"/>
  <c r="H106" i="11"/>
  <c r="R106" i="11"/>
  <c r="I74" i="11"/>
  <c r="I62" i="11"/>
  <c r="I64" i="25" s="1"/>
  <c r="S62" i="11"/>
  <c r="S64" i="25" s="1"/>
  <c r="H62" i="11"/>
  <c r="L62" i="11"/>
  <c r="L64" i="25" s="1"/>
  <c r="R62" i="11"/>
  <c r="R64" i="25" s="1"/>
  <c r="J62" i="11"/>
  <c r="J64" i="25" s="1"/>
  <c r="Q62" i="11"/>
  <c r="Q64" i="25" s="1"/>
  <c r="P62" i="11"/>
  <c r="P64" i="25" s="1"/>
  <c r="O62" i="11"/>
  <c r="O64" i="25" s="1"/>
  <c r="N62" i="11"/>
  <c r="N64" i="25" s="1"/>
  <c r="M62" i="11"/>
  <c r="M64" i="25" s="1"/>
  <c r="K62" i="11"/>
  <c r="K64" i="25" s="1"/>
  <c r="I70" i="11"/>
  <c r="N70" i="11"/>
  <c r="K70" i="11"/>
  <c r="H70" i="11"/>
  <c r="L70" i="11"/>
  <c r="J70" i="11"/>
  <c r="O70" i="11"/>
  <c r="R70" i="11"/>
  <c r="S70" i="11"/>
  <c r="P70" i="11"/>
  <c r="Q70" i="11"/>
  <c r="M70" i="11"/>
  <c r="I78" i="11"/>
  <c r="M78" i="11"/>
  <c r="Q78" i="11"/>
  <c r="P78" i="11"/>
  <c r="H78" i="11"/>
  <c r="L78" i="11"/>
  <c r="R78" i="11"/>
  <c r="S78" i="11"/>
  <c r="J78" i="11"/>
  <c r="O78" i="11"/>
  <c r="K78" i="11"/>
  <c r="N78" i="11"/>
  <c r="I58" i="11"/>
  <c r="S58" i="11"/>
  <c r="H58" i="11"/>
  <c r="O58" i="11"/>
  <c r="K58" i="11"/>
  <c r="P58" i="11"/>
  <c r="M58" i="11"/>
  <c r="J58" i="11"/>
  <c r="Q58" i="11"/>
  <c r="N58" i="11"/>
  <c r="L58" i="11"/>
  <c r="R58" i="11"/>
  <c r="I42" i="11"/>
  <c r="I58" i="25" s="1"/>
  <c r="O42" i="11"/>
  <c r="O58" i="25" s="1"/>
  <c r="K42" i="11"/>
  <c r="K58" i="25" s="1"/>
  <c r="L42" i="11"/>
  <c r="L58" i="25" s="1"/>
  <c r="P42" i="11"/>
  <c r="P58" i="25" s="1"/>
  <c r="R42" i="11"/>
  <c r="R58" i="25" s="1"/>
  <c r="Q42" i="11"/>
  <c r="Q58" i="25" s="1"/>
  <c r="N42" i="11"/>
  <c r="N58" i="25" s="1"/>
  <c r="J42" i="11"/>
  <c r="J58" i="25" s="1"/>
  <c r="H42" i="11"/>
  <c r="S42" i="11"/>
  <c r="S58" i="25" s="1"/>
  <c r="M42" i="11"/>
  <c r="M58" i="25" s="1"/>
  <c r="I46" i="11"/>
  <c r="I59" i="25" s="1"/>
  <c r="S46" i="11"/>
  <c r="S59" i="25" s="1"/>
  <c r="P46" i="11"/>
  <c r="P59" i="25" s="1"/>
  <c r="M46" i="11"/>
  <c r="M59" i="25" s="1"/>
  <c r="J46" i="11"/>
  <c r="J59" i="25" s="1"/>
  <c r="O46" i="11"/>
  <c r="O59" i="25" s="1"/>
  <c r="N46" i="11"/>
  <c r="N59" i="25" s="1"/>
  <c r="L46" i="11"/>
  <c r="L59" i="25" s="1"/>
  <c r="K46" i="11"/>
  <c r="K59" i="25" s="1"/>
  <c r="R46" i="11"/>
  <c r="R59" i="25" s="1"/>
  <c r="H46" i="11"/>
  <c r="Q46" i="11"/>
  <c r="Q59" i="25" s="1"/>
  <c r="J74" i="11"/>
  <c r="N74" i="11"/>
  <c r="H74" i="11"/>
  <c r="K74" i="11"/>
  <c r="S74" i="11"/>
  <c r="M74" i="11"/>
  <c r="R74" i="11"/>
  <c r="Q74" i="11"/>
  <c r="L74" i="11"/>
  <c r="P74" i="11"/>
  <c r="O74" i="11"/>
  <c r="I66" i="11"/>
  <c r="I66" i="25" s="1"/>
  <c r="S66" i="11"/>
  <c r="S66" i="25" s="1"/>
  <c r="J66" i="11"/>
  <c r="J66" i="25" s="1"/>
  <c r="R66" i="11"/>
  <c r="R66" i="25" s="1"/>
  <c r="K66" i="11"/>
  <c r="K66" i="25" s="1"/>
  <c r="L66" i="11"/>
  <c r="L66" i="25" s="1"/>
  <c r="M66" i="11"/>
  <c r="M66" i="25" s="1"/>
  <c r="H66" i="11"/>
  <c r="N66" i="11"/>
  <c r="N66" i="25" s="1"/>
  <c r="O66" i="11"/>
  <c r="O66" i="25" s="1"/>
  <c r="P66" i="11"/>
  <c r="P66" i="25" s="1"/>
  <c r="Q66" i="11"/>
  <c r="Q66" i="25" s="1"/>
  <c r="I54" i="11"/>
  <c r="I62" i="25" s="1"/>
  <c r="J54" i="11"/>
  <c r="J62" i="25" s="1"/>
  <c r="K54" i="11"/>
  <c r="K62" i="25" s="1"/>
  <c r="L54" i="11"/>
  <c r="L62" i="25" s="1"/>
  <c r="M54" i="11"/>
  <c r="M62" i="25" s="1"/>
  <c r="N54" i="11"/>
  <c r="N62" i="25" s="1"/>
  <c r="O54" i="11"/>
  <c r="O62" i="25" s="1"/>
  <c r="P54" i="11"/>
  <c r="P62" i="25" s="1"/>
  <c r="R54" i="11"/>
  <c r="R62" i="25" s="1"/>
  <c r="S54" i="11"/>
  <c r="S62" i="25" s="1"/>
  <c r="Q54" i="11"/>
  <c r="Q62" i="25" s="1"/>
  <c r="H54" i="11"/>
  <c r="I50" i="11"/>
  <c r="I61" i="25" s="1"/>
  <c r="J50" i="11"/>
  <c r="J61" i="25" s="1"/>
  <c r="K50" i="11"/>
  <c r="K61" i="25" s="1"/>
  <c r="L50" i="11"/>
  <c r="L61" i="25" s="1"/>
  <c r="M50" i="11"/>
  <c r="M61" i="25" s="1"/>
  <c r="N50" i="11"/>
  <c r="N61" i="25" s="1"/>
  <c r="S50" i="11"/>
  <c r="S61" i="25" s="1"/>
  <c r="O50" i="11"/>
  <c r="O61" i="25" s="1"/>
  <c r="P50" i="11"/>
  <c r="P61" i="25" s="1"/>
  <c r="Q50" i="11"/>
  <c r="Q61" i="25" s="1"/>
  <c r="R50" i="11"/>
  <c r="R61" i="25" s="1"/>
  <c r="H50" i="11"/>
  <c r="I38" i="11"/>
  <c r="I57" i="25" s="1"/>
  <c r="J38" i="11"/>
  <c r="J57" i="25" s="1"/>
  <c r="K38" i="11"/>
  <c r="K57" i="25" s="1"/>
  <c r="L38" i="11"/>
  <c r="L57" i="25" s="1"/>
  <c r="Q38" i="11"/>
  <c r="Q57" i="25" s="1"/>
  <c r="M38" i="11"/>
  <c r="M57" i="25" s="1"/>
  <c r="N38" i="11"/>
  <c r="N57" i="25" s="1"/>
  <c r="O38" i="11"/>
  <c r="O57" i="25" s="1"/>
  <c r="P38" i="11"/>
  <c r="P57" i="25" s="1"/>
  <c r="S38" i="11"/>
  <c r="S57" i="25" s="1"/>
  <c r="H38" i="11"/>
  <c r="R38" i="11"/>
  <c r="R57" i="25" s="1"/>
  <c r="E9" i="29"/>
  <c r="G106" i="11" l="1"/>
  <c r="Q67" i="25"/>
  <c r="S67" i="25"/>
  <c r="R67" i="25"/>
  <c r="O67" i="25"/>
  <c r="J67" i="25"/>
  <c r="L67" i="25"/>
  <c r="K67" i="25"/>
  <c r="N67" i="25"/>
  <c r="P67" i="25"/>
  <c r="I67" i="25"/>
  <c r="M67" i="25"/>
  <c r="G78" i="11"/>
  <c r="G62" i="11"/>
  <c r="G58" i="11"/>
  <c r="H59" i="25"/>
  <c r="G46" i="11"/>
  <c r="H58" i="25"/>
  <c r="G42" i="11"/>
  <c r="G70" i="11"/>
  <c r="H62" i="25"/>
  <c r="G54" i="11"/>
  <c r="G74" i="11"/>
  <c r="H57" i="25"/>
  <c r="G38" i="11"/>
  <c r="G66" i="11"/>
  <c r="H61" i="25"/>
  <c r="G50" i="11"/>
  <c r="H67" i="25"/>
  <c r="H66" i="25" l="1"/>
  <c r="H64" i="25"/>
  <c r="T26" i="27" l="1"/>
  <c r="S75" i="25" s="1"/>
  <c r="S26" i="27"/>
  <c r="R75" i="25" s="1"/>
  <c r="R26" i="27"/>
  <c r="Q75" i="25" s="1"/>
  <c r="Q26" i="27"/>
  <c r="P75" i="25" s="1"/>
  <c r="P26" i="27"/>
  <c r="O75" i="25" s="1"/>
  <c r="O26" i="27"/>
  <c r="N75" i="25" s="1"/>
  <c r="N26" i="27"/>
  <c r="M75" i="25" s="1"/>
  <c r="M26" i="27"/>
  <c r="L75" i="25" s="1"/>
  <c r="L26" i="27"/>
  <c r="K75" i="25" s="1"/>
  <c r="K26" i="27"/>
  <c r="J75" i="25" s="1"/>
  <c r="J26" i="27"/>
  <c r="I75" i="25" s="1"/>
  <c r="I26" i="27"/>
  <c r="H75" i="25" s="1"/>
  <c r="H25" i="27"/>
  <c r="H24" i="27"/>
  <c r="H19" i="27"/>
  <c r="F22" i="25" s="1"/>
  <c r="H9" i="27"/>
  <c r="F12" i="25" s="1"/>
  <c r="H8" i="27"/>
  <c r="F11" i="25" s="1"/>
  <c r="E78" i="25" l="1"/>
  <c r="H26" i="27"/>
  <c r="G13" i="11" l="1"/>
  <c r="G87" i="11" l="1"/>
  <c r="G86" i="11"/>
  <c r="G32" i="11"/>
  <c r="G33" i="11"/>
  <c r="G31" i="11"/>
  <c r="K68" i="25"/>
  <c r="P68" i="25"/>
  <c r="J63" i="25"/>
  <c r="J65" i="25" s="1"/>
  <c r="M63" i="25"/>
  <c r="M65" i="25" s="1"/>
  <c r="O63" i="25"/>
  <c r="O65" i="25" s="1"/>
  <c r="S63" i="25"/>
  <c r="S65" i="25" s="1"/>
  <c r="Q63" i="25"/>
  <c r="Q65" i="25" s="1"/>
  <c r="N63" i="25"/>
  <c r="N65" i="25" s="1"/>
  <c r="P63" i="25"/>
  <c r="P65" i="25" s="1"/>
  <c r="I63" i="25"/>
  <c r="I65" i="25" s="1"/>
  <c r="K63" i="25"/>
  <c r="R63" i="25"/>
  <c r="R65" i="25" s="1"/>
  <c r="K65" i="25" l="1"/>
  <c r="S34" i="11"/>
  <c r="S56" i="25" s="1"/>
  <c r="S60" i="25" s="1"/>
  <c r="R34" i="11"/>
  <c r="R56" i="25" s="1"/>
  <c r="R60" i="25" s="1"/>
  <c r="H34" i="11"/>
  <c r="I34" i="11"/>
  <c r="I56" i="25" s="1"/>
  <c r="I60" i="25" s="1"/>
  <c r="J34" i="11"/>
  <c r="J56" i="25" s="1"/>
  <c r="J60" i="25" s="1"/>
  <c r="K34" i="11"/>
  <c r="K56" i="25" s="1"/>
  <c r="K60" i="25" s="1"/>
  <c r="L34" i="11"/>
  <c r="L56" i="25" s="1"/>
  <c r="L60" i="25" s="1"/>
  <c r="N34" i="11"/>
  <c r="N56" i="25" s="1"/>
  <c r="N60" i="25" s="1"/>
  <c r="P34" i="11"/>
  <c r="P56" i="25" s="1"/>
  <c r="P60" i="25" s="1"/>
  <c r="M34" i="11"/>
  <c r="M56" i="25" s="1"/>
  <c r="M60" i="25" s="1"/>
  <c r="O34" i="11"/>
  <c r="O56" i="25" s="1"/>
  <c r="O60" i="25" s="1"/>
  <c r="Q34" i="11"/>
  <c r="Q56" i="25" s="1"/>
  <c r="Q60" i="25" s="1"/>
  <c r="L68" i="25"/>
  <c r="L63" i="25"/>
  <c r="L65" i="25" s="1"/>
  <c r="Q68" i="25"/>
  <c r="M68" i="25"/>
  <c r="J68" i="25"/>
  <c r="R69" i="25"/>
  <c r="N69" i="25"/>
  <c r="N68" i="25"/>
  <c r="S69" i="25"/>
  <c r="J69" i="25"/>
  <c r="O69" i="25"/>
  <c r="G57" i="25" l="1"/>
  <c r="G12" i="25" s="1"/>
  <c r="J70" i="25"/>
  <c r="J71" i="25" s="1"/>
  <c r="J76" i="25" s="1"/>
  <c r="R79" i="11"/>
  <c r="R68" i="25"/>
  <c r="R70" i="25" s="1"/>
  <c r="R71" i="25" s="1"/>
  <c r="R76" i="25" s="1"/>
  <c r="Q79" i="11"/>
  <c r="Q69" i="25"/>
  <c r="Q70" i="25" s="1"/>
  <c r="Q71" i="25" s="1"/>
  <c r="Q76" i="25" s="1"/>
  <c r="O79" i="11"/>
  <c r="O68" i="25"/>
  <c r="O70" i="25" s="1"/>
  <c r="O71" i="25" s="1"/>
  <c r="O76" i="25" s="1"/>
  <c r="M79" i="11"/>
  <c r="M69" i="25"/>
  <c r="M70" i="25" s="1"/>
  <c r="M71" i="25" s="1"/>
  <c r="M76" i="25" s="1"/>
  <c r="S79" i="11"/>
  <c r="S68" i="25"/>
  <c r="S70" i="25" s="1"/>
  <c r="S71" i="25" s="1"/>
  <c r="S76" i="25" s="1"/>
  <c r="N79" i="11"/>
  <c r="N70" i="25"/>
  <c r="N71" i="25" s="1"/>
  <c r="N76" i="25" s="1"/>
  <c r="J79" i="11"/>
  <c r="H63" i="25"/>
  <c r="I69" i="25"/>
  <c r="O111" i="11" l="1"/>
  <c r="O110" i="11"/>
  <c r="Q111" i="11"/>
  <c r="Q110" i="11"/>
  <c r="S111" i="11"/>
  <c r="S110" i="11"/>
  <c r="R111" i="11"/>
  <c r="R110" i="11"/>
  <c r="M111" i="11"/>
  <c r="M110" i="11"/>
  <c r="J110" i="11"/>
  <c r="J111" i="11"/>
  <c r="N111" i="11"/>
  <c r="N110" i="11"/>
  <c r="G58" i="25"/>
  <c r="G13" i="25" s="1"/>
  <c r="H65" i="25"/>
  <c r="L79" i="11"/>
  <c r="L69" i="25"/>
  <c r="L70" i="25" s="1"/>
  <c r="L71" i="25" s="1"/>
  <c r="L76" i="25" s="1"/>
  <c r="K79" i="11"/>
  <c r="K69" i="25"/>
  <c r="G59" i="25" s="1"/>
  <c r="G14" i="25" s="1"/>
  <c r="P79" i="11"/>
  <c r="P69" i="25"/>
  <c r="P70" i="25" s="1"/>
  <c r="P71" i="25" s="1"/>
  <c r="P76" i="25" s="1"/>
  <c r="I79" i="11"/>
  <c r="I68" i="25"/>
  <c r="I70" i="25" s="1"/>
  <c r="I71" i="25" s="1"/>
  <c r="I76" i="25" s="1"/>
  <c r="L110" i="11" l="1"/>
  <c r="L111" i="11"/>
  <c r="I111" i="11"/>
  <c r="I110" i="11"/>
  <c r="P111" i="11"/>
  <c r="P110" i="11"/>
  <c r="K111" i="11"/>
  <c r="K110" i="11"/>
  <c r="K70" i="25"/>
  <c r="K71" i="25" s="1"/>
  <c r="K76" i="25" s="1"/>
  <c r="H68" i="25"/>
  <c r="G61" i="25" l="1"/>
  <c r="G15" i="25" s="1"/>
  <c r="G62" i="25"/>
  <c r="G16" i="25" s="1"/>
  <c r="G64" i="25"/>
  <c r="G18" i="25" s="1"/>
  <c r="G63" i="25"/>
  <c r="H69" i="25"/>
  <c r="K7" i="11"/>
  <c r="G17" i="25" l="1"/>
  <c r="G65" i="25"/>
  <c r="F6" i="25" s="1"/>
  <c r="H70" i="25"/>
  <c r="H56" i="25" l="1"/>
  <c r="H60" i="25" s="1"/>
  <c r="H71" i="25" s="1"/>
  <c r="H76" i="25" s="1"/>
  <c r="H79" i="11"/>
  <c r="G34" i="11"/>
  <c r="I7" i="11" s="1"/>
  <c r="G79" i="11" l="1"/>
  <c r="M7" i="11" s="1"/>
  <c r="H111" i="11"/>
  <c r="G111" i="11" s="1"/>
  <c r="Q7" i="11" s="1"/>
  <c r="P6" i="25" s="1"/>
  <c r="H110" i="11"/>
  <c r="G110" i="11" s="1"/>
  <c r="O7" i="11" s="1"/>
  <c r="M6" i="25" s="1"/>
  <c r="G56" i="25"/>
  <c r="G11" i="25" s="1"/>
  <c r="G60" i="25" l="1"/>
  <c r="D6" i="25" l="1"/>
  <c r="D7" i="25" s="1"/>
  <c r="G69" i="25" l="1"/>
  <c r="G22" i="25" s="1"/>
  <c r="G68" i="25"/>
  <c r="G21" i="25" s="1"/>
  <c r="G67" i="25"/>
  <c r="G20" i="25" s="1"/>
  <c r="G66" i="25" l="1"/>
  <c r="G19" i="25" s="1"/>
  <c r="F78" i="25" l="1"/>
  <c r="G70" i="25"/>
  <c r="H14" i="25" l="1"/>
  <c r="G78" i="25"/>
  <c r="H11" i="25"/>
  <c r="H12" i="25"/>
  <c r="H18" i="25"/>
  <c r="H22" i="25"/>
  <c r="H17" i="25"/>
  <c r="H16" i="25"/>
  <c r="H13" i="25"/>
  <c r="H21" i="25"/>
  <c r="H20" i="25"/>
  <c r="H15" i="25"/>
  <c r="G71" i="25"/>
  <c r="H6" i="25"/>
  <c r="H19" i="25"/>
  <c r="J6" i="25" l="1"/>
  <c r="G76" i="25" l="1"/>
  <c r="G75" i="25"/>
</calcChain>
</file>

<file path=xl/comments1.xml><?xml version="1.0" encoding="utf-8"?>
<comments xmlns="http://schemas.openxmlformats.org/spreadsheetml/2006/main">
  <authors>
    <author>Owner</author>
    <author>1</author>
  </authors>
  <commentList>
    <comment ref="B29" authorId="0" shapeId="0">
      <text>
        <r>
          <rPr>
            <b/>
            <sz val="11"/>
            <color indexed="81"/>
            <rFont val="맑은 고딕"/>
            <family val="3"/>
            <charset val="129"/>
            <scheme val="minor"/>
          </rPr>
          <t>[조직경계 설정방법]</t>
        </r>
        <r>
          <rPr>
            <sz val="11"/>
            <color indexed="81"/>
            <rFont val="맑은 고딕"/>
            <family val="3"/>
            <charset val="129"/>
            <scheme val="minor"/>
          </rPr>
          <t xml:space="preserve">
- 사진 : 보고대상 사업장의 조직경계 내 모든 건물이 확인 가능한 가장 최근의 위성사진 또는 전체사업장 사진
① 사진은 사업장 전체를 조망할 수 있는 가장 최근의 위성사진(예 : 구글 어스)을 다운받아 첨부하며 다운 받은 날짜 또는 사진촬영 날짜를 기재
② 사진은 사업장 경계에 대한 별도의 식별표시(예 : 빨간선)가 되어 있거나 사진 상에 해당 사업장만 표현되며, 외부업체와의 경계가 명확히 구분될 수 있도록 작성
③ 위성사진보다 더 정확하고 최신 날짜로 업데이트된 사진이 있을 경우 해당 사진 첨부 가능
* 조직경계 : 업체의 지배적인 영향력 아래에서 발생되는 활동에 의한 인위적인 온실가스 배출량의 산정 및 보고의 기준이 되는 조직의 범위를 말함 
** 사업장 조직경계 관련 사업장 사진에 조직경계 외 부분이 포함될 경우 별도표시 및 설명추가 (조직경계 내의 특이사항이 있는 경우, 보충설명 작성)</t>
        </r>
      </text>
    </comment>
    <comment ref="B49" authorId="0" shapeId="0">
      <text>
        <r>
          <rPr>
            <b/>
            <sz val="11"/>
            <color indexed="81"/>
            <rFont val="맑은 고딕"/>
            <family val="3"/>
            <charset val="129"/>
            <scheme val="minor"/>
          </rPr>
          <t>[시설배치도 작성방법]</t>
        </r>
        <r>
          <rPr>
            <sz val="11"/>
            <color indexed="81"/>
            <rFont val="맑은 고딕"/>
            <family val="3"/>
            <charset val="129"/>
            <scheme val="minor"/>
          </rPr>
          <t xml:space="preserve">
- 시설배치도 : 대상 사업장의 위성사진을 토대로 조직경계 내 기존시설, 조직경계 제외 시설 등이 구분 가능하고 각 시설의 배치가 확인 가능한 시설배치도
① 조직경계에 포함되는 배출시설과 제외되는 배출시설이 명확히 식별되어야 함
② 타 법인의 배출시설이 보고대상 사업장의 배출시설과 연관되어 조직경계에 포함해야 하는 경우
- 운영통제 범위 내에 있을 때
- 타 법인 배출시설과 연관된 배출시설의 활동자료의 합산 값만이 모니터링 되며, 타 법인 배출시설의 활동자료를 별도로 수집할 수 없을 때
③ 타 법인의 배출시설이 보고대상 사업장의 배출시설과 연관되어 있으나 조직경계에 포함하지 않는 경우
- 운영통제 범위 밖의 배출시설이고 해당 배출시설에 대한 활동자료가 모니터링 되는 경우, 해당 배출시설은 보고대상 사업장의 조직경계에서 제외할 수 있음.</t>
        </r>
      </text>
    </comment>
    <comment ref="B69" authorId="0" shapeId="0">
      <text>
        <r>
          <rPr>
            <b/>
            <sz val="11"/>
            <color indexed="81"/>
            <rFont val="맑은 고딕"/>
            <family val="3"/>
            <charset val="129"/>
            <scheme val="minor"/>
          </rPr>
          <t>[공정도 작성방법]</t>
        </r>
        <r>
          <rPr>
            <sz val="11"/>
            <color indexed="81"/>
            <rFont val="맑은 고딕"/>
            <family val="3"/>
            <charset val="129"/>
            <scheme val="minor"/>
          </rPr>
          <t xml:space="preserve">
- 공정도 : 온실가스 흐름 및 에너지 흐름이 포함된 보고대상 사업장의 대표 공정이 확인 가능한 공정도를 제시하고 설명을 기입하여야 함
① 사업장의 생산제품들의 배출활동 구성이 동일하다면 공정도 중에 대표로 1개에 대해서만 제시 가능</t>
        </r>
      </text>
    </comment>
    <comment ref="B95" authorId="1" shapeId="0">
      <text>
        <r>
          <rPr>
            <b/>
            <sz val="11"/>
            <color indexed="81"/>
            <rFont val="Tahoma"/>
            <family val="2"/>
          </rPr>
          <t>[</t>
        </r>
        <r>
          <rPr>
            <b/>
            <sz val="11"/>
            <color indexed="81"/>
            <rFont val="돋움"/>
            <family val="3"/>
            <charset val="129"/>
          </rPr>
          <t>설비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목록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작성방법</t>
        </r>
        <r>
          <rPr>
            <b/>
            <sz val="11"/>
            <color indexed="81"/>
            <rFont val="Tahoma"/>
            <family val="2"/>
          </rPr>
          <t xml:space="preserve">]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설비명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주요설비의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설비명칭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용량</t>
        </r>
        <r>
          <rPr>
            <sz val="11"/>
            <color indexed="81"/>
            <rFont val="Tahoma"/>
            <family val="2"/>
          </rPr>
          <t>/</t>
        </r>
        <r>
          <rPr>
            <sz val="11"/>
            <color indexed="81"/>
            <rFont val="돋움"/>
            <family val="3"/>
            <charset val="129"/>
          </rPr>
          <t>단위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해당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설비의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정격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용량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및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용량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단위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작성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대수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해당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설비의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대수를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작성</t>
        </r>
        <r>
          <rPr>
            <sz val="11"/>
            <color indexed="81"/>
            <rFont val="Tahoma"/>
            <family val="2"/>
          </rPr>
          <t xml:space="preserve">
- </t>
        </r>
        <r>
          <rPr>
            <sz val="11"/>
            <color indexed="81"/>
            <rFont val="돋움"/>
            <family val="3"/>
            <charset val="129"/>
          </rPr>
          <t>에너지원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전기</t>
        </r>
        <r>
          <rPr>
            <sz val="11"/>
            <color indexed="81"/>
            <rFont val="Tahoma"/>
            <family val="2"/>
          </rPr>
          <t>/</t>
        </r>
        <r>
          <rPr>
            <sz val="11"/>
            <color indexed="81"/>
            <rFont val="돋움"/>
            <family val="3"/>
            <charset val="129"/>
          </rPr>
          <t>스팀</t>
        </r>
        <r>
          <rPr>
            <sz val="11"/>
            <color indexed="81"/>
            <rFont val="Tahoma"/>
            <family val="2"/>
          </rPr>
          <t xml:space="preserve">/LNG </t>
        </r>
        <r>
          <rPr>
            <sz val="11"/>
            <color indexed="81"/>
            <rFont val="돋움"/>
            <family val="3"/>
            <charset val="129"/>
          </rPr>
          <t>등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해당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설비에서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중인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에너지원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입력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돋움"/>
            <family val="3"/>
            <charset val="129"/>
          </rPr>
          <t>에너지원이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다수일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경우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모두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작성</t>
        </r>
        <r>
          <rPr>
            <sz val="11"/>
            <color indexed="81"/>
            <rFont val="Tahoma"/>
            <family val="2"/>
          </rPr>
          <t xml:space="preserve">)
- </t>
        </r>
        <r>
          <rPr>
            <sz val="11"/>
            <color indexed="81"/>
            <rFont val="돋움"/>
            <family val="3"/>
            <charset val="129"/>
          </rPr>
          <t>제조년도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설비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제조년도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작성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비고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참고사항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작성</t>
        </r>
      </text>
    </comment>
  </commentList>
</comments>
</file>

<file path=xl/sharedStrings.xml><?xml version="1.0" encoding="utf-8"?>
<sst xmlns="http://schemas.openxmlformats.org/spreadsheetml/2006/main" count="866" uniqueCount="458">
  <si>
    <t>사용량</t>
    <phoneticPr fontId="3" type="noConversion"/>
  </si>
  <si>
    <t>1월</t>
    <phoneticPr fontId="3" type="noConversion"/>
  </si>
  <si>
    <t>합계</t>
    <phoneticPr fontId="3" type="noConversion"/>
  </si>
  <si>
    <t>2월</t>
    <phoneticPr fontId="3" type="noConversion"/>
  </si>
  <si>
    <t>3월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</si>
  <si>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</si>
  <si>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</si>
  <si>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</si>
  <si>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7월</t>
    <phoneticPr fontId="3" type="noConversion"/>
  </si>
  <si>
    <t>8월</t>
    <phoneticPr fontId="3" type="noConversion"/>
  </si>
  <si>
    <t>9월</t>
    <phoneticPr fontId="3" type="noConversion"/>
  </si>
  <si>
    <t>10월</t>
    <phoneticPr fontId="3" type="noConversion"/>
  </si>
  <si>
    <t>11월</t>
    <phoneticPr fontId="3" type="noConversion"/>
  </si>
  <si>
    <t>12월</t>
    <phoneticPr fontId="3" type="noConversion"/>
  </si>
  <si>
    <t>경유</t>
  </si>
  <si>
    <t>001</t>
    <phoneticPr fontId="3" type="noConversion"/>
  </si>
  <si>
    <t>002</t>
    <phoneticPr fontId="3" type="noConversion"/>
  </si>
  <si>
    <t>단위</t>
    <phoneticPr fontId="3" type="noConversion"/>
  </si>
  <si>
    <t>kWh</t>
    <phoneticPr fontId="3" type="noConversion"/>
  </si>
  <si>
    <t>단위</t>
    <phoneticPr fontId="3" type="noConversion"/>
  </si>
  <si>
    <t>배출시설</t>
    <phoneticPr fontId="3" type="noConversion"/>
  </si>
  <si>
    <t>합계</t>
    <phoneticPr fontId="3" type="noConversion"/>
  </si>
  <si>
    <t>1월</t>
    <phoneticPr fontId="3" type="noConversion"/>
  </si>
  <si>
    <t>2월</t>
    <phoneticPr fontId="3" type="noConversion"/>
  </si>
  <si>
    <t>3월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</si>
  <si>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</si>
  <si>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</si>
  <si>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</si>
  <si>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7월</t>
    <phoneticPr fontId="3" type="noConversion"/>
  </si>
  <si>
    <t>8월</t>
    <phoneticPr fontId="3" type="noConversion"/>
  </si>
  <si>
    <t>9월</t>
    <phoneticPr fontId="3" type="noConversion"/>
  </si>
  <si>
    <t>10월</t>
    <phoneticPr fontId="3" type="noConversion"/>
  </si>
  <si>
    <t>11월</t>
    <phoneticPr fontId="3" type="noConversion"/>
  </si>
  <si>
    <t>12월</t>
    <phoneticPr fontId="3" type="noConversion"/>
  </si>
  <si>
    <t>tCO2_eq</t>
    <phoneticPr fontId="3" type="noConversion"/>
  </si>
  <si>
    <t>tCO2</t>
    <phoneticPr fontId="3" type="noConversion"/>
  </si>
  <si>
    <t>kgCH4</t>
    <phoneticPr fontId="3" type="noConversion"/>
  </si>
  <si>
    <t>kgN2O</t>
    <phoneticPr fontId="3" type="noConversion"/>
  </si>
  <si>
    <t>온실가스 배출량</t>
    <phoneticPr fontId="3" type="noConversion"/>
  </si>
  <si>
    <t>스팀</t>
    <phoneticPr fontId="3" type="noConversion"/>
  </si>
  <si>
    <t>kcal/kg</t>
    <phoneticPr fontId="3" type="noConversion"/>
  </si>
  <si>
    <t>J/cal</t>
    <phoneticPr fontId="3" type="noConversion"/>
  </si>
  <si>
    <t>연료</t>
    <phoneticPr fontId="3" type="noConversion"/>
  </si>
  <si>
    <t>번호</t>
    <phoneticPr fontId="3" type="noConversion"/>
  </si>
  <si>
    <t xml:space="preserve">  직접 입력 (필수)</t>
    <phoneticPr fontId="3" type="noConversion"/>
  </si>
  <si>
    <t>4.1 활동데이터</t>
    <phoneticPr fontId="3" type="noConversion"/>
  </si>
  <si>
    <t>4.2 온실가스 배출량 산정</t>
    <phoneticPr fontId="3" type="noConversion"/>
  </si>
  <si>
    <t xml:space="preserve">      : 2. 고정연소 (기체연료)</t>
    <phoneticPr fontId="3" type="noConversion"/>
  </si>
  <si>
    <t xml:space="preserve">      : 3. 고정연소 (액체연료)</t>
    <phoneticPr fontId="3" type="noConversion"/>
  </si>
  <si>
    <t>[온실가스 배출량 산정 근거]</t>
    <phoneticPr fontId="3" type="noConversion"/>
  </si>
  <si>
    <t xml:space="preserve">      : 5. 이동연소 (도로)</t>
    <phoneticPr fontId="3" type="noConversion"/>
  </si>
  <si>
    <t>연료/원료</t>
    <phoneticPr fontId="3" type="noConversion"/>
  </si>
  <si>
    <t>스팀열량</t>
    <phoneticPr fontId="3" type="noConversion"/>
  </si>
  <si>
    <t>스팀 배출계수</t>
    <phoneticPr fontId="3" type="noConversion"/>
  </si>
  <si>
    <t>배출계수</t>
    <phoneticPr fontId="3" type="noConversion"/>
  </si>
  <si>
    <t xml:space="preserve">      : 37. 외부에서 공급된 전기 사용</t>
    <phoneticPr fontId="3" type="noConversion"/>
  </si>
  <si>
    <t>연료</t>
    <phoneticPr fontId="3" type="noConversion"/>
  </si>
  <si>
    <t>합 계</t>
    <phoneticPr fontId="3" type="noConversion"/>
  </si>
  <si>
    <t>배출활동 구분</t>
    <phoneticPr fontId="3" type="noConversion"/>
  </si>
  <si>
    <t>고정연소</t>
    <phoneticPr fontId="3" type="noConversion"/>
  </si>
  <si>
    <t>고정연소 합계</t>
    <phoneticPr fontId="3" type="noConversion"/>
  </si>
  <si>
    <t>이동연소</t>
    <phoneticPr fontId="3" type="noConversion"/>
  </si>
  <si>
    <t>이동연소 합계</t>
    <phoneticPr fontId="3" type="noConversion"/>
  </si>
  <si>
    <t>간접배출 합계</t>
    <phoneticPr fontId="3" type="noConversion"/>
  </si>
  <si>
    <t>구 분</t>
    <phoneticPr fontId="3" type="noConversion"/>
  </si>
  <si>
    <r>
      <t>합계 (tCO</t>
    </r>
    <r>
      <rPr>
        <b/>
        <vertAlign val="subscript"/>
        <sz val="10"/>
        <color theme="1"/>
        <rFont val="맑은 고딕"/>
        <family val="3"/>
        <charset val="129"/>
        <scheme val="minor"/>
      </rPr>
      <t>2</t>
    </r>
    <r>
      <rPr>
        <b/>
        <sz val="10"/>
        <color theme="1"/>
        <rFont val="맑은 고딕"/>
        <family val="3"/>
        <charset val="129"/>
        <scheme val="minor"/>
      </rPr>
      <t>eq)</t>
    </r>
    <phoneticPr fontId="3" type="noConversion"/>
  </si>
  <si>
    <t>1.1 온실가스 배출량</t>
    <phoneticPr fontId="3" type="noConversion"/>
  </si>
  <si>
    <t>단 위</t>
    <phoneticPr fontId="3" type="noConversion"/>
  </si>
  <si>
    <t>생산량</t>
    <phoneticPr fontId="3" type="noConversion"/>
  </si>
  <si>
    <t>온실가스 원단위</t>
    <phoneticPr fontId="3" type="noConversion"/>
  </si>
  <si>
    <t>온실가스 배출량 총계</t>
    <phoneticPr fontId="3" type="noConversion"/>
  </si>
  <si>
    <t>배출시설명</t>
    <phoneticPr fontId="3" type="noConversion"/>
  </si>
  <si>
    <t>배출량(tCO2-eq)</t>
    <phoneticPr fontId="3" type="noConversion"/>
  </si>
  <si>
    <t xml:space="preserve">   - 온실가스 배출권거래제의 배출량 보고 및 인증에 관한 지침</t>
    <phoneticPr fontId="3" type="noConversion"/>
  </si>
  <si>
    <t>LPG</t>
    <phoneticPr fontId="3" type="noConversion"/>
  </si>
  <si>
    <t xml:space="preserve">      : 38. 외부에서 공급된 열(스팀) 사용</t>
    <phoneticPr fontId="3" type="noConversion"/>
  </si>
  <si>
    <t>생산품</t>
    <phoneticPr fontId="3" type="noConversion"/>
  </si>
  <si>
    <t>&lt;열량&gt;</t>
    <phoneticPr fontId="3" type="noConversion"/>
  </si>
  <si>
    <t>구분</t>
    <phoneticPr fontId="3" type="noConversion"/>
  </si>
  <si>
    <t>※ 출처 : 배출권거래제 온실가스 배출량 적합성 평가 및 인증 가이드라인(2023.1) - p58 지역별 표준기화율 반영</t>
    <phoneticPr fontId="3" type="noConversion"/>
  </si>
  <si>
    <t>총합</t>
    <phoneticPr fontId="3" type="noConversion"/>
  </si>
  <si>
    <t>배출량 비율</t>
    <phoneticPr fontId="3" type="noConversion"/>
  </si>
  <si>
    <t>MJ/kg</t>
    <phoneticPr fontId="3" type="noConversion"/>
  </si>
  <si>
    <t>외부공급</t>
    <phoneticPr fontId="3" type="noConversion"/>
  </si>
  <si>
    <t>Scope 1
(직접배출)</t>
    <phoneticPr fontId="3" type="noConversion"/>
  </si>
  <si>
    <t>Scope 2
(간접배출)</t>
    <phoneticPr fontId="3" type="noConversion"/>
  </si>
  <si>
    <t>생산제품</t>
    <phoneticPr fontId="3" type="noConversion"/>
  </si>
  <si>
    <t>구매(외부)스팀</t>
    <phoneticPr fontId="3" type="noConversion"/>
  </si>
  <si>
    <t>지역별 표준기화율</t>
    <phoneticPr fontId="3" type="noConversion"/>
  </si>
  <si>
    <t>3. 기준연도 활동자료 입력</t>
    <phoneticPr fontId="3" type="noConversion"/>
  </si>
  <si>
    <t>연료별 국가 고유 발열량(에너지법 시행규칙 별표)</t>
    <phoneticPr fontId="30" type="noConversion"/>
  </si>
  <si>
    <t>연료명</t>
    <phoneticPr fontId="30" type="noConversion"/>
  </si>
  <si>
    <t>연료 단위</t>
    <phoneticPr fontId="3" type="noConversion"/>
  </si>
  <si>
    <t>단위</t>
    <phoneticPr fontId="30" type="noConversion"/>
  </si>
  <si>
    <t>에너지법 시행규칙 상</t>
    <phoneticPr fontId="3" type="noConversion"/>
  </si>
  <si>
    <t>TJ로 환산시</t>
    <phoneticPr fontId="3" type="noConversion"/>
  </si>
  <si>
    <t>N㎥</t>
  </si>
  <si>
    <t>MJ/N㎥</t>
  </si>
  <si>
    <t>TJ/1,000,000N㎥</t>
    <phoneticPr fontId="3" type="noConversion"/>
  </si>
  <si>
    <t>L</t>
  </si>
  <si>
    <t>MJ/L</t>
  </si>
  <si>
    <t>TJ/1,000㎥</t>
    <phoneticPr fontId="3" type="noConversion"/>
  </si>
  <si>
    <t>MJ/L</t>
    <phoneticPr fontId="3" type="noConversion"/>
  </si>
  <si>
    <t>TJ/1,000㎥</t>
    <phoneticPr fontId="30" type="noConversion"/>
  </si>
  <si>
    <t>B-A유</t>
  </si>
  <si>
    <t>B-B유</t>
  </si>
  <si>
    <t>천연가스(LNG)</t>
  </si>
  <si>
    <t>kg</t>
  </si>
  <si>
    <t>MJ/kg</t>
  </si>
  <si>
    <t>TJ/Gg</t>
  </si>
  <si>
    <t>프로판(LPG1호)</t>
  </si>
  <si>
    <t>부탄(LPG3호)</t>
  </si>
  <si>
    <t>국내무연탄</t>
  </si>
  <si>
    <t>연료용 수입무연탄</t>
  </si>
  <si>
    <t>원료용 수입무연탄</t>
  </si>
  <si>
    <t>연료용 유연탄(역청탄)</t>
  </si>
  <si>
    <t>아역청탄</t>
  </si>
  <si>
    <t>코크스</t>
  </si>
  <si>
    <t>나프타</t>
  </si>
  <si>
    <t>용제</t>
  </si>
  <si>
    <t>항공유</t>
  </si>
  <si>
    <t>아스팔트</t>
  </si>
  <si>
    <t>윤활유</t>
  </si>
  <si>
    <t>석유코크스</t>
  </si>
  <si>
    <t>부생연료유1호</t>
  </si>
  <si>
    <t>부생연료유2호</t>
  </si>
  <si>
    <t>※ 출처: 온실가스 배출권거래제의 배출량 보고 및 인증에 관한 지침 [별표 12] 연료별 국가 고유 발열량 및 배출계수</t>
    <phoneticPr fontId="3" type="noConversion"/>
  </si>
  <si>
    <t>※ 출처: 온실가스 배출권거래제의 배출량 보고 및 인증에 관한 지침 [별표 10] 2006 IPCC 국가 인벤토리 가이드라인 기본 배출계수</t>
    <phoneticPr fontId="3" type="noConversion"/>
  </si>
  <si>
    <t>연료별, 온실가스별 기본 배출계수(이동연소 [도로])</t>
    <phoneticPr fontId="30" type="noConversion"/>
  </si>
  <si>
    <t>연료종류</t>
    <phoneticPr fontId="30" type="noConversion"/>
  </si>
  <si>
    <t>기본 배출계수(kgGHG/TJ)</t>
    <phoneticPr fontId="30" type="noConversion"/>
  </si>
  <si>
    <t>CO₂</t>
  </si>
  <si>
    <t>CH₄</t>
  </si>
  <si>
    <t>N₂O</t>
  </si>
  <si>
    <t>휘발유</t>
  </si>
  <si>
    <t>LPG</t>
  </si>
  <si>
    <t>L</t>
    <phoneticPr fontId="3" type="noConversion"/>
  </si>
  <si>
    <t>등유</t>
  </si>
  <si>
    <t>TJ/1000㎥</t>
  </si>
  <si>
    <t>CNG</t>
  </si>
  <si>
    <t>LNG</t>
  </si>
  <si>
    <t>※ 출처: 온실가스 배출권거래제의 배출량 보고 및 인증에 관한 지침 [별표 6] 배출활동별 온실가스 배출량 등의 세부산정방법 및 기준 / [별표 12] 연료별 국가 고유 발열량 및 배출계수</t>
    <phoneticPr fontId="3" type="noConversion"/>
  </si>
  <si>
    <t>외부에서 공급받는 에너지</t>
    <phoneticPr fontId="30" type="noConversion"/>
  </si>
  <si>
    <t>연료 종류</t>
    <phoneticPr fontId="3" type="noConversion"/>
  </si>
  <si>
    <t>전기 : CO₂(tCO₂/MWh)
스팀 : CO₂(kgCO₂/TJ)</t>
    <phoneticPr fontId="3" type="noConversion"/>
  </si>
  <si>
    <t>전기 : CH₄(kgCH₄/MWh)
스팀 : CH₄(kgCH₄/TJ)</t>
    <phoneticPr fontId="3" type="noConversion"/>
  </si>
  <si>
    <t>전기 : N₂O(kgN₂O/MWh)
스팀 : N₂O(kgN₂O/TJ)</t>
    <phoneticPr fontId="3" type="noConversion"/>
  </si>
  <si>
    <t>전기(소비기준)</t>
    <phoneticPr fontId="30" type="noConversion"/>
  </si>
  <si>
    <t>MJ</t>
    <phoneticPr fontId="3" type="noConversion"/>
  </si>
  <si>
    <t>스팀(일반)</t>
    <phoneticPr fontId="30" type="noConversion"/>
  </si>
  <si>
    <t>[참고] 1cal=4.1868J</t>
    <phoneticPr fontId="30" type="noConversion"/>
  </si>
  <si>
    <t>※ 출처: 온실가스 배출권거래제의 배출량 보고 및 인증에 관한 지침 [별표 6] 배출활동별 온실가스 배출량 등의 세부산정방법 및 기준</t>
    <phoneticPr fontId="3" type="noConversion"/>
  </si>
  <si>
    <t>온실가스별 지구온난화 계수</t>
    <phoneticPr fontId="30" type="noConversion"/>
  </si>
  <si>
    <t xml:space="preserve">※ 출처: 온실가스 배출권의 할당 및 거래에 관한 법률 시행령 [별표 2] 온실가스별 지구온난화 계수 </t>
    <phoneticPr fontId="3" type="noConversion"/>
  </si>
  <si>
    <t>전력 사용시설</t>
    <phoneticPr fontId="3" type="noConversion"/>
  </si>
  <si>
    <t>열/스팀 사용시설</t>
    <phoneticPr fontId="3" type="noConversion"/>
  </si>
  <si>
    <t>이산화탄소
(kgCO₂/TJ)</t>
    <phoneticPr fontId="3" type="noConversion"/>
  </si>
  <si>
    <t>메탄
(kgCH₄/TJ)</t>
    <phoneticPr fontId="3" type="noConversion"/>
  </si>
  <si>
    <t>아산화질소
(kgN₂O/TJ)</t>
    <phoneticPr fontId="3" type="noConversion"/>
  </si>
  <si>
    <t>도시가스(LNG)</t>
  </si>
  <si>
    <t>4. 기준연도 배출량 산정</t>
    <phoneticPr fontId="3" type="noConversion"/>
  </si>
  <si>
    <t>* 고정연소(직접배출)</t>
    <phoneticPr fontId="3" type="noConversion"/>
  </si>
  <si>
    <t>* 이동연소(직접배출)</t>
    <phoneticPr fontId="3" type="noConversion"/>
  </si>
  <si>
    <t>* 외부 에너지(간접배출)</t>
    <phoneticPr fontId="3" type="noConversion"/>
  </si>
  <si>
    <t>Scope1(직접배출)</t>
    <phoneticPr fontId="3" type="noConversion"/>
  </si>
  <si>
    <t>Scope2(간접배출)</t>
    <phoneticPr fontId="3" type="noConversion"/>
  </si>
  <si>
    <r>
      <t>총 배출량(tCO</t>
    </r>
    <r>
      <rPr>
        <b/>
        <vertAlign val="subscript"/>
        <sz val="16"/>
        <color theme="1"/>
        <rFont val="맑은 고딕"/>
        <family val="3"/>
        <charset val="129"/>
        <scheme val="minor"/>
      </rPr>
      <t>2</t>
    </r>
    <r>
      <rPr>
        <b/>
        <sz val="16"/>
        <color theme="1"/>
        <rFont val="맑은 고딕"/>
        <family val="3"/>
        <charset val="129"/>
        <scheme val="minor"/>
      </rPr>
      <t>eq)</t>
    </r>
    <phoneticPr fontId="3" type="noConversion"/>
  </si>
  <si>
    <t>단위</t>
  </si>
  <si>
    <t>변환 단위</t>
    <phoneticPr fontId="3" type="noConversion"/>
  </si>
  <si>
    <t>m3 -&gt; kg</t>
    <phoneticPr fontId="3" type="noConversion"/>
  </si>
  <si>
    <t>해당 지역</t>
    <phoneticPr fontId="3" type="noConversion"/>
  </si>
  <si>
    <t>1. 일반현황</t>
    <phoneticPr fontId="3" type="noConversion"/>
  </si>
  <si>
    <t>업체명</t>
    <phoneticPr fontId="3" type="noConversion"/>
  </si>
  <si>
    <t>대표자명</t>
    <phoneticPr fontId="3" type="noConversion"/>
  </si>
  <si>
    <t>주소</t>
    <phoneticPr fontId="3" type="noConversion"/>
  </si>
  <si>
    <t>담
당
자</t>
    <phoneticPr fontId="3" type="noConversion"/>
  </si>
  <si>
    <t>이름</t>
    <phoneticPr fontId="3" type="noConversion"/>
  </si>
  <si>
    <t>직급/직책</t>
    <phoneticPr fontId="3" type="noConversion"/>
  </si>
  <si>
    <t>부서</t>
    <phoneticPr fontId="3" type="noConversion"/>
  </si>
  <si>
    <t>연락처</t>
    <phoneticPr fontId="3" type="noConversion"/>
  </si>
  <si>
    <t>E-mail 주소</t>
    <phoneticPr fontId="3" type="noConversion"/>
  </si>
  <si>
    <t>2. 에너지절감량</t>
    <phoneticPr fontId="3" type="noConversion"/>
  </si>
  <si>
    <t>1) 결과종합</t>
    <phoneticPr fontId="3" type="noConversion"/>
  </si>
  <si>
    <t>부문</t>
    <phoneticPr fontId="3" type="noConversion"/>
  </si>
  <si>
    <t>투자비</t>
    <phoneticPr fontId="3" type="noConversion"/>
  </si>
  <si>
    <t>에너지사용량</t>
    <phoneticPr fontId="3" type="noConversion"/>
  </si>
  <si>
    <t>에너지절감금액</t>
    <phoneticPr fontId="3" type="noConversion"/>
  </si>
  <si>
    <t>에너지절감량</t>
    <phoneticPr fontId="3" type="noConversion"/>
  </si>
  <si>
    <r>
      <t>온실가스 배출량(tCO</t>
    </r>
    <r>
      <rPr>
        <b/>
        <vertAlign val="subscript"/>
        <sz val="11"/>
        <color theme="0"/>
        <rFont val="맑은 고딕"/>
        <family val="3"/>
        <charset val="129"/>
        <scheme val="minor"/>
      </rPr>
      <t>2</t>
    </r>
    <r>
      <rPr>
        <b/>
        <sz val="11"/>
        <color theme="0"/>
        <rFont val="맑은 고딕"/>
        <family val="3"/>
        <charset val="129"/>
        <scheme val="minor"/>
      </rPr>
      <t>-eq/년)</t>
    </r>
    <phoneticPr fontId="3" type="noConversion"/>
  </si>
  <si>
    <t>총 사업비(원)</t>
    <phoneticPr fontId="3" type="noConversion"/>
  </si>
  <si>
    <t>제외금액(원)</t>
    <phoneticPr fontId="3" type="noConversion"/>
  </si>
  <si>
    <t>회수기간(년)</t>
    <phoneticPr fontId="3" type="noConversion"/>
  </si>
  <si>
    <t>개선 전(TOE/년)</t>
    <phoneticPr fontId="3" type="noConversion"/>
  </si>
  <si>
    <t>개선 후(TOE/년)</t>
    <phoneticPr fontId="3" type="noConversion"/>
  </si>
  <si>
    <t>단가(원/TOE)</t>
    <phoneticPr fontId="3" type="noConversion"/>
  </si>
  <si>
    <t>절감금액(원)</t>
    <phoneticPr fontId="3" type="noConversion"/>
  </si>
  <si>
    <t>절감량(TOE/년)</t>
    <phoneticPr fontId="3" type="noConversion"/>
  </si>
  <si>
    <t>절감률</t>
    <phoneticPr fontId="3" type="noConversion"/>
  </si>
  <si>
    <t>개선 전</t>
    <phoneticPr fontId="3" type="noConversion"/>
  </si>
  <si>
    <t>개선 후</t>
    <phoneticPr fontId="3" type="noConversion"/>
  </si>
  <si>
    <t>감축량</t>
    <phoneticPr fontId="3" type="noConversion"/>
  </si>
  <si>
    <t>전체</t>
    <phoneticPr fontId="3" type="noConversion"/>
  </si>
  <si>
    <t>* 총사업비 : 정부지원금, 민간부담금, 현물, 현금 총액 등</t>
    <phoneticPr fontId="3" type="noConversion"/>
  </si>
  <si>
    <t>* 제외금액 : 인건비 등 구축비와 관련없는 비용 등</t>
    <phoneticPr fontId="3" type="noConversion"/>
  </si>
  <si>
    <t>2) 에너지원별 에너지절감효과</t>
    <phoneticPr fontId="3" type="noConversion"/>
  </si>
  <si>
    <t>에너지원 구분</t>
    <phoneticPr fontId="3" type="noConversion"/>
  </si>
  <si>
    <t>에너지원 정보</t>
    <phoneticPr fontId="3" type="noConversion"/>
  </si>
  <si>
    <t>연간 에너지사용량</t>
    <phoneticPr fontId="3" type="noConversion"/>
  </si>
  <si>
    <t>연간 에너지사용량 환산</t>
    <phoneticPr fontId="3" type="noConversion"/>
  </si>
  <si>
    <t>연간 에너지절감량</t>
    <phoneticPr fontId="3" type="noConversion"/>
  </si>
  <si>
    <t>구매단가(원)</t>
    <phoneticPr fontId="3" type="noConversion"/>
  </si>
  <si>
    <t>개선 전(TOE)</t>
    <phoneticPr fontId="3" type="noConversion"/>
  </si>
  <si>
    <t>개선 후(TOE)</t>
    <phoneticPr fontId="3" type="noConversion"/>
  </si>
  <si>
    <t>절감량(TOE)</t>
    <phoneticPr fontId="3" type="noConversion"/>
  </si>
  <si>
    <t>화석연료</t>
    <phoneticPr fontId="3" type="noConversion"/>
  </si>
  <si>
    <t>* 개선 전 : 수준진단 결과 값</t>
    <phoneticPr fontId="3" type="noConversion"/>
  </si>
  <si>
    <t>* 개선 후 : 에너지 절감활동 추진 시 추정 값</t>
    <phoneticPr fontId="3" type="noConversion"/>
  </si>
  <si>
    <t>B-C유</t>
  </si>
  <si>
    <t>도시가스(LPG)</t>
  </si>
  <si>
    <t>원료용 유연탄(역청탄)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</si>
  <si>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</si>
  <si>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</si>
  <si>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</si>
  <si>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</si>
  <si>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</si>
  <si>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</si>
  <si>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</si>
  <si>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</si>
  <si>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</si>
  <si>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</si>
  <si>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입력 단위</t>
    <phoneticPr fontId="3" type="noConversion"/>
  </si>
  <si>
    <t>조정기압력 보정계수</t>
    <phoneticPr fontId="3" type="noConversion"/>
  </si>
  <si>
    <t>* 구매단가(원) : 전기 또는 가스 고지서, 한전사이트 등 산출근거 활용</t>
    <phoneticPr fontId="3" type="noConversion"/>
  </si>
  <si>
    <t>6. 에너지절감효과 산정</t>
    <phoneticPr fontId="3" type="noConversion"/>
  </si>
  <si>
    <t>7. 스팀_프로판 단위 변환</t>
    <phoneticPr fontId="3" type="noConversion"/>
  </si>
  <si>
    <t>1. 작성요령 및 유의사항</t>
    <phoneticPr fontId="3" type="noConversion"/>
  </si>
  <si>
    <t>2. 사업장 일반현황</t>
    <phoneticPr fontId="3" type="noConversion"/>
  </si>
  <si>
    <t>5. 배출량 총괄</t>
    <phoneticPr fontId="3" type="noConversion"/>
  </si>
  <si>
    <t>대표자</t>
  </si>
  <si>
    <t>대표업종</t>
  </si>
  <si>
    <t>담당부서</t>
  </si>
  <si>
    <t>담당자</t>
  </si>
  <si>
    <t>직급</t>
  </si>
  <si>
    <t>출처 및 다운로드 날짜</t>
  </si>
  <si>
    <t>전화번호</t>
  </si>
  <si>
    <t>휴대폰 번호</t>
  </si>
  <si>
    <t>이메일</t>
  </si>
  <si>
    <t>주요 생산제품 또는 처리물질</t>
  </si>
  <si>
    <t>상시 종업원수</t>
  </si>
  <si>
    <t>당해연도 매출액 (백만원)</t>
  </si>
  <si>
    <t>당해연도 에너지비용 (백만원)</t>
  </si>
  <si>
    <t>자본금  (백만원)</t>
  </si>
  <si>
    <t>중소기업여부 (Y/N)</t>
  </si>
  <si>
    <t>조직경계에서 제외되는 시설</t>
  </si>
  <si>
    <t>타 법인 배출시설의 조직경계 포함 여부</t>
  </si>
  <si>
    <t>공정설명</t>
  </si>
  <si>
    <t>tCH4</t>
    <phoneticPr fontId="3" type="noConversion"/>
  </si>
  <si>
    <t>tN2O</t>
    <phoneticPr fontId="3" type="noConversion"/>
  </si>
  <si>
    <r>
      <t>tCO</t>
    </r>
    <r>
      <rPr>
        <vertAlign val="subscript"/>
        <sz val="10"/>
        <color theme="1"/>
        <rFont val="맑은 고딕"/>
        <family val="3"/>
        <charset val="129"/>
        <scheme val="minor"/>
      </rPr>
      <t>2</t>
    </r>
    <r>
      <rPr>
        <sz val="10"/>
        <color theme="1"/>
        <rFont val="맑은 고딕"/>
        <family val="3"/>
        <charset val="129"/>
        <scheme val="minor"/>
      </rPr>
      <t>eq/ton</t>
    </r>
    <phoneticPr fontId="3" type="noConversion"/>
  </si>
  <si>
    <t>1.2 온실가스 및 에너지 원단위</t>
    <phoneticPr fontId="3" type="noConversion"/>
  </si>
  <si>
    <t>Scope 1(직접배출)</t>
    <phoneticPr fontId="3" type="noConversion"/>
  </si>
  <si>
    <t>Scope 2(간접배출)</t>
  </si>
  <si>
    <r>
      <t>총 배출량(tCO</t>
    </r>
    <r>
      <rPr>
        <b/>
        <vertAlign val="subscript"/>
        <sz val="16"/>
        <color theme="1"/>
        <rFont val="맑은 고딕"/>
        <family val="3"/>
        <charset val="129"/>
        <scheme val="major"/>
      </rPr>
      <t>2</t>
    </r>
    <r>
      <rPr>
        <b/>
        <sz val="16"/>
        <color theme="1"/>
        <rFont val="맑은 고딕"/>
        <family val="3"/>
        <charset val="129"/>
        <scheme val="major"/>
      </rPr>
      <t>eq)</t>
    </r>
    <phoneticPr fontId="3" type="noConversion"/>
  </si>
  <si>
    <t>1.1. 업체 일반정보</t>
    <phoneticPr fontId="3" type="noConversion"/>
  </si>
  <si>
    <t>사업자(법인)등록번호</t>
    <phoneticPr fontId="3" type="noConversion"/>
  </si>
  <si>
    <t>업체 소재지</t>
    <phoneticPr fontId="3" type="noConversion"/>
  </si>
  <si>
    <t>업체 전화번호</t>
    <phoneticPr fontId="3" type="noConversion"/>
  </si>
  <si>
    <t>연간 생산량 또는 처리량(ton)</t>
    <phoneticPr fontId="3" type="noConversion"/>
  </si>
  <si>
    <t>대상년도(년)</t>
    <phoneticPr fontId="3" type="noConversion"/>
  </si>
  <si>
    <t>No</t>
  </si>
  <si>
    <t>No</t>
    <phoneticPr fontId="3" type="noConversion"/>
  </si>
  <si>
    <t>배출시설</t>
  </si>
  <si>
    <t>연료/원료</t>
  </si>
  <si>
    <t>사용량</t>
  </si>
  <si>
    <t>배출량(tCO2-eq)</t>
  </si>
  <si>
    <t>배출량 비율</t>
  </si>
  <si>
    <t/>
  </si>
  <si>
    <t>총발열량
(kWh/MJ)</t>
    <phoneticPr fontId="3" type="noConversion"/>
  </si>
  <si>
    <t>순발열량
(kWh/MJ)</t>
    <phoneticPr fontId="3" type="noConversion"/>
  </si>
  <si>
    <t>전력(소비기준)</t>
    <phoneticPr fontId="3" type="noConversion"/>
  </si>
  <si>
    <t>TJ/1,000,000N㎥</t>
  </si>
  <si>
    <t>TJ/1,000㎥</t>
  </si>
  <si>
    <r>
      <t>총발열량 석유환산톤
(10</t>
    </r>
    <r>
      <rPr>
        <b/>
        <vertAlign val="superscript"/>
        <sz val="9"/>
        <rFont val="맑은 고딕"/>
        <family val="3"/>
        <charset val="129"/>
        <scheme val="minor"/>
      </rPr>
      <t>-3</t>
    </r>
    <r>
      <rPr>
        <b/>
        <sz val="9"/>
        <rFont val="맑은 고딕"/>
        <family val="3"/>
        <charset val="129"/>
        <scheme val="minor"/>
      </rPr>
      <t>toe)</t>
    </r>
    <phoneticPr fontId="30" type="noConversion"/>
  </si>
  <si>
    <t>※ 출처 : 에너지법 시행규칙 [별표] 에너지열량 환산기준</t>
    <phoneticPr fontId="30" type="noConversion"/>
  </si>
  <si>
    <t>총발열량 석유환산톤
(10-3toe)</t>
    <phoneticPr fontId="3" type="noConversion"/>
  </si>
  <si>
    <t>가스연료</t>
    <phoneticPr fontId="3" type="noConversion"/>
  </si>
  <si>
    <t>1.1. 작성 필수 시트</t>
    <phoneticPr fontId="3" type="noConversion"/>
  </si>
  <si>
    <t>1.2. 작성 활용 시트</t>
    <phoneticPr fontId="3" type="noConversion"/>
  </si>
  <si>
    <t>1.3. 결과 확인 시트(자동 산정)</t>
    <phoneticPr fontId="3" type="noConversion"/>
  </si>
  <si>
    <t>◈ 사업장의 전반적인 정보와 온실가스 배출에 대한 정의 확인하기 위한 입력 시트</t>
    <phoneticPr fontId="3" type="noConversion"/>
  </si>
  <si>
    <t>◈ 절감아이템에 대한 에너지절감효과를 산정하기 위한 시트</t>
    <phoneticPr fontId="3" type="noConversion"/>
  </si>
  <si>
    <t>◈ [3. 기준연도 활동자료 입력] 시트에 에너지원 중 스팀 및 프로판의 사용량 단위가 다를 경우 단위 환산을 위한 시트</t>
    <phoneticPr fontId="3" type="noConversion"/>
  </si>
  <si>
    <t>◈ [3. 기준연도 활동자료 입력] 시트에서 입력한 데이터를 기반으로 산정한 상세 온실가스 배출량을 확인할 수 있는 시트</t>
    <phoneticPr fontId="3" type="noConversion"/>
  </si>
  <si>
    <t>◈ [3. 기준연도 활동자료 입력] 시트에서 입력한 데이터를 기반으로 온실가스 배출량 및 원단위를 산정한 총괄 데이터를 확인할 수 있는 시트</t>
    <phoneticPr fontId="3" type="noConversion"/>
  </si>
  <si>
    <t>▶ 1.1. 업체 일반정보</t>
    <phoneticPr fontId="3" type="noConversion"/>
  </si>
  <si>
    <t>- 해당 업체의 업체명 등의 업체 일반 사항을 직접 입력</t>
    <phoneticPr fontId="3" type="noConversion"/>
  </si>
  <si>
    <t>- [2.1. 사업장 조직경계-사진]과 동일한 구조로 시설배치도 이미지 입력(공장 내 건물 등에 배치된 시설 및 설비 배치도)</t>
    <phoneticPr fontId="3" type="noConversion"/>
  </si>
  <si>
    <t>- 조직경계에서 제외되는 시설 : 협력업체 등 시설배치도 상에는 존재하나 해당 업체에서 관리하지 않는 시설이나 설비 표기 및 작성</t>
    <phoneticPr fontId="3" type="noConversion"/>
  </si>
  <si>
    <t>- 타 법인 배출시설의 조직경계 포함 여부 : 해당 업체의 조직경계에는 포함되나 타 법인 배출시설이 있는 경우, 해당 설비 표기 및 작성</t>
    <phoneticPr fontId="3" type="noConversion"/>
  </si>
  <si>
    <t>▶ 에너지를 사용하여 배출활동이 발생하는 사업장 내 전체 시설을 배출원별로 구분하여 사용량 직접 입력</t>
    <phoneticPr fontId="3" type="noConversion"/>
  </si>
  <si>
    <t>- [전력 사용시설] : 한전에서 제공하는 전력을 사용하는 시설</t>
    <phoneticPr fontId="3" type="noConversion"/>
  </si>
  <si>
    <t>- [이동연소] : 화석연료 등을 에너지원으로 사용하는 자동차, 지게차 등 이동수단</t>
    <phoneticPr fontId="3" type="noConversion"/>
  </si>
  <si>
    <t>- [고정연소] : 화석연료 등을 에너지원으로 사용하는 생산공정 등의 시설</t>
    <phoneticPr fontId="3" type="noConversion"/>
  </si>
  <si>
    <t>- [열/스팀 사용시설] : 외부 또는 자체 열/스팀 생산시설에서 발생한 에너지원을 사용하는 시설</t>
    <phoneticPr fontId="3" type="noConversion"/>
  </si>
  <si>
    <t>[구분]</t>
    <phoneticPr fontId="3" type="noConversion"/>
  </si>
  <si>
    <t>[배출시설명]</t>
    <phoneticPr fontId="3" type="noConversion"/>
  </si>
  <si>
    <t>- 사업장 자체적으로 사용하는 배출시설명으로 입력</t>
    <phoneticPr fontId="3" type="noConversion"/>
  </si>
  <si>
    <t>- 선택 목록상에서 해당하는 연료를 선택하여 입력</t>
    <phoneticPr fontId="3" type="noConversion"/>
  </si>
  <si>
    <t>[연료]</t>
    <phoneticPr fontId="3" type="noConversion"/>
  </si>
  <si>
    <t>[사용량]</t>
    <phoneticPr fontId="3" type="noConversion"/>
  </si>
  <si>
    <r>
      <t>- 자동 입력된</t>
    </r>
    <r>
      <rPr>
        <b/>
        <sz val="11"/>
        <color rgb="FFFF0000"/>
        <rFont val="맑은 고딕"/>
        <family val="3"/>
        <charset val="129"/>
        <scheme val="minor"/>
      </rPr>
      <t xml:space="preserve"> [단위]</t>
    </r>
    <r>
      <rPr>
        <sz val="11"/>
        <color theme="1"/>
        <rFont val="맑은 고딕"/>
        <family val="2"/>
        <charset val="129"/>
        <scheme val="minor"/>
      </rPr>
      <t>에 맞는 월별 사용량 입력</t>
    </r>
    <phoneticPr fontId="3" type="noConversion"/>
  </si>
  <si>
    <t>▶ 사업장에서 생산되는 대표 생산 제품 및 제품 생산량을 직접 입력</t>
    <phoneticPr fontId="3" type="noConversion"/>
  </si>
  <si>
    <t>[생산제품]</t>
    <phoneticPr fontId="3" type="noConversion"/>
  </si>
  <si>
    <t>- 생산제품명을 입력</t>
    <phoneticPr fontId="3" type="noConversion"/>
  </si>
  <si>
    <t>[단위]</t>
    <phoneticPr fontId="3" type="noConversion"/>
  </si>
  <si>
    <t>- 선택 목록에 있는 [ton] 단위 선택</t>
    <phoneticPr fontId="3" type="noConversion"/>
  </si>
  <si>
    <t>[생산량]</t>
    <phoneticPr fontId="3" type="noConversion"/>
  </si>
  <si>
    <r>
      <t xml:space="preserve">- 선택된 </t>
    </r>
    <r>
      <rPr>
        <b/>
        <sz val="11"/>
        <color rgb="FFFF0000"/>
        <rFont val="맑은 고딕"/>
        <family val="3"/>
        <charset val="129"/>
        <scheme val="minor"/>
      </rPr>
      <t>[ton]</t>
    </r>
    <r>
      <rPr>
        <sz val="11"/>
        <color theme="1"/>
        <rFont val="맑은 고딕"/>
        <family val="2"/>
        <charset val="129"/>
        <scheme val="minor"/>
      </rPr>
      <t xml:space="preserve"> 단위에 맞게 월별 생산량 입력</t>
    </r>
    <phoneticPr fontId="3" type="noConversion"/>
  </si>
  <si>
    <r>
      <t>※ [고정연소]의 프로판(LPG1호)의 경우, 구매고지서 등 영수증에 [m</t>
    </r>
    <r>
      <rPr>
        <b/>
        <vertAlign val="superscript"/>
        <sz val="11"/>
        <color rgb="FFFF0000"/>
        <rFont val="맑은 고딕"/>
        <family val="3"/>
        <charset val="129"/>
        <scheme val="minor"/>
      </rPr>
      <t>3</t>
    </r>
    <r>
      <rPr>
        <b/>
        <sz val="11"/>
        <color rgb="FFFF0000"/>
        <rFont val="맑은 고딕"/>
        <family val="3"/>
        <charset val="129"/>
        <scheme val="minor"/>
      </rPr>
      <t>]의 단위로 표기되어 있을 경우 [7. 스팀_프로판 단위 변환] 시트를 활용하여 단위 변환 후 입력 필요</t>
    </r>
    <phoneticPr fontId="3" type="noConversion"/>
  </si>
  <si>
    <t>※ [열/스팀 사용시설]의 스팀의 경우, 구매고지서 등 영수증에 [kg]의 단위로 표기되어 있을 경우 [7. 스팀_프로판 단위 변환] 시트를 활용하여 단위 변환 후 입력 필요</t>
    <phoneticPr fontId="3" type="noConversion"/>
  </si>
  <si>
    <r>
      <t>◈ 사업장의 온실가스 배출량(tCO</t>
    </r>
    <r>
      <rPr>
        <b/>
        <vertAlign val="subscript"/>
        <sz val="11"/>
        <color theme="1"/>
        <rFont val="맑은 고딕"/>
        <family val="3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eq) 및 윈단위 산정을 위한 입력 시트</t>
    </r>
    <phoneticPr fontId="3" type="noConversion"/>
  </si>
  <si>
    <t>▶ 1. 일반현황</t>
    <phoneticPr fontId="3" type="noConversion"/>
  </si>
  <si>
    <t>- [2. 사업장 일반현황]에서 작성된 내용으로 자동 입력됨</t>
    <phoneticPr fontId="3" type="noConversion"/>
  </si>
  <si>
    <t>▶ 2. 에너지절감량</t>
    <phoneticPr fontId="3" type="noConversion"/>
  </si>
  <si>
    <t>1) 결과 종합</t>
    <phoneticPr fontId="3" type="noConversion"/>
  </si>
  <si>
    <r>
      <t xml:space="preserve">- [에너지절감금액] 산정을 위한 </t>
    </r>
    <r>
      <rPr>
        <b/>
        <sz val="11"/>
        <color theme="1"/>
        <rFont val="맑은 고딕"/>
        <family val="3"/>
        <charset val="129"/>
        <scheme val="minor"/>
      </rPr>
      <t>총 사업비(원)</t>
    </r>
    <r>
      <rPr>
        <sz val="11"/>
        <color theme="1"/>
        <rFont val="맑은 고딕"/>
        <family val="2"/>
        <charset val="129"/>
        <scheme val="minor"/>
      </rPr>
      <t xml:space="preserve"> 및 </t>
    </r>
    <r>
      <rPr>
        <b/>
        <sz val="11"/>
        <color theme="1"/>
        <rFont val="맑은 고딕"/>
        <family val="3"/>
        <charset val="129"/>
        <scheme val="minor"/>
      </rPr>
      <t>제외금액(원)</t>
    </r>
    <r>
      <rPr>
        <sz val="11"/>
        <color theme="1"/>
        <rFont val="맑은 고딕"/>
        <family val="2"/>
        <charset val="129"/>
        <scheme val="minor"/>
      </rPr>
      <t>을 직접 입력</t>
    </r>
    <phoneticPr fontId="3" type="noConversion"/>
  </si>
  <si>
    <t>- [에너지원 구분]에서 전력을 제외한 절감활동을 하는 에너지원을 목록에서 선택</t>
    <phoneticPr fontId="3" type="noConversion"/>
  </si>
  <si>
    <t>- 자동 입력된 [단위]에 맞게 [구매단가(원)], [개선 전] / [개선 후] 연간 에너지사용량을 입력</t>
    <phoneticPr fontId="3" type="noConversion"/>
  </si>
  <si>
    <t>▶ [3. 기준연도 활용자료 입력]을 위한 스팀 및 프로판의 단위 변환</t>
    <phoneticPr fontId="3" type="noConversion"/>
  </si>
  <si>
    <t>· [스팀 배출계수] : 스팀을 제공업체로부터 받은 [J/cal] 열량 입력</t>
    <phoneticPr fontId="3" type="noConversion"/>
  </si>
  <si>
    <t>프로판 환산계수</t>
    <phoneticPr fontId="3" type="noConversion"/>
  </si>
  <si>
    <t>▶ [3. 기준연도 활동자료 입력] 내용을 기반으로 기준연도 배출량 자동 산정</t>
    <phoneticPr fontId="3" type="noConversion"/>
  </si>
  <si>
    <t>- [4.1 활동데이터] : [3. 기준연도 활동자료 입력]에서 입력된 값을 표기</t>
    <phoneticPr fontId="3" type="noConversion"/>
  </si>
  <si>
    <t>▶ [4. 기준연도 배출량 산정] 내용을 기반으로 온실가스 배출량 비중 및 시설별 온실가스 배출량, 월별 온실가스 원단위 등의 총괄 데이터 정리</t>
    <phoneticPr fontId="3" type="noConversion"/>
  </si>
  <si>
    <t>총발열량
(MJ)</t>
    <phoneticPr fontId="30" type="noConversion"/>
  </si>
  <si>
    <t>순발열량
(MJ)</t>
    <phoneticPr fontId="30" type="noConversion"/>
  </si>
  <si>
    <t>· [프로판 환산 계수] : 하단의 (A) 지역별 표준기화율과 조정기 압력 보정계수를 참고하여 [지역별 표준기화율] / [해당 지역] / [조정기압력 보정계수]를 입력</t>
    <phoneticPr fontId="3" type="noConversion"/>
  </si>
  <si>
    <t>직접 입력 (필수)</t>
    <phoneticPr fontId="3" type="noConversion"/>
  </si>
  <si>
    <t>자동 산정</t>
    <phoneticPr fontId="3" type="noConversion"/>
  </si>
  <si>
    <t>▶ 1.2. 사업장 조직경계-사진</t>
    <phoneticPr fontId="3" type="noConversion"/>
  </si>
  <si>
    <t>▶ 1.3. 사업장 조직경계-시설배치도</t>
    <phoneticPr fontId="3" type="noConversion"/>
  </si>
  <si>
    <t>1.2. 사업장 조직경계-사진</t>
    <phoneticPr fontId="3" type="noConversion"/>
  </si>
  <si>
    <t>1.3. 사업장 조직경계-시설배치도</t>
    <phoneticPr fontId="3" type="noConversion"/>
  </si>
  <si>
    <t>1.4. 사업장 조직경계-공정도</t>
    <phoneticPr fontId="3" type="noConversion"/>
  </si>
  <si>
    <t>▶ 1.4. 사업장 조직경계-공정도</t>
    <phoneticPr fontId="3" type="noConversion"/>
  </si>
  <si>
    <t>- 사업장의 공정 도식도를 입력하고 해당 공정별 설명 작성</t>
    <phoneticPr fontId="3" type="noConversion"/>
  </si>
  <si>
    <t>① 사진은 사업장 전체를 조망할 수 있는 가장 최근의 위성사진(예 : 구글 어스)을 다운받아 첨부하며 다운 받은 날짜 또는 사진촬영 날짜를 기재</t>
  </si>
  <si>
    <t>② 사진은 사업장 경계에 대한 별도의 식별표시(예 : 빨간선)가 되어 있거나 사진 상에 해당 사업장만 표현되며, 외부업체와의 경계가 명확히 구분될 수 있도록 작성</t>
  </si>
  <si>
    <t>③ 위성사진보다 더 정확하고 최신 날짜로 업데이트된 사진이 있을 경우 해당 사진 첨부 가능</t>
  </si>
  <si>
    <t xml:space="preserve">* 조직경계 : 업체의 지배적인 영향력 아래에서 발생되는 활동에 의한 인위적인 온실가스 배출량의 산정 및 보고의 기준이 되는 조직의 범위를 말함 </t>
  </si>
  <si>
    <t xml:space="preserve">· 사진 : 보고대상 사업장의 조직경계 내 모든 건물이 확인 가능한 가장 최근의 위성사진 또는 전체사업장 사진
</t>
    <phoneticPr fontId="3" type="noConversion"/>
  </si>
  <si>
    <t>- 지원 대상인 실제 사업장 전체를 확인 가능한 사진 입력</t>
    <phoneticPr fontId="3" type="noConversion"/>
  </si>
  <si>
    <t>** 사업장 조직경계 관련 첨부된 사업장 사진에 조직경계 외 부분이 포함될 경우 별도표시 및 설명추가 (조직경계 내의 특이사항이 있는 경우, 보충설명 작성)</t>
    <phoneticPr fontId="3" type="noConversion"/>
  </si>
  <si>
    <t>① 조직경계에 포함되는 배출시설과 제외되는 배출시설이 명확히 식별되어야 함</t>
  </si>
  <si>
    <t>② 타 법인의 배출시설이 보고대상 사업장의 배출시설과 연관되어 조직경계에 포함해야 하는 경우</t>
  </si>
  <si>
    <t>③ 타 법인의 배출시설이 보고대상 사업장의 배출시설과 연관되어 있으나 조직경계에 포함하지 않는 경우</t>
  </si>
  <si>
    <t>· 시설배치도 : 대상 사업장의 위성사진을 토대로 조직경계 내 기존시설, 조직경계 제외 시설 등이 구분 가능하고 각 시설의 배치가 확인 가능한 시설배치도</t>
    <phoneticPr fontId="3" type="noConversion"/>
  </si>
  <si>
    <t>* 운영통제 범위 내에 있을 때</t>
    <phoneticPr fontId="3" type="noConversion"/>
  </si>
  <si>
    <t>* 타 법인 배출시설과 연관된 배출시설의 활동자료의 합산 값만이 모니터링 되며, 타 법인 배출시설의 활동자료를 별도로 수집할 수 없을 때</t>
    <phoneticPr fontId="3" type="noConversion"/>
  </si>
  <si>
    <t>* 운영통제 범위 밖의 배출시설이고 해당 배출시설에 대한 활동자료가 모니터링 되는 경우, 해당 배출시설은 보고대상 사업장의 조직경계에서 제외할 수 있음.</t>
    <phoneticPr fontId="3" type="noConversion"/>
  </si>
  <si>
    <t>① 사업장의 생산제품들의 배출활동 구성이 동일하다면 공정도 중에 대표로 1개에 대해서만 제시 가능</t>
  </si>
  <si>
    <t>· 공정도 : 온실가스 흐름 및 에너지 흐름이 포함된 보고대상 사업장의 대표 공정이 확인 가능한 공정도를 제시하고 설명을 기입하여야 함</t>
    <phoneticPr fontId="3" type="noConversion"/>
  </si>
  <si>
    <t>사용량 출처</t>
    <phoneticPr fontId="3" type="noConversion"/>
  </si>
  <si>
    <t>비고</t>
    <phoneticPr fontId="3" type="noConversion"/>
  </si>
  <si>
    <t>생산량 출처</t>
    <phoneticPr fontId="3" type="noConversion"/>
  </si>
  <si>
    <t>[사용량 출처]</t>
    <phoneticPr fontId="3" type="noConversion"/>
  </si>
  <si>
    <t>- 사용량 확인이 가능한 사용량 출처를 선택</t>
    <phoneticPr fontId="3" type="noConversion"/>
  </si>
  <si>
    <t>[비고]</t>
    <phoneticPr fontId="3" type="noConversion"/>
  </si>
  <si>
    <t>- 사용량 출처를 &lt;기타&gt;로 선택하였거나, 그 외 사용량 확인을 위해 참고가 필요한 내용에 대해 작성</t>
    <phoneticPr fontId="3" type="noConversion"/>
  </si>
  <si>
    <t>[생산량 출처]</t>
    <phoneticPr fontId="3" type="noConversion"/>
  </si>
  <si>
    <t>- 생산량 확인이 가능한 생산량 출처를 선택</t>
    <phoneticPr fontId="3" type="noConversion"/>
  </si>
  <si>
    <t>- 생산량 출처를 &lt;기타&gt;로 선택하였거나, 그 외 생산량 확인을 위해 참고가 필요한 내용에 대해 작성</t>
    <phoneticPr fontId="3" type="noConversion"/>
  </si>
  <si>
    <t>참고) 스팀_프로판 단위 변환</t>
    <phoneticPr fontId="3" type="noConversion"/>
  </si>
  <si>
    <t>※ 해당 단위에 맞게 사용량 입력 필수(스팀과 프로판(LPG1호)의 경우, [참고) 스팀_프로판 단위 변환] 시트 활용하여 입력)</t>
    <phoneticPr fontId="3" type="noConversion"/>
  </si>
  <si>
    <r>
      <t xml:space="preserve">- [고정연소]의 </t>
    </r>
    <r>
      <rPr>
        <b/>
        <sz val="11"/>
        <color rgb="FFFF0000"/>
        <rFont val="맑은 고딕"/>
        <family val="3"/>
        <charset val="129"/>
        <scheme val="minor"/>
      </rPr>
      <t>프로판(LPG1호)</t>
    </r>
    <r>
      <rPr>
        <sz val="11"/>
        <color theme="1"/>
        <rFont val="맑은 고딕"/>
        <family val="2"/>
        <charset val="129"/>
        <scheme val="minor"/>
      </rPr>
      <t>의 경우, 구매고지서 등 영수증에 [m3]의 단위로 표기되어 있을 경우 [참고) 스팀_프로판 단위 변환] 시트를 활용하여 단위 변환 후 입력 필요</t>
    </r>
    <phoneticPr fontId="3" type="noConversion"/>
  </si>
  <si>
    <r>
      <t xml:space="preserve">- [열/스팀 사용시설]의 </t>
    </r>
    <r>
      <rPr>
        <b/>
        <sz val="11"/>
        <color rgb="FFFF0000"/>
        <rFont val="맑은 고딕"/>
        <family val="3"/>
        <charset val="129"/>
        <scheme val="minor"/>
      </rPr>
      <t>스팀</t>
    </r>
    <r>
      <rPr>
        <sz val="11"/>
        <color theme="1"/>
        <rFont val="맑은 고딕"/>
        <family val="2"/>
        <charset val="129"/>
        <scheme val="minor"/>
      </rPr>
      <t>의 경우, 구매고지서 등 영수증에 [kg]의 단위로 표기되어 있을 경우 [참고) 스팀_프로판 단위 변환] 시트를 활용하여 단위 변환 후 입력 필요</t>
    </r>
    <phoneticPr fontId="3" type="noConversion"/>
  </si>
  <si>
    <t>※ 배출시설은 다르나, 동일한 [구분 - 고정연소/이동연소/전력 사용시설/열스팀 사용시설]에 대해서 동일한 연료를 사용할 경우, 하나의 배출시설로 합산하여 입력 가능</t>
    <phoneticPr fontId="3" type="noConversion"/>
  </si>
  <si>
    <t>※ [전력 사용시설] 및 [열/스팀 사용시설]의 경우, 배출시설이 다수이나 한 개의 자료(예 : 한전 고지서, 스팀 거래명세서 등)로 관리할 경우, "사업장 전력 사용시설", "사업장 스팀 사용시설"로 합산하여 입력 가능</t>
    <phoneticPr fontId="3" type="noConversion"/>
  </si>
  <si>
    <t>설비명</t>
    <phoneticPr fontId="3" type="noConversion"/>
  </si>
  <si>
    <t>에너지원</t>
    <phoneticPr fontId="3" type="noConversion"/>
  </si>
  <si>
    <t>비고</t>
    <phoneticPr fontId="3" type="noConversion"/>
  </si>
  <si>
    <t>대수</t>
    <phoneticPr fontId="3" type="noConversion"/>
  </si>
  <si>
    <t>용량</t>
    <phoneticPr fontId="3" type="noConversion"/>
  </si>
  <si>
    <t>제조년도</t>
    <phoneticPr fontId="3" type="noConversion"/>
  </si>
  <si>
    <t>1.5. 사업장 주요설비 목록</t>
    <phoneticPr fontId="3" type="noConversion"/>
  </si>
  <si>
    <t>▶ 1.5. 사업장 주요설비 목록</t>
    <phoneticPr fontId="3" type="noConversion"/>
  </si>
  <si>
    <r>
      <t>- 사업장의 주요설비에 대한 정보를 작성</t>
    </r>
    <r>
      <rPr>
        <sz val="11"/>
        <color rgb="FFFF0000"/>
        <rFont val="맑은 고딕"/>
        <family val="3"/>
        <charset val="129"/>
        <scheme val="minor"/>
      </rPr>
      <t>(절감아이템에 포함되는 노후설비 작성 필수) - 설비에 부착된 명판이나 사양서 등을 통해 확인이 가능한 자료를 토대로 작성</t>
    </r>
    <phoneticPr fontId="3" type="noConversion"/>
  </si>
  <si>
    <t>· 설비명 : 주요설비의 설비명칭</t>
    <phoneticPr fontId="3" type="noConversion"/>
  </si>
  <si>
    <t>· 용량/단위 : 해당 설비의 정격 용량 및 용량 단위 작성</t>
    <phoneticPr fontId="3" type="noConversion"/>
  </si>
  <si>
    <t>· 대수 : 해당 설비의 대수를 작성</t>
    <phoneticPr fontId="3" type="noConversion"/>
  </si>
  <si>
    <t>· 에너지원 : 전기/스팀/LNG 등 해당 설비에서 사용 중인 에너지원 입력(에너지원이 다수일 경우, 모두 작성)</t>
    <phoneticPr fontId="3" type="noConversion"/>
  </si>
  <si>
    <t>· 제조년도 : 설비 제조년도 작성</t>
    <phoneticPr fontId="3" type="noConversion"/>
  </si>
  <si>
    <t>· 비고 : 참고사항 작성</t>
    <phoneticPr fontId="3" type="noConversion"/>
  </si>
  <si>
    <t>[대상연도 :</t>
    <phoneticPr fontId="3" type="noConversion"/>
  </si>
  <si>
    <t>년]</t>
    <phoneticPr fontId="3" type="noConversion"/>
  </si>
  <si>
    <t>에너지 사용량(toe)</t>
    <phoneticPr fontId="3" type="noConversion"/>
  </si>
  <si>
    <t>에너지 사용량(TJ)</t>
    <phoneticPr fontId="3" type="noConversion"/>
  </si>
  <si>
    <t>4.3 에너지 사용량 산정</t>
    <phoneticPr fontId="3" type="noConversion"/>
  </si>
  <si>
    <t>toe</t>
    <phoneticPr fontId="3" type="noConversion"/>
  </si>
  <si>
    <t>TJ</t>
    <phoneticPr fontId="3" type="noConversion"/>
  </si>
  <si>
    <t>ton</t>
  </si>
  <si>
    <t>배출계수
(tC/TJ)</t>
    <phoneticPr fontId="30" type="noConversion"/>
  </si>
  <si>
    <t>출처 : EG-TIPS 에너지온실가스 종합정보 플랫폼(https://tips.energy.or.kr/carbon/Ggas_tatistics03.do)</t>
    <phoneticPr fontId="30" type="noConversion"/>
  </si>
  <si>
    <r>
      <t>CO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phoneticPr fontId="3" type="noConversion"/>
  </si>
  <si>
    <r>
      <t>CH</t>
    </r>
    <r>
      <rPr>
        <b/>
        <vertAlign val="subscript"/>
        <sz val="13"/>
        <color theme="0"/>
        <rFont val="맑은 고딕"/>
        <family val="3"/>
        <charset val="129"/>
        <scheme val="minor"/>
      </rPr>
      <t>4</t>
    </r>
    <phoneticPr fontId="3" type="noConversion"/>
  </si>
  <si>
    <r>
      <t>N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r>
      <rPr>
        <b/>
        <sz val="13"/>
        <color theme="0"/>
        <rFont val="맑은 고딕"/>
        <family val="3"/>
        <charset val="129"/>
        <scheme val="minor"/>
      </rPr>
      <t>O</t>
    </r>
    <phoneticPr fontId="3" type="noConversion"/>
  </si>
  <si>
    <r>
      <t>CO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r>
      <rPr>
        <b/>
        <sz val="13"/>
        <color theme="0"/>
        <rFont val="맑은 고딕"/>
        <family val="3"/>
        <charset val="129"/>
        <scheme val="minor"/>
      </rPr>
      <t>eq</t>
    </r>
    <phoneticPr fontId="3" type="noConversion"/>
  </si>
  <si>
    <t>kgCO2/TJ</t>
    <phoneticPr fontId="3" type="noConversion"/>
  </si>
  <si>
    <t>kgCH4/TJ</t>
    <phoneticPr fontId="3" type="noConversion"/>
  </si>
  <si>
    <t>kgN2O/TJ</t>
    <phoneticPr fontId="3" type="noConversion"/>
  </si>
  <si>
    <r>
      <t>kgCO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r>
      <rPr>
        <b/>
        <sz val="13"/>
        <color theme="0"/>
        <rFont val="맑은 고딕"/>
        <family val="3"/>
        <charset val="129"/>
        <scheme val="minor"/>
      </rPr>
      <t>eq/TJ</t>
    </r>
    <phoneticPr fontId="3" type="noConversion"/>
  </si>
  <si>
    <t>프로판</t>
  </si>
  <si>
    <t>- [4.3 에너지 사용량 산정] : 입력된 값을 기반으로 각각의 배출시설별 toe/TJ 단위에 맞게 사용량 산정</t>
    <phoneticPr fontId="3" type="noConversion"/>
  </si>
  <si>
    <r>
      <t>- [4.2 온실가스 배출량 산정] : 입력된 값을 기반으로 각각의 배출시설별 tCO</t>
    </r>
    <r>
      <rPr>
        <vertAlign val="sub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/ tCH</t>
    </r>
    <r>
      <rPr>
        <vertAlign val="subscript"/>
        <sz val="11"/>
        <color theme="1"/>
        <rFont val="맑은 고딕"/>
        <family val="3"/>
        <charset val="129"/>
        <scheme val="minor"/>
      </rPr>
      <t>4</t>
    </r>
    <r>
      <rPr>
        <sz val="11"/>
        <color theme="1"/>
        <rFont val="맑은 고딕"/>
        <family val="2"/>
        <charset val="129"/>
        <scheme val="minor"/>
      </rPr>
      <t xml:space="preserve"> / tN</t>
    </r>
    <r>
      <rPr>
        <vertAlign val="sub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O / tCO</t>
    </r>
    <r>
      <rPr>
        <vertAlign val="sub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eq 단위에 맞게 배출량 산정</t>
    </r>
    <phoneticPr fontId="3" type="noConversion"/>
  </si>
  <si>
    <t>에너지 사용량</t>
    <phoneticPr fontId="3" type="noConversion"/>
  </si>
  <si>
    <t>제조업</t>
  </si>
  <si>
    <t>관리팀</t>
    <phoneticPr fontId="3" type="noConversion"/>
  </si>
  <si>
    <t>Y</t>
  </si>
  <si>
    <t>해당없음</t>
    <phoneticPr fontId="3" type="noConversion"/>
  </si>
  <si>
    <t>사업장 단위 전기사용시설</t>
  </si>
  <si>
    <t>사업장 단위 전기사용시설</t>
    <phoneticPr fontId="3" type="noConversion"/>
  </si>
  <si>
    <t>전기(소비기준)</t>
  </si>
  <si>
    <t>법적 고지서</t>
  </si>
  <si>
    <t>ERP/MES</t>
  </si>
  <si>
    <t>kWh</t>
  </si>
  <si>
    <t>울산시</t>
    <phoneticPr fontId="3" type="noConversion"/>
  </si>
  <si>
    <t>대</t>
    <phoneticPr fontId="3" type="noConversion"/>
  </si>
  <si>
    <t>대</t>
    <phoneticPr fontId="3" type="noConversion"/>
  </si>
  <si>
    <t>전기</t>
    <phoneticPr fontId="3" type="noConversion"/>
  </si>
  <si>
    <t>월평균 산출(계산)처리</t>
    <phoneticPr fontId="3" type="noConversion"/>
  </si>
  <si>
    <t>㈜삼화당피앤티</t>
    <phoneticPr fontId="3" type="noConversion"/>
  </si>
  <si>
    <t>이경수</t>
    <phoneticPr fontId="3" type="noConversion"/>
  </si>
  <si>
    <t>542-88-02247</t>
    <phoneticPr fontId="3" type="noConversion"/>
  </si>
  <si>
    <t>02-464-3752</t>
    <phoneticPr fontId="3" type="noConversion"/>
  </si>
  <si>
    <t>김기태</t>
    <phoneticPr fontId="3" type="noConversion"/>
  </si>
  <si>
    <t>팀장</t>
    <phoneticPr fontId="3" type="noConversion"/>
  </si>
  <si>
    <t>010-4174-7437</t>
    <phoneticPr fontId="3" type="noConversion"/>
  </si>
  <si>
    <t>ktkim@samhwadang.co.kr</t>
    <phoneticPr fontId="3" type="noConversion"/>
  </si>
  <si>
    <t>오프셋 인쇄 제품</t>
    <phoneticPr fontId="3" type="noConversion"/>
  </si>
  <si>
    <t>경기도 남양주시 진건읍 진관산단로59번길 39</t>
    <phoneticPr fontId="3" type="noConversion"/>
  </si>
  <si>
    <t>카카오맵 , 2025-11-24, 경기도 남양주시 진건읍 진관산단로59번길 39, ㈜삼화당피앤티</t>
    <phoneticPr fontId="3" type="noConversion"/>
  </si>
  <si>
    <t xml:space="preserve">*원료 및 자재반입 &gt; 원지, 부자재, 잉크 등 원 부자재를 규격별로 입고하여 저장
*재단 및 공정투입 &gt; 원지 규격재단 및 공정(인쇄공정) 투입
*제품생산(인쇄, 톰슨) &gt; 고객 사양에 따라 원지 위에 잉크 및 보조재료를 사용하여 인쇄 및 톰슨방식으로 
 공정제품 생산
*제품 후가공(라벨, 접착) &gt; 생산된 공정제품에 라벨 부착 및 접착 가공 
*제품검사 및 포장 &gt; 제품 품질검사 및 고객 현장 도착 인도시까지 제품이 보존되도록 포장 
*제품출하 및 공급 &gt; 고객의 요청에 따라 제품을 출하하여 운송차량으로 고객 현장에 도착하여 고객인계 </t>
    <phoneticPr fontId="3" type="noConversion"/>
  </si>
  <si>
    <t>인쇄기</t>
    <phoneticPr fontId="3" type="noConversion"/>
  </si>
  <si>
    <t>4색 옵셋</t>
    <phoneticPr fontId="3" type="noConversion"/>
  </si>
  <si>
    <t>8색 옵셋</t>
    <phoneticPr fontId="3" type="noConversion"/>
  </si>
  <si>
    <t>톰슨기</t>
    <phoneticPr fontId="3" type="noConversion"/>
  </si>
  <si>
    <t>TS-800S</t>
    <phoneticPr fontId="3" type="noConversion"/>
  </si>
  <si>
    <t>6색 옵샛</t>
    <phoneticPr fontId="3" type="noConversion"/>
  </si>
  <si>
    <t>AP-1060TS</t>
    <phoneticPr fontId="3" type="noConversion"/>
  </si>
  <si>
    <t>AP-103E</t>
    <phoneticPr fontId="3" type="noConversion"/>
  </si>
  <si>
    <t>라벨러</t>
    <phoneticPr fontId="3" type="noConversion"/>
  </si>
  <si>
    <t>SV-360</t>
    <phoneticPr fontId="3" type="noConversion"/>
  </si>
  <si>
    <t>접착기</t>
    <phoneticPr fontId="3" type="noConversion"/>
  </si>
  <si>
    <t>재단기</t>
    <phoneticPr fontId="3" type="noConversion"/>
  </si>
  <si>
    <t>공기압축기</t>
    <phoneticPr fontId="3" type="noConversion"/>
  </si>
  <si>
    <t>DCP-1160</t>
    <phoneticPr fontId="3" type="noConversion"/>
  </si>
  <si>
    <t>SWC-30A</t>
    <phoneticPr fontId="3" type="noConversion"/>
  </si>
  <si>
    <t>오프셋 인쇄제품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</si>
</sst>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0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.0"/>
    <numFmt numFmtId="178" formatCode="#,##0_);[Red]\(#,##0\)"/>
    <numFmt numFmtId="179" formatCode="0.000"/>
    <numFmt numFmtId="180" formatCode="_-* #,##0.000_-;\-* #,##0.000_-;_-* &quot;-&quot;_-;_-@_-"/>
    <numFmt numFmtId="181" formatCode="0.0000_ "/>
    <numFmt numFmtId="182" formatCode="_-* #,##0.0000_-;\-* #,##0.0000_-;_-* &quot;-&quot;_-;_-@_-"/>
    <numFmt numFmtId="183" formatCode="_-* #,##0.000_-;\-* #,##0.000_-;_-* &quot;-&quot;??_-;_-@_-"/>
    <numFmt numFmtId="184" formatCode="#,##0.0000_ "/>
    <numFmt numFmtId="185" formatCode="_-* #,##0.0000_-;\-* #,##0.0000_-;_-* &quot;-&quot;??_-;_-@_-"/>
    <numFmt numFmtId="186" formatCode="_-* #,##0.0_-;\-* #,##0.0_-;_-* &quot;-&quot;_-;_-@_-"/>
    <numFmt numFmtId="187" formatCode="#,##0.000_ "/>
    <numFmt numFmtId="188" formatCode="_-* #,##0.00000_-;\-* #,##0.00000_-;_-* &quot;-&quot;_-;_-@_-"/>
    <numFmt numFmtId="189" formatCode="_-* #,##0.00_-;\-* #,##0.00_-;_-* &quot;-&quot;_-;_-@_-"/>
    <numFmt numFmtId="190" formatCode="0.0%"/>
    <numFmt numFmtId="191" formatCode="0_ "/>
    <numFmt numFmtId="192" formatCode="#,##0.0_);[Red]\(#,##0.0\)"/>
    <numFmt numFmtId="193" formatCode="#,##0.00_);[Red]\(#,##0.00\)"/>
    <numFmt numFmtId="194" formatCode="#,##0.00_ "/>
    <numFmt numFmtId="195" formatCode="####&quot;년&quot;"/>
    <numFmt numFmtId="196" formatCode="0_);[Red]\(0\)"/>
    <numFmt numFmtId="197" formatCode="_-* #,##0.00000_-;\-* #,##0.00000_-;_-* &quot;-&quot;??_-;_-@_-"/>
    <numFmt numFmtId="198" formatCode="#,###\ &quot;ton&quot;"/>
    <numFmt numFmtId="199" formatCode="#,###\ &quot;명&quot;"/>
    <numFmt numFmtId="200" formatCode="#,###\ &quot;백만원&quot;"/>
    <numFmt numFmtId="201" formatCode="#,##0.0000_);[Red]\(#,##0.0000\)"/>
    <numFmt numFmtId="202" formatCode="#,##0.000_);[Red]\(#,##0.000\)"/>
    <numFmt numFmtId="203" formatCode="#,##0.0_ "/>
  </numFmts>
  <fonts count="78" x14ac:knownFonts="1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4" tint="-0.499984740745262"/>
      <name val="맑은 고딕"/>
      <family val="3"/>
      <charset val="129"/>
      <scheme val="minor"/>
    </font>
    <font>
      <b/>
      <sz val="11"/>
      <color theme="4" tint="-0.499984740745262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b/>
      <sz val="20"/>
      <color theme="0"/>
      <name val="HY강B"/>
      <family val="1"/>
      <charset val="129"/>
    </font>
    <font>
      <b/>
      <sz val="10"/>
      <color theme="2" tint="-0.499984740745262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6"/>
      <color theme="0"/>
      <name val="HY강M"/>
      <family val="1"/>
      <charset val="129"/>
    </font>
    <font>
      <b/>
      <vertAlign val="subscript"/>
      <sz val="10"/>
      <color theme="1"/>
      <name val="맑은 고딕"/>
      <family val="3"/>
      <charset val="129"/>
      <scheme val="minor"/>
    </font>
    <font>
      <sz val="14"/>
      <color theme="0" tint="-0.499984740745262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b/>
      <vertAlign val="subscript"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color theme="5" tint="-0.249977111117893"/>
      <name val="HY강M"/>
      <family val="1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inor"/>
    </font>
    <font>
      <b/>
      <sz val="12"/>
      <color rgb="FFFF0000"/>
      <name val="HY강B"/>
      <family val="1"/>
      <charset val="129"/>
    </font>
    <font>
      <b/>
      <sz val="12"/>
      <color theme="4" tint="-0.499984740745262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color theme="4" tint="-0.499984740745262"/>
      <name val="맑은 고딕"/>
      <family val="3"/>
      <charset val="129"/>
    </font>
    <font>
      <b/>
      <vertAlign val="subscript"/>
      <sz val="16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3"/>
      <color rgb="FFFF0000"/>
      <name val="맑은 고딕"/>
      <family val="3"/>
      <charset val="129"/>
      <scheme val="minor"/>
    </font>
    <font>
      <b/>
      <sz val="12"/>
      <color theme="0" tint="-0.499984740745262"/>
      <name val="맑은 고딕"/>
      <family val="3"/>
      <charset val="129"/>
      <scheme val="minor"/>
    </font>
    <font>
      <b/>
      <sz val="14"/>
      <color theme="2" tint="-0.499984740745262"/>
      <name val="맑은 고딕"/>
      <family val="3"/>
      <charset val="129"/>
      <scheme val="minor"/>
    </font>
    <font>
      <b/>
      <sz val="14"/>
      <color theme="0" tint="-0.499984740745262"/>
      <name val="맑은 고딕"/>
      <family val="3"/>
      <charset val="129"/>
      <scheme val="minor"/>
    </font>
    <font>
      <b/>
      <vertAlign val="subscript"/>
      <sz val="11"/>
      <color theme="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vertAlign val="subscript"/>
      <sz val="1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ajor"/>
    </font>
    <font>
      <b/>
      <vertAlign val="subscript"/>
      <sz val="16"/>
      <color theme="1"/>
      <name val="맑은 고딕"/>
      <family val="3"/>
      <charset val="129"/>
      <scheme val="major"/>
    </font>
    <font>
      <b/>
      <vertAlign val="superscript"/>
      <sz val="9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b/>
      <vertAlign val="superscript"/>
      <sz val="11"/>
      <color rgb="FFFF0000"/>
      <name val="맑은 고딕"/>
      <family val="3"/>
      <charset val="129"/>
      <scheme val="minor"/>
    </font>
    <font>
      <b/>
      <sz val="14"/>
      <color theme="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sz val="11"/>
      <color indexed="81"/>
      <name val="맑은 고딕"/>
      <family val="3"/>
      <charset val="129"/>
      <scheme val="minor"/>
    </font>
    <font>
      <sz val="11"/>
      <color indexed="81"/>
      <name val="맑은 고딕"/>
      <family val="3"/>
      <charset val="129"/>
      <scheme val="minor"/>
    </font>
    <font>
      <b/>
      <sz val="12"/>
      <color theme="2" tint="-0.499984740745262"/>
      <name val="맑은 고딕"/>
      <family val="3"/>
      <charset val="129"/>
      <scheme val="major"/>
    </font>
    <font>
      <b/>
      <sz val="12"/>
      <color theme="2" tint="-0.499984740745262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sz val="11"/>
      <color indexed="81"/>
      <name val="돋움"/>
      <family val="3"/>
      <charset val="129"/>
    </font>
    <font>
      <b/>
      <sz val="16"/>
      <color theme="0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ajor"/>
    </font>
    <font>
      <b/>
      <sz val="13"/>
      <color theme="0"/>
      <name val="맑은 고딕"/>
      <family val="3"/>
      <charset val="129"/>
      <scheme val="minor"/>
    </font>
    <font>
      <b/>
      <vertAlign val="subscript"/>
      <sz val="13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CC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</fills>
  <borders count="2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 style="double">
        <color indexed="64"/>
      </top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ck">
        <color theme="8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8"/>
      </top>
      <bottom style="thin">
        <color theme="0"/>
      </bottom>
      <diagonal/>
    </border>
    <border>
      <left style="thick">
        <color theme="8"/>
      </left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 style="thick">
        <color theme="8"/>
      </right>
      <top style="thick">
        <color theme="8"/>
      </top>
      <bottom style="thick">
        <color theme="8"/>
      </bottom>
      <diagonal/>
    </border>
    <border>
      <left style="thin">
        <color theme="8"/>
      </left>
      <right/>
      <top style="thick">
        <color theme="8"/>
      </top>
      <bottom style="thin">
        <color theme="8"/>
      </bottom>
      <diagonal/>
    </border>
    <border>
      <left/>
      <right/>
      <top style="thick">
        <color theme="8"/>
      </top>
      <bottom style="thin">
        <color theme="8"/>
      </bottom>
      <diagonal/>
    </border>
    <border>
      <left/>
      <right style="thin">
        <color theme="8"/>
      </right>
      <top style="thick">
        <color theme="8"/>
      </top>
      <bottom style="thin">
        <color theme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double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double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</borders>
  <cellStyleXfs count="19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5" fillId="0" borderId="0">
      <alignment vertical="center"/>
    </xf>
  </cellStyleXfs>
  <cellXfs count="7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6" fillId="0" borderId="0" xfId="0" applyFont="1">
      <alignment vertical="center"/>
    </xf>
    <xf numFmtId="183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21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9" fillId="0" borderId="0" xfId="9" applyFont="1">
      <alignment vertical="center"/>
    </xf>
    <xf numFmtId="0" fontId="29" fillId="0" borderId="0" xfId="9" applyFont="1" applyProtection="1">
      <alignment vertical="center"/>
      <protection locked="0"/>
    </xf>
    <xf numFmtId="0" fontId="31" fillId="0" borderId="0" xfId="9" applyFont="1" applyProtection="1">
      <alignment vertical="center"/>
      <protection locked="0"/>
    </xf>
    <xf numFmtId="0" fontId="32" fillId="18" borderId="4" xfId="9" applyFont="1" applyFill="1" applyBorder="1" applyAlignment="1">
      <alignment horizontal="center" vertical="center"/>
    </xf>
    <xf numFmtId="0" fontId="32" fillId="0" borderId="113" xfId="9" applyFont="1" applyBorder="1" applyAlignment="1">
      <alignment horizontal="center" vertical="center"/>
    </xf>
    <xf numFmtId="0" fontId="33" fillId="0" borderId="114" xfId="9" applyFont="1" applyBorder="1" applyAlignment="1">
      <alignment horizontal="center" vertical="center"/>
    </xf>
    <xf numFmtId="0" fontId="33" fillId="0" borderId="115" xfId="9" applyFont="1" applyBorder="1" applyAlignment="1">
      <alignment horizontal="center" vertical="center"/>
    </xf>
    <xf numFmtId="0" fontId="32" fillId="0" borderId="115" xfId="9" applyFont="1" applyBorder="1" applyAlignment="1">
      <alignment horizontal="center" vertical="center"/>
    </xf>
    <xf numFmtId="0" fontId="32" fillId="0" borderId="116" xfId="9" applyFont="1" applyBorder="1" applyAlignment="1">
      <alignment horizontal="center" vertical="center"/>
    </xf>
    <xf numFmtId="0" fontId="32" fillId="0" borderId="119" xfId="9" applyFont="1" applyBorder="1" applyAlignment="1">
      <alignment horizontal="center" vertical="center"/>
    </xf>
    <xf numFmtId="0" fontId="33" fillId="0" borderId="120" xfId="9" applyFont="1" applyBorder="1" applyAlignment="1">
      <alignment horizontal="center" vertical="center"/>
    </xf>
    <xf numFmtId="0" fontId="33" fillId="0" borderId="121" xfId="9" applyFont="1" applyBorder="1" applyAlignment="1">
      <alignment horizontal="center" vertical="center"/>
    </xf>
    <xf numFmtId="0" fontId="32" fillId="0" borderId="121" xfId="9" applyFont="1" applyBorder="1" applyAlignment="1">
      <alignment horizontal="center" vertical="center"/>
    </xf>
    <xf numFmtId="0" fontId="32" fillId="0" borderId="122" xfId="9" applyFont="1" applyBorder="1" applyAlignment="1">
      <alignment horizontal="center" vertical="center"/>
    </xf>
    <xf numFmtId="0" fontId="32" fillId="0" borderId="125" xfId="9" applyFont="1" applyBorder="1" applyAlignment="1">
      <alignment horizontal="center" vertical="center"/>
    </xf>
    <xf numFmtId="0" fontId="33" fillId="0" borderId="126" xfId="9" applyFont="1" applyBorder="1" applyAlignment="1">
      <alignment horizontal="center" vertical="center"/>
    </xf>
    <xf numFmtId="0" fontId="33" fillId="0" borderId="127" xfId="9" applyFont="1" applyBorder="1" applyAlignment="1">
      <alignment horizontal="center" vertical="center"/>
    </xf>
    <xf numFmtId="0" fontId="32" fillId="0" borderId="127" xfId="9" applyFont="1" applyBorder="1" applyAlignment="1">
      <alignment horizontal="center" vertical="center"/>
    </xf>
    <xf numFmtId="0" fontId="32" fillId="0" borderId="128" xfId="9" applyFont="1" applyBorder="1" applyAlignment="1">
      <alignment horizontal="center" vertical="center"/>
    </xf>
    <xf numFmtId="0" fontId="32" fillId="8" borderId="109" xfId="9" applyFont="1" applyFill="1" applyBorder="1" applyAlignment="1">
      <alignment horizontal="center" vertical="center"/>
    </xf>
    <xf numFmtId="0" fontId="32" fillId="8" borderId="4" xfId="9" applyFont="1" applyFill="1" applyBorder="1" applyAlignment="1">
      <alignment horizontal="center" vertical="center"/>
    </xf>
    <xf numFmtId="0" fontId="32" fillId="8" borderId="103" xfId="9" applyFont="1" applyFill="1" applyBorder="1" applyAlignment="1">
      <alignment horizontal="center" vertical="center"/>
    </xf>
    <xf numFmtId="41" fontId="32" fillId="0" borderId="113" xfId="3" applyFont="1" applyFill="1" applyBorder="1" applyAlignment="1" applyProtection="1">
      <alignment horizontal="center" vertical="center"/>
    </xf>
    <xf numFmtId="186" fontId="32" fillId="0" borderId="115" xfId="3" applyNumberFormat="1" applyFont="1" applyFill="1" applyBorder="1" applyAlignment="1" applyProtection="1">
      <alignment horizontal="center" vertical="center"/>
    </xf>
    <xf numFmtId="186" fontId="32" fillId="0" borderId="131" xfId="3" applyNumberFormat="1" applyFont="1" applyFill="1" applyBorder="1" applyAlignment="1" applyProtection="1">
      <alignment horizontal="center" vertical="center"/>
    </xf>
    <xf numFmtId="41" fontId="32" fillId="0" borderId="119" xfId="3" applyFont="1" applyFill="1" applyBorder="1" applyAlignment="1" applyProtection="1">
      <alignment horizontal="center" vertical="center"/>
    </xf>
    <xf numFmtId="41" fontId="32" fillId="0" borderId="121" xfId="3" applyFont="1" applyFill="1" applyBorder="1" applyAlignment="1" applyProtection="1">
      <alignment horizontal="center" vertical="center"/>
    </xf>
    <xf numFmtId="186" fontId="32" fillId="0" borderId="132" xfId="3" applyNumberFormat="1" applyFont="1" applyFill="1" applyBorder="1" applyAlignment="1" applyProtection="1">
      <alignment horizontal="center" vertical="center"/>
    </xf>
    <xf numFmtId="41" fontId="32" fillId="0" borderId="125" xfId="3" applyFont="1" applyFill="1" applyBorder="1" applyAlignment="1" applyProtection="1">
      <alignment horizontal="center" vertical="center"/>
    </xf>
    <xf numFmtId="41" fontId="32" fillId="0" borderId="127" xfId="3" applyFont="1" applyFill="1" applyBorder="1" applyAlignment="1" applyProtection="1">
      <alignment horizontal="center" vertical="center"/>
    </xf>
    <xf numFmtId="186" fontId="32" fillId="0" borderId="133" xfId="3" applyNumberFormat="1" applyFont="1" applyFill="1" applyBorder="1" applyAlignment="1" applyProtection="1">
      <alignment horizontal="center" vertical="center"/>
    </xf>
    <xf numFmtId="41" fontId="29" fillId="0" borderId="0" xfId="3" applyFont="1" applyFill="1" applyBorder="1" applyAlignment="1" applyProtection="1">
      <alignment horizontal="center" vertical="center"/>
      <protection locked="0"/>
    </xf>
    <xf numFmtId="186" fontId="29" fillId="0" borderId="0" xfId="3" applyNumberFormat="1" applyFont="1" applyFill="1" applyBorder="1" applyAlignment="1" applyProtection="1">
      <alignment horizontal="center" vertical="center"/>
      <protection locked="0"/>
    </xf>
    <xf numFmtId="0" fontId="32" fillId="8" borderId="19" xfId="9" applyFont="1" applyFill="1" applyBorder="1" applyAlignment="1">
      <alignment horizontal="center" vertical="center"/>
    </xf>
    <xf numFmtId="0" fontId="34" fillId="8" borderId="19" xfId="9" applyFont="1" applyFill="1" applyBorder="1" applyAlignment="1">
      <alignment horizontal="center" vertical="center" wrapText="1"/>
    </xf>
    <xf numFmtId="0" fontId="33" fillId="0" borderId="0" xfId="9" applyFont="1" applyProtection="1">
      <alignment vertical="center"/>
      <protection locked="0"/>
    </xf>
    <xf numFmtId="0" fontId="33" fillId="0" borderId="0" xfId="9" applyFont="1">
      <alignment vertical="center"/>
    </xf>
    <xf numFmtId="41" fontId="32" fillId="0" borderId="0" xfId="3" applyFont="1" applyFill="1" applyBorder="1" applyAlignment="1" applyProtection="1">
      <alignment horizontal="center" vertical="center"/>
      <protection locked="0"/>
    </xf>
    <xf numFmtId="0" fontId="32" fillId="0" borderId="0" xfId="9" applyFont="1" applyAlignment="1" applyProtection="1">
      <alignment horizontal="center" vertical="center"/>
      <protection locked="0"/>
    </xf>
    <xf numFmtId="0" fontId="32" fillId="0" borderId="0" xfId="9" applyFont="1">
      <alignment vertical="center"/>
    </xf>
    <xf numFmtId="0" fontId="33" fillId="0" borderId="50" xfId="9" applyFont="1" applyBorder="1" applyProtection="1">
      <alignment vertical="center"/>
      <protection locked="0"/>
    </xf>
    <xf numFmtId="49" fontId="33" fillId="0" borderId="0" xfId="9" applyNumberFormat="1" applyFont="1" applyProtection="1">
      <alignment vertical="center"/>
      <protection locked="0"/>
    </xf>
    <xf numFmtId="0" fontId="32" fillId="18" borderId="109" xfId="9" applyFont="1" applyFill="1" applyBorder="1" applyAlignment="1">
      <alignment horizontal="center" vertical="center" wrapText="1"/>
    </xf>
    <xf numFmtId="0" fontId="32" fillId="18" borderId="111" xfId="9" applyFont="1" applyFill="1" applyBorder="1" applyAlignment="1">
      <alignment horizontal="center" vertical="center" wrapText="1"/>
    </xf>
    <xf numFmtId="0" fontId="32" fillId="18" borderId="112" xfId="9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47" fillId="0" borderId="10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103" xfId="0" applyFont="1" applyBorder="1" applyAlignment="1">
      <alignment horizontal="center" vertical="center"/>
    </xf>
    <xf numFmtId="0" fontId="0" fillId="9" borderId="0" xfId="0" applyFill="1">
      <alignment vertical="center"/>
    </xf>
    <xf numFmtId="0" fontId="27" fillId="12" borderId="21" xfId="0" applyFont="1" applyFill="1" applyBorder="1">
      <alignment vertical="center"/>
    </xf>
    <xf numFmtId="0" fontId="27" fillId="12" borderId="46" xfId="0" applyFont="1" applyFill="1" applyBorder="1">
      <alignment vertical="center"/>
    </xf>
    <xf numFmtId="0" fontId="27" fillId="12" borderId="47" xfId="0" applyFont="1" applyFill="1" applyBorder="1">
      <alignment vertical="center"/>
    </xf>
    <xf numFmtId="0" fontId="27" fillId="11" borderId="148" xfId="0" applyFont="1" applyFill="1" applyBorder="1">
      <alignment vertical="center"/>
    </xf>
    <xf numFmtId="0" fontId="27" fillId="11" borderId="149" xfId="0" applyFont="1" applyFill="1" applyBorder="1">
      <alignment vertical="center"/>
    </xf>
    <xf numFmtId="0" fontId="27" fillId="11" borderId="150" xfId="0" applyFont="1" applyFill="1" applyBorder="1">
      <alignment vertical="center"/>
    </xf>
    <xf numFmtId="0" fontId="47" fillId="0" borderId="140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6" xfId="0" applyFont="1" applyBorder="1" applyAlignment="1">
      <alignment horizontal="center" vertical="center"/>
    </xf>
    <xf numFmtId="0" fontId="0" fillId="0" borderId="154" xfId="0" applyBorder="1">
      <alignment vertical="center"/>
    </xf>
    <xf numFmtId="180" fontId="0" fillId="0" borderId="154" xfId="3" applyNumberFormat="1" applyFont="1" applyBorder="1">
      <alignment vertical="center"/>
    </xf>
    <xf numFmtId="0" fontId="0" fillId="0" borderId="155" xfId="0" applyBorder="1">
      <alignment vertical="center"/>
    </xf>
    <xf numFmtId="0" fontId="0" fillId="0" borderId="156" xfId="0" applyBorder="1">
      <alignment vertical="center"/>
    </xf>
    <xf numFmtId="0" fontId="0" fillId="0" borderId="157" xfId="0" applyBorder="1">
      <alignment vertical="center"/>
    </xf>
    <xf numFmtId="0" fontId="0" fillId="0" borderId="158" xfId="0" applyBorder="1">
      <alignment vertical="center"/>
    </xf>
    <xf numFmtId="0" fontId="0" fillId="0" borderId="162" xfId="0" applyBorder="1">
      <alignment vertical="center"/>
    </xf>
    <xf numFmtId="0" fontId="50" fillId="0" borderId="158" xfId="0" applyFont="1" applyBorder="1" applyAlignment="1">
      <alignment horizontal="center" vertical="center"/>
    </xf>
    <xf numFmtId="0" fontId="13" fillId="0" borderId="158" xfId="0" applyFont="1" applyBorder="1" applyAlignment="1">
      <alignment horizontal="center" vertical="center"/>
    </xf>
    <xf numFmtId="0" fontId="0" fillId="4" borderId="76" xfId="0" applyFill="1" applyBorder="1">
      <alignment vertical="center"/>
    </xf>
    <xf numFmtId="0" fontId="6" fillId="0" borderId="154" xfId="0" applyFont="1" applyBorder="1">
      <alignment vertical="center"/>
    </xf>
    <xf numFmtId="0" fontId="45" fillId="20" borderId="134" xfId="0" applyFont="1" applyFill="1" applyBorder="1" applyAlignment="1" applyProtection="1">
      <alignment horizontal="center" vertical="center"/>
      <protection hidden="1"/>
    </xf>
    <xf numFmtId="189" fontId="12" fillId="20" borderId="104" xfId="3" applyNumberFormat="1" applyFont="1" applyFill="1" applyBorder="1" applyAlignment="1" applyProtection="1">
      <alignment horizontal="right" vertical="center"/>
      <protection hidden="1"/>
    </xf>
    <xf numFmtId="189" fontId="12" fillId="20" borderId="74" xfId="3" applyNumberFormat="1" applyFont="1" applyFill="1" applyBorder="1" applyAlignment="1" applyProtection="1">
      <alignment horizontal="right" vertical="center"/>
      <protection hidden="1"/>
    </xf>
    <xf numFmtId="189" fontId="12" fillId="20" borderId="134" xfId="3" applyNumberFormat="1" applyFont="1" applyFill="1" applyBorder="1" applyAlignment="1" applyProtection="1">
      <alignment horizontal="right" vertical="center"/>
      <protection hidden="1"/>
    </xf>
    <xf numFmtId="0" fontId="45" fillId="20" borderId="10" xfId="0" applyFont="1" applyFill="1" applyBorder="1" applyAlignment="1" applyProtection="1">
      <alignment horizontal="center" vertical="center"/>
      <protection hidden="1"/>
    </xf>
    <xf numFmtId="189" fontId="12" fillId="20" borderId="8" xfId="3" applyNumberFormat="1" applyFont="1" applyFill="1" applyBorder="1" applyAlignment="1" applyProtection="1">
      <alignment horizontal="right" vertical="center"/>
      <protection hidden="1"/>
    </xf>
    <xf numFmtId="189" fontId="12" fillId="20" borderId="9" xfId="3" applyNumberFormat="1" applyFont="1" applyFill="1" applyBorder="1" applyAlignment="1" applyProtection="1">
      <alignment horizontal="right" vertical="center"/>
      <protection hidden="1"/>
    </xf>
    <xf numFmtId="189" fontId="12" fillId="20" borderId="10" xfId="3" applyNumberFormat="1" applyFont="1" applyFill="1" applyBorder="1" applyAlignment="1" applyProtection="1">
      <alignment horizontal="right" vertical="center"/>
      <protection hidden="1"/>
    </xf>
    <xf numFmtId="0" fontId="45" fillId="20" borderId="14" xfId="0" applyFont="1" applyFill="1" applyBorder="1" applyAlignment="1" applyProtection="1">
      <alignment horizontal="center" vertical="center"/>
      <protection hidden="1"/>
    </xf>
    <xf numFmtId="189" fontId="12" fillId="20" borderId="12" xfId="3" applyNumberFormat="1" applyFont="1" applyFill="1" applyBorder="1" applyAlignment="1" applyProtection="1">
      <alignment horizontal="right" vertical="center"/>
      <protection hidden="1"/>
    </xf>
    <xf numFmtId="189" fontId="12" fillId="20" borderId="13" xfId="3" applyNumberFormat="1" applyFont="1" applyFill="1" applyBorder="1" applyAlignment="1" applyProtection="1">
      <alignment horizontal="right" vertical="center"/>
      <protection hidden="1"/>
    </xf>
    <xf numFmtId="189" fontId="12" fillId="20" borderId="14" xfId="3" applyNumberFormat="1" applyFont="1" applyFill="1" applyBorder="1" applyAlignment="1" applyProtection="1">
      <alignment horizontal="right" vertical="center"/>
      <protection hidden="1"/>
    </xf>
    <xf numFmtId="0" fontId="45" fillId="0" borderId="152" xfId="0" applyFont="1" applyBorder="1" applyAlignment="1" applyProtection="1">
      <alignment horizontal="center" vertical="center"/>
      <protection hidden="1"/>
    </xf>
    <xf numFmtId="180" fontId="12" fillId="10" borderId="172" xfId="3" applyNumberFormat="1" applyFont="1" applyFill="1" applyBorder="1" applyAlignment="1" applyProtection="1">
      <alignment horizontal="right" vertical="center"/>
      <protection hidden="1"/>
    </xf>
    <xf numFmtId="180" fontId="12" fillId="0" borderId="57" xfId="3" applyNumberFormat="1" applyFont="1" applyFill="1" applyBorder="1" applyAlignment="1" applyProtection="1">
      <alignment horizontal="right" vertical="center"/>
      <protection hidden="1"/>
    </xf>
    <xf numFmtId="180" fontId="12" fillId="0" borderId="80" xfId="3" applyNumberFormat="1" applyFont="1" applyFill="1" applyBorder="1" applyAlignment="1" applyProtection="1">
      <alignment horizontal="right" vertical="center"/>
      <protection hidden="1"/>
    </xf>
    <xf numFmtId="0" fontId="45" fillId="0" borderId="10" xfId="0" applyFont="1" applyBorder="1" applyAlignment="1" applyProtection="1">
      <alignment horizontal="center" vertical="center"/>
      <protection hidden="1"/>
    </xf>
    <xf numFmtId="180" fontId="12" fillId="10" borderId="8" xfId="3" applyNumberFormat="1" applyFont="1" applyFill="1" applyBorder="1" applyAlignment="1" applyProtection="1">
      <alignment horizontal="right" vertical="center"/>
      <protection hidden="1"/>
    </xf>
    <xf numFmtId="180" fontId="12" fillId="0" borderId="39" xfId="3" applyNumberFormat="1" applyFont="1" applyFill="1" applyBorder="1" applyAlignment="1" applyProtection="1">
      <alignment horizontal="right" vertical="center"/>
      <protection hidden="1"/>
    </xf>
    <xf numFmtId="180" fontId="12" fillId="0" borderId="75" xfId="3" applyNumberFormat="1" applyFont="1" applyFill="1" applyBorder="1" applyAlignment="1" applyProtection="1">
      <alignment horizontal="right" vertical="center"/>
      <protection hidden="1"/>
    </xf>
    <xf numFmtId="0" fontId="45" fillId="10" borderId="10" xfId="0" applyFont="1" applyFill="1" applyBorder="1" applyAlignment="1" applyProtection="1">
      <alignment horizontal="center" vertical="center"/>
      <protection hidden="1"/>
    </xf>
    <xf numFmtId="180" fontId="12" fillId="10" borderId="16" xfId="3" applyNumberFormat="1" applyFont="1" applyFill="1" applyBorder="1" applyAlignment="1" applyProtection="1">
      <alignment horizontal="right" vertical="center"/>
      <protection hidden="1"/>
    </xf>
    <xf numFmtId="180" fontId="12" fillId="10" borderId="73" xfId="3" applyNumberFormat="1" applyFont="1" applyFill="1" applyBorder="1" applyAlignment="1" applyProtection="1">
      <alignment horizontal="right" vertical="center"/>
      <protection hidden="1"/>
    </xf>
    <xf numFmtId="180" fontId="12" fillId="0" borderId="28" xfId="3" applyNumberFormat="1" applyFont="1" applyFill="1" applyBorder="1" applyAlignment="1" applyProtection="1">
      <alignment horizontal="right" vertical="center"/>
      <protection hidden="1"/>
    </xf>
    <xf numFmtId="180" fontId="12" fillId="0" borderId="77" xfId="3" applyNumberFormat="1" applyFont="1" applyFill="1" applyBorder="1" applyAlignment="1" applyProtection="1">
      <alignment horizontal="right" vertical="center"/>
      <protection hidden="1"/>
    </xf>
    <xf numFmtId="0" fontId="45" fillId="10" borderId="6" xfId="0" applyFont="1" applyFill="1" applyBorder="1" applyAlignment="1" applyProtection="1">
      <alignment horizontal="center" vertical="center"/>
      <protection hidden="1"/>
    </xf>
    <xf numFmtId="180" fontId="12" fillId="10" borderId="140" xfId="3" applyNumberFormat="1" applyFont="1" applyFill="1" applyBorder="1" applyAlignment="1" applyProtection="1">
      <alignment horizontal="right" vertical="center"/>
      <protection hidden="1"/>
    </xf>
    <xf numFmtId="180" fontId="12" fillId="10" borderId="28" xfId="3" applyNumberFormat="1" applyFont="1" applyFill="1" applyBorder="1" applyAlignment="1" applyProtection="1">
      <alignment horizontal="right" vertical="center"/>
      <protection hidden="1"/>
    </xf>
    <xf numFmtId="180" fontId="12" fillId="10" borderId="77" xfId="3" applyNumberFormat="1" applyFont="1" applyFill="1" applyBorder="1" applyAlignment="1" applyProtection="1">
      <alignment horizontal="right" vertical="center"/>
      <protection hidden="1"/>
    </xf>
    <xf numFmtId="0" fontId="45" fillId="0" borderId="58" xfId="0" applyFont="1" applyBorder="1" applyAlignment="1" applyProtection="1">
      <alignment horizontal="center" vertical="center"/>
      <protection hidden="1"/>
    </xf>
    <xf numFmtId="180" fontId="12" fillId="10" borderId="71" xfId="3" applyNumberFormat="1" applyFont="1" applyFill="1" applyBorder="1" applyAlignment="1" applyProtection="1">
      <alignment horizontal="right" vertical="center"/>
      <protection hidden="1"/>
    </xf>
    <xf numFmtId="0" fontId="45" fillId="0" borderId="38" xfId="0" applyFont="1" applyBorder="1" applyAlignment="1" applyProtection="1">
      <alignment horizontal="center" vertical="center"/>
      <protection hidden="1"/>
    </xf>
    <xf numFmtId="180" fontId="12" fillId="10" borderId="66" xfId="3" applyNumberFormat="1" applyFont="1" applyFill="1" applyBorder="1" applyAlignment="1" applyProtection="1">
      <alignment horizontal="right" vertical="center"/>
      <protection hidden="1"/>
    </xf>
    <xf numFmtId="0" fontId="45" fillId="10" borderId="38" xfId="0" applyFont="1" applyFill="1" applyBorder="1" applyAlignment="1" applyProtection="1">
      <alignment horizontal="center" vertical="center"/>
      <protection hidden="1"/>
    </xf>
    <xf numFmtId="0" fontId="45" fillId="10" borderId="173" xfId="0" applyFont="1" applyFill="1" applyBorder="1" applyAlignment="1" applyProtection="1">
      <alignment horizontal="center" vertical="center"/>
      <protection hidden="1"/>
    </xf>
    <xf numFmtId="180" fontId="12" fillId="10" borderId="67" xfId="3" applyNumberFormat="1" applyFont="1" applyFill="1" applyBorder="1" applyAlignment="1" applyProtection="1">
      <alignment horizontal="right" vertical="center"/>
      <protection hidden="1"/>
    </xf>
    <xf numFmtId="180" fontId="12" fillId="10" borderId="85" xfId="3" applyNumberFormat="1" applyFont="1" applyFill="1" applyBorder="1" applyAlignment="1" applyProtection="1">
      <alignment horizontal="right" vertical="center"/>
      <protection hidden="1"/>
    </xf>
    <xf numFmtId="180" fontId="12" fillId="10" borderId="99" xfId="3" applyNumberFormat="1" applyFont="1" applyFill="1" applyBorder="1" applyAlignment="1" applyProtection="1">
      <alignment horizontal="right" vertical="center"/>
      <protection hidden="1"/>
    </xf>
    <xf numFmtId="180" fontId="7" fillId="5" borderId="107" xfId="3" applyNumberFormat="1" applyFont="1" applyFill="1" applyBorder="1" applyProtection="1">
      <alignment vertical="center"/>
      <protection hidden="1"/>
    </xf>
    <xf numFmtId="180" fontId="7" fillId="5" borderId="136" xfId="3" applyNumberFormat="1" applyFont="1" applyFill="1" applyBorder="1" applyProtection="1">
      <alignment vertical="center"/>
      <protection hidden="1"/>
    </xf>
    <xf numFmtId="180" fontId="7" fillId="5" borderId="106" xfId="3" applyNumberFormat="1" applyFont="1" applyFill="1" applyBorder="1" applyProtection="1">
      <alignment vertical="center"/>
      <protection hidden="1"/>
    </xf>
    <xf numFmtId="0" fontId="0" fillId="0" borderId="154" xfId="0" applyBorder="1" applyProtection="1">
      <alignment vertical="center"/>
      <protection hidden="1"/>
    </xf>
    <xf numFmtId="180" fontId="0" fillId="0" borderId="154" xfId="3" applyNumberFormat="1" applyFont="1" applyBorder="1" applyProtection="1">
      <alignment vertical="center"/>
      <protection hidden="1"/>
    </xf>
    <xf numFmtId="0" fontId="16" fillId="0" borderId="154" xfId="0" applyFont="1" applyBorder="1" applyAlignment="1" applyProtection="1">
      <alignment horizontal="left" vertical="center"/>
      <protection hidden="1"/>
    </xf>
    <xf numFmtId="0" fontId="16" fillId="0" borderId="157" xfId="0" applyFont="1" applyBorder="1" applyAlignment="1" applyProtection="1">
      <alignment horizontal="left" vertical="center"/>
      <protection hidden="1"/>
    </xf>
    <xf numFmtId="0" fontId="53" fillId="0" borderId="154" xfId="0" applyFont="1" applyBorder="1" applyAlignment="1" applyProtection="1">
      <alignment horizontal="left" vertical="center"/>
      <protection hidden="1"/>
    </xf>
    <xf numFmtId="0" fontId="53" fillId="0" borderId="158" xfId="0" applyFont="1" applyBorder="1" applyAlignment="1" applyProtection="1">
      <alignment horizontal="left" vertical="center"/>
      <protection hidden="1"/>
    </xf>
    <xf numFmtId="0" fontId="16" fillId="0" borderId="158" xfId="0" applyFont="1" applyBorder="1" applyAlignment="1" applyProtection="1">
      <alignment horizontal="left" vertical="center"/>
      <protection hidden="1"/>
    </xf>
    <xf numFmtId="0" fontId="6" fillId="0" borderId="154" xfId="0" applyFont="1" applyBorder="1" applyProtection="1">
      <alignment vertical="center"/>
      <protection hidden="1"/>
    </xf>
    <xf numFmtId="0" fontId="10" fillId="23" borderId="154" xfId="0" applyFont="1" applyFill="1" applyBorder="1" applyAlignment="1" applyProtection="1">
      <alignment horizontal="center" vertical="center" shrinkToFit="1"/>
      <protection hidden="1"/>
    </xf>
    <xf numFmtId="196" fontId="6" fillId="0" borderId="154" xfId="0" applyNumberFormat="1" applyFont="1" applyBorder="1" applyAlignment="1" applyProtection="1">
      <alignment horizontal="center" vertical="center"/>
      <protection hidden="1"/>
    </xf>
    <xf numFmtId="0" fontId="6" fillId="0" borderId="154" xfId="0" applyFont="1" applyBorder="1" applyAlignment="1" applyProtection="1">
      <alignment horizontal="center" vertical="center"/>
      <protection hidden="1"/>
    </xf>
    <xf numFmtId="0" fontId="35" fillId="0" borderId="154" xfId="0" applyFont="1" applyBorder="1" applyProtection="1">
      <alignment vertical="center"/>
      <protection hidden="1"/>
    </xf>
    <xf numFmtId="191" fontId="6" fillId="0" borderId="154" xfId="0" applyNumberFormat="1" applyFont="1" applyBorder="1" applyAlignment="1" applyProtection="1">
      <alignment horizontal="center" vertical="center"/>
      <protection hidden="1"/>
    </xf>
    <xf numFmtId="0" fontId="6" fillId="0" borderId="154" xfId="0" applyFont="1" applyBorder="1" applyAlignment="1" applyProtection="1">
      <alignment horizontal="center" vertical="center" shrinkToFit="1"/>
      <protection hidden="1"/>
    </xf>
    <xf numFmtId="0" fontId="6" fillId="23" borderId="154" xfId="0" applyFont="1" applyFill="1" applyBorder="1" applyAlignment="1" applyProtection="1">
      <alignment horizontal="center" vertical="center" shrinkToFit="1"/>
      <protection hidden="1"/>
    </xf>
    <xf numFmtId="189" fontId="6" fillId="23" borderId="154" xfId="3" applyNumberFormat="1" applyFont="1" applyFill="1" applyBorder="1" applyAlignment="1" applyProtection="1">
      <alignment vertical="center" shrinkToFit="1"/>
      <protection hidden="1"/>
    </xf>
    <xf numFmtId="190" fontId="6" fillId="23" borderId="154" xfId="4" applyNumberFormat="1" applyFont="1" applyFill="1" applyBorder="1" applyAlignment="1" applyProtection="1">
      <alignment horizontal="center" vertical="center" shrinkToFit="1"/>
      <protection hidden="1"/>
    </xf>
    <xf numFmtId="193" fontId="6" fillId="0" borderId="154" xfId="3" applyNumberFormat="1" applyFont="1" applyBorder="1" applyAlignment="1" applyProtection="1">
      <alignment horizontal="center" vertical="center"/>
      <protection hidden="1"/>
    </xf>
    <xf numFmtId="190" fontId="6" fillId="0" borderId="154" xfId="4" applyNumberFormat="1" applyFont="1" applyBorder="1" applyAlignment="1" applyProtection="1">
      <alignment horizontal="center" vertical="center"/>
      <protection hidden="1"/>
    </xf>
    <xf numFmtId="193" fontId="6" fillId="0" borderId="154" xfId="0" applyNumberFormat="1" applyFont="1" applyBorder="1" applyAlignment="1" applyProtection="1">
      <alignment horizontal="center" vertical="center"/>
      <protection hidden="1"/>
    </xf>
    <xf numFmtId="191" fontId="6" fillId="0" borderId="154" xfId="0" applyNumberFormat="1" applyFont="1" applyBorder="1" applyProtection="1">
      <alignment vertical="center"/>
      <protection hidden="1"/>
    </xf>
    <xf numFmtId="196" fontId="0" fillId="0" borderId="154" xfId="0" applyNumberFormat="1" applyBorder="1" applyAlignment="1" applyProtection="1">
      <alignment horizontal="center" vertical="center"/>
      <protection hidden="1"/>
    </xf>
    <xf numFmtId="189" fontId="6" fillId="0" borderId="154" xfId="3" applyNumberFormat="1" applyFont="1" applyBorder="1" applyProtection="1">
      <alignment vertical="center"/>
      <protection hidden="1"/>
    </xf>
    <xf numFmtId="190" fontId="6" fillId="0" borderId="154" xfId="4" applyNumberFormat="1" applyFont="1" applyBorder="1" applyProtection="1">
      <alignment vertical="center"/>
      <protection hidden="1"/>
    </xf>
    <xf numFmtId="0" fontId="0" fillId="0" borderId="155" xfId="0" applyBorder="1" applyProtection="1">
      <alignment vertical="center"/>
      <protection hidden="1"/>
    </xf>
    <xf numFmtId="0" fontId="0" fillId="0" borderId="156" xfId="0" applyBorder="1" applyProtection="1">
      <alignment vertical="center"/>
      <protection hidden="1"/>
    </xf>
    <xf numFmtId="0" fontId="12" fillId="6" borderId="171" xfId="0" applyFont="1" applyFill="1" applyBorder="1" applyAlignment="1" applyProtection="1">
      <alignment horizontal="center" vertical="center" wrapText="1"/>
      <protection hidden="1"/>
    </xf>
    <xf numFmtId="0" fontId="12" fillId="6" borderId="169" xfId="0" applyFont="1" applyFill="1" applyBorder="1" applyAlignment="1" applyProtection="1">
      <alignment horizontal="center" vertical="center"/>
      <protection hidden="1"/>
    </xf>
    <xf numFmtId="0" fontId="12" fillId="6" borderId="170" xfId="0" applyFont="1" applyFill="1" applyBorder="1" applyAlignment="1" applyProtection="1">
      <alignment horizontal="center" vertical="center"/>
      <protection hidden="1"/>
    </xf>
    <xf numFmtId="189" fontId="13" fillId="0" borderId="164" xfId="3" applyNumberFormat="1" applyFont="1" applyBorder="1" applyAlignment="1" applyProtection="1">
      <alignment vertical="center"/>
      <protection hidden="1"/>
    </xf>
    <xf numFmtId="189" fontId="13" fillId="0" borderId="89" xfId="3" applyNumberFormat="1" applyFont="1" applyBorder="1" applyAlignment="1" applyProtection="1">
      <alignment horizontal="right" vertical="center"/>
      <protection hidden="1"/>
    </xf>
    <xf numFmtId="189" fontId="13" fillId="0" borderId="90" xfId="3" applyNumberFormat="1" applyFont="1" applyBorder="1" applyAlignment="1" applyProtection="1">
      <alignment horizontal="right" vertical="center"/>
      <protection hidden="1"/>
    </xf>
    <xf numFmtId="189" fontId="13" fillId="0" borderId="144" xfId="3" applyNumberFormat="1" applyFont="1" applyBorder="1" applyAlignment="1" applyProtection="1">
      <alignment vertical="center"/>
      <protection hidden="1"/>
    </xf>
    <xf numFmtId="189" fontId="13" fillId="0" borderId="76" xfId="3" applyNumberFormat="1" applyFont="1" applyBorder="1" applyAlignment="1" applyProtection="1">
      <alignment horizontal="right" vertical="center"/>
      <protection hidden="1"/>
    </xf>
    <xf numFmtId="189" fontId="13" fillId="0" borderId="92" xfId="3" applyNumberFormat="1" applyFont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189" fontId="13" fillId="0" borderId="76" xfId="3" applyNumberFormat="1" applyFont="1" applyBorder="1" applyAlignment="1" applyProtection="1">
      <alignment vertical="center"/>
      <protection hidden="1"/>
    </xf>
    <xf numFmtId="189" fontId="13" fillId="0" borderId="92" xfId="3" applyNumberFormat="1" applyFont="1" applyBorder="1" applyAlignment="1" applyProtection="1">
      <alignment vertical="center"/>
      <protection hidden="1"/>
    </xf>
    <xf numFmtId="189" fontId="13" fillId="13" borderId="145" xfId="3" applyNumberFormat="1" applyFont="1" applyFill="1" applyBorder="1" applyAlignment="1" applyProtection="1">
      <alignment vertical="center"/>
      <protection hidden="1"/>
    </xf>
    <xf numFmtId="189" fontId="13" fillId="13" borderId="94" xfId="3" applyNumberFormat="1" applyFont="1" applyFill="1" applyBorder="1" applyAlignment="1" applyProtection="1">
      <alignment vertical="center"/>
      <protection hidden="1"/>
    </xf>
    <xf numFmtId="189" fontId="13" fillId="13" borderId="95" xfId="3" applyNumberFormat="1" applyFont="1" applyFill="1" applyBorder="1" applyAlignment="1" applyProtection="1">
      <alignment vertical="center"/>
      <protection hidden="1"/>
    </xf>
    <xf numFmtId="189" fontId="13" fillId="0" borderId="163" xfId="3" applyNumberFormat="1" applyFont="1" applyBorder="1" applyAlignment="1" applyProtection="1">
      <alignment vertical="center"/>
      <protection hidden="1"/>
    </xf>
    <xf numFmtId="189" fontId="13" fillId="0" borderId="160" xfId="3" applyNumberFormat="1" applyFont="1" applyBorder="1" applyAlignment="1" applyProtection="1">
      <alignment vertical="center"/>
      <protection hidden="1"/>
    </xf>
    <xf numFmtId="189" fontId="13" fillId="0" borderId="161" xfId="3" applyNumberFormat="1" applyFont="1" applyBorder="1" applyAlignment="1" applyProtection="1">
      <alignment vertical="center"/>
      <protection hidden="1"/>
    </xf>
    <xf numFmtId="189" fontId="13" fillId="13" borderId="168" xfId="3" applyNumberFormat="1" applyFont="1" applyFill="1" applyBorder="1" applyAlignment="1" applyProtection="1">
      <alignment vertical="center"/>
      <protection hidden="1"/>
    </xf>
    <xf numFmtId="189" fontId="13" fillId="13" borderId="166" xfId="3" applyNumberFormat="1" applyFont="1" applyFill="1" applyBorder="1" applyAlignment="1" applyProtection="1">
      <alignment vertical="center"/>
      <protection hidden="1"/>
    </xf>
    <xf numFmtId="189" fontId="13" fillId="13" borderId="167" xfId="3" applyNumberFormat="1" applyFont="1" applyFill="1" applyBorder="1" applyAlignment="1" applyProtection="1">
      <alignment vertical="center"/>
      <protection hidden="1"/>
    </xf>
    <xf numFmtId="189" fontId="12" fillId="14" borderId="82" xfId="3" applyNumberFormat="1" applyFont="1" applyFill="1" applyBorder="1" applyAlignment="1" applyProtection="1">
      <alignment vertical="center"/>
      <protection hidden="1"/>
    </xf>
    <xf numFmtId="189" fontId="12" fillId="14" borderId="83" xfId="3" applyNumberFormat="1" applyFont="1" applyFill="1" applyBorder="1" applyAlignment="1" applyProtection="1">
      <alignment vertical="center"/>
      <protection hidden="1"/>
    </xf>
    <xf numFmtId="0" fontId="0" fillId="0" borderId="162" xfId="0" applyBorder="1" applyProtection="1">
      <alignment vertical="center"/>
      <protection hidden="1"/>
    </xf>
    <xf numFmtId="189" fontId="12" fillId="0" borderId="144" xfId="3" applyNumberFormat="1" applyFont="1" applyBorder="1" applyAlignment="1" applyProtection="1">
      <alignment horizontal="right" vertical="center"/>
      <protection hidden="1"/>
    </xf>
    <xf numFmtId="189" fontId="13" fillId="0" borderId="76" xfId="3" applyNumberFormat="1" applyFont="1" applyFill="1" applyBorder="1" applyAlignment="1" applyProtection="1">
      <alignment horizontal="right" vertical="center"/>
      <protection hidden="1"/>
    </xf>
    <xf numFmtId="189" fontId="13" fillId="0" borderId="176" xfId="3" applyNumberFormat="1" applyFont="1" applyFill="1" applyBorder="1" applyAlignment="1" applyProtection="1">
      <alignment horizontal="right" vertical="center"/>
      <protection hidden="1"/>
    </xf>
    <xf numFmtId="0" fontId="0" fillId="0" borderId="158" xfId="0" applyBorder="1" applyProtection="1">
      <alignment vertical="center"/>
      <protection hidden="1"/>
    </xf>
    <xf numFmtId="189" fontId="35" fillId="23" borderId="154" xfId="3" applyNumberFormat="1" applyFont="1" applyFill="1" applyBorder="1" applyAlignment="1" applyProtection="1">
      <alignment vertical="center" shrinkToFit="1"/>
      <protection hidden="1"/>
    </xf>
    <xf numFmtId="190" fontId="35" fillId="23" borderId="154" xfId="4" applyNumberFormat="1" applyFont="1" applyFill="1" applyBorder="1" applyAlignment="1" applyProtection="1">
      <alignment horizontal="center" vertical="center" shrinkToFit="1"/>
      <protection hidden="1"/>
    </xf>
    <xf numFmtId="180" fontId="0" fillId="0" borderId="0" xfId="3" applyNumberFormat="1" applyFont="1" applyProtection="1">
      <alignment vertical="center"/>
      <protection hidden="1"/>
    </xf>
    <xf numFmtId="0" fontId="0" fillId="0" borderId="0" xfId="0" applyProtection="1">
      <alignment vertical="center"/>
      <protection hidden="1"/>
    </xf>
    <xf numFmtId="0" fontId="0" fillId="4" borderId="9" xfId="0" applyFill="1" applyBorder="1" applyProtection="1">
      <alignment vertical="center"/>
      <protection hidden="1"/>
    </xf>
    <xf numFmtId="0" fontId="43" fillId="0" borderId="147" xfId="0" applyFont="1" applyBorder="1" applyProtection="1">
      <alignment vertical="center"/>
      <protection hidden="1"/>
    </xf>
    <xf numFmtId="189" fontId="15" fillId="20" borderId="142" xfId="3" applyNumberFormat="1" applyFont="1" applyFill="1" applyBorder="1" applyAlignment="1" applyProtection="1">
      <alignment horizontal="right" vertical="center"/>
      <protection hidden="1"/>
    </xf>
    <xf numFmtId="9" fontId="0" fillId="0" borderId="0" xfId="4" applyFont="1" applyProtection="1">
      <alignment vertical="center"/>
      <protection hidden="1"/>
    </xf>
    <xf numFmtId="189" fontId="15" fillId="20" borderId="7" xfId="3" applyNumberFormat="1" applyFont="1" applyFill="1" applyBorder="1" applyAlignment="1" applyProtection="1">
      <alignment horizontal="right" vertical="center"/>
      <protection hidden="1"/>
    </xf>
    <xf numFmtId="189" fontId="15" fillId="20" borderId="15" xfId="3" applyNumberFormat="1" applyFont="1" applyFill="1" applyBorder="1" applyAlignment="1" applyProtection="1">
      <alignment horizontal="right" vertical="center"/>
      <protection hidden="1"/>
    </xf>
    <xf numFmtId="0" fontId="42" fillId="0" borderId="0" xfId="0" applyFont="1" applyProtection="1">
      <alignment vertical="center"/>
      <protection hidden="1"/>
    </xf>
    <xf numFmtId="180" fontId="0" fillId="0" borderId="0" xfId="0" applyNumberFormat="1" applyProtection="1">
      <alignment vertical="center"/>
      <protection hidden="1"/>
    </xf>
    <xf numFmtId="41" fontId="0" fillId="0" borderId="0" xfId="3" applyFont="1" applyProtection="1">
      <alignment vertical="center"/>
      <protection hidden="1"/>
    </xf>
    <xf numFmtId="49" fontId="17" fillId="0" borderId="63" xfId="0" quotePrefix="1" applyNumberFormat="1" applyFont="1" applyBorder="1" applyAlignment="1" applyProtection="1">
      <alignment horizontal="center" vertical="center"/>
      <protection hidden="1"/>
    </xf>
    <xf numFmtId="189" fontId="15" fillId="20" borderId="74" xfId="3" applyNumberFormat="1" applyFont="1" applyFill="1" applyBorder="1" applyAlignment="1" applyProtection="1">
      <alignment horizontal="right" vertical="center"/>
      <protection hidden="1"/>
    </xf>
    <xf numFmtId="49" fontId="17" fillId="0" borderId="64" xfId="0" quotePrefix="1" applyNumberFormat="1" applyFont="1" applyBorder="1" applyAlignment="1" applyProtection="1">
      <alignment horizontal="center" vertical="center"/>
      <protection hidden="1"/>
    </xf>
    <xf numFmtId="189" fontId="15" fillId="20" borderId="9" xfId="3" applyNumberFormat="1" applyFont="1" applyFill="1" applyBorder="1" applyAlignment="1" applyProtection="1">
      <alignment horizontal="right" vertical="center"/>
      <protection hidden="1"/>
    </xf>
    <xf numFmtId="189" fontId="15" fillId="20" borderId="69" xfId="3" applyNumberFormat="1" applyFont="1" applyFill="1" applyBorder="1" applyAlignment="1" applyProtection="1">
      <alignment horizontal="right" vertical="center"/>
      <protection hidden="1"/>
    </xf>
    <xf numFmtId="43" fontId="0" fillId="0" borderId="0" xfId="0" applyNumberFormat="1" applyProtection="1">
      <alignment vertical="center"/>
      <protection hidden="1"/>
    </xf>
    <xf numFmtId="0" fontId="8" fillId="0" borderId="0" xfId="0" applyFont="1" applyProtection="1">
      <alignment vertical="center"/>
      <protection hidden="1"/>
    </xf>
    <xf numFmtId="0" fontId="32" fillId="8" borderId="185" xfId="9" applyFont="1" applyFill="1" applyBorder="1" applyAlignment="1">
      <alignment horizontal="center" vertical="center"/>
    </xf>
    <xf numFmtId="0" fontId="32" fillId="0" borderId="139" xfId="9" applyFont="1" applyBorder="1" applyAlignment="1">
      <alignment horizontal="center" vertical="center"/>
    </xf>
    <xf numFmtId="182" fontId="32" fillId="0" borderId="16" xfId="3" applyNumberFormat="1" applyFont="1" applyFill="1" applyBorder="1" applyAlignment="1" applyProtection="1">
      <alignment horizontal="center" vertical="center"/>
    </xf>
    <xf numFmtId="0" fontId="32" fillId="0" borderId="12" xfId="9" applyFont="1" applyBorder="1" applyAlignment="1">
      <alignment horizontal="center" vertical="center"/>
    </xf>
    <xf numFmtId="0" fontId="33" fillId="0" borderId="13" xfId="9" applyFont="1" applyBorder="1" applyAlignment="1">
      <alignment horizontal="center" vertical="center"/>
    </xf>
    <xf numFmtId="176" fontId="34" fillId="0" borderId="13" xfId="3" applyNumberFormat="1" applyFont="1" applyFill="1" applyBorder="1" applyAlignment="1" applyProtection="1">
      <alignment horizontal="right" vertical="center"/>
    </xf>
    <xf numFmtId="187" fontId="34" fillId="0" borderId="13" xfId="3" applyNumberFormat="1" applyFont="1" applyFill="1" applyBorder="1" applyAlignment="1" applyProtection="1">
      <alignment vertical="center"/>
    </xf>
    <xf numFmtId="0" fontId="33" fillId="0" borderId="16" xfId="9" applyFont="1" applyBorder="1" applyAlignment="1">
      <alignment horizontal="center" vertical="center"/>
    </xf>
    <xf numFmtId="180" fontId="32" fillId="0" borderId="16" xfId="3" applyNumberFormat="1" applyFont="1" applyFill="1" applyBorder="1" applyAlignment="1" applyProtection="1">
      <alignment horizontal="center" vertical="center"/>
    </xf>
    <xf numFmtId="180" fontId="32" fillId="0" borderId="43" xfId="3" applyNumberFormat="1" applyFont="1" applyFill="1" applyBorder="1" applyAlignment="1" applyProtection="1">
      <alignment horizontal="center" vertical="center"/>
    </xf>
    <xf numFmtId="0" fontId="32" fillId="8" borderId="19" xfId="9" applyFont="1" applyFill="1" applyBorder="1" applyAlignment="1">
      <alignment horizontal="center" vertical="center" wrapText="1"/>
    </xf>
    <xf numFmtId="0" fontId="32" fillId="8" borderId="20" xfId="9" applyFont="1" applyFill="1" applyBorder="1" applyAlignment="1">
      <alignment horizontal="center" vertical="center" wrapText="1"/>
    </xf>
    <xf numFmtId="0" fontId="32" fillId="8" borderId="186" xfId="9" applyFont="1" applyFill="1" applyBorder="1" applyAlignment="1">
      <alignment horizontal="center" vertical="center" wrapText="1"/>
    </xf>
    <xf numFmtId="41" fontId="32" fillId="0" borderId="136" xfId="3" applyFont="1" applyFill="1" applyBorder="1" applyAlignment="1" applyProtection="1">
      <alignment horizontal="center" vertical="center"/>
    </xf>
    <xf numFmtId="41" fontId="32" fillId="0" borderId="106" xfId="3" applyFont="1" applyFill="1" applyBorder="1" applyAlignment="1" applyProtection="1">
      <alignment horizontal="center" vertical="center"/>
    </xf>
    <xf numFmtId="41" fontId="32" fillId="0" borderId="193" xfId="3" applyFont="1" applyFill="1" applyBorder="1" applyAlignment="1" applyProtection="1">
      <alignment horizontal="center" vertical="center"/>
    </xf>
    <xf numFmtId="0" fontId="32" fillId="19" borderId="185" xfId="9" applyFont="1" applyFill="1" applyBorder="1" applyAlignment="1">
      <alignment horizontal="center" vertical="center"/>
    </xf>
    <xf numFmtId="0" fontId="32" fillId="19" borderId="19" xfId="9" applyFont="1" applyFill="1" applyBorder="1" applyAlignment="1">
      <alignment horizontal="center" vertical="center"/>
    </xf>
    <xf numFmtId="0" fontId="32" fillId="19" borderId="20" xfId="9" applyFont="1" applyFill="1" applyBorder="1" applyAlignment="1">
      <alignment horizontal="center" vertical="center"/>
    </xf>
    <xf numFmtId="0" fontId="32" fillId="0" borderId="17" xfId="9" applyFont="1" applyBorder="1" applyProtection="1">
      <alignment vertical="center"/>
      <protection locked="0"/>
    </xf>
    <xf numFmtId="178" fontId="32" fillId="0" borderId="113" xfId="9" applyNumberFormat="1" applyFont="1" applyBorder="1" applyAlignment="1">
      <alignment horizontal="center" vertical="center"/>
    </xf>
    <xf numFmtId="0" fontId="32" fillId="0" borderId="117" xfId="9" applyFont="1" applyBorder="1" applyAlignment="1">
      <alignment horizontal="center" vertical="center"/>
    </xf>
    <xf numFmtId="0" fontId="32" fillId="0" borderId="118" xfId="9" applyFont="1" applyBorder="1" applyAlignment="1">
      <alignment horizontal="center" vertical="center"/>
    </xf>
    <xf numFmtId="180" fontId="32" fillId="0" borderId="190" xfId="3" applyNumberFormat="1" applyFont="1" applyBorder="1" applyAlignment="1" applyProtection="1">
      <alignment horizontal="center" vertical="center"/>
      <protection locked="0"/>
    </xf>
    <xf numFmtId="178" fontId="32" fillId="0" borderId="119" xfId="9" applyNumberFormat="1" applyFont="1" applyBorder="1" applyAlignment="1">
      <alignment horizontal="center" vertical="center"/>
    </xf>
    <xf numFmtId="0" fontId="32" fillId="0" borderId="123" xfId="9" applyFont="1" applyBorder="1" applyAlignment="1">
      <alignment horizontal="center" vertical="center"/>
    </xf>
    <xf numFmtId="0" fontId="32" fillId="0" borderId="124" xfId="9" applyFont="1" applyBorder="1" applyAlignment="1">
      <alignment horizontal="center" vertical="center"/>
    </xf>
    <xf numFmtId="180" fontId="32" fillId="0" borderId="191" xfId="3" applyNumberFormat="1" applyFont="1" applyBorder="1" applyAlignment="1" applyProtection="1">
      <alignment horizontal="center" vertical="center"/>
      <protection locked="0"/>
    </xf>
    <xf numFmtId="178" fontId="32" fillId="0" borderId="125" xfId="9" applyNumberFormat="1" applyFont="1" applyBorder="1" applyAlignment="1">
      <alignment horizontal="center" vertical="center"/>
    </xf>
    <xf numFmtId="0" fontId="32" fillId="0" borderId="129" xfId="9" applyFont="1" applyBorder="1" applyAlignment="1">
      <alignment horizontal="center" vertical="center"/>
    </xf>
    <xf numFmtId="0" fontId="32" fillId="0" borderId="130" xfId="9" applyFont="1" applyBorder="1" applyAlignment="1">
      <alignment horizontal="center" vertical="center"/>
    </xf>
    <xf numFmtId="180" fontId="32" fillId="0" borderId="192" xfId="3" applyNumberFormat="1" applyFont="1" applyBorder="1" applyAlignment="1" applyProtection="1">
      <alignment horizontal="center" vertical="center"/>
      <protection locked="0"/>
    </xf>
    <xf numFmtId="0" fontId="11" fillId="0" borderId="0" xfId="0" applyFont="1" applyProtection="1">
      <alignment vertical="center"/>
      <protection hidden="1"/>
    </xf>
    <xf numFmtId="0" fontId="11" fillId="8" borderId="9" xfId="0" applyFont="1" applyFill="1" applyBorder="1" applyAlignment="1" applyProtection="1">
      <alignment horizontal="center" vertical="center"/>
      <protection hidden="1"/>
    </xf>
    <xf numFmtId="0" fontId="0" fillId="8" borderId="9" xfId="0" applyFill="1" applyBorder="1" applyAlignment="1" applyProtection="1">
      <alignment horizontal="center" vertical="center"/>
      <protection hidden="1"/>
    </xf>
    <xf numFmtId="0" fontId="49" fillId="0" borderId="0" xfId="0" quotePrefix="1" applyFont="1" applyProtection="1">
      <alignment vertical="center"/>
      <protection hidden="1"/>
    </xf>
    <xf numFmtId="197" fontId="0" fillId="0" borderId="0" xfId="0" applyNumberFormat="1" applyProtection="1">
      <alignment vertical="center"/>
      <protection hidden="1"/>
    </xf>
    <xf numFmtId="0" fontId="0" fillId="0" borderId="154" xfId="0" quotePrefix="1" applyBorder="1">
      <alignment vertical="center"/>
    </xf>
    <xf numFmtId="177" fontId="0" fillId="9" borderId="9" xfId="0" applyNumberFormat="1" applyFill="1" applyBorder="1" applyProtection="1">
      <alignment vertical="center"/>
      <protection hidden="1"/>
    </xf>
    <xf numFmtId="192" fontId="0" fillId="9" borderId="9" xfId="0" applyNumberFormat="1" applyFill="1" applyBorder="1" applyProtection="1">
      <alignment vertical="center"/>
      <protection hidden="1"/>
    </xf>
    <xf numFmtId="178" fontId="0" fillId="9" borderId="9" xfId="0" applyNumberFormat="1" applyFill="1" applyBorder="1" applyProtection="1">
      <alignment vertical="center"/>
      <protection hidden="1"/>
    </xf>
    <xf numFmtId="190" fontId="0" fillId="9" borderId="9" xfId="4" applyNumberFormat="1" applyFont="1" applyFill="1" applyBorder="1" applyProtection="1">
      <alignment vertical="center"/>
      <protection hidden="1"/>
    </xf>
    <xf numFmtId="0" fontId="0" fillId="9" borderId="9" xfId="0" applyFill="1" applyBorder="1" applyAlignment="1" applyProtection="1">
      <alignment horizontal="center" vertical="center"/>
      <protection hidden="1"/>
    </xf>
    <xf numFmtId="189" fontId="0" fillId="9" borderId="9" xfId="3" applyNumberFormat="1" applyFont="1" applyFill="1" applyBorder="1" applyProtection="1">
      <alignment vertical="center"/>
      <protection hidden="1"/>
    </xf>
    <xf numFmtId="0" fontId="42" fillId="0" borderId="154" xfId="0" quotePrefix="1" applyFont="1" applyBorder="1">
      <alignment vertical="center"/>
    </xf>
    <xf numFmtId="0" fontId="11" fillId="0" borderId="154" xfId="0" applyFont="1" applyBorder="1">
      <alignment vertical="center"/>
    </xf>
    <xf numFmtId="0" fontId="42" fillId="0" borderId="154" xfId="0" applyFont="1" applyBorder="1">
      <alignment vertical="center"/>
    </xf>
    <xf numFmtId="0" fontId="8" fillId="0" borderId="154" xfId="0" applyFont="1" applyBorder="1" applyProtection="1">
      <alignment vertical="center"/>
      <protection hidden="1"/>
    </xf>
    <xf numFmtId="0" fontId="0" fillId="4" borderId="154" xfId="0" applyFill="1" applyBorder="1" applyProtection="1">
      <alignment vertical="center"/>
      <protection hidden="1"/>
    </xf>
    <xf numFmtId="0" fontId="36" fillId="0" borderId="154" xfId="0" applyFont="1" applyBorder="1" applyAlignment="1" applyProtection="1">
      <alignment horizontal="left" vertical="center"/>
      <protection hidden="1"/>
    </xf>
    <xf numFmtId="0" fontId="28" fillId="2" borderId="154" xfId="2" applyFont="1" applyBorder="1" applyAlignment="1" applyProtection="1">
      <alignment horizontal="center" vertical="center"/>
      <protection hidden="1"/>
    </xf>
    <xf numFmtId="0" fontId="0" fillId="20" borderId="154" xfId="0" applyFill="1" applyBorder="1" applyAlignment="1" applyProtection="1">
      <alignment horizontal="center" vertical="center"/>
      <protection hidden="1"/>
    </xf>
    <xf numFmtId="189" fontId="0" fillId="20" borderId="154" xfId="3" applyNumberFormat="1" applyFont="1" applyFill="1" applyBorder="1" applyProtection="1">
      <alignment vertical="center"/>
      <protection hidden="1"/>
    </xf>
    <xf numFmtId="189" fontId="0" fillId="20" borderId="154" xfId="3" applyNumberFormat="1" applyFont="1" applyFill="1" applyBorder="1" applyAlignment="1" applyProtection="1">
      <alignment horizontal="center" vertical="center"/>
      <protection hidden="1"/>
    </xf>
    <xf numFmtId="0" fontId="28" fillId="2" borderId="154" xfId="2" applyFont="1" applyBorder="1" applyAlignment="1" applyProtection="1">
      <alignment horizontal="center" vertical="center" shrinkToFit="1"/>
      <protection hidden="1"/>
    </xf>
    <xf numFmtId="0" fontId="28" fillId="2" borderId="154" xfId="2" applyFont="1" applyBorder="1" applyAlignment="1" applyProtection="1">
      <alignment horizontal="center" vertical="center" wrapText="1"/>
      <protection hidden="1"/>
    </xf>
    <xf numFmtId="0" fontId="0" fillId="0" borderId="154" xfId="0" applyBorder="1" applyAlignment="1" applyProtection="1">
      <alignment horizontal="center" vertical="center"/>
      <protection hidden="1"/>
    </xf>
    <xf numFmtId="181" fontId="0" fillId="0" borderId="154" xfId="0" applyNumberFormat="1" applyBorder="1" applyAlignment="1" applyProtection="1">
      <alignment horizontal="center" vertical="center"/>
      <protection hidden="1"/>
    </xf>
    <xf numFmtId="188" fontId="0" fillId="0" borderId="154" xfId="3" applyNumberFormat="1" applyFont="1" applyBorder="1" applyProtection="1">
      <alignment vertical="center"/>
      <protection hidden="1"/>
    </xf>
    <xf numFmtId="182" fontId="41" fillId="0" borderId="154" xfId="3" applyNumberFormat="1" applyFont="1" applyBorder="1" applyProtection="1">
      <alignment vertical="center"/>
      <protection hidden="1"/>
    </xf>
    <xf numFmtId="0" fontId="6" fillId="20" borderId="154" xfId="0" applyFont="1" applyFill="1" applyBorder="1" applyAlignment="1" applyProtection="1">
      <alignment horizontal="center" vertical="center"/>
      <protection hidden="1"/>
    </xf>
    <xf numFmtId="0" fontId="33" fillId="0" borderId="154" xfId="9" applyFont="1" applyBorder="1" applyAlignment="1" applyProtection="1">
      <alignment horizontal="left" vertical="center"/>
      <protection hidden="1"/>
    </xf>
    <xf numFmtId="182" fontId="0" fillId="0" borderId="154" xfId="3" applyNumberFormat="1" applyFont="1" applyBorder="1" applyProtection="1">
      <alignment vertical="center"/>
      <protection hidden="1"/>
    </xf>
    <xf numFmtId="0" fontId="0" fillId="0" borderId="157" xfId="0" applyBorder="1" applyProtection="1">
      <alignment vertical="center"/>
      <protection hidden="1"/>
    </xf>
    <xf numFmtId="0" fontId="1" fillId="0" borderId="199" xfId="1" applyBorder="1" applyProtection="1">
      <alignment vertical="center"/>
      <protection hidden="1"/>
    </xf>
    <xf numFmtId="0" fontId="0" fillId="0" borderId="199" xfId="0" applyBorder="1" applyProtection="1">
      <alignment vertical="center"/>
      <protection hidden="1"/>
    </xf>
    <xf numFmtId="0" fontId="1" fillId="0" borderId="198" xfId="1" applyBorder="1" applyProtection="1">
      <alignment vertical="center"/>
      <protection hidden="1"/>
    </xf>
    <xf numFmtId="182" fontId="41" fillId="0" borderId="157" xfId="3" applyNumberFormat="1" applyFont="1" applyBorder="1" applyProtection="1">
      <alignment vertical="center"/>
      <protection hidden="1"/>
    </xf>
    <xf numFmtId="0" fontId="0" fillId="0" borderId="157" xfId="0" quotePrefix="1" applyBorder="1">
      <alignment vertical="center"/>
    </xf>
    <xf numFmtId="0" fontId="16" fillId="0" borderId="0" xfId="0" applyFont="1" applyAlignment="1" applyProtection="1">
      <alignment horizontal="left" vertical="center"/>
      <protection hidden="1"/>
    </xf>
    <xf numFmtId="0" fontId="60" fillId="0" borderId="0" xfId="0" applyFont="1" applyAlignment="1" applyProtection="1">
      <alignment horizontal="left" vertical="center"/>
      <protection hidden="1"/>
    </xf>
    <xf numFmtId="0" fontId="60" fillId="0" borderId="156" xfId="0" applyFont="1" applyBorder="1" applyAlignment="1">
      <alignment horizontal="left" vertical="center"/>
    </xf>
    <xf numFmtId="0" fontId="61" fillId="0" borderId="0" xfId="0" applyFont="1" applyAlignment="1" applyProtection="1">
      <alignment horizontal="center" vertical="center"/>
      <protection hidden="1"/>
    </xf>
    <xf numFmtId="0" fontId="18" fillId="20" borderId="54" xfId="0" applyFont="1" applyFill="1" applyBorder="1" applyAlignment="1" applyProtection="1">
      <alignment horizontal="center" vertical="center"/>
      <protection hidden="1"/>
    </xf>
    <xf numFmtId="0" fontId="18" fillId="20" borderId="38" xfId="0" applyFont="1" applyFill="1" applyBorder="1" applyAlignment="1" applyProtection="1">
      <alignment horizontal="center" vertical="center"/>
      <protection hidden="1"/>
    </xf>
    <xf numFmtId="0" fontId="18" fillId="20" borderId="173" xfId="0" applyFont="1" applyFill="1" applyBorder="1" applyAlignment="1" applyProtection="1">
      <alignment horizontal="center" vertical="center"/>
      <protection hidden="1"/>
    </xf>
    <xf numFmtId="0" fontId="0" fillId="4" borderId="76" xfId="0" applyFill="1" applyBorder="1" applyAlignment="1" applyProtection="1">
      <alignment horizontal="center" vertical="center"/>
      <protection locked="0"/>
    </xf>
    <xf numFmtId="0" fontId="12" fillId="0" borderId="76" xfId="0" applyFont="1" applyBorder="1" applyAlignment="1">
      <alignment horizontal="center" vertical="center"/>
    </xf>
    <xf numFmtId="0" fontId="64" fillId="0" borderId="141" xfId="0" applyFont="1" applyBorder="1" applyAlignment="1" applyProtection="1">
      <alignment horizontal="center" vertical="center"/>
      <protection hidden="1"/>
    </xf>
    <xf numFmtId="0" fontId="64" fillId="0" borderId="4" xfId="0" applyFont="1" applyBorder="1" applyAlignment="1" applyProtection="1">
      <alignment horizontal="center" vertical="center"/>
      <protection hidden="1"/>
    </xf>
    <xf numFmtId="0" fontId="64" fillId="0" borderId="110" xfId="0" applyFont="1" applyBorder="1" applyAlignment="1" applyProtection="1">
      <alignment horizontal="center" vertical="center"/>
      <protection hidden="1"/>
    </xf>
    <xf numFmtId="0" fontId="65" fillId="0" borderId="4" xfId="0" applyFont="1" applyBorder="1" applyAlignment="1" applyProtection="1">
      <alignment horizontal="center" vertical="center"/>
      <protection hidden="1"/>
    </xf>
    <xf numFmtId="0" fontId="65" fillId="0" borderId="62" xfId="0" applyFont="1" applyBorder="1" applyAlignment="1" applyProtection="1">
      <alignment horizontal="center" vertical="center"/>
      <protection hidden="1"/>
    </xf>
    <xf numFmtId="0" fontId="13" fillId="0" borderId="69" xfId="0" applyFont="1" applyBorder="1" applyAlignment="1" applyProtection="1">
      <alignment horizontal="center" vertical="center"/>
      <protection hidden="1"/>
    </xf>
    <xf numFmtId="189" fontId="13" fillId="13" borderId="69" xfId="0" applyNumberFormat="1" applyFont="1" applyFill="1" applyBorder="1" applyProtection="1">
      <alignment vertical="center"/>
      <protection hidden="1"/>
    </xf>
    <xf numFmtId="189" fontId="13" fillId="13" borderId="70" xfId="0" applyNumberFormat="1" applyFont="1" applyFill="1" applyBorder="1" applyProtection="1">
      <alignment vertical="center"/>
      <protection hidden="1"/>
    </xf>
    <xf numFmtId="0" fontId="0" fillId="0" borderId="76" xfId="0" applyBorder="1" applyAlignment="1">
      <alignment horizontal="center" vertical="center"/>
    </xf>
    <xf numFmtId="9" fontId="13" fillId="4" borderId="223" xfId="4" applyFont="1" applyFill="1" applyBorder="1" applyProtection="1">
      <alignment vertical="center"/>
      <protection locked="0"/>
    </xf>
    <xf numFmtId="189" fontId="12" fillId="4" borderId="5" xfId="3" applyNumberFormat="1" applyFont="1" applyFill="1" applyBorder="1" applyAlignment="1" applyProtection="1">
      <alignment horizontal="right" vertical="center"/>
      <protection locked="0"/>
    </xf>
    <xf numFmtId="189" fontId="12" fillId="4" borderId="44" xfId="3" applyNumberFormat="1" applyFont="1" applyFill="1" applyBorder="1" applyAlignment="1" applyProtection="1">
      <alignment horizontal="right" vertical="center"/>
      <protection locked="0"/>
    </xf>
    <xf numFmtId="9" fontId="13" fillId="4" borderId="221" xfId="4" applyFont="1" applyFill="1" applyBorder="1" applyProtection="1">
      <alignment vertical="center"/>
      <protection locked="0"/>
    </xf>
    <xf numFmtId="189" fontId="12" fillId="4" borderId="52" xfId="3" applyNumberFormat="1" applyFont="1" applyFill="1" applyBorder="1" applyAlignment="1" applyProtection="1">
      <alignment horizontal="right" vertical="center"/>
      <protection locked="0"/>
    </xf>
    <xf numFmtId="189" fontId="12" fillId="4" borderId="220" xfId="3" applyNumberFormat="1" applyFont="1" applyFill="1" applyBorder="1" applyAlignment="1" applyProtection="1">
      <alignment horizontal="right" vertical="center"/>
      <protection locked="0"/>
    </xf>
    <xf numFmtId="189" fontId="12" fillId="4" borderId="9" xfId="3" applyNumberFormat="1" applyFont="1" applyFill="1" applyBorder="1" applyAlignment="1" applyProtection="1">
      <alignment horizontal="right" vertical="center"/>
      <protection locked="0"/>
    </xf>
    <xf numFmtId="189" fontId="12" fillId="4" borderId="38" xfId="3" applyNumberFormat="1" applyFont="1" applyFill="1" applyBorder="1" applyAlignment="1" applyProtection="1">
      <alignment horizontal="right" vertical="center"/>
      <protection locked="0"/>
    </xf>
    <xf numFmtId="180" fontId="13" fillId="4" borderId="221" xfId="3" applyNumberFormat="1" applyFont="1" applyFill="1" applyBorder="1" applyProtection="1">
      <alignment vertical="center"/>
      <protection locked="0"/>
    </xf>
    <xf numFmtId="189" fontId="12" fillId="4" borderId="13" xfId="3" applyNumberFormat="1" applyFont="1" applyFill="1" applyBorder="1" applyAlignment="1" applyProtection="1">
      <alignment horizontal="right" vertical="center"/>
      <protection locked="0"/>
    </xf>
    <xf numFmtId="189" fontId="12" fillId="4" borderId="135" xfId="3" applyNumberFormat="1" applyFont="1" applyFill="1" applyBorder="1" applyAlignment="1" applyProtection="1">
      <alignment horizontal="right" vertical="center"/>
      <protection locked="0"/>
    </xf>
    <xf numFmtId="180" fontId="13" fillId="4" borderId="222" xfId="3" applyNumberFormat="1" applyFont="1" applyFill="1" applyBorder="1" applyProtection="1">
      <alignment vertical="center"/>
      <protection locked="0"/>
    </xf>
    <xf numFmtId="0" fontId="13" fillId="4" borderId="218" xfId="0" applyFont="1" applyFill="1" applyBorder="1" applyAlignment="1" applyProtection="1">
      <alignment horizontal="center" vertical="center"/>
      <protection locked="0"/>
    </xf>
    <xf numFmtId="0" fontId="13" fillId="4" borderId="170" xfId="0" applyFont="1" applyFill="1" applyBorder="1" applyAlignment="1" applyProtection="1">
      <alignment horizontal="center" vertical="center"/>
      <protection locked="0"/>
    </xf>
    <xf numFmtId="0" fontId="17" fillId="4" borderId="45" xfId="0" applyFont="1" applyFill="1" applyBorder="1" applyAlignment="1" applyProtection="1">
      <alignment horizontal="center" vertical="center"/>
      <protection locked="0"/>
    </xf>
    <xf numFmtId="0" fontId="17" fillId="4" borderId="74" xfId="0" applyFont="1" applyFill="1" applyBorder="1" applyAlignment="1" applyProtection="1">
      <alignment horizontal="center" vertical="center"/>
      <protection locked="0"/>
    </xf>
    <xf numFmtId="0" fontId="17" fillId="4" borderId="9" xfId="0" applyFont="1" applyFill="1" applyBorder="1" applyAlignment="1" applyProtection="1">
      <alignment horizontal="center" vertical="center"/>
      <protection locked="0"/>
    </xf>
    <xf numFmtId="0" fontId="17" fillId="4" borderId="146" xfId="0" applyFont="1" applyFill="1" applyBorder="1" applyAlignment="1" applyProtection="1">
      <alignment horizontal="center" vertical="center"/>
      <protection locked="0"/>
    </xf>
    <xf numFmtId="0" fontId="17" fillId="4" borderId="43" xfId="0" applyFont="1" applyFill="1" applyBorder="1" applyAlignment="1" applyProtection="1">
      <alignment horizontal="center" vertical="center"/>
      <protection locked="0"/>
    </xf>
    <xf numFmtId="0" fontId="17" fillId="4" borderId="38" xfId="0" applyFont="1" applyFill="1" applyBorder="1" applyAlignment="1" applyProtection="1">
      <alignment horizontal="center" vertical="center"/>
      <protection locked="0"/>
    </xf>
    <xf numFmtId="0" fontId="17" fillId="4" borderId="53" xfId="0" applyFont="1" applyFill="1" applyBorder="1" applyAlignment="1" applyProtection="1">
      <alignment horizontal="center" vertical="center"/>
      <protection locked="0"/>
    </xf>
    <xf numFmtId="0" fontId="17" fillId="4" borderId="216" xfId="0" applyFont="1" applyFill="1" applyBorder="1" applyAlignment="1" applyProtection="1">
      <alignment horizontal="center" vertical="center"/>
      <protection locked="0"/>
    </xf>
    <xf numFmtId="0" fontId="17" fillId="4" borderId="173" xfId="0" applyFont="1" applyFill="1" applyBorder="1" applyAlignment="1" applyProtection="1">
      <alignment horizontal="center" vertical="center"/>
      <protection locked="0"/>
    </xf>
    <xf numFmtId="0" fontId="13" fillId="4" borderId="74" xfId="0" applyFont="1" applyFill="1" applyBorder="1" applyAlignment="1" applyProtection="1">
      <alignment horizontal="center" vertical="center"/>
      <protection locked="0"/>
    </xf>
    <xf numFmtId="0" fontId="13" fillId="4" borderId="225" xfId="0" applyFont="1" applyFill="1" applyBorder="1" applyAlignment="1" applyProtection="1">
      <alignment horizontal="center" vertical="center"/>
      <protection locked="0"/>
    </xf>
    <xf numFmtId="0" fontId="13" fillId="4" borderId="9" xfId="0" applyFont="1" applyFill="1" applyBorder="1" applyAlignment="1" applyProtection="1">
      <alignment horizontal="center" vertical="center"/>
      <protection locked="0"/>
    </xf>
    <xf numFmtId="0" fontId="13" fillId="4" borderId="16" xfId="0" applyFont="1" applyFill="1" applyBorder="1" applyAlignment="1" applyProtection="1">
      <alignment horizontal="center" vertical="center"/>
      <protection locked="0"/>
    </xf>
    <xf numFmtId="189" fontId="12" fillId="4" borderId="74" xfId="3" applyNumberFormat="1" applyFont="1" applyFill="1" applyBorder="1" applyAlignment="1" applyProtection="1">
      <alignment horizontal="right" vertical="center"/>
      <protection locked="0"/>
    </xf>
    <xf numFmtId="180" fontId="13" fillId="4" borderId="224" xfId="3" applyNumberFormat="1" applyFont="1" applyFill="1" applyBorder="1" applyProtection="1">
      <alignment vertical="center"/>
      <protection locked="0"/>
    </xf>
    <xf numFmtId="189" fontId="12" fillId="4" borderId="65" xfId="3" applyNumberFormat="1" applyFont="1" applyFill="1" applyBorder="1" applyAlignment="1" applyProtection="1">
      <alignment horizontal="right" vertical="center"/>
      <protection locked="0"/>
    </xf>
    <xf numFmtId="41" fontId="0" fillId="4" borderId="9" xfId="3" applyFont="1" applyFill="1" applyBorder="1" applyProtection="1">
      <alignment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176" fontId="0" fillId="4" borderId="9" xfId="0" applyNumberFormat="1" applyFill="1" applyBorder="1" applyProtection="1">
      <alignment vertical="center"/>
      <protection locked="0"/>
    </xf>
    <xf numFmtId="0" fontId="0" fillId="4" borderId="11" xfId="0" applyFill="1" applyBorder="1" applyAlignment="1" applyProtection="1">
      <alignment horizontal="center" vertical="center" wrapText="1"/>
      <protection locked="0"/>
    </xf>
    <xf numFmtId="176" fontId="0" fillId="4" borderId="9" xfId="0" applyNumberFormat="1" applyFill="1" applyBorder="1" applyAlignment="1" applyProtection="1">
      <alignment horizontal="center" vertical="center"/>
      <protection locked="0"/>
    </xf>
    <xf numFmtId="189" fontId="0" fillId="4" borderId="154" xfId="3" applyNumberFormat="1" applyFont="1" applyFill="1" applyBorder="1" applyAlignment="1" applyProtection="1">
      <alignment horizontal="center" vertical="center"/>
      <protection locked="0"/>
    </xf>
    <xf numFmtId="189" fontId="0" fillId="4" borderId="154" xfId="3" applyNumberFormat="1" applyFont="1" applyFill="1" applyBorder="1" applyProtection="1">
      <alignment vertical="center"/>
      <protection locked="0"/>
    </xf>
    <xf numFmtId="0" fontId="0" fillId="4" borderId="154" xfId="0" applyFill="1" applyBorder="1" applyAlignment="1" applyProtection="1">
      <alignment horizontal="center" vertical="center"/>
      <protection locked="0"/>
    </xf>
    <xf numFmtId="181" fontId="0" fillId="4" borderId="154" xfId="0" applyNumberFormat="1" applyFill="1" applyBorder="1" applyAlignment="1" applyProtection="1">
      <alignment horizontal="center" vertical="center"/>
      <protection locked="0"/>
    </xf>
    <xf numFmtId="0" fontId="66" fillId="0" borderId="154" xfId="0" quotePrefix="1" applyFont="1" applyBorder="1">
      <alignment vertical="center"/>
    </xf>
    <xf numFmtId="0" fontId="67" fillId="0" borderId="154" xfId="0" quotePrefix="1" applyFont="1" applyBorder="1">
      <alignment vertical="center"/>
    </xf>
    <xf numFmtId="176" fontId="0" fillId="4" borderId="76" xfId="3" applyNumberFormat="1" applyFont="1" applyFill="1" applyBorder="1" applyAlignment="1" applyProtection="1">
      <alignment horizontal="center" vertical="center"/>
      <protection locked="0"/>
    </xf>
    <xf numFmtId="0" fontId="0" fillId="0" borderId="166" xfId="0" applyBorder="1" applyAlignment="1">
      <alignment horizontal="center" vertical="center"/>
    </xf>
    <xf numFmtId="0" fontId="0" fillId="4" borderId="76" xfId="3" applyNumberFormat="1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Protection="1">
      <alignment vertical="center"/>
      <protection hidden="1"/>
    </xf>
    <xf numFmtId="195" fontId="16" fillId="3" borderId="0" xfId="0" applyNumberFormat="1" applyFont="1" applyFill="1" applyAlignment="1" applyProtection="1">
      <alignment horizontal="center" vertical="center"/>
      <protection hidden="1"/>
    </xf>
    <xf numFmtId="180" fontId="7" fillId="5" borderId="107" xfId="3" applyNumberFormat="1" applyFont="1" applyFill="1" applyBorder="1" applyAlignment="1" applyProtection="1">
      <alignment horizontal="center" vertical="center"/>
      <protection hidden="1"/>
    </xf>
    <xf numFmtId="0" fontId="45" fillId="0" borderId="229" xfId="0" applyFont="1" applyBorder="1" applyAlignment="1" applyProtection="1">
      <alignment horizontal="center" vertical="center"/>
      <protection hidden="1"/>
    </xf>
    <xf numFmtId="0" fontId="45" fillId="0" borderId="14" xfId="0" applyFont="1" applyBorder="1" applyAlignment="1" applyProtection="1">
      <alignment horizontal="center" vertical="center"/>
      <protection hidden="1"/>
    </xf>
    <xf numFmtId="180" fontId="12" fillId="0" borderId="23" xfId="3" applyNumberFormat="1" applyFont="1" applyFill="1" applyBorder="1" applyAlignment="1" applyProtection="1">
      <alignment horizontal="right" vertical="center"/>
      <protection hidden="1"/>
    </xf>
    <xf numFmtId="180" fontId="12" fillId="0" borderId="24" xfId="3" applyNumberFormat="1" applyFont="1" applyFill="1" applyBorder="1" applyAlignment="1" applyProtection="1">
      <alignment horizontal="right" vertical="center"/>
      <protection hidden="1"/>
    </xf>
    <xf numFmtId="180" fontId="12" fillId="0" borderId="230" xfId="3" applyNumberFormat="1" applyFont="1" applyFill="1" applyBorder="1" applyAlignment="1" applyProtection="1">
      <alignment horizontal="right" vertical="center"/>
      <protection hidden="1"/>
    </xf>
    <xf numFmtId="180" fontId="12" fillId="0" borderId="105" xfId="3" applyNumberFormat="1" applyFont="1" applyFill="1" applyBorder="1" applyAlignment="1" applyProtection="1">
      <alignment horizontal="right" vertical="center"/>
      <protection hidden="1"/>
    </xf>
    <xf numFmtId="180" fontId="12" fillId="0" borderId="231" xfId="3" applyNumberFormat="1" applyFont="1" applyFill="1" applyBorder="1" applyAlignment="1" applyProtection="1">
      <alignment horizontal="right" vertical="center"/>
      <protection hidden="1"/>
    </xf>
    <xf numFmtId="180" fontId="12" fillId="0" borderId="232" xfId="3" applyNumberFormat="1" applyFont="1" applyFill="1" applyBorder="1" applyAlignment="1" applyProtection="1">
      <alignment horizontal="right" vertical="center"/>
      <protection hidden="1"/>
    </xf>
    <xf numFmtId="180" fontId="7" fillId="5" borderId="233" xfId="3" applyNumberFormat="1" applyFont="1" applyFill="1" applyBorder="1" applyAlignment="1" applyProtection="1">
      <alignment horizontal="center" vertical="center"/>
      <protection hidden="1"/>
    </xf>
    <xf numFmtId="180" fontId="7" fillId="5" borderId="234" xfId="3" applyNumberFormat="1" applyFont="1" applyFill="1" applyBorder="1" applyProtection="1">
      <alignment vertical="center"/>
      <protection hidden="1"/>
    </xf>
    <xf numFmtId="180" fontId="7" fillId="5" borderId="235" xfId="3" applyNumberFormat="1" applyFont="1" applyFill="1" applyBorder="1" applyProtection="1">
      <alignment vertical="center"/>
      <protection hidden="1"/>
    </xf>
    <xf numFmtId="180" fontId="7" fillId="5" borderId="233" xfId="3" applyNumberFormat="1" applyFont="1" applyFill="1" applyBorder="1" applyProtection="1">
      <alignment vertical="center"/>
      <protection hidden="1"/>
    </xf>
    <xf numFmtId="184" fontId="0" fillId="0" borderId="154" xfId="0" applyNumberFormat="1" applyBorder="1" applyProtection="1">
      <alignment vertical="center"/>
      <protection hidden="1"/>
    </xf>
    <xf numFmtId="201" fontId="32" fillId="0" borderId="13" xfId="3" applyNumberFormat="1" applyFont="1" applyFill="1" applyBorder="1" applyAlignment="1" applyProtection="1">
      <alignment horizontal="right" vertical="center"/>
    </xf>
    <xf numFmtId="201" fontId="32" fillId="0" borderId="135" xfId="3" applyNumberFormat="1" applyFont="1" applyFill="1" applyBorder="1" applyAlignment="1" applyProtection="1">
      <alignment horizontal="right" vertical="center"/>
    </xf>
    <xf numFmtId="201" fontId="32" fillId="0" borderId="107" xfId="9" applyNumberFormat="1" applyFont="1" applyBorder="1" applyAlignment="1" applyProtection="1">
      <alignment horizontal="right" vertical="center"/>
      <protection locked="0"/>
    </xf>
    <xf numFmtId="0" fontId="51" fillId="0" borderId="0" xfId="9" applyFont="1" applyAlignment="1">
      <alignment horizontal="left" vertical="center"/>
    </xf>
    <xf numFmtId="0" fontId="51" fillId="0" borderId="0" xfId="9" applyFont="1" applyProtection="1">
      <alignment vertical="center"/>
      <protection locked="0"/>
    </xf>
    <xf numFmtId="0" fontId="32" fillId="0" borderId="190" xfId="9" applyFont="1" applyBorder="1" applyProtection="1">
      <alignment vertical="center"/>
      <protection locked="0"/>
    </xf>
    <xf numFmtId="0" fontId="32" fillId="0" borderId="191" xfId="9" applyFont="1" applyBorder="1" applyProtection="1">
      <alignment vertical="center"/>
      <protection locked="0"/>
    </xf>
    <xf numFmtId="0" fontId="32" fillId="0" borderId="192" xfId="9" applyFont="1" applyBorder="1" applyProtection="1">
      <alignment vertical="center"/>
      <protection locked="0"/>
    </xf>
    <xf numFmtId="180" fontId="12" fillId="10" borderId="228" xfId="3" applyNumberFormat="1" applyFont="1" applyFill="1" applyBorder="1" applyAlignment="1" applyProtection="1">
      <alignment horizontal="right" vertical="center"/>
      <protection hidden="1"/>
    </xf>
    <xf numFmtId="180" fontId="12" fillId="10" borderId="12" xfId="3" applyNumberFormat="1" applyFont="1" applyFill="1" applyBorder="1" applyAlignment="1" applyProtection="1">
      <alignment horizontal="right" vertical="center"/>
      <protection hidden="1"/>
    </xf>
    <xf numFmtId="0" fontId="45" fillId="20" borderId="74" xfId="0" applyFont="1" applyFill="1" applyBorder="1" applyAlignment="1" applyProtection="1">
      <alignment horizontal="center" vertical="center" shrinkToFit="1"/>
      <protection hidden="1"/>
    </xf>
    <xf numFmtId="0" fontId="45" fillId="20" borderId="9" xfId="0" applyFont="1" applyFill="1" applyBorder="1" applyAlignment="1" applyProtection="1">
      <alignment horizontal="center" vertical="center" shrinkToFit="1"/>
      <protection hidden="1"/>
    </xf>
    <xf numFmtId="0" fontId="45" fillId="20" borderId="13" xfId="0" applyFont="1" applyFill="1" applyBorder="1" applyAlignment="1" applyProtection="1">
      <alignment horizontal="center" vertical="center" shrinkToFit="1"/>
      <protection hidden="1"/>
    </xf>
    <xf numFmtId="202" fontId="12" fillId="0" borderId="180" xfId="3" applyNumberFormat="1" applyFont="1" applyBorder="1" applyAlignment="1" applyProtection="1">
      <alignment horizontal="right" vertical="center"/>
      <protection hidden="1"/>
    </xf>
    <xf numFmtId="202" fontId="13" fillId="0" borderId="178" xfId="0" applyNumberFormat="1" applyFont="1" applyBorder="1" applyAlignment="1" applyProtection="1">
      <alignment horizontal="right" vertical="center"/>
      <protection hidden="1"/>
    </xf>
    <xf numFmtId="202" fontId="13" fillId="0" borderId="181" xfId="0" applyNumberFormat="1" applyFont="1" applyBorder="1" applyAlignment="1" applyProtection="1">
      <alignment horizontal="right" vertical="center"/>
      <protection hidden="1"/>
    </xf>
    <xf numFmtId="203" fontId="32" fillId="0" borderId="115" xfId="9" applyNumberFormat="1" applyFont="1" applyBorder="1" applyAlignment="1">
      <alignment horizontal="center" vertical="center"/>
    </xf>
    <xf numFmtId="203" fontId="32" fillId="0" borderId="116" xfId="9" applyNumberFormat="1" applyFont="1" applyBorder="1" applyAlignment="1">
      <alignment horizontal="center" vertical="center"/>
    </xf>
    <xf numFmtId="203" fontId="32" fillId="0" borderId="121" xfId="9" applyNumberFormat="1" applyFont="1" applyBorder="1" applyAlignment="1">
      <alignment horizontal="center" vertical="center"/>
    </xf>
    <xf numFmtId="203" fontId="32" fillId="0" borderId="122" xfId="9" applyNumberFormat="1" applyFont="1" applyBorder="1" applyAlignment="1">
      <alignment horizontal="center" vertical="center"/>
    </xf>
    <xf numFmtId="203" fontId="32" fillId="0" borderId="127" xfId="9" applyNumberFormat="1" applyFont="1" applyBorder="1" applyAlignment="1">
      <alignment horizontal="center" vertical="center"/>
    </xf>
    <xf numFmtId="203" fontId="32" fillId="0" borderId="128" xfId="9" applyNumberFormat="1" applyFont="1" applyBorder="1" applyAlignment="1">
      <alignment horizontal="center" vertical="center"/>
    </xf>
    <xf numFmtId="41" fontId="31" fillId="0" borderId="0" xfId="3" applyFont="1" applyProtection="1">
      <alignment vertical="center"/>
      <protection locked="0"/>
    </xf>
    <xf numFmtId="187" fontId="32" fillId="0" borderId="236" xfId="9" applyNumberFormat="1" applyFont="1" applyBorder="1" applyProtection="1">
      <alignment vertical="center"/>
      <protection locked="0"/>
    </xf>
    <xf numFmtId="187" fontId="32" fillId="0" borderId="237" xfId="9" applyNumberFormat="1" applyFont="1" applyBorder="1" applyProtection="1">
      <alignment vertical="center"/>
      <protection locked="0"/>
    </xf>
    <xf numFmtId="0" fontId="33" fillId="0" borderId="158" xfId="9" applyFont="1" applyBorder="1" applyProtection="1">
      <alignment vertical="center"/>
      <protection hidden="1"/>
    </xf>
    <xf numFmtId="0" fontId="74" fillId="2" borderId="154" xfId="2" applyFont="1" applyBorder="1" applyAlignment="1">
      <alignment horizontal="center" vertical="center"/>
    </xf>
    <xf numFmtId="0" fontId="74" fillId="2" borderId="154" xfId="2" applyFont="1" applyBorder="1" applyAlignment="1">
      <alignment horizontal="center" vertical="center" wrapText="1"/>
    </xf>
    <xf numFmtId="0" fontId="7" fillId="7" borderId="154" xfId="0" applyFont="1" applyFill="1" applyBorder="1" applyAlignment="1">
      <alignment horizontal="center" vertical="center"/>
    </xf>
    <xf numFmtId="178" fontId="0" fillId="4" borderId="154" xfId="0" applyNumberFormat="1" applyFill="1" applyBorder="1" applyAlignment="1">
      <alignment horizontal="center" vertical="center"/>
    </xf>
    <xf numFmtId="0" fontId="0" fillId="4" borderId="154" xfId="0" applyFill="1" applyBorder="1" applyAlignment="1">
      <alignment horizontal="center" vertical="center"/>
    </xf>
    <xf numFmtId="0" fontId="13" fillId="0" borderId="241" xfId="0" applyFont="1" applyBorder="1" applyAlignment="1" applyProtection="1">
      <alignment horizontal="center" vertical="center"/>
      <protection hidden="1"/>
    </xf>
    <xf numFmtId="0" fontId="13" fillId="0" borderId="239" xfId="0" applyFont="1" applyBorder="1" applyAlignment="1" applyProtection="1">
      <alignment horizontal="center" vertical="center"/>
      <protection hidden="1"/>
    </xf>
    <xf numFmtId="0" fontId="13" fillId="0" borderId="242" xfId="0" applyFont="1" applyBorder="1" applyAlignment="1" applyProtection="1">
      <alignment horizontal="center" vertical="center"/>
      <protection hidden="1"/>
    </xf>
    <xf numFmtId="176" fontId="76" fillId="4" borderId="76" xfId="3" applyNumberFormat="1" applyFont="1" applyFill="1" applyBorder="1" applyAlignment="1" applyProtection="1">
      <alignment horizontal="center" vertical="center"/>
      <protection locked="0"/>
    </xf>
    <xf numFmtId="0" fontId="6" fillId="4" borderId="9" xfId="0" applyFont="1" applyFill="1" applyBorder="1" applyAlignment="1" applyProtection="1">
      <alignment horizontal="center" vertical="center"/>
      <protection locked="0"/>
    </xf>
    <xf numFmtId="0" fontId="0" fillId="4" borderId="9" xfId="0" applyFont="1" applyFill="1" applyBorder="1" applyAlignment="1" applyProtection="1">
      <alignment horizontal="center" vertical="center"/>
      <protection locked="0"/>
    </xf>
    <xf numFmtId="176" fontId="6" fillId="4" borderId="76" xfId="3" applyNumberFormat="1" applyFont="1" applyFill="1" applyBorder="1" applyAlignment="1" applyProtection="1">
      <alignment horizontal="center" vertical="center"/>
      <protection locked="0"/>
    </xf>
    <xf numFmtId="0" fontId="6" fillId="4" borderId="76" xfId="3" applyNumberFormat="1" applyFont="1" applyFill="1" applyBorder="1" applyAlignment="1" applyProtection="1">
      <alignment horizontal="center" vertical="center"/>
      <protection locked="0"/>
    </xf>
    <xf numFmtId="0" fontId="6" fillId="4" borderId="76" xfId="0" applyFont="1" applyFill="1" applyBorder="1" applyAlignment="1" applyProtection="1">
      <alignment horizontal="center" vertical="center"/>
      <protection locked="0"/>
    </xf>
    <xf numFmtId="3" fontId="0" fillId="0" borderId="5" xfId="0" applyNumberFormat="1" applyBorder="1" applyProtection="1">
      <alignment vertical="center"/>
      <protection locked="0"/>
    </xf>
    <xf numFmtId="3" fontId="0" fillId="0" borderId="9" xfId="0" applyNumberFormat="1" applyBorder="1" applyProtection="1">
      <alignment vertical="center"/>
      <protection locked="0"/>
    </xf>
    <xf numFmtId="3" fontId="0" fillId="0" borderId="16" xfId="0" applyNumberFormat="1" applyBorder="1" applyProtection="1">
      <alignment vertical="center"/>
      <protection locked="0"/>
    </xf>
    <xf numFmtId="0" fontId="0" fillId="4" borderId="76" xfId="0" applyFill="1" applyBorder="1" applyAlignment="1" applyProtection="1">
      <alignment horizontal="center" vertical="center"/>
      <protection locked="0"/>
    </xf>
    <xf numFmtId="176" fontId="14" fillId="4" borderId="76" xfId="3" applyNumberFormat="1" applyFont="1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>
      <alignment horizontal="center" vertical="center"/>
    </xf>
    <xf numFmtId="0" fontId="26" fillId="21" borderId="0" xfId="0" applyFont="1" applyFill="1" applyAlignment="1">
      <alignment horizontal="left" vertical="center"/>
    </xf>
    <xf numFmtId="0" fontId="16" fillId="3" borderId="154" xfId="0" applyFont="1" applyFill="1" applyBorder="1" applyAlignment="1">
      <alignment horizontal="left" vertical="center"/>
    </xf>
    <xf numFmtId="0" fontId="11" fillId="17" borderId="9" xfId="0" applyFont="1" applyFill="1" applyBorder="1" applyAlignment="1">
      <alignment horizontal="center" vertical="center"/>
    </xf>
    <xf numFmtId="0" fontId="11" fillId="24" borderId="9" xfId="0" applyFont="1" applyFill="1" applyBorder="1" applyAlignment="1">
      <alignment horizontal="center" vertical="center"/>
    </xf>
    <xf numFmtId="0" fontId="10" fillId="21" borderId="196" xfId="0" applyFont="1" applyFill="1" applyBorder="1" applyAlignment="1">
      <alignment horizontal="left" vertical="center"/>
    </xf>
    <xf numFmtId="0" fontId="10" fillId="21" borderId="197" xfId="0" applyFont="1" applyFill="1" applyBorder="1" applyAlignment="1">
      <alignment horizontal="left" vertical="center"/>
    </xf>
    <xf numFmtId="0" fontId="10" fillId="21" borderId="144" xfId="0" applyFont="1" applyFill="1" applyBorder="1" applyAlignment="1">
      <alignment horizontal="left" vertical="center"/>
    </xf>
    <xf numFmtId="0" fontId="16" fillId="3" borderId="155" xfId="0" applyFont="1" applyFill="1" applyBorder="1" applyAlignment="1">
      <alignment horizontal="left" vertical="center"/>
    </xf>
    <xf numFmtId="0" fontId="16" fillId="3" borderId="195" xfId="0" applyFont="1" applyFill="1" applyBorder="1" applyAlignment="1">
      <alignment horizontal="left" vertical="center"/>
    </xf>
    <xf numFmtId="0" fontId="16" fillId="3" borderId="156" xfId="0" applyFont="1" applyFill="1" applyBorder="1" applyAlignment="1">
      <alignment horizontal="left" vertical="center"/>
    </xf>
    <xf numFmtId="0" fontId="10" fillId="21" borderId="76" xfId="0" applyFont="1" applyFill="1" applyBorder="1" applyAlignment="1">
      <alignment horizontal="left" vertical="center"/>
    </xf>
    <xf numFmtId="49" fontId="13" fillId="4" borderId="76" xfId="0" applyNumberFormat="1" applyFont="1" applyFill="1" applyBorder="1" applyAlignment="1" applyProtection="1">
      <alignment horizontal="center" vertical="center"/>
      <protection locked="0"/>
    </xf>
    <xf numFmtId="195" fontId="13" fillId="4" borderId="76" xfId="0" applyNumberFormat="1" applyFont="1" applyFill="1" applyBorder="1" applyAlignment="1" applyProtection="1">
      <alignment horizontal="center" vertical="center"/>
      <protection locked="0"/>
    </xf>
    <xf numFmtId="200" fontId="13" fillId="4" borderId="76" xfId="0" applyNumberFormat="1" applyFont="1" applyFill="1" applyBorder="1" applyAlignment="1" applyProtection="1">
      <alignment horizontal="center" vertical="center"/>
      <protection locked="0"/>
    </xf>
    <xf numFmtId="200" fontId="13" fillId="4" borderId="76" xfId="0" applyNumberFormat="1" applyFont="1" applyFill="1" applyBorder="1" applyAlignment="1" applyProtection="1">
      <alignment horizontal="center" vertical="center" wrapText="1"/>
      <protection locked="0"/>
    </xf>
    <xf numFmtId="199" fontId="13" fillId="4" borderId="76" xfId="0" applyNumberFormat="1" applyFont="1" applyFill="1" applyBorder="1" applyAlignment="1" applyProtection="1">
      <alignment horizontal="center" vertical="center"/>
      <protection locked="0"/>
    </xf>
    <xf numFmtId="198" fontId="13" fillId="4" borderId="76" xfId="0" applyNumberFormat="1" applyFont="1" applyFill="1" applyBorder="1" applyAlignment="1" applyProtection="1">
      <alignment horizontal="center" vertical="center"/>
      <protection locked="0"/>
    </xf>
    <xf numFmtId="0" fontId="0" fillId="4" borderId="76" xfId="0" applyFill="1" applyBorder="1" applyAlignment="1" applyProtection="1">
      <alignment horizontal="center" vertical="center"/>
      <protection locked="0"/>
    </xf>
    <xf numFmtId="49" fontId="13" fillId="4" borderId="76" xfId="0" quotePrefix="1" applyNumberFormat="1" applyFont="1" applyFill="1" applyBorder="1" applyAlignment="1" applyProtection="1">
      <alignment horizontal="center" vertical="center"/>
      <protection locked="0"/>
    </xf>
    <xf numFmtId="49" fontId="13" fillId="4" borderId="76" xfId="0" applyNumberFormat="1" applyFont="1" applyFill="1" applyBorder="1" applyAlignment="1" applyProtection="1">
      <alignment horizontal="center" vertical="center" wrapText="1"/>
      <protection locked="0"/>
    </xf>
    <xf numFmtId="49" fontId="13" fillId="4" borderId="76" xfId="0" quotePrefix="1" applyNumberFormat="1" applyFont="1" applyFill="1" applyBorder="1" applyAlignment="1" applyProtection="1">
      <alignment horizontal="center" vertical="center" wrapText="1"/>
      <protection locked="0"/>
    </xf>
    <xf numFmtId="0" fontId="13" fillId="4" borderId="76" xfId="0" quotePrefix="1" applyFont="1" applyFill="1" applyBorder="1" applyAlignment="1" applyProtection="1">
      <alignment horizontal="center" vertical="center" wrapText="1"/>
      <protection locked="0"/>
    </xf>
    <xf numFmtId="0" fontId="13" fillId="4" borderId="196" xfId="0" applyFont="1" applyFill="1" applyBorder="1" applyAlignment="1" applyProtection="1">
      <alignment horizontal="center" vertical="center"/>
      <protection locked="0"/>
    </xf>
    <xf numFmtId="0" fontId="13" fillId="4" borderId="197" xfId="0" applyFont="1" applyFill="1" applyBorder="1" applyAlignment="1" applyProtection="1">
      <alignment horizontal="center" vertical="center"/>
      <protection locked="0"/>
    </xf>
    <xf numFmtId="0" fontId="13" fillId="4" borderId="144" xfId="0" applyFont="1" applyFill="1" applyBorder="1" applyAlignment="1" applyProtection="1">
      <alignment horizontal="center" vertical="center"/>
      <protection locked="0"/>
    </xf>
    <xf numFmtId="0" fontId="12" fillId="4" borderId="76" xfId="0" quotePrefix="1" applyFont="1" applyFill="1" applyBorder="1" applyAlignment="1" applyProtection="1">
      <alignment horizontal="center" vertical="center" wrapText="1"/>
      <protection locked="0"/>
    </xf>
    <xf numFmtId="0" fontId="12" fillId="23" borderId="196" xfId="0" quotePrefix="1" applyFont="1" applyFill="1" applyBorder="1" applyAlignment="1">
      <alignment horizontal="center" vertical="center" wrapText="1"/>
    </xf>
    <xf numFmtId="0" fontId="12" fillId="23" borderId="197" xfId="0" quotePrefix="1" applyFont="1" applyFill="1" applyBorder="1" applyAlignment="1">
      <alignment horizontal="center" vertical="center" wrapText="1"/>
    </xf>
    <xf numFmtId="0" fontId="12" fillId="23" borderId="144" xfId="0" quotePrefix="1" applyFont="1" applyFill="1" applyBorder="1" applyAlignment="1">
      <alignment horizontal="center" vertical="center" wrapText="1"/>
    </xf>
    <xf numFmtId="0" fontId="12" fillId="0" borderId="76" xfId="0" applyFont="1" applyBorder="1" applyAlignment="1">
      <alignment horizontal="center" vertical="center"/>
    </xf>
    <xf numFmtId="0" fontId="77" fillId="4" borderId="76" xfId="0" applyFont="1" applyFill="1" applyBorder="1" applyAlignment="1" applyProtection="1">
      <alignment horizontal="left" vertical="center" wrapText="1"/>
      <protection locked="0"/>
    </xf>
    <xf numFmtId="0" fontId="13" fillId="4" borderId="206" xfId="0" quotePrefix="1" applyFont="1" applyFill="1" applyBorder="1" applyAlignment="1" applyProtection="1">
      <alignment horizontal="center" vertical="center" wrapText="1"/>
      <protection locked="0"/>
    </xf>
    <xf numFmtId="0" fontId="13" fillId="4" borderId="207" xfId="0" quotePrefix="1" applyFont="1" applyFill="1" applyBorder="1" applyAlignment="1" applyProtection="1">
      <alignment horizontal="center" vertical="center" wrapText="1"/>
      <protection locked="0"/>
    </xf>
    <xf numFmtId="0" fontId="13" fillId="4" borderId="168" xfId="0" quotePrefix="1" applyFont="1" applyFill="1" applyBorder="1" applyAlignment="1" applyProtection="1">
      <alignment horizontal="center" vertical="center" wrapText="1"/>
      <protection locked="0"/>
    </xf>
    <xf numFmtId="0" fontId="13" fillId="4" borderId="194" xfId="0" quotePrefix="1" applyFont="1" applyFill="1" applyBorder="1" applyAlignment="1" applyProtection="1">
      <alignment horizontal="center" vertical="center" wrapText="1"/>
      <protection locked="0"/>
    </xf>
    <xf numFmtId="0" fontId="13" fillId="4" borderId="0" xfId="0" quotePrefix="1" applyFont="1" applyFill="1" applyAlignment="1" applyProtection="1">
      <alignment horizontal="center" vertical="center" wrapText="1"/>
      <protection locked="0"/>
    </xf>
    <xf numFmtId="0" fontId="13" fillId="4" borderId="208" xfId="0" quotePrefix="1" applyFont="1" applyFill="1" applyBorder="1" applyAlignment="1" applyProtection="1">
      <alignment horizontal="center" vertical="center" wrapText="1"/>
      <protection locked="0"/>
    </xf>
    <xf numFmtId="0" fontId="13" fillId="4" borderId="209" xfId="0" quotePrefix="1" applyFont="1" applyFill="1" applyBorder="1" applyAlignment="1" applyProtection="1">
      <alignment horizontal="center" vertical="center" wrapText="1"/>
      <protection locked="0"/>
    </xf>
    <xf numFmtId="0" fontId="13" fillId="4" borderId="210" xfId="0" quotePrefix="1" applyFont="1" applyFill="1" applyBorder="1" applyAlignment="1" applyProtection="1">
      <alignment horizontal="center" vertical="center" wrapText="1"/>
      <protection locked="0"/>
    </xf>
    <xf numFmtId="0" fontId="13" fillId="4" borderId="163" xfId="0" quotePrefix="1" applyFont="1" applyFill="1" applyBorder="1" applyAlignment="1" applyProtection="1">
      <alignment horizontal="center" vertical="center" wrapText="1"/>
      <protection locked="0"/>
    </xf>
    <xf numFmtId="41" fontId="51" fillId="4" borderId="196" xfId="3" applyFont="1" applyFill="1" applyBorder="1" applyAlignment="1" applyProtection="1">
      <alignment horizontal="center" vertical="center"/>
      <protection locked="0"/>
    </xf>
    <xf numFmtId="41" fontId="51" fillId="4" borderId="197" xfId="3" applyFont="1" applyFill="1" applyBorder="1" applyAlignment="1" applyProtection="1">
      <alignment horizontal="center" vertical="center"/>
      <protection locked="0"/>
    </xf>
    <xf numFmtId="41" fontId="51" fillId="4" borderId="144" xfId="3" applyFont="1" applyFill="1" applyBorder="1" applyAlignment="1" applyProtection="1">
      <alignment horizontal="center" vertical="center"/>
      <protection locked="0"/>
    </xf>
    <xf numFmtId="195" fontId="16" fillId="3" borderId="0" xfId="0" applyNumberFormat="1" applyFont="1" applyFill="1" applyAlignment="1" applyProtection="1">
      <alignment horizontal="center" vertical="center"/>
      <protection hidden="1"/>
    </xf>
    <xf numFmtId="49" fontId="17" fillId="4" borderId="54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97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98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38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48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11" xfId="0" quotePrefix="1" applyNumberFormat="1" applyFont="1" applyFill="1" applyBorder="1" applyAlignment="1" applyProtection="1">
      <alignment horizontal="center" vertical="center"/>
      <protection locked="0"/>
    </xf>
    <xf numFmtId="49" fontId="17" fillId="0" borderId="79" xfId="0" quotePrefix="1" applyNumberFormat="1" applyFont="1" applyBorder="1" applyAlignment="1" applyProtection="1">
      <alignment horizontal="center" vertical="center"/>
      <protection hidden="1"/>
    </xf>
    <xf numFmtId="49" fontId="17" fillId="0" borderId="86" xfId="0" quotePrefix="1" applyNumberFormat="1" applyFont="1" applyBorder="1" applyAlignment="1" applyProtection="1">
      <alignment horizontal="center" vertical="center"/>
      <protection hidden="1"/>
    </xf>
    <xf numFmtId="49" fontId="17" fillId="0" borderId="68" xfId="0" quotePrefix="1" applyNumberFormat="1" applyFont="1" applyBorder="1" applyAlignment="1" applyProtection="1">
      <alignment horizontal="center" vertical="center"/>
      <protection hidden="1"/>
    </xf>
    <xf numFmtId="0" fontId="64" fillId="0" borderId="211" xfId="0" applyFont="1" applyBorder="1" applyAlignment="1" applyProtection="1">
      <alignment horizontal="center" vertical="center"/>
      <protection hidden="1"/>
    </xf>
    <xf numFmtId="0" fontId="64" fillId="0" borderId="84" xfId="0" applyFont="1" applyBorder="1" applyAlignment="1" applyProtection="1">
      <alignment horizontal="center" vertical="center"/>
      <protection hidden="1"/>
    </xf>
    <xf numFmtId="0" fontId="64" fillId="0" borderId="212" xfId="0" applyFont="1" applyBorder="1" applyAlignment="1" applyProtection="1">
      <alignment horizontal="center" vertical="center"/>
      <protection hidden="1"/>
    </xf>
    <xf numFmtId="0" fontId="64" fillId="0" borderId="51" xfId="0" applyFont="1" applyBorder="1" applyAlignment="1" applyProtection="1">
      <alignment horizontal="center" vertical="center"/>
      <protection hidden="1"/>
    </xf>
    <xf numFmtId="0" fontId="17" fillId="0" borderId="63" xfId="0" quotePrefix="1" applyFont="1" applyBorder="1" applyAlignment="1" applyProtection="1">
      <alignment horizontal="center" vertical="center" wrapText="1"/>
      <protection hidden="1"/>
    </xf>
    <xf numFmtId="0" fontId="17" fillId="0" borderId="213" xfId="0" quotePrefix="1" applyFont="1" applyBorder="1" applyAlignment="1" applyProtection="1">
      <alignment horizontal="center" vertical="center" wrapText="1"/>
      <protection hidden="1"/>
    </xf>
    <xf numFmtId="0" fontId="17" fillId="0" borderId="214" xfId="0" quotePrefix="1" applyFont="1" applyBorder="1" applyAlignment="1" applyProtection="1">
      <alignment horizontal="center" vertical="center" wrapText="1"/>
      <protection hidden="1"/>
    </xf>
    <xf numFmtId="49" fontId="17" fillId="0" borderId="64" xfId="0" quotePrefix="1" applyNumberFormat="1" applyFont="1" applyBorder="1" applyAlignment="1" applyProtection="1">
      <alignment horizontal="center" vertical="center" wrapText="1"/>
      <protection hidden="1"/>
    </xf>
    <xf numFmtId="49" fontId="17" fillId="0" borderId="213" xfId="0" quotePrefix="1" applyNumberFormat="1" applyFont="1" applyBorder="1" applyAlignment="1" applyProtection="1">
      <alignment horizontal="center" vertical="center"/>
      <protection hidden="1"/>
    </xf>
    <xf numFmtId="49" fontId="17" fillId="0" borderId="215" xfId="0" quotePrefix="1" applyNumberFormat="1" applyFont="1" applyBorder="1" applyAlignment="1" applyProtection="1">
      <alignment horizontal="center" vertical="center"/>
      <protection hidden="1"/>
    </xf>
    <xf numFmtId="49" fontId="17" fillId="0" borderId="5" xfId="0" quotePrefix="1" applyNumberFormat="1" applyFont="1" applyBorder="1" applyAlignment="1" applyProtection="1">
      <alignment horizontal="center" vertical="center"/>
      <protection hidden="1"/>
    </xf>
    <xf numFmtId="49" fontId="17" fillId="0" borderId="16" xfId="0" quotePrefix="1" applyNumberFormat="1" applyFont="1" applyBorder="1" applyAlignment="1" applyProtection="1">
      <alignment horizontal="center" vertical="center"/>
      <protection hidden="1"/>
    </xf>
    <xf numFmtId="49" fontId="17" fillId="0" borderId="85" xfId="0" quotePrefix="1" applyNumberFormat="1" applyFont="1" applyBorder="1" applyAlignment="1" applyProtection="1">
      <alignment horizontal="center" vertical="center"/>
      <protection hidden="1"/>
    </xf>
    <xf numFmtId="49" fontId="17" fillId="0" borderId="29" xfId="0" quotePrefix="1" applyNumberFormat="1" applyFont="1" applyBorder="1" applyAlignment="1" applyProtection="1">
      <alignment horizontal="center" vertical="center"/>
      <protection hidden="1"/>
    </xf>
    <xf numFmtId="49" fontId="17" fillId="0" borderId="28" xfId="0" quotePrefix="1" applyNumberFormat="1" applyFont="1" applyBorder="1" applyAlignment="1" applyProtection="1">
      <alignment horizontal="center" vertical="center"/>
      <protection hidden="1"/>
    </xf>
    <xf numFmtId="0" fontId="65" fillId="0" borderId="55" xfId="0" applyFont="1" applyBorder="1" applyAlignment="1" applyProtection="1">
      <alignment horizontal="center" vertical="center"/>
      <protection hidden="1"/>
    </xf>
    <xf numFmtId="0" fontId="65" fillId="0" borderId="61" xfId="0" applyFont="1" applyBorder="1" applyAlignment="1" applyProtection="1">
      <alignment horizontal="center" vertical="center"/>
      <protection hidden="1"/>
    </xf>
    <xf numFmtId="0" fontId="44" fillId="17" borderId="0" xfId="0" applyFont="1" applyFill="1" applyAlignment="1" applyProtection="1">
      <alignment horizontal="center" vertical="center"/>
      <protection hidden="1"/>
    </xf>
    <xf numFmtId="0" fontId="44" fillId="17" borderId="147" xfId="0" applyFont="1" applyFill="1" applyBorder="1" applyAlignment="1" applyProtection="1">
      <alignment horizontal="center" vertical="center"/>
      <protection hidden="1"/>
    </xf>
    <xf numFmtId="0" fontId="64" fillId="0" borderId="217" xfId="0" applyFont="1" applyBorder="1" applyAlignment="1" applyProtection="1">
      <alignment horizontal="center" vertical="center"/>
      <protection hidden="1"/>
    </xf>
    <xf numFmtId="0" fontId="64" fillId="0" borderId="219" xfId="0" applyFont="1" applyBorder="1" applyAlignment="1" applyProtection="1">
      <alignment horizontal="center" vertical="center"/>
      <protection hidden="1"/>
    </xf>
    <xf numFmtId="0" fontId="65" fillId="0" borderId="57" xfId="0" applyFont="1" applyBorder="1" applyAlignment="1" applyProtection="1">
      <alignment horizontal="center" vertical="center"/>
      <protection hidden="1"/>
    </xf>
    <xf numFmtId="0" fontId="65" fillId="0" borderId="25" xfId="0" applyFont="1" applyBorder="1" applyAlignment="1" applyProtection="1">
      <alignment horizontal="center" vertical="center"/>
      <protection hidden="1"/>
    </xf>
    <xf numFmtId="0" fontId="65" fillId="0" borderId="58" xfId="0" applyFont="1" applyBorder="1" applyAlignment="1" applyProtection="1">
      <alignment horizontal="center" vertical="center"/>
      <protection hidden="1"/>
    </xf>
    <xf numFmtId="0" fontId="65" fillId="0" borderId="59" xfId="0" applyFont="1" applyBorder="1" applyAlignment="1" applyProtection="1">
      <alignment horizontal="center" vertical="center"/>
      <protection hidden="1"/>
    </xf>
    <xf numFmtId="0" fontId="65" fillId="0" borderId="60" xfId="0" applyFont="1" applyBorder="1" applyAlignment="1" applyProtection="1">
      <alignment horizontal="center" vertical="center"/>
      <protection hidden="1"/>
    </xf>
    <xf numFmtId="0" fontId="65" fillId="0" borderId="56" xfId="0" applyFont="1" applyBorder="1" applyAlignment="1" applyProtection="1">
      <alignment horizontal="center" vertical="center"/>
      <protection hidden="1"/>
    </xf>
    <xf numFmtId="0" fontId="65" fillId="0" borderId="78" xfId="0" applyFont="1" applyBorder="1" applyAlignment="1" applyProtection="1">
      <alignment horizontal="center" vertical="center"/>
      <protection hidden="1"/>
    </xf>
    <xf numFmtId="0" fontId="65" fillId="0" borderId="84" xfId="0" applyFont="1" applyBorder="1" applyAlignment="1" applyProtection="1">
      <alignment horizontal="center" vertical="center"/>
      <protection hidden="1"/>
    </xf>
    <xf numFmtId="0" fontId="65" fillId="0" borderId="41" xfId="0" applyFont="1" applyBorder="1" applyAlignment="1" applyProtection="1">
      <alignment horizontal="center" vertical="center"/>
      <protection hidden="1"/>
    </xf>
    <xf numFmtId="0" fontId="65" fillId="0" borderId="96" xfId="0" applyFont="1" applyBorder="1" applyAlignment="1" applyProtection="1">
      <alignment horizontal="center" vertical="center"/>
      <protection hidden="1"/>
    </xf>
    <xf numFmtId="0" fontId="65" fillId="0" borderId="51" xfId="0" applyFont="1" applyBorder="1" applyAlignment="1" applyProtection="1">
      <alignment horizontal="center" vertical="center"/>
      <protection hidden="1"/>
    </xf>
    <xf numFmtId="0" fontId="64" fillId="0" borderId="226" xfId="0" applyFont="1" applyBorder="1" applyAlignment="1" applyProtection="1">
      <alignment horizontal="center" vertical="center"/>
      <protection hidden="1"/>
    </xf>
    <xf numFmtId="0" fontId="64" fillId="0" borderId="227" xfId="0" applyFont="1" applyBorder="1" applyAlignment="1" applyProtection="1">
      <alignment horizontal="center" vertical="center"/>
      <protection hidden="1"/>
    </xf>
    <xf numFmtId="0" fontId="64" fillId="0" borderId="56" xfId="0" applyFont="1" applyBorder="1" applyAlignment="1" applyProtection="1">
      <alignment horizontal="center" vertical="center"/>
      <protection hidden="1"/>
    </xf>
    <xf numFmtId="0" fontId="64" fillId="0" borderId="41" xfId="0" applyFont="1" applyBorder="1" applyAlignment="1" applyProtection="1">
      <alignment horizontal="center" vertical="center"/>
      <protection hidden="1"/>
    </xf>
    <xf numFmtId="0" fontId="64" fillId="0" borderId="27" xfId="0" applyFont="1" applyBorder="1" applyAlignment="1" applyProtection="1">
      <alignment horizontal="center" vertical="center"/>
      <protection hidden="1"/>
    </xf>
    <xf numFmtId="0" fontId="47" fillId="0" borderId="21" xfId="0" applyFont="1" applyBorder="1" applyAlignment="1" applyProtection="1">
      <alignment horizontal="center" vertical="center"/>
      <protection hidden="1"/>
    </xf>
    <xf numFmtId="0" fontId="47" fillId="0" borderId="46" xfId="0" applyFont="1" applyBorder="1" applyAlignment="1" applyProtection="1">
      <alignment horizontal="center" vertical="center"/>
      <protection hidden="1"/>
    </xf>
    <xf numFmtId="0" fontId="47" fillId="0" borderId="22" xfId="0" applyFont="1" applyBorder="1" applyAlignment="1" applyProtection="1">
      <alignment horizontal="center" vertical="center"/>
      <protection hidden="1"/>
    </xf>
    <xf numFmtId="0" fontId="47" fillId="0" borderId="151" xfId="0" applyFont="1" applyBorder="1" applyAlignment="1" applyProtection="1">
      <alignment horizontal="center" vertical="center"/>
      <protection hidden="1"/>
    </xf>
    <xf numFmtId="0" fontId="47" fillId="0" borderId="147" xfId="0" applyFont="1" applyBorder="1" applyAlignment="1" applyProtection="1">
      <alignment horizontal="center" vertical="center"/>
      <protection hidden="1"/>
    </xf>
    <xf numFmtId="0" fontId="47" fillId="0" borderId="153" xfId="0" applyFont="1" applyBorder="1" applyAlignment="1" applyProtection="1">
      <alignment horizontal="center" vertical="center"/>
      <protection hidden="1"/>
    </xf>
    <xf numFmtId="0" fontId="45" fillId="0" borderId="9" xfId="0" applyFont="1" applyBorder="1" applyAlignment="1" applyProtection="1">
      <alignment horizontal="center" vertical="center" shrinkToFit="1"/>
      <protection hidden="1"/>
    </xf>
    <xf numFmtId="0" fontId="38" fillId="0" borderId="9" xfId="0" applyFont="1" applyBorder="1" applyAlignment="1" applyProtection="1">
      <alignment horizontal="center" vertical="center" shrinkToFit="1"/>
      <protection hidden="1"/>
    </xf>
    <xf numFmtId="0" fontId="38" fillId="0" borderId="13" xfId="0" applyFont="1" applyBorder="1" applyAlignment="1" applyProtection="1">
      <alignment horizontal="center" vertical="center" shrinkToFit="1"/>
      <protection hidden="1"/>
    </xf>
    <xf numFmtId="0" fontId="45" fillId="0" borderId="13" xfId="0" applyFont="1" applyBorder="1" applyAlignment="1" applyProtection="1">
      <alignment horizontal="center" vertical="center" shrinkToFit="1"/>
      <protection hidden="1"/>
    </xf>
    <xf numFmtId="49" fontId="46" fillId="0" borderId="228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8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12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2" xfId="0" quotePrefix="1" applyNumberFormat="1" applyFont="1" applyBorder="1" applyAlignment="1" applyProtection="1">
      <alignment horizontal="center" vertical="center"/>
      <protection hidden="1"/>
    </xf>
    <xf numFmtId="49" fontId="46" fillId="0" borderId="9" xfId="0" quotePrefix="1" applyNumberFormat="1" applyFont="1" applyBorder="1" applyAlignment="1" applyProtection="1">
      <alignment horizontal="center" vertical="center"/>
      <protection hidden="1"/>
    </xf>
    <xf numFmtId="0" fontId="38" fillId="0" borderId="2" xfId="0" applyFont="1" applyBorder="1" applyAlignment="1" applyProtection="1">
      <alignment horizontal="center" vertical="center" shrinkToFit="1"/>
      <protection hidden="1"/>
    </xf>
    <xf numFmtId="0" fontId="45" fillId="0" borderId="2" xfId="0" applyFont="1" applyBorder="1" applyAlignment="1" applyProtection="1">
      <alignment horizontal="center" vertical="center" shrinkToFit="1"/>
      <protection hidden="1"/>
    </xf>
    <xf numFmtId="49" fontId="46" fillId="0" borderId="13" xfId="0" quotePrefix="1" applyNumberFormat="1" applyFont="1" applyBorder="1" applyAlignment="1" applyProtection="1">
      <alignment horizontal="center" vertical="center"/>
      <protection hidden="1"/>
    </xf>
    <xf numFmtId="0" fontId="46" fillId="0" borderId="228" xfId="0" quotePrefix="1" applyFont="1" applyBorder="1" applyAlignment="1" applyProtection="1">
      <alignment horizontal="center" vertical="center" wrapText="1"/>
      <protection hidden="1"/>
    </xf>
    <xf numFmtId="0" fontId="46" fillId="0" borderId="8" xfId="0" quotePrefix="1" applyFont="1" applyBorder="1" applyAlignment="1" applyProtection="1">
      <alignment horizontal="center" vertical="center" wrapText="1"/>
      <protection hidden="1"/>
    </xf>
    <xf numFmtId="0" fontId="46" fillId="0" borderId="12" xfId="0" quotePrefix="1" applyFont="1" applyBorder="1" applyAlignment="1" applyProtection="1">
      <alignment horizontal="center" vertical="center" wrapText="1"/>
      <protection hidden="1"/>
    </xf>
    <xf numFmtId="0" fontId="46" fillId="0" borderId="21" xfId="0" applyFont="1" applyBorder="1" applyAlignment="1">
      <alignment horizontal="center" vertical="center"/>
    </xf>
    <xf numFmtId="0" fontId="46" fillId="0" borderId="46" xfId="0" applyFont="1" applyBorder="1" applyAlignment="1">
      <alignment horizontal="center" vertical="center"/>
    </xf>
    <xf numFmtId="0" fontId="46" fillId="0" borderId="50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40" xfId="0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105" xfId="0" applyFont="1" applyBorder="1" applyAlignment="1">
      <alignment horizontal="center" vertical="center"/>
    </xf>
    <xf numFmtId="0" fontId="47" fillId="0" borderId="108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101" xfId="0" applyFont="1" applyBorder="1" applyAlignment="1">
      <alignment horizontal="center" vertical="center"/>
    </xf>
    <xf numFmtId="0" fontId="38" fillId="0" borderId="57" xfId="0" applyFont="1" applyBorder="1" applyAlignment="1" applyProtection="1">
      <alignment horizontal="center" vertical="center" shrinkToFit="1"/>
      <protection hidden="1"/>
    </xf>
    <xf numFmtId="0" fontId="38" fillId="0" borderId="28" xfId="0" applyFont="1" applyBorder="1" applyAlignment="1" applyProtection="1">
      <alignment horizontal="center" vertical="center" shrinkToFit="1"/>
      <protection hidden="1"/>
    </xf>
    <xf numFmtId="0" fontId="38" fillId="0" borderId="16" xfId="0" applyFont="1" applyBorder="1" applyAlignment="1" applyProtection="1">
      <alignment horizontal="center" vertical="center" shrinkToFit="1"/>
      <protection hidden="1"/>
    </xf>
    <xf numFmtId="0" fontId="38" fillId="0" borderId="5" xfId="0" applyFont="1" applyBorder="1" applyAlignment="1" applyProtection="1">
      <alignment horizontal="center" vertical="center" shrinkToFit="1"/>
      <protection hidden="1"/>
    </xf>
    <xf numFmtId="0" fontId="38" fillId="0" borderId="85" xfId="0" applyFont="1" applyBorder="1" applyAlignment="1" applyProtection="1">
      <alignment horizontal="center" vertical="center" shrinkToFit="1"/>
      <protection hidden="1"/>
    </xf>
    <xf numFmtId="0" fontId="45" fillId="0" borderId="57" xfId="0" applyFont="1" applyBorder="1" applyAlignment="1" applyProtection="1">
      <alignment horizontal="center" vertical="center" shrinkToFit="1"/>
      <protection hidden="1"/>
    </xf>
    <xf numFmtId="0" fontId="45" fillId="0" borderId="28" xfId="0" applyFont="1" applyBorder="1" applyAlignment="1" applyProtection="1">
      <alignment horizontal="center" vertical="center" shrinkToFit="1"/>
      <protection hidden="1"/>
    </xf>
    <xf numFmtId="0" fontId="45" fillId="0" borderId="16" xfId="0" applyFont="1" applyBorder="1" applyAlignment="1" applyProtection="1">
      <alignment horizontal="center" vertical="center" shrinkToFit="1"/>
      <protection hidden="1"/>
    </xf>
    <xf numFmtId="0" fontId="45" fillId="0" borderId="5" xfId="0" applyFont="1" applyBorder="1" applyAlignment="1" applyProtection="1">
      <alignment horizontal="center" vertical="center" shrinkToFit="1"/>
      <protection hidden="1"/>
    </xf>
    <xf numFmtId="49" fontId="46" fillId="0" borderId="71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66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67" xfId="0" quotePrefix="1" applyNumberFormat="1" applyFont="1" applyBorder="1" applyAlignment="1" applyProtection="1">
      <alignment horizontal="center" vertical="center" wrapText="1"/>
      <protection hidden="1"/>
    </xf>
    <xf numFmtId="0" fontId="46" fillId="0" borderId="71" xfId="0" quotePrefix="1" applyFont="1" applyBorder="1" applyAlignment="1" applyProtection="1">
      <alignment horizontal="center" vertical="center" wrapText="1"/>
      <protection hidden="1"/>
    </xf>
    <xf numFmtId="0" fontId="46" fillId="0" borderId="66" xfId="0" quotePrefix="1" applyFont="1" applyBorder="1" applyAlignment="1" applyProtection="1">
      <alignment horizontal="center" vertical="center" wrapText="1"/>
      <protection hidden="1"/>
    </xf>
    <xf numFmtId="0" fontId="46" fillId="0" borderId="64" xfId="0" quotePrefix="1" applyFont="1" applyBorder="1" applyAlignment="1" applyProtection="1">
      <alignment horizontal="center" vertical="center" wrapText="1"/>
      <protection hidden="1"/>
    </xf>
    <xf numFmtId="49" fontId="46" fillId="0" borderId="72" xfId="0" quotePrefix="1" applyNumberFormat="1" applyFont="1" applyBorder="1" applyAlignment="1" applyProtection="1">
      <alignment horizontal="center" vertical="center"/>
      <protection hidden="1"/>
    </xf>
    <xf numFmtId="49" fontId="46" fillId="0" borderId="69" xfId="0" quotePrefix="1" applyNumberFormat="1" applyFont="1" applyBorder="1" applyAlignment="1" applyProtection="1">
      <alignment horizontal="center" vertical="center"/>
      <protection hidden="1"/>
    </xf>
    <xf numFmtId="49" fontId="46" fillId="0" borderId="5" xfId="0" quotePrefix="1" applyNumberFormat="1" applyFont="1" applyBorder="1" applyAlignment="1" applyProtection="1">
      <alignment horizontal="center" vertical="center"/>
      <protection hidden="1"/>
    </xf>
    <xf numFmtId="49" fontId="46" fillId="0" borderId="38" xfId="0" quotePrefix="1" applyNumberFormat="1" applyFont="1" applyBorder="1" applyAlignment="1">
      <alignment horizontal="center" vertical="center"/>
    </xf>
    <xf numFmtId="189" fontId="4" fillId="0" borderId="8" xfId="3" applyNumberFormat="1" applyFont="1" applyBorder="1" applyAlignment="1" applyProtection="1">
      <alignment horizontal="center" vertical="center"/>
      <protection hidden="1"/>
    </xf>
    <xf numFmtId="189" fontId="4" fillId="0" borderId="9" xfId="3" applyNumberFormat="1" applyFont="1" applyBorder="1" applyAlignment="1" applyProtection="1">
      <alignment horizontal="center" vertical="center"/>
      <protection hidden="1"/>
    </xf>
    <xf numFmtId="189" fontId="4" fillId="0" borderId="12" xfId="3" applyNumberFormat="1" applyFont="1" applyBorder="1" applyAlignment="1" applyProtection="1">
      <alignment horizontal="center" vertical="center"/>
      <protection hidden="1"/>
    </xf>
    <xf numFmtId="189" fontId="4" fillId="0" borderId="13" xfId="3" applyNumberFormat="1" applyFont="1" applyBorder="1" applyAlignment="1" applyProtection="1">
      <alignment horizontal="center" vertical="center"/>
      <protection hidden="1"/>
    </xf>
    <xf numFmtId="49" fontId="46" fillId="0" borderId="8" xfId="0" quotePrefix="1" applyNumberFormat="1" applyFont="1" applyBorder="1" applyAlignment="1">
      <alignment horizontal="center" vertical="center" wrapText="1"/>
    </xf>
    <xf numFmtId="49" fontId="46" fillId="0" borderId="8" xfId="0" quotePrefix="1" applyNumberFormat="1" applyFont="1" applyBorder="1" applyAlignment="1">
      <alignment horizontal="center" vertical="center"/>
    </xf>
    <xf numFmtId="49" fontId="46" fillId="0" borderId="12" xfId="0" quotePrefix="1" applyNumberFormat="1" applyFont="1" applyBorder="1" applyAlignment="1">
      <alignment horizontal="center" vertical="center"/>
    </xf>
    <xf numFmtId="49" fontId="46" fillId="0" borderId="135" xfId="0" quotePrefix="1" applyNumberFormat="1" applyFont="1" applyBorder="1" applyAlignment="1">
      <alignment horizontal="center" vertical="center"/>
    </xf>
    <xf numFmtId="0" fontId="46" fillId="0" borderId="104" xfId="0" quotePrefix="1" applyFont="1" applyBorder="1" applyAlignment="1">
      <alignment horizontal="center" vertical="center" wrapText="1"/>
    </xf>
    <xf numFmtId="0" fontId="46" fillId="0" borderId="8" xfId="0" quotePrefix="1" applyFont="1" applyBorder="1" applyAlignment="1">
      <alignment horizontal="center" vertical="center" wrapText="1"/>
    </xf>
    <xf numFmtId="49" fontId="46" fillId="0" borderId="54" xfId="0" quotePrefix="1" applyNumberFormat="1" applyFont="1" applyBorder="1" applyAlignment="1">
      <alignment horizontal="center" vertical="center"/>
    </xf>
    <xf numFmtId="189" fontId="4" fillId="0" borderId="10" xfId="3" applyNumberFormat="1" applyFont="1" applyBorder="1" applyAlignment="1" applyProtection="1">
      <alignment horizontal="center" vertical="center"/>
      <protection hidden="1"/>
    </xf>
    <xf numFmtId="189" fontId="4" fillId="0" borderId="14" xfId="3" applyNumberFormat="1" applyFont="1" applyBorder="1" applyAlignment="1" applyProtection="1">
      <alignment horizontal="center" vertical="center"/>
      <protection hidden="1"/>
    </xf>
    <xf numFmtId="0" fontId="16" fillId="3" borderId="0" xfId="0" applyFont="1" applyFill="1" applyAlignment="1">
      <alignment horizontal="left" vertical="center"/>
    </xf>
    <xf numFmtId="0" fontId="47" fillId="0" borderId="41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143" xfId="0" applyFont="1" applyBorder="1" applyAlignment="1">
      <alignment horizontal="center" vertical="center"/>
    </xf>
    <xf numFmtId="0" fontId="26" fillId="21" borderId="228" xfId="0" applyFont="1" applyFill="1" applyBorder="1" applyAlignment="1">
      <alignment horizontal="center" vertical="center"/>
    </xf>
    <xf numFmtId="0" fontId="26" fillId="21" borderId="2" xfId="0" applyFont="1" applyFill="1" applyBorder="1" applyAlignment="1">
      <alignment horizontal="center" vertical="center"/>
    </xf>
    <xf numFmtId="0" fontId="26" fillId="21" borderId="8" xfId="0" applyFont="1" applyFill="1" applyBorder="1" applyAlignment="1">
      <alignment horizontal="center" vertical="center"/>
    </xf>
    <xf numFmtId="0" fontId="26" fillId="21" borderId="9" xfId="0" applyFont="1" applyFill="1" applyBorder="1" applyAlignment="1">
      <alignment horizontal="center" vertical="center"/>
    </xf>
    <xf numFmtId="0" fontId="26" fillId="21" borderId="229" xfId="0" applyFont="1" applyFill="1" applyBorder="1" applyAlignment="1">
      <alignment horizontal="center" vertical="center"/>
    </xf>
    <xf numFmtId="0" fontId="26" fillId="21" borderId="10" xfId="0" applyFont="1" applyFill="1" applyBorder="1" applyAlignment="1">
      <alignment horizontal="center" vertical="center"/>
    </xf>
    <xf numFmtId="0" fontId="46" fillId="0" borderId="138" xfId="0" applyFont="1" applyBorder="1" applyAlignment="1">
      <alignment horizontal="center" vertical="center"/>
    </xf>
    <xf numFmtId="0" fontId="46" fillId="0" borderId="96" xfId="0" applyFont="1" applyBorder="1" applyAlignment="1">
      <alignment horizontal="center" vertical="center"/>
    </xf>
    <xf numFmtId="0" fontId="72" fillId="7" borderId="228" xfId="0" applyFont="1" applyFill="1" applyBorder="1" applyAlignment="1">
      <alignment horizontal="center" vertical="center"/>
    </xf>
    <xf numFmtId="0" fontId="72" fillId="7" borderId="229" xfId="0" applyFont="1" applyFill="1" applyBorder="1" applyAlignment="1">
      <alignment horizontal="center" vertical="center"/>
    </xf>
    <xf numFmtId="0" fontId="72" fillId="7" borderId="8" xfId="0" applyFont="1" applyFill="1" applyBorder="1" applyAlignment="1">
      <alignment horizontal="center" vertical="center"/>
    </xf>
    <xf numFmtId="0" fontId="72" fillId="7" borderId="10" xfId="0" applyFont="1" applyFill="1" applyBorder="1" applyAlignment="1">
      <alignment horizontal="center" vertical="center"/>
    </xf>
    <xf numFmtId="0" fontId="72" fillId="26" borderId="228" xfId="0" applyFont="1" applyFill="1" applyBorder="1" applyAlignment="1">
      <alignment horizontal="center" vertical="center"/>
    </xf>
    <xf numFmtId="0" fontId="72" fillId="26" borderId="229" xfId="0" applyFont="1" applyFill="1" applyBorder="1" applyAlignment="1">
      <alignment horizontal="center" vertical="center"/>
    </xf>
    <xf numFmtId="0" fontId="72" fillId="26" borderId="8" xfId="0" applyFont="1" applyFill="1" applyBorder="1" applyAlignment="1">
      <alignment horizontal="center" vertical="center"/>
    </xf>
    <xf numFmtId="0" fontId="72" fillId="26" borderId="10" xfId="0" applyFont="1" applyFill="1" applyBorder="1" applyAlignment="1">
      <alignment horizontal="center" vertical="center"/>
    </xf>
    <xf numFmtId="0" fontId="73" fillId="7" borderId="89" xfId="0" applyFont="1" applyFill="1" applyBorder="1" applyAlignment="1" applyProtection="1">
      <alignment horizontal="center" vertical="center"/>
      <protection hidden="1"/>
    </xf>
    <xf numFmtId="0" fontId="73" fillId="7" borderId="90" xfId="0" applyFont="1" applyFill="1" applyBorder="1" applyAlignment="1" applyProtection="1">
      <alignment horizontal="center" vertical="center"/>
      <protection hidden="1"/>
    </xf>
    <xf numFmtId="0" fontId="73" fillId="7" borderId="94" xfId="0" applyFont="1" applyFill="1" applyBorder="1" applyAlignment="1" applyProtection="1">
      <alignment horizontal="center" vertical="center"/>
      <protection hidden="1"/>
    </xf>
    <xf numFmtId="0" fontId="73" fillId="7" borderId="95" xfId="0" applyFont="1" applyFill="1" applyBorder="1" applyAlignment="1" applyProtection="1">
      <alignment horizontal="center" vertical="center"/>
      <protection hidden="1"/>
    </xf>
    <xf numFmtId="194" fontId="53" fillId="0" borderId="160" xfId="3" applyNumberFormat="1" applyFont="1" applyFill="1" applyBorder="1" applyAlignment="1" applyProtection="1">
      <alignment horizontal="center" vertical="center"/>
      <protection hidden="1"/>
    </xf>
    <xf numFmtId="194" fontId="53" fillId="0" borderId="161" xfId="3" applyNumberFormat="1" applyFont="1" applyFill="1" applyBorder="1" applyAlignment="1" applyProtection="1">
      <alignment horizontal="center" vertical="center"/>
      <protection hidden="1"/>
    </xf>
    <xf numFmtId="194" fontId="53" fillId="0" borderId="94" xfId="3" applyNumberFormat="1" applyFont="1" applyFill="1" applyBorder="1" applyAlignment="1" applyProtection="1">
      <alignment horizontal="center" vertical="center"/>
      <protection hidden="1"/>
    </xf>
    <xf numFmtId="194" fontId="53" fillId="0" borderId="95" xfId="3" applyNumberFormat="1" applyFont="1" applyFill="1" applyBorder="1" applyAlignment="1" applyProtection="1">
      <alignment horizontal="center" vertical="center"/>
      <protection hidden="1"/>
    </xf>
    <xf numFmtId="0" fontId="73" fillId="26" borderId="89" xfId="0" applyFont="1" applyFill="1" applyBorder="1" applyAlignment="1" applyProtection="1">
      <alignment horizontal="center" vertical="center"/>
      <protection hidden="1"/>
    </xf>
    <xf numFmtId="0" fontId="73" fillId="26" borderId="90" xfId="0" applyFont="1" applyFill="1" applyBorder="1" applyAlignment="1" applyProtection="1">
      <alignment horizontal="center" vertical="center"/>
      <protection hidden="1"/>
    </xf>
    <xf numFmtId="0" fontId="73" fillId="26" borderId="94" xfId="0" applyFont="1" applyFill="1" applyBorder="1" applyAlignment="1" applyProtection="1">
      <alignment horizontal="center" vertical="center"/>
      <protection hidden="1"/>
    </xf>
    <xf numFmtId="0" fontId="73" fillId="26" borderId="95" xfId="0" applyFont="1" applyFill="1" applyBorder="1" applyAlignment="1" applyProtection="1">
      <alignment horizontal="center" vertical="center"/>
      <protection hidden="1"/>
    </xf>
    <xf numFmtId="194" fontId="53" fillId="0" borderId="93" xfId="3" applyNumberFormat="1" applyFont="1" applyFill="1" applyBorder="1" applyAlignment="1" applyProtection="1">
      <alignment horizontal="center" vertical="center"/>
      <protection hidden="1"/>
    </xf>
    <xf numFmtId="0" fontId="53" fillId="21" borderId="93" xfId="0" applyFont="1" applyFill="1" applyBorder="1" applyAlignment="1" applyProtection="1">
      <alignment horizontal="center" vertical="center"/>
      <protection hidden="1"/>
    </xf>
    <xf numFmtId="0" fontId="53" fillId="21" borderId="94" xfId="0" applyFont="1" applyFill="1" applyBorder="1" applyAlignment="1" applyProtection="1">
      <alignment horizontal="center" vertical="center"/>
      <protection hidden="1"/>
    </xf>
    <xf numFmtId="194" fontId="53" fillId="0" borderId="159" xfId="3" applyNumberFormat="1" applyFont="1" applyFill="1" applyBorder="1" applyAlignment="1" applyProtection="1">
      <alignment horizontal="center" vertical="center"/>
      <protection hidden="1"/>
    </xf>
    <xf numFmtId="0" fontId="35" fillId="23" borderId="154" xfId="0" applyFont="1" applyFill="1" applyBorder="1" applyAlignment="1" applyProtection="1">
      <alignment horizontal="center" vertical="center" shrinkToFit="1"/>
      <protection hidden="1"/>
    </xf>
    <xf numFmtId="0" fontId="13" fillId="16" borderId="178" xfId="0" applyFont="1" applyFill="1" applyBorder="1" applyAlignment="1" applyProtection="1">
      <alignment horizontal="center" vertical="center"/>
      <protection hidden="1"/>
    </xf>
    <xf numFmtId="0" fontId="13" fillId="16" borderId="179" xfId="0" applyFont="1" applyFill="1" applyBorder="1" applyAlignment="1" applyProtection="1">
      <alignment horizontal="center" vertical="center"/>
      <protection hidden="1"/>
    </xf>
    <xf numFmtId="179" fontId="13" fillId="0" borderId="76" xfId="0" applyNumberFormat="1" applyFont="1" applyBorder="1" applyAlignment="1" applyProtection="1">
      <alignment horizontal="center" vertical="center"/>
      <protection hidden="1"/>
    </xf>
    <xf numFmtId="179" fontId="13" fillId="0" borderId="92" xfId="0" applyNumberFormat="1" applyFont="1" applyBorder="1" applyAlignment="1" applyProtection="1">
      <alignment horizontal="center" vertical="center"/>
      <protection hidden="1"/>
    </xf>
    <xf numFmtId="0" fontId="13" fillId="16" borderId="238" xfId="0" applyFont="1" applyFill="1" applyBorder="1" applyAlignment="1" applyProtection="1">
      <alignment horizontal="center" vertical="center"/>
      <protection hidden="1"/>
    </xf>
    <xf numFmtId="0" fontId="13" fillId="16" borderId="239" xfId="0" applyFont="1" applyFill="1" applyBorder="1" applyAlignment="1" applyProtection="1">
      <alignment horizontal="center" vertical="center"/>
      <protection hidden="1"/>
    </xf>
    <xf numFmtId="0" fontId="13" fillId="16" borderId="240" xfId="0" applyFont="1" applyFill="1" applyBorder="1" applyAlignment="1" applyProtection="1">
      <alignment horizontal="center" vertical="center"/>
      <protection hidden="1"/>
    </xf>
    <xf numFmtId="0" fontId="13" fillId="16" borderId="76" xfId="0" applyFont="1" applyFill="1" applyBorder="1" applyAlignment="1" applyProtection="1">
      <alignment horizontal="center" vertical="center"/>
      <protection hidden="1"/>
    </xf>
    <xf numFmtId="0" fontId="13" fillId="16" borderId="92" xfId="0" applyFont="1" applyFill="1" applyBorder="1" applyAlignment="1" applyProtection="1">
      <alignment horizontal="center" vertical="center"/>
      <protection hidden="1"/>
    </xf>
    <xf numFmtId="0" fontId="13" fillId="16" borderId="175" xfId="0" applyFont="1" applyFill="1" applyBorder="1" applyAlignment="1" applyProtection="1">
      <alignment horizontal="center" vertical="center"/>
      <protection hidden="1"/>
    </xf>
    <xf numFmtId="0" fontId="13" fillId="16" borderId="177" xfId="0" applyFont="1" applyFill="1" applyBorder="1" applyAlignment="1" applyProtection="1">
      <alignment horizontal="center" vertical="center"/>
      <protection hidden="1"/>
    </xf>
    <xf numFmtId="0" fontId="16" fillId="3" borderId="154" xfId="0" applyFont="1" applyFill="1" applyBorder="1" applyAlignment="1" applyProtection="1">
      <alignment horizontal="left" vertical="center"/>
      <protection hidden="1"/>
    </xf>
    <xf numFmtId="0" fontId="13" fillId="13" borderId="165" xfId="0" applyFont="1" applyFill="1" applyBorder="1" applyAlignment="1" applyProtection="1">
      <alignment horizontal="center" vertical="center" wrapText="1"/>
      <protection hidden="1"/>
    </xf>
    <xf numFmtId="0" fontId="13" fillId="13" borderId="166" xfId="0" applyFont="1" applyFill="1" applyBorder="1" applyAlignment="1" applyProtection="1">
      <alignment horizontal="center" vertical="center" wrapText="1"/>
      <protection hidden="1"/>
    </xf>
    <xf numFmtId="0" fontId="13" fillId="13" borderId="167" xfId="0" applyFont="1" applyFill="1" applyBorder="1" applyAlignment="1" applyProtection="1">
      <alignment horizontal="center" vertical="center" wrapText="1"/>
      <protection hidden="1"/>
    </xf>
    <xf numFmtId="0" fontId="13" fillId="0" borderId="88" xfId="0" applyFont="1" applyBorder="1" applyAlignment="1" applyProtection="1">
      <alignment horizontal="center" vertical="center" wrapText="1"/>
      <protection hidden="1"/>
    </xf>
    <xf numFmtId="0" fontId="13" fillId="0" borderId="91" xfId="0" applyFont="1" applyBorder="1" applyAlignment="1" applyProtection="1">
      <alignment horizontal="center" vertical="center" wrapText="1"/>
      <protection hidden="1"/>
    </xf>
    <xf numFmtId="0" fontId="13" fillId="0" borderId="89" xfId="0" applyFont="1" applyBorder="1" applyAlignment="1" applyProtection="1">
      <alignment horizontal="center" vertical="center" wrapText="1"/>
      <protection hidden="1"/>
    </xf>
    <xf numFmtId="0" fontId="13" fillId="0" borderId="76" xfId="0" applyFont="1" applyBorder="1" applyAlignment="1" applyProtection="1">
      <alignment horizontal="center" vertical="center" wrapText="1"/>
      <protection hidden="1"/>
    </xf>
    <xf numFmtId="179" fontId="13" fillId="0" borderId="89" xfId="0" applyNumberFormat="1" applyFont="1" applyBorder="1" applyAlignment="1" applyProtection="1">
      <alignment horizontal="center" vertical="center"/>
      <protection hidden="1"/>
    </xf>
    <xf numFmtId="179" fontId="13" fillId="0" borderId="90" xfId="0" applyNumberFormat="1" applyFont="1" applyBorder="1" applyAlignment="1" applyProtection="1">
      <alignment horizontal="center" vertical="center"/>
      <protection hidden="1"/>
    </xf>
    <xf numFmtId="0" fontId="13" fillId="13" borderId="93" xfId="0" applyFont="1" applyFill="1" applyBorder="1" applyAlignment="1" applyProtection="1">
      <alignment horizontal="center" vertical="center" wrapText="1"/>
      <protection hidden="1"/>
    </xf>
    <xf numFmtId="0" fontId="13" fillId="13" borderId="94" xfId="0" applyFont="1" applyFill="1" applyBorder="1" applyAlignment="1" applyProtection="1">
      <alignment horizontal="center" vertical="center" wrapText="1"/>
      <protection hidden="1"/>
    </xf>
    <xf numFmtId="0" fontId="13" fillId="13" borderId="95" xfId="0" applyFont="1" applyFill="1" applyBorder="1" applyAlignment="1" applyProtection="1">
      <alignment horizontal="center" vertical="center" wrapText="1"/>
      <protection hidden="1"/>
    </xf>
    <xf numFmtId="0" fontId="13" fillId="0" borderId="159" xfId="0" applyFont="1" applyBorder="1" applyAlignment="1" applyProtection="1">
      <alignment horizontal="center" vertical="center" wrapText="1"/>
      <protection hidden="1"/>
    </xf>
    <xf numFmtId="0" fontId="13" fillId="0" borderId="160" xfId="0" applyFont="1" applyBorder="1" applyAlignment="1" applyProtection="1">
      <alignment horizontal="center" vertical="center" wrapText="1"/>
      <protection hidden="1"/>
    </xf>
    <xf numFmtId="179" fontId="13" fillId="0" borderId="160" xfId="0" applyNumberFormat="1" applyFont="1" applyBorder="1" applyAlignment="1" applyProtection="1">
      <alignment horizontal="center" vertical="center"/>
      <protection hidden="1"/>
    </xf>
    <xf numFmtId="179" fontId="13" fillId="0" borderId="161" xfId="0" applyNumberFormat="1" applyFont="1" applyBorder="1" applyAlignment="1" applyProtection="1">
      <alignment horizontal="center" vertical="center"/>
      <protection hidden="1"/>
    </xf>
    <xf numFmtId="0" fontId="53" fillId="21" borderId="89" xfId="0" applyFont="1" applyFill="1" applyBorder="1" applyAlignment="1" applyProtection="1">
      <alignment horizontal="center" vertical="center"/>
      <protection hidden="1"/>
    </xf>
    <xf numFmtId="0" fontId="53" fillId="21" borderId="88" xfId="0" applyFont="1" applyFill="1" applyBorder="1" applyAlignment="1" applyProtection="1">
      <alignment horizontal="center" vertical="center"/>
      <protection hidden="1"/>
    </xf>
    <xf numFmtId="0" fontId="53" fillId="21" borderId="90" xfId="0" applyFont="1" applyFill="1" applyBorder="1" applyAlignment="1" applyProtection="1">
      <alignment horizontal="center" vertical="center"/>
      <protection hidden="1"/>
    </xf>
    <xf numFmtId="0" fontId="53" fillId="21" borderId="95" xfId="0" applyFont="1" applyFill="1" applyBorder="1" applyAlignment="1" applyProtection="1">
      <alignment horizontal="center" vertical="center"/>
      <protection hidden="1"/>
    </xf>
    <xf numFmtId="0" fontId="19" fillId="15" borderId="182" xfId="0" applyFont="1" applyFill="1" applyBorder="1" applyAlignment="1" applyProtection="1">
      <alignment horizontal="left" vertical="center"/>
      <protection hidden="1"/>
    </xf>
    <xf numFmtId="0" fontId="19" fillId="15" borderId="183" xfId="0" applyFont="1" applyFill="1" applyBorder="1" applyAlignment="1" applyProtection="1">
      <alignment horizontal="left" vertical="center"/>
      <protection hidden="1"/>
    </xf>
    <xf numFmtId="0" fontId="19" fillId="15" borderId="184" xfId="0" applyFont="1" applyFill="1" applyBorder="1" applyAlignment="1" applyProtection="1">
      <alignment horizontal="left" vertical="center"/>
      <protection hidden="1"/>
    </xf>
    <xf numFmtId="0" fontId="19" fillId="15" borderId="21" xfId="0" applyFont="1" applyFill="1" applyBorder="1" applyAlignment="1" applyProtection="1">
      <alignment horizontal="left" vertical="center"/>
      <protection hidden="1"/>
    </xf>
    <xf numFmtId="0" fontId="19" fillId="15" borderId="46" xfId="0" applyFont="1" applyFill="1" applyBorder="1" applyAlignment="1" applyProtection="1">
      <alignment horizontal="left" vertical="center"/>
      <protection hidden="1"/>
    </xf>
    <xf numFmtId="0" fontId="19" fillId="15" borderId="47" xfId="0" applyFont="1" applyFill="1" applyBorder="1" applyAlignment="1" applyProtection="1">
      <alignment horizontal="left" vertical="center"/>
      <protection hidden="1"/>
    </xf>
    <xf numFmtId="0" fontId="12" fillId="6" borderId="82" xfId="0" applyFont="1" applyFill="1" applyBorder="1" applyAlignment="1" applyProtection="1">
      <alignment horizontal="center" vertical="center" wrapText="1"/>
      <protection hidden="1"/>
    </xf>
    <xf numFmtId="0" fontId="12" fillId="6" borderId="83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87" xfId="0" applyBorder="1" applyAlignment="1" applyProtection="1">
      <alignment horizontal="center" vertical="center"/>
      <protection hidden="1"/>
    </xf>
    <xf numFmtId="0" fontId="12" fillId="14" borderId="81" xfId="0" applyFont="1" applyFill="1" applyBorder="1" applyAlignment="1" applyProtection="1">
      <alignment horizontal="center" vertical="center"/>
      <protection hidden="1"/>
    </xf>
    <xf numFmtId="0" fontId="12" fillId="14" borderId="82" xfId="0" applyFont="1" applyFill="1" applyBorder="1" applyAlignment="1" applyProtection="1">
      <alignment horizontal="center" vertical="center"/>
      <protection hidden="1"/>
    </xf>
    <xf numFmtId="0" fontId="12" fillId="6" borderId="81" xfId="0" applyFont="1" applyFill="1" applyBorder="1" applyAlignment="1" applyProtection="1">
      <alignment horizontal="center" vertical="center"/>
      <protection hidden="1"/>
    </xf>
    <xf numFmtId="0" fontId="12" fillId="6" borderId="82" xfId="0" applyFont="1" applyFill="1" applyBorder="1" applyAlignment="1" applyProtection="1">
      <alignment horizontal="center" vertical="center"/>
      <protection hidden="1"/>
    </xf>
    <xf numFmtId="0" fontId="0" fillId="8" borderId="9" xfId="0" applyFill="1" applyBorder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6" fillId="9" borderId="38" xfId="0" applyFont="1" applyFill="1" applyBorder="1" applyAlignment="1" applyProtection="1">
      <alignment horizontal="center" vertical="center"/>
      <protection hidden="1"/>
    </xf>
    <xf numFmtId="0" fontId="6" fillId="9" borderId="48" xfId="0" applyFont="1" applyFill="1" applyBorder="1" applyAlignment="1" applyProtection="1">
      <alignment horizontal="center" vertical="center"/>
      <protection hidden="1"/>
    </xf>
    <xf numFmtId="0" fontId="6" fillId="9" borderId="174" xfId="0" applyFont="1" applyFill="1" applyBorder="1" applyAlignment="1" applyProtection="1">
      <alignment horizontal="center" vertical="center"/>
      <protection hidden="1"/>
    </xf>
    <xf numFmtId="0" fontId="6" fillId="9" borderId="11" xfId="0" applyFont="1" applyFill="1" applyBorder="1" applyAlignment="1" applyProtection="1">
      <alignment horizontal="center" vertical="center"/>
      <protection hidden="1"/>
    </xf>
    <xf numFmtId="0" fontId="7" fillId="22" borderId="38" xfId="0" applyFont="1" applyFill="1" applyBorder="1" applyAlignment="1" applyProtection="1">
      <alignment horizontal="center" vertical="center"/>
      <protection hidden="1"/>
    </xf>
    <xf numFmtId="0" fontId="7" fillId="22" borderId="48" xfId="0" applyFont="1" applyFill="1" applyBorder="1" applyAlignment="1" applyProtection="1">
      <alignment horizontal="center" vertical="center"/>
      <protection hidden="1"/>
    </xf>
    <xf numFmtId="0" fontId="7" fillId="22" borderId="11" xfId="0" applyFont="1" applyFill="1" applyBorder="1" applyAlignment="1" applyProtection="1">
      <alignment horizontal="center" vertical="center"/>
      <protection hidden="1"/>
    </xf>
    <xf numFmtId="0" fontId="0" fillId="8" borderId="38" xfId="0" applyFill="1" applyBorder="1" applyAlignment="1" applyProtection="1">
      <alignment horizontal="center" vertical="center"/>
      <protection hidden="1"/>
    </xf>
    <xf numFmtId="0" fontId="0" fillId="8" borderId="48" xfId="0" applyFill="1" applyBorder="1" applyAlignment="1" applyProtection="1">
      <alignment horizontal="center" vertical="center"/>
      <protection hidden="1"/>
    </xf>
    <xf numFmtId="0" fontId="0" fillId="8" borderId="11" xfId="0" applyFill="1" applyBorder="1" applyAlignment="1" applyProtection="1">
      <alignment horizontal="center" vertical="center"/>
      <protection hidden="1"/>
    </xf>
    <xf numFmtId="0" fontId="7" fillId="22" borderId="9" xfId="0" applyFont="1" applyFill="1" applyBorder="1" applyAlignment="1" applyProtection="1">
      <alignment horizontal="center" vertical="center"/>
      <protection hidden="1"/>
    </xf>
    <xf numFmtId="0" fontId="7" fillId="22" borderId="44" xfId="0" applyFont="1" applyFill="1" applyBorder="1" applyAlignment="1" applyProtection="1">
      <alignment horizontal="center" vertical="center" wrapText="1"/>
      <protection hidden="1"/>
    </xf>
    <xf numFmtId="0" fontId="7" fillId="22" borderId="137" xfId="0" applyFont="1" applyFill="1" applyBorder="1" applyAlignment="1" applyProtection="1">
      <alignment horizontal="center" vertical="center" wrapText="1"/>
      <protection hidden="1"/>
    </xf>
    <xf numFmtId="0" fontId="7" fillId="22" borderId="7" xfId="0" applyFont="1" applyFill="1" applyBorder="1" applyAlignment="1" applyProtection="1">
      <alignment horizontal="center" vertical="center" wrapText="1"/>
      <protection hidden="1"/>
    </xf>
    <xf numFmtId="0" fontId="7" fillId="22" borderId="43" xfId="0" applyFont="1" applyFill="1" applyBorder="1" applyAlignment="1" applyProtection="1">
      <alignment horizontal="center" vertical="center" wrapText="1"/>
      <protection hidden="1"/>
    </xf>
    <xf numFmtId="0" fontId="7" fillId="22" borderId="49" xfId="0" applyFont="1" applyFill="1" applyBorder="1" applyAlignment="1" applyProtection="1">
      <alignment horizontal="center" vertical="center" wrapText="1"/>
      <protection hidden="1"/>
    </xf>
    <xf numFmtId="0" fontId="7" fillId="22" borderId="18" xfId="0" applyFont="1" applyFill="1" applyBorder="1" applyAlignment="1" applyProtection="1">
      <alignment horizontal="center" vertical="center" wrapText="1"/>
      <protection hidden="1"/>
    </xf>
    <xf numFmtId="0" fontId="7" fillId="22" borderId="44" xfId="0" applyFont="1" applyFill="1" applyBorder="1" applyAlignment="1" applyProtection="1">
      <alignment horizontal="center" vertical="center"/>
      <protection hidden="1"/>
    </xf>
    <xf numFmtId="0" fontId="7" fillId="22" borderId="137" xfId="0" applyFont="1" applyFill="1" applyBorder="1" applyAlignment="1" applyProtection="1">
      <alignment horizontal="center" vertical="center"/>
      <protection hidden="1"/>
    </xf>
    <xf numFmtId="0" fontId="7" fillId="22" borderId="43" xfId="0" applyFont="1" applyFill="1" applyBorder="1" applyAlignment="1" applyProtection="1">
      <alignment horizontal="center" vertical="center"/>
      <protection hidden="1"/>
    </xf>
    <xf numFmtId="0" fontId="7" fillId="22" borderId="49" xfId="0" applyFont="1" applyFill="1" applyBorder="1" applyAlignment="1" applyProtection="1">
      <alignment horizontal="center" vertical="center"/>
      <protection hidden="1"/>
    </xf>
    <xf numFmtId="192" fontId="0" fillId="9" borderId="9" xfId="0" applyNumberFormat="1" applyFill="1" applyBorder="1" applyProtection="1">
      <alignment vertical="center"/>
      <protection hidden="1"/>
    </xf>
    <xf numFmtId="0" fontId="0" fillId="11" borderId="9" xfId="0" applyFill="1" applyBorder="1" applyAlignment="1" applyProtection="1">
      <alignment horizontal="center" vertical="center"/>
      <protection hidden="1"/>
    </xf>
    <xf numFmtId="0" fontId="0" fillId="4" borderId="0" xfId="0" applyFill="1" applyAlignment="1">
      <alignment horizontal="center" vertical="center"/>
    </xf>
    <xf numFmtId="0" fontId="11" fillId="8" borderId="38" xfId="0" applyFont="1" applyFill="1" applyBorder="1" applyAlignment="1" applyProtection="1">
      <alignment horizontal="center" vertical="center"/>
      <protection hidden="1"/>
    </xf>
    <xf numFmtId="0" fontId="11" fillId="8" borderId="48" xfId="0" applyFont="1" applyFill="1" applyBorder="1" applyAlignment="1" applyProtection="1">
      <alignment horizontal="center" vertical="center"/>
      <protection hidden="1"/>
    </xf>
    <xf numFmtId="0" fontId="11" fillId="8" borderId="9" xfId="0" applyFont="1" applyFill="1" applyBorder="1" applyAlignment="1" applyProtection="1">
      <alignment horizontal="center" vertical="center" wrapText="1"/>
      <protection hidden="1"/>
    </xf>
    <xf numFmtId="0" fontId="11" fillId="8" borderId="9" xfId="0" applyFont="1" applyFill="1" applyBorder="1" applyAlignment="1" applyProtection="1">
      <alignment horizontal="center" vertical="center"/>
      <protection hidden="1"/>
    </xf>
    <xf numFmtId="0" fontId="11" fillId="8" borderId="11" xfId="0" applyFont="1" applyFill="1" applyBorder="1" applyAlignment="1" applyProtection="1">
      <alignment horizontal="center" vertical="center"/>
      <protection hidden="1"/>
    </xf>
    <xf numFmtId="0" fontId="28" fillId="2" borderId="154" xfId="2" applyFont="1" applyBorder="1" applyAlignment="1" applyProtection="1">
      <alignment horizontal="center" vertical="center"/>
      <protection hidden="1"/>
    </xf>
    <xf numFmtId="0" fontId="0" fillId="4" borderId="154" xfId="0" applyFill="1" applyBorder="1" applyAlignment="1" applyProtection="1">
      <alignment horizontal="center" vertical="center"/>
      <protection locked="0"/>
    </xf>
    <xf numFmtId="0" fontId="58" fillId="25" borderId="200" xfId="1" applyFont="1" applyFill="1" applyBorder="1" applyAlignment="1" applyProtection="1">
      <alignment horizontal="center" vertical="center"/>
      <protection hidden="1"/>
    </xf>
    <xf numFmtId="0" fontId="58" fillId="25" borderId="201" xfId="1" applyFont="1" applyFill="1" applyBorder="1" applyAlignment="1" applyProtection="1">
      <alignment horizontal="center" vertical="center"/>
      <protection hidden="1"/>
    </xf>
    <xf numFmtId="0" fontId="58" fillId="25" borderId="202" xfId="1" applyFont="1" applyFill="1" applyBorder="1" applyAlignment="1" applyProtection="1">
      <alignment horizontal="center" vertical="center"/>
      <protection hidden="1"/>
    </xf>
    <xf numFmtId="0" fontId="58" fillId="25" borderId="203" xfId="1" applyFont="1" applyFill="1" applyBorder="1" applyAlignment="1" applyProtection="1">
      <alignment horizontal="center" vertical="center"/>
      <protection hidden="1"/>
    </xf>
    <xf numFmtId="0" fontId="59" fillId="25" borderId="204" xfId="1" applyFont="1" applyFill="1" applyBorder="1" applyAlignment="1" applyProtection="1">
      <alignment horizontal="center" vertical="center"/>
      <protection hidden="1"/>
    </xf>
    <xf numFmtId="0" fontId="59" fillId="25" borderId="205" xfId="1" applyFont="1" applyFill="1" applyBorder="1" applyAlignment="1" applyProtection="1">
      <alignment horizontal="center" vertical="center"/>
      <protection hidden="1"/>
    </xf>
    <xf numFmtId="184" fontId="0" fillId="20" borderId="154" xfId="3" applyNumberFormat="1" applyFont="1" applyFill="1" applyBorder="1" applyAlignment="1" applyProtection="1">
      <alignment horizontal="center" vertical="center"/>
      <protection hidden="1"/>
    </xf>
    <xf numFmtId="0" fontId="28" fillId="2" borderId="154" xfId="2" applyFont="1" applyBorder="1" applyAlignment="1" applyProtection="1">
      <alignment horizontal="center" vertical="center" shrinkToFit="1"/>
      <protection hidden="1"/>
    </xf>
    <xf numFmtId="188" fontId="0" fillId="4" borderId="154" xfId="3" applyNumberFormat="1" applyFont="1" applyFill="1" applyBorder="1" applyAlignment="1" applyProtection="1">
      <alignment horizontal="center" vertical="center"/>
      <protection locked="0"/>
    </xf>
    <xf numFmtId="0" fontId="28" fillId="7" borderId="154" xfId="0" applyFont="1" applyFill="1" applyBorder="1" applyAlignment="1" applyProtection="1">
      <alignment horizontal="center" vertical="center"/>
      <protection hidden="1"/>
    </xf>
    <xf numFmtId="0" fontId="51" fillId="0" borderId="0" xfId="9" applyFont="1" applyAlignment="1" applyProtection="1">
      <alignment horizontal="left" vertical="center" shrinkToFit="1"/>
      <protection locked="0"/>
    </xf>
    <xf numFmtId="0" fontId="32" fillId="18" borderId="188" xfId="9" applyFont="1" applyFill="1" applyBorder="1" applyAlignment="1">
      <alignment horizontal="center" vertical="center" wrapText="1"/>
    </xf>
    <xf numFmtId="0" fontId="32" fillId="18" borderId="189" xfId="9" applyFont="1" applyFill="1" applyBorder="1" applyAlignment="1">
      <alignment horizontal="center" vertical="center"/>
    </xf>
    <xf numFmtId="0" fontId="67" fillId="0" borderId="0" xfId="9" applyFont="1" applyAlignment="1" applyProtection="1">
      <alignment horizontal="left" vertical="center"/>
      <protection locked="0"/>
    </xf>
    <xf numFmtId="0" fontId="32" fillId="8" borderId="108" xfId="9" applyFont="1" applyFill="1" applyBorder="1" applyAlignment="1">
      <alignment horizontal="center" vertical="center"/>
    </xf>
    <xf numFmtId="0" fontId="32" fillId="8" borderId="27" xfId="9" applyFont="1" applyFill="1" applyBorder="1" applyAlignment="1">
      <alignment horizontal="center" vertical="center"/>
    </xf>
    <xf numFmtId="0" fontId="32" fillId="8" borderId="101" xfId="9" applyFont="1" applyFill="1" applyBorder="1" applyAlignment="1">
      <alignment horizontal="center" vertical="center"/>
    </xf>
    <xf numFmtId="0" fontId="32" fillId="19" borderId="100" xfId="9" applyFont="1" applyFill="1" applyBorder="1" applyAlignment="1">
      <alignment horizontal="center" vertical="center"/>
    </xf>
    <xf numFmtId="0" fontId="32" fillId="19" borderId="102" xfId="9" applyFont="1" applyFill="1" applyBorder="1" applyAlignment="1">
      <alignment horizontal="center" vertical="center"/>
    </xf>
    <xf numFmtId="0" fontId="32" fillId="18" borderId="22" xfId="9" applyFont="1" applyFill="1" applyBorder="1" applyAlignment="1">
      <alignment horizontal="center" vertical="center"/>
    </xf>
    <xf numFmtId="0" fontId="32" fillId="18" borderId="51" xfId="9" applyFont="1" applyFill="1" applyBorder="1" applyAlignment="1">
      <alignment horizontal="center" vertical="center"/>
    </xf>
    <xf numFmtId="0" fontId="32" fillId="18" borderId="26" xfId="9" applyFont="1" applyFill="1" applyBorder="1" applyAlignment="1">
      <alignment horizontal="center" vertical="center"/>
    </xf>
    <xf numFmtId="0" fontId="32" fillId="18" borderId="3" xfId="9" applyFont="1" applyFill="1" applyBorder="1" applyAlignment="1">
      <alignment horizontal="center" vertical="center"/>
    </xf>
    <xf numFmtId="0" fontId="32" fillId="18" borderId="23" xfId="9" applyFont="1" applyFill="1" applyBorder="1" applyAlignment="1">
      <alignment horizontal="center" vertical="center" wrapText="1"/>
    </xf>
    <xf numFmtId="0" fontId="32" fillId="18" borderId="25" xfId="9" applyFont="1" applyFill="1" applyBorder="1" applyAlignment="1">
      <alignment horizontal="center" vertical="center"/>
    </xf>
    <xf numFmtId="0" fontId="32" fillId="18" borderId="2" xfId="9" applyFont="1" applyFill="1" applyBorder="1" applyAlignment="1">
      <alignment horizontal="center" vertical="center" wrapText="1"/>
    </xf>
    <xf numFmtId="0" fontId="32" fillId="18" borderId="4" xfId="9" applyFont="1" applyFill="1" applyBorder="1" applyAlignment="1">
      <alignment horizontal="center" vertical="center"/>
    </xf>
    <xf numFmtId="0" fontId="31" fillId="0" borderId="187" xfId="9" applyFont="1" applyBorder="1" applyAlignment="1" applyProtection="1">
      <alignment horizontal="center" vertical="center"/>
      <protection locked="0"/>
    </xf>
    <xf numFmtId="0" fontId="51" fillId="0" borderId="46" xfId="9" applyFont="1" applyBorder="1" applyAlignment="1">
      <alignment horizontal="left" vertical="center" shrinkToFit="1"/>
    </xf>
    <xf numFmtId="0" fontId="31" fillId="0" borderId="46" xfId="9" applyFont="1" applyBorder="1" applyAlignment="1">
      <alignment horizontal="left" vertical="center" shrinkToFit="1"/>
    </xf>
    <xf numFmtId="0" fontId="31" fillId="0" borderId="0" xfId="9" applyFont="1" applyAlignment="1" applyProtection="1">
      <alignment horizontal="left" vertical="center" shrinkToFit="1"/>
      <protection locked="0"/>
    </xf>
    <xf numFmtId="0" fontId="32" fillId="18" borderId="108" xfId="9" applyFont="1" applyFill="1" applyBorder="1" applyAlignment="1">
      <alignment horizontal="center" vertical="center" wrapText="1"/>
    </xf>
    <xf numFmtId="0" fontId="32" fillId="18" borderId="27" xfId="9" applyFont="1" applyFill="1" applyBorder="1" applyAlignment="1">
      <alignment horizontal="center" vertical="center" wrapText="1"/>
    </xf>
    <xf numFmtId="0" fontId="32" fillId="18" borderId="101" xfId="9" applyFont="1" applyFill="1" applyBorder="1" applyAlignment="1">
      <alignment horizontal="center" vertical="center" wrapText="1"/>
    </xf>
    <xf numFmtId="0" fontId="32" fillId="18" borderId="100" xfId="9" applyFont="1" applyFill="1" applyBorder="1" applyAlignment="1">
      <alignment horizontal="center" vertical="center"/>
    </xf>
    <xf numFmtId="0" fontId="32" fillId="18" borderId="102" xfId="9" applyFont="1" applyFill="1" applyBorder="1" applyAlignment="1">
      <alignment horizontal="center" vertical="center"/>
    </xf>
    <xf numFmtId="0" fontId="32" fillId="18" borderId="23" xfId="9" applyFont="1" applyFill="1" applyBorder="1" applyAlignment="1">
      <alignment horizontal="center" vertical="center"/>
    </xf>
  </cellXfs>
  <cellStyles count="19">
    <cellStyle name="강조색1" xfId="2" builtinId="29"/>
    <cellStyle name="백분율" xfId="4" builtinId="5"/>
    <cellStyle name="백분율 2" xfId="8"/>
    <cellStyle name="쉼표 [0]" xfId="3" builtinId="6"/>
    <cellStyle name="쉼표 [0] 2" xfId="16"/>
    <cellStyle name="제목 1" xfId="1" builtinId="16"/>
    <cellStyle name="표준" xfId="0" builtinId="0"/>
    <cellStyle name="표준 10" xfId="18"/>
    <cellStyle name="표준 14" xfId="13"/>
    <cellStyle name="표준 2" xfId="5"/>
    <cellStyle name="표준 2 2" xfId="9"/>
    <cellStyle name="표준 2 2 2" xfId="17"/>
    <cellStyle name="표준 3" xfId="15"/>
    <cellStyle name="표준 4" xfId="14"/>
    <cellStyle name="표준 5" xfId="10"/>
    <cellStyle name="표준 6" xfId="6"/>
    <cellStyle name="표준 7" xfId="11"/>
    <cellStyle name="표준 8" xfId="12"/>
    <cellStyle name="표준 9" xfId="7"/>
  </cellStyles>
  <dxfs count="0"/>
  <tableStyles count="0" defaultTableStyle="TableStyleMedium2" defaultPivotStyle="PivotStyleLight16"/>
  <colors>
    <mruColors>
      <color rgb="FFFFFCCF"/>
      <color rgb="FF588838"/>
      <color rgb="FFCCFFFF"/>
      <color rgb="FFFF9999"/>
      <color rgb="FF3366FF"/>
      <color rgb="FFFF9B9B"/>
      <color rgb="FFFF9F9F"/>
      <color rgb="FF0000FF"/>
      <color rgb="FFCC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시설별 온실가스 배출량 </a:t>
            </a:r>
            <a:r>
              <a:rPr lang="en-US"/>
              <a:t>(tCO</a:t>
            </a:r>
            <a:r>
              <a:rPr lang="en-US" baseline="-25000"/>
              <a:t>2</a:t>
            </a:r>
            <a:r>
              <a:rPr lang="en-US"/>
              <a:t>eq)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배출량 총괄'!$K$11:$K$22</c:f>
              <c:strCache>
                <c:ptCount val="1"/>
                <c:pt idx="0">
                  <c:v>사업장 단위 전기사용시설</c:v>
                </c:pt>
              </c:strCache>
            </c:strRef>
          </c:cat>
          <c:val>
            <c:numRef>
              <c:f>'5. 배출량 총괄'!$O$11:$O$22</c:f>
              <c:numCache>
                <c:formatCode>#,##0.00_);[Red]\(#,##0.00\)</c:formatCode>
                <c:ptCount val="1"/>
                <c:pt idx="0">
                  <c:v>191.67581293750001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1-41F8-8897-A89852233E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4640000"/>
        <c:axId val="54655232"/>
      </c:barChart>
      <c:catAx>
        <c:axId val="546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54655232"/>
        <c:crosses val="autoZero"/>
        <c:auto val="1"/>
        <c:lblAlgn val="ctr"/>
        <c:lblOffset val="100"/>
        <c:noMultiLvlLbl val="0"/>
      </c:catAx>
      <c:valAx>
        <c:axId val="54655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640000"/>
        <c:crosses val="autoZero"/>
        <c:crossBetween val="between"/>
      </c:valAx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latin typeface="+mj-ea"/>
                <a:ea typeface="+mj-ea"/>
              </a:rPr>
              <a:t>월별 온실가스</a:t>
            </a:r>
            <a:r>
              <a:rPr lang="ko-KR" altLang="en-US" b="1" baseline="0">
                <a:latin typeface="+mj-ea"/>
                <a:ea typeface="+mj-ea"/>
              </a:rPr>
              <a:t> 원단위 </a:t>
            </a:r>
            <a:r>
              <a:rPr lang="en-US" altLang="ko-KR" b="1" baseline="0">
                <a:latin typeface="+mj-ea"/>
                <a:ea typeface="+mj-ea"/>
              </a:rPr>
              <a:t>(tCO</a:t>
            </a:r>
            <a:r>
              <a:rPr lang="en-US" altLang="ko-KR" b="1" baseline="-25000">
                <a:latin typeface="+mj-ea"/>
                <a:ea typeface="+mj-ea"/>
              </a:rPr>
              <a:t>2</a:t>
            </a:r>
            <a:r>
              <a:rPr lang="en-US" altLang="ko-KR" b="1" baseline="0">
                <a:latin typeface="+mj-ea"/>
                <a:ea typeface="+mj-ea"/>
              </a:rPr>
              <a:t>eq/ton)</a:t>
            </a:r>
            <a:endParaRPr lang="ko-KR" altLang="en-US" b="1">
              <a:latin typeface="+mj-ea"/>
              <a:ea typeface="+mj-ea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1677717826600192E-2"/>
          <c:y val="0.20955523532588594"/>
          <c:w val="0.94861700462678822"/>
          <c:h val="0.572057087470099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'5. 배출량 총괄'!$B$75:$B$76</c:f>
              <c:strCache>
                <c:ptCount val="1"/>
                <c:pt idx="0">
                  <c:v>생산품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_);[Red]\(#,##0.0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'5. 배출량 총괄'!$H$74:$S$74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xVal>
          <c:yVal>
            <c:numRef>
              <c:f>'5. 배출량 총괄'!$H$76:$S$76</c:f>
              <c:numCache>
                <c:formatCode>#,##0.000_);[Red]\(#,##0.000\)</c:formatCode>
                <c:ptCount val="12"/>
                <c:pt idx="0">
                  <c:v>4.5128415903829981E-2</c:v>
                </c:pt>
                <c:pt idx="1">
                  <c:v>4.5128415903829981E-2</c:v>
                </c:pt>
                <c:pt idx="2">
                  <c:v>4.5128415903829981E-2</c:v>
                </c:pt>
                <c:pt idx="3">
                  <c:v>4.5128415903829981E-2</c:v>
                </c:pt>
                <c:pt idx="4">
                  <c:v>4.5128415903829981E-2</c:v>
                </c:pt>
                <c:pt idx="5">
                  <c:v>4.5128415903829981E-2</c:v>
                </c:pt>
                <c:pt idx="6">
                  <c:v>4.5128415903829981E-2</c:v>
                </c:pt>
                <c:pt idx="7">
                  <c:v>4.5128415903829981E-2</c:v>
                </c:pt>
                <c:pt idx="8">
                  <c:v>4.5128415903829981E-2</c:v>
                </c:pt>
                <c:pt idx="9">
                  <c:v>4.5128415903829981E-2</c:v>
                </c:pt>
                <c:pt idx="10">
                  <c:v>4.5128415903829981E-2</c:v>
                </c:pt>
                <c:pt idx="11">
                  <c:v>4.5128415903829981E-2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40-490F-B998-C1B1F9F1904B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axId val="55913472"/>
        <c:axId val="55915264"/>
      </c:scatterChart>
      <c:valAx>
        <c:axId val="5591347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915264"/>
        <c:crosses val="autoZero"/>
        <c:crossBetween val="midCat"/>
        <c:majorUnit val="1"/>
      </c:valAx>
      <c:valAx>
        <c:axId val="559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91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ko-KR" altLang="en-US" sz="16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맑은 고딕" panose="020B0503020000020004" pitchFamily="50" charset="-127"/>
              </a:rPr>
              <a:t>온실가스 배출량 비중 </a:t>
            </a:r>
            <a:r>
              <a:rPr kumimoji="0" lang="en-US" sz="16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(%)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5609845979975218"/>
          <c:y val="0.18187013173142788"/>
          <c:w val="0.4223545684731011"/>
          <c:h val="0.7451536021035601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78A-497C-91EA-EC3C82C619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1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'5. 배출량 총괄'!$K$11:$K$22</c:f>
              <c:strCache>
                <c:ptCount val="1"/>
                <c:pt idx="0">
                  <c:v>사업장 단위 전기사용시설</c:v>
                </c:pt>
              </c:strCache>
            </c:strRef>
          </c:cat>
          <c:val>
            <c:numRef>
              <c:f>'5. 배출량 총괄'!$P$11:$P$22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5-4801-844C-D69E8C2EF87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209475890761573"/>
          <c:y val="5.711848976347763E-2"/>
          <c:w val="0.30413814766538871"/>
          <c:h val="0.91630978344304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9525</xdr:rowOff>
    </xdr:from>
    <xdr:to>
      <xdr:col>7</xdr:col>
      <xdr:colOff>142875</xdr:colOff>
      <xdr:row>32</xdr:row>
      <xdr:rowOff>2804</xdr:rowOff>
    </xdr:to>
    <xdr:pic>
      <xdr:nvPicPr>
        <xdr:cNvPr id="12" name="Picture 46" descr="23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78"/>
        <a:stretch>
          <a:fillRect/>
        </a:stretch>
      </xdr:blipFill>
      <xdr:spPr bwMode="ltGray">
        <a:xfrm>
          <a:off x="171450" y="228600"/>
          <a:ext cx="4248150" cy="6746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304800</xdr:colOff>
      <xdr:row>41</xdr:row>
      <xdr:rowOff>142875</xdr:rowOff>
    </xdr:from>
    <xdr:to>
      <xdr:col>25</xdr:col>
      <xdr:colOff>457200</xdr:colOff>
      <xdr:row>42</xdr:row>
      <xdr:rowOff>177800</xdr:rowOff>
    </xdr:to>
    <xdr:sp macro="" textlink="">
      <xdr:nvSpPr>
        <xdr:cNvPr id="9" name="Rectangle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Grp="1" noChangeArrowheads="1"/>
        </xdr:cNvSpPr>
      </xdr:nvSpPr>
      <xdr:spPr bwMode="gray">
        <a:xfrm>
          <a:off x="14182725" y="9058275"/>
          <a:ext cx="2895600" cy="244475"/>
        </a:xfrm>
        <a:prstGeom prst="rect">
          <a:avLst/>
        </a:prstGeom>
        <a:ln>
          <a:miter lim="800000"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ko-KR" altLang="en-US"/>
        </a:p>
      </xdr:txBody>
    </xdr:sp>
    <xdr:clientData/>
  </xdr:twoCellAnchor>
  <xdr:twoCellAnchor>
    <xdr:from>
      <xdr:col>7</xdr:col>
      <xdr:colOff>457200</xdr:colOff>
      <xdr:row>8</xdr:row>
      <xdr:rowOff>57150</xdr:rowOff>
    </xdr:from>
    <xdr:to>
      <xdr:col>15</xdr:col>
      <xdr:colOff>533400</xdr:colOff>
      <xdr:row>12</xdr:row>
      <xdr:rowOff>123825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633AB90-6D92-4136-B3FD-ABCE08B5DC62}"/>
            </a:ext>
          </a:extLst>
        </xdr:cNvPr>
        <xdr:cNvSpPr>
          <a:spLocks noGrp="1" noChangeArrowheads="1"/>
        </xdr:cNvSpPr>
      </xdr:nvSpPr>
      <xdr:spPr bwMode="gray">
        <a:xfrm>
          <a:off x="4733925" y="1743075"/>
          <a:ext cx="5991225" cy="10287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innerShdw blurRad="63500" dist="50800" dir="2700000">
            <a:schemeClr val="accent6">
              <a:lumMod val="75000"/>
              <a:alpha val="0"/>
            </a:schemeClr>
          </a:innerShdw>
        </a:effectLst>
      </xdr:spPr>
      <xdr:txBody>
        <a:bodyPr vert="horz" wrap="square" lIns="0" tIns="0" rIns="0" bIns="0" numCol="1" anchor="t" anchorCtr="0" compatLnSpc="1">
          <a:prstTxWarp prst="textNoShape">
            <a:avLst/>
          </a:prstTxWarp>
        </a:bodyPr>
        <a:lstStyle>
          <a:lvl1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+mj-lt"/>
              <a:ea typeface="+mj-ea"/>
              <a:cs typeface="+mj-cs"/>
            </a:defRPr>
          </a:lvl1pPr>
          <a:lvl2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2pPr>
          <a:lvl3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3pPr>
          <a:lvl4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4pPr>
          <a:lvl5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5pPr>
          <a:lvl6pPr marL="4572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6pPr>
          <a:lvl7pPr marL="9144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7pPr>
          <a:lvl8pPr marL="13716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8pPr>
          <a:lvl9pPr marL="18288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9pPr>
        </a:lstStyle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4000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ko-KR" altLang="en-US" sz="4400">
              <a:solidFill>
                <a:srgbClr val="588838"/>
              </a:solidFill>
              <a:latin typeface="+mj-ea"/>
              <a:ea typeface="+mj-ea"/>
            </a:rPr>
            <a:t>제조혁신바우처</a:t>
          </a:r>
          <a:endParaRPr lang="en-US" altLang="ko-KR" sz="4400">
            <a:solidFill>
              <a:srgbClr val="588838"/>
            </a:solidFill>
            <a:latin typeface="+mj-ea"/>
            <a:ea typeface="+mj-ea"/>
          </a:endParaRPr>
        </a:p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4000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ko-KR" altLang="en-US" sz="4400">
              <a:solidFill>
                <a:srgbClr val="588838"/>
              </a:solidFill>
              <a:latin typeface="+mj-ea"/>
              <a:ea typeface="+mj-ea"/>
            </a:rPr>
            <a:t>탄소중립 경영혁신</a:t>
          </a:r>
          <a:endParaRPr lang="en-US" altLang="ko-KR" sz="4400">
            <a:solidFill>
              <a:srgbClr val="588838"/>
            </a:solidFill>
            <a:latin typeface="+mj-ea"/>
            <a:ea typeface="+mj-ea"/>
          </a:endParaRPr>
        </a:p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4000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ko-KR" altLang="en-US" sz="4400">
              <a:solidFill>
                <a:srgbClr val="588838"/>
              </a:solidFill>
              <a:latin typeface="+mj-ea"/>
              <a:ea typeface="+mj-ea"/>
            </a:rPr>
            <a:t>배출량 산정</a:t>
          </a:r>
          <a:r>
            <a:rPr lang="en-US" altLang="ko-KR" sz="4400">
              <a:solidFill>
                <a:srgbClr val="588838"/>
              </a:solidFill>
              <a:latin typeface="+mj-ea"/>
              <a:ea typeface="+mj-ea"/>
            </a:rPr>
            <a:t> Tool_v1.3</a:t>
          </a:r>
          <a:endParaRPr lang="en-US" sz="4400">
            <a:solidFill>
              <a:srgbClr val="588838"/>
            </a:solidFill>
            <a:latin typeface="+mj-ea"/>
            <a:ea typeface="+mj-ea"/>
          </a:endParaRPr>
        </a:p>
      </xdr:txBody>
    </xdr:sp>
    <xdr:clientData/>
  </xdr:twoCellAnchor>
  <xdr:twoCellAnchor editAs="oneCell">
    <xdr:from>
      <xdr:col>12</xdr:col>
      <xdr:colOff>19051</xdr:colOff>
      <xdr:row>28</xdr:row>
      <xdr:rowOff>180976</xdr:rowOff>
    </xdr:from>
    <xdr:to>
      <xdr:col>15</xdr:col>
      <xdr:colOff>419101</xdr:colOff>
      <xdr:row>30</xdr:row>
      <xdr:rowOff>194702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480DE6D-B355-4A0A-A415-E88505761C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5172" t="42039" r="7108" b="11059"/>
        <a:stretch/>
      </xdr:blipFill>
      <xdr:spPr>
        <a:xfrm>
          <a:off x="8153401" y="6305551"/>
          <a:ext cx="2457450" cy="432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</xdr:row>
      <xdr:rowOff>133350</xdr:rowOff>
    </xdr:from>
    <xdr:to>
      <xdr:col>15</xdr:col>
      <xdr:colOff>476820</xdr:colOff>
      <xdr:row>6</xdr:row>
      <xdr:rowOff>194177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BAB66D-4664-4E7D-A6CE-DD8596B7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96200" y="352425"/>
          <a:ext cx="2972370" cy="11085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150</xdr:row>
      <xdr:rowOff>0</xdr:rowOff>
    </xdr:from>
    <xdr:to>
      <xdr:col>14</xdr:col>
      <xdr:colOff>47625</xdr:colOff>
      <xdr:row>155</xdr:row>
      <xdr:rowOff>95567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6AF3BF65-3670-411D-995D-281B9298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1488400"/>
          <a:ext cx="6534150" cy="114331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130</xdr:row>
      <xdr:rowOff>0</xdr:rowOff>
    </xdr:from>
    <xdr:to>
      <xdr:col>12</xdr:col>
      <xdr:colOff>371475</xdr:colOff>
      <xdr:row>147</xdr:row>
      <xdr:rowOff>61226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AE2A4CA4-6359-492B-A343-06C49C09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9602450"/>
          <a:ext cx="5486400" cy="362357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10</xdr:col>
      <xdr:colOff>114838</xdr:colOff>
      <xdr:row>106</xdr:row>
      <xdr:rowOff>47719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61A1D09C-09E6-43CC-98D5-7A23DC6BB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6544925"/>
          <a:ext cx="3858163" cy="67636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13</xdr:col>
      <xdr:colOff>439021</xdr:colOff>
      <xdr:row>120</xdr:row>
      <xdr:rowOff>28871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EE0136B7-EDC2-43CF-86BA-0E19EBA44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1155025"/>
          <a:ext cx="6239746" cy="21243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34</xdr:row>
      <xdr:rowOff>0</xdr:rowOff>
    </xdr:from>
    <xdr:to>
      <xdr:col>7</xdr:col>
      <xdr:colOff>0</xdr:colOff>
      <xdr:row>59</xdr:row>
      <xdr:rowOff>240517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1147EFF-9F09-4199-8D90-8860CD858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52929" y="14661216"/>
          <a:ext cx="0" cy="353840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86</xdr:row>
      <xdr:rowOff>9525</xdr:rowOff>
    </xdr:from>
    <xdr:to>
      <xdr:col>7</xdr:col>
      <xdr:colOff>1047750</xdr:colOff>
      <xdr:row>86</xdr:row>
      <xdr:rowOff>304800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C6C0AEF-F220-4CF5-86A8-6F6A00250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1631275"/>
          <a:ext cx="7715250" cy="29527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0</xdr:colOff>
      <xdr:row>65</xdr:row>
      <xdr:rowOff>40492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19A5D12-90F3-4255-BED7-4D71FA3F9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8050" y="10125075"/>
          <a:ext cx="0" cy="6908017"/>
        </a:xfrm>
        <a:prstGeom prst="rect">
          <a:avLst/>
        </a:prstGeom>
      </xdr:spPr>
    </xdr:pic>
    <xdr:clientData/>
  </xdr:twoCellAnchor>
  <xdr:twoCellAnchor editAs="oneCell">
    <xdr:from>
      <xdr:col>1</xdr:col>
      <xdr:colOff>486104</xdr:colOff>
      <xdr:row>29</xdr:row>
      <xdr:rowOff>52553</xdr:rowOff>
    </xdr:from>
    <xdr:to>
      <xdr:col>7</xdr:col>
      <xdr:colOff>926225</xdr:colOff>
      <xdr:row>44</xdr:row>
      <xdr:rowOff>215935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604" y="7843346"/>
          <a:ext cx="7127328" cy="4203296"/>
        </a:xfrm>
        <a:prstGeom prst="rect">
          <a:avLst/>
        </a:prstGeom>
      </xdr:spPr>
    </xdr:pic>
    <xdr:clientData/>
  </xdr:twoCellAnchor>
  <xdr:twoCellAnchor editAs="oneCell">
    <xdr:from>
      <xdr:col>1</xdr:col>
      <xdr:colOff>606059</xdr:colOff>
      <xdr:row>49</xdr:row>
      <xdr:rowOff>37843</xdr:rowOff>
    </xdr:from>
    <xdr:to>
      <xdr:col>7</xdr:col>
      <xdr:colOff>629478</xdr:colOff>
      <xdr:row>64</xdr:row>
      <xdr:rowOff>164091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6559" y="13016691"/>
          <a:ext cx="6715767" cy="4043922"/>
        </a:xfrm>
        <a:prstGeom prst="rect">
          <a:avLst/>
        </a:prstGeom>
      </xdr:spPr>
    </xdr:pic>
    <xdr:clientData/>
  </xdr:twoCellAnchor>
  <xdr:twoCellAnchor editAs="oneCell">
    <xdr:from>
      <xdr:col>1</xdr:col>
      <xdr:colOff>579783</xdr:colOff>
      <xdr:row>69</xdr:row>
      <xdr:rowOff>57979</xdr:rowOff>
    </xdr:from>
    <xdr:to>
      <xdr:col>7</xdr:col>
      <xdr:colOff>1217543</xdr:colOff>
      <xdr:row>85</xdr:row>
      <xdr:rowOff>119356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0283" y="17998109"/>
          <a:ext cx="7330108" cy="3374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56024</xdr:colOff>
      <xdr:row>8</xdr:row>
      <xdr:rowOff>12257</xdr:rowOff>
    </xdr:from>
    <xdr:to>
      <xdr:col>18</xdr:col>
      <xdr:colOff>963703</xdr:colOff>
      <xdr:row>39</xdr:row>
      <xdr:rowOff>11206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9F7FB9-3527-4FB8-B2D2-790267081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4731</xdr:colOff>
      <xdr:row>39</xdr:row>
      <xdr:rowOff>67233</xdr:rowOff>
    </xdr:from>
    <xdr:to>
      <xdr:col>19</xdr:col>
      <xdr:colOff>0</xdr:colOff>
      <xdr:row>52</xdr:row>
      <xdr:rowOff>22410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36D3F624-9D25-41DF-8967-339B3779F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190498</xdr:colOff>
      <xdr:row>8</xdr:row>
      <xdr:rowOff>20005</xdr:rowOff>
    </xdr:from>
    <xdr:to>
      <xdr:col>7</xdr:col>
      <xdr:colOff>963704</xdr:colOff>
      <xdr:row>39</xdr:row>
      <xdr:rowOff>11205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87164115-5B67-4D7B-A697-7968CCD76C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15</xdr:row>
      <xdr:rowOff>28574</xdr:rowOff>
    </xdr:from>
    <xdr:to>
      <xdr:col>4</xdr:col>
      <xdr:colOff>4481</xdr:colOff>
      <xdr:row>30</xdr:row>
      <xdr:rowOff>185397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77BBA3A-CB5B-43C2-8714-6D989FD43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899" y="2533649"/>
          <a:ext cx="3571875" cy="36143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32"/>
  <sheetViews>
    <sheetView showGridLines="0" topLeftCell="A10" zoomScaleNormal="100" zoomScaleSheetLayoutView="100" workbookViewId="0">
      <selection activeCell="S26" sqref="S26"/>
    </sheetView>
  </sheetViews>
  <sheetFormatPr defaultRowHeight="16.5" x14ac:dyDescent="0.3"/>
  <cols>
    <col min="1" max="1" width="2.125" customWidth="1"/>
    <col min="10" max="10" width="14" style="1" bestFit="1" customWidth="1"/>
    <col min="11" max="11" width="9.625" bestFit="1" customWidth="1"/>
  </cols>
  <sheetData>
    <row r="1" spans="2:16" ht="17.25" thickBot="1" x14ac:dyDescent="0.35"/>
    <row r="2" spans="2:16" x14ac:dyDescent="0.3">
      <c r="B2" s="4"/>
      <c r="C2" s="5"/>
      <c r="D2" s="5"/>
      <c r="E2" s="5"/>
      <c r="F2" s="5"/>
      <c r="G2" s="5"/>
      <c r="H2" s="5"/>
      <c r="I2" s="5"/>
      <c r="J2" s="18"/>
      <c r="K2" s="5"/>
      <c r="L2" s="5"/>
      <c r="M2" s="5"/>
      <c r="N2" s="5"/>
      <c r="O2" s="5"/>
      <c r="P2" s="6"/>
    </row>
    <row r="3" spans="2:16" x14ac:dyDescent="0.3">
      <c r="B3" s="7"/>
      <c r="P3" s="8"/>
    </row>
    <row r="4" spans="2:16" x14ac:dyDescent="0.3">
      <c r="B4" s="7"/>
      <c r="P4" s="8"/>
    </row>
    <row r="5" spans="2:16" x14ac:dyDescent="0.3">
      <c r="B5" s="7"/>
      <c r="P5" s="8"/>
    </row>
    <row r="6" spans="2:16" x14ac:dyDescent="0.3">
      <c r="B6" s="7"/>
      <c r="P6" s="8"/>
    </row>
    <row r="7" spans="2:16" x14ac:dyDescent="0.3">
      <c r="B7" s="7"/>
      <c r="P7" s="8"/>
    </row>
    <row r="8" spans="2:16" x14ac:dyDescent="0.3">
      <c r="B8" s="7"/>
      <c r="P8" s="8"/>
    </row>
    <row r="9" spans="2:16" x14ac:dyDescent="0.3">
      <c r="B9" s="7"/>
      <c r="P9" s="8"/>
    </row>
    <row r="10" spans="2:16" ht="26.25" x14ac:dyDescent="0.3">
      <c r="B10" s="7"/>
      <c r="J10" s="17"/>
      <c r="K10" s="17"/>
      <c r="P10" s="8"/>
    </row>
    <row r="11" spans="2:16" x14ac:dyDescent="0.3">
      <c r="B11" s="7"/>
      <c r="P11" s="8"/>
    </row>
    <row r="12" spans="2:16" x14ac:dyDescent="0.3">
      <c r="B12" s="7"/>
      <c r="P12" s="8"/>
    </row>
    <row r="13" spans="2:16" x14ac:dyDescent="0.3">
      <c r="B13" s="7"/>
      <c r="P13" s="8"/>
    </row>
    <row r="14" spans="2:16" x14ac:dyDescent="0.3">
      <c r="B14" s="7"/>
      <c r="P14" s="8"/>
    </row>
    <row r="15" spans="2:16" x14ac:dyDescent="0.3">
      <c r="B15" s="7"/>
      <c r="P15" s="8"/>
    </row>
    <row r="16" spans="2:16" x14ac:dyDescent="0.3">
      <c r="B16" s="7"/>
      <c r="P16" s="8"/>
    </row>
    <row r="17" spans="2:16" x14ac:dyDescent="0.3">
      <c r="B17" s="7"/>
      <c r="P17" s="8"/>
    </row>
    <row r="18" spans="2:16" x14ac:dyDescent="0.3">
      <c r="B18" s="7"/>
      <c r="P18" s="8"/>
    </row>
    <row r="19" spans="2:16" x14ac:dyDescent="0.3">
      <c r="B19" s="7"/>
      <c r="P19" s="8"/>
    </row>
    <row r="20" spans="2:16" x14ac:dyDescent="0.3">
      <c r="B20" s="7"/>
      <c r="P20" s="8"/>
    </row>
    <row r="21" spans="2:16" x14ac:dyDescent="0.3">
      <c r="B21" s="7"/>
      <c r="P21" s="8"/>
    </row>
    <row r="22" spans="2:16" x14ac:dyDescent="0.3">
      <c r="B22" s="7"/>
      <c r="P22" s="8"/>
    </row>
    <row r="23" spans="2:16" x14ac:dyDescent="0.3">
      <c r="B23" s="7"/>
      <c r="P23" s="8"/>
    </row>
    <row r="24" spans="2:16" ht="20.25" x14ac:dyDescent="0.3">
      <c r="B24" s="7"/>
      <c r="J24" s="16"/>
      <c r="K24" s="16"/>
      <c r="P24" s="8"/>
    </row>
    <row r="25" spans="2:16" x14ac:dyDescent="0.3">
      <c r="B25" s="7"/>
      <c r="P25" s="8"/>
    </row>
    <row r="26" spans="2:16" ht="19.5" customHeight="1" x14ac:dyDescent="0.3">
      <c r="B26" s="7"/>
      <c r="L26" s="12"/>
      <c r="M26" s="12"/>
      <c r="P26" s="8"/>
    </row>
    <row r="27" spans="2:16" ht="19.5" customHeight="1" x14ac:dyDescent="0.3">
      <c r="B27" s="7"/>
      <c r="K27" s="12"/>
      <c r="L27" s="12"/>
      <c r="M27" s="12"/>
      <c r="N27" s="15"/>
      <c r="P27" s="8"/>
    </row>
    <row r="28" spans="2:16" x14ac:dyDescent="0.3">
      <c r="B28" s="7"/>
      <c r="P28" s="8"/>
    </row>
    <row r="29" spans="2:16" x14ac:dyDescent="0.3">
      <c r="B29" s="7"/>
      <c r="P29" s="8"/>
    </row>
    <row r="30" spans="2:16" x14ac:dyDescent="0.3">
      <c r="B30" s="7"/>
      <c r="P30" s="8"/>
    </row>
    <row r="31" spans="2:16" x14ac:dyDescent="0.3">
      <c r="B31" s="7"/>
      <c r="P31" s="8"/>
    </row>
    <row r="32" spans="2:16" ht="17.25" thickBot="1" x14ac:dyDescent="0.35">
      <c r="B32" s="9"/>
      <c r="C32" s="10"/>
      <c r="D32" s="10"/>
      <c r="E32" s="10"/>
      <c r="F32" s="10"/>
      <c r="G32" s="10"/>
      <c r="H32" s="10"/>
      <c r="I32" s="10"/>
      <c r="J32" s="19"/>
      <c r="K32" s="10"/>
      <c r="L32" s="10"/>
      <c r="M32" s="10"/>
      <c r="N32" s="10"/>
      <c r="O32" s="10"/>
      <c r="P32" s="11"/>
    </row>
  </sheetData>
  <sheetProtection algorithmName="SHA-512" hashValue="yKjxDUmdFB47AOHMzld5VAayxNA4oZeOXL/oRk3A4bJFIOX/vGjSkoDv5DGdTGEdCFhIvcKwJ10yKOud9w9x+Q==" saltValue="JKbpvDaUkJrP35yb3bP4oA==" spinCount="100000" sheet="1" objects="1" scenarios="1" selectLockedCells="1" selectUnlockedCells="1"/>
  <phoneticPr fontId="3" type="noConversion"/>
  <pageMargins left="0.7" right="0.7" top="0.75" bottom="0.75" header="0.3" footer="0.3"/>
  <pageSetup paperSize="9" scale="6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3"/>
  <sheetViews>
    <sheetView zoomScaleNormal="100" workbookViewId="0">
      <pane ySplit="3" topLeftCell="A4" activePane="bottomLeft" state="frozen"/>
      <selection pane="bottomLeft" activeCell="B2" sqref="B2:S2"/>
    </sheetView>
  </sheetViews>
  <sheetFormatPr defaultColWidth="9" defaultRowHeight="16.5" x14ac:dyDescent="0.3"/>
  <cols>
    <col min="1" max="1" width="2.5" style="82" customWidth="1"/>
    <col min="2" max="5" width="4.125" style="82" customWidth="1"/>
    <col min="6" max="16384" width="9" style="82"/>
  </cols>
  <sheetData>
    <row r="1" spans="1:20" x14ac:dyDescent="0.3">
      <c r="T1" s="83"/>
    </row>
    <row r="2" spans="1:20" ht="37.5" customHeight="1" x14ac:dyDescent="0.3">
      <c r="B2" s="402" t="s">
        <v>235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83"/>
    </row>
    <row r="3" spans="1:20" x14ac:dyDescent="0.3">
      <c r="T3" s="83"/>
    </row>
    <row r="4" spans="1:20" x14ac:dyDescent="0.3"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</row>
    <row r="5" spans="1:20" ht="26.25" x14ac:dyDescent="0.3">
      <c r="A5" s="84"/>
      <c r="B5" s="401" t="s">
        <v>286</v>
      </c>
      <c r="C5" s="401"/>
      <c r="D5" s="401"/>
      <c r="E5" s="401"/>
      <c r="F5" s="401"/>
      <c r="G5" s="401"/>
      <c r="H5" s="401"/>
      <c r="I5" s="401"/>
      <c r="J5" s="401"/>
      <c r="K5" s="401"/>
      <c r="L5" s="401"/>
      <c r="M5" s="401"/>
      <c r="N5" s="401"/>
      <c r="O5" s="401"/>
      <c r="P5" s="401"/>
      <c r="Q5" s="401"/>
      <c r="R5" s="401"/>
      <c r="S5" s="401"/>
      <c r="T5" s="85"/>
    </row>
    <row r="6" spans="1:20" x14ac:dyDescent="0.3">
      <c r="B6" s="88"/>
      <c r="C6" s="88"/>
      <c r="D6" s="88"/>
      <c r="E6" s="88"/>
      <c r="F6" s="88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</row>
    <row r="7" spans="1:20" x14ac:dyDescent="0.3">
      <c r="A7" s="84"/>
      <c r="B7" s="403" t="s">
        <v>236</v>
      </c>
      <c r="C7" s="403"/>
      <c r="D7" s="403"/>
      <c r="E7" s="403"/>
      <c r="F7" s="403"/>
      <c r="G7" s="85"/>
    </row>
    <row r="8" spans="1:20" x14ac:dyDescent="0.3">
      <c r="B8" s="87"/>
      <c r="C8" s="87"/>
      <c r="D8" s="87"/>
      <c r="E8" s="87"/>
      <c r="F8" s="87"/>
    </row>
    <row r="9" spans="1:20" x14ac:dyDescent="0.3">
      <c r="B9" s="253" t="s">
        <v>289</v>
      </c>
    </row>
    <row r="10" spans="1:20" x14ac:dyDescent="0.3">
      <c r="C10" s="82" t="s">
        <v>294</v>
      </c>
    </row>
    <row r="11" spans="1:20" x14ac:dyDescent="0.3">
      <c r="D11" s="245" t="s">
        <v>295</v>
      </c>
    </row>
    <row r="13" spans="1:20" x14ac:dyDescent="0.3">
      <c r="C13" s="82" t="s">
        <v>339</v>
      </c>
    </row>
    <row r="14" spans="1:20" x14ac:dyDescent="0.3">
      <c r="D14" s="245" t="s">
        <v>351</v>
      </c>
    </row>
    <row r="15" spans="1:20" x14ac:dyDescent="0.3">
      <c r="E15" s="245" t="s">
        <v>350</v>
      </c>
    </row>
    <row r="16" spans="1:20" x14ac:dyDescent="0.3">
      <c r="D16" s="245"/>
      <c r="E16" s="82" t="s">
        <v>346</v>
      </c>
    </row>
    <row r="17" spans="3:5" x14ac:dyDescent="0.3">
      <c r="D17" s="245"/>
      <c r="E17" s="82" t="s">
        <v>347</v>
      </c>
    </row>
    <row r="18" spans="3:5" x14ac:dyDescent="0.3">
      <c r="D18" s="245"/>
      <c r="E18" s="82" t="s">
        <v>348</v>
      </c>
    </row>
    <row r="19" spans="3:5" x14ac:dyDescent="0.3">
      <c r="D19" s="245"/>
      <c r="E19" s="82" t="s">
        <v>349</v>
      </c>
    </row>
    <row r="20" spans="3:5" x14ac:dyDescent="0.3">
      <c r="D20" s="245"/>
      <c r="E20" s="82" t="s">
        <v>352</v>
      </c>
    </row>
    <row r="22" spans="3:5" x14ac:dyDescent="0.3">
      <c r="C22" s="82" t="s">
        <v>340</v>
      </c>
    </row>
    <row r="23" spans="3:5" x14ac:dyDescent="0.3">
      <c r="D23" s="245" t="s">
        <v>296</v>
      </c>
    </row>
    <row r="24" spans="3:5" x14ac:dyDescent="0.3">
      <c r="D24" s="245" t="s">
        <v>297</v>
      </c>
    </row>
    <row r="25" spans="3:5" x14ac:dyDescent="0.3">
      <c r="D25" s="245" t="s">
        <v>298</v>
      </c>
    </row>
    <row r="26" spans="3:5" x14ac:dyDescent="0.3">
      <c r="D26" s="245"/>
      <c r="E26" s="245" t="s">
        <v>356</v>
      </c>
    </row>
    <row r="27" spans="3:5" x14ac:dyDescent="0.3">
      <c r="D27" s="245"/>
      <c r="E27" s="82" t="s">
        <v>353</v>
      </c>
    </row>
    <row r="28" spans="3:5" x14ac:dyDescent="0.3">
      <c r="D28" s="245"/>
      <c r="E28" s="82" t="s">
        <v>354</v>
      </c>
    </row>
    <row r="29" spans="3:5" x14ac:dyDescent="0.3">
      <c r="D29" s="245"/>
      <c r="E29" s="82" t="s">
        <v>357</v>
      </c>
    </row>
    <row r="30" spans="3:5" x14ac:dyDescent="0.3">
      <c r="D30" s="245"/>
      <c r="E30" s="82" t="s">
        <v>358</v>
      </c>
    </row>
    <row r="31" spans="3:5" x14ac:dyDescent="0.3">
      <c r="D31" s="245"/>
      <c r="E31" s="82" t="s">
        <v>355</v>
      </c>
    </row>
    <row r="32" spans="3:5" x14ac:dyDescent="0.3">
      <c r="D32" s="245"/>
      <c r="E32" s="82" t="s">
        <v>359</v>
      </c>
    </row>
    <row r="34" spans="2:6" x14ac:dyDescent="0.3">
      <c r="C34" s="82" t="s">
        <v>344</v>
      </c>
    </row>
    <row r="35" spans="2:6" x14ac:dyDescent="0.3">
      <c r="D35" s="245" t="s">
        <v>345</v>
      </c>
    </row>
    <row r="36" spans="2:6" x14ac:dyDescent="0.3">
      <c r="D36" s="245"/>
      <c r="E36" s="245" t="s">
        <v>361</v>
      </c>
    </row>
    <row r="37" spans="2:6" x14ac:dyDescent="0.3">
      <c r="D37" s="245"/>
      <c r="E37" s="82" t="s">
        <v>360</v>
      </c>
    </row>
    <row r="39" spans="2:6" x14ac:dyDescent="0.3">
      <c r="C39" s="82" t="s">
        <v>385</v>
      </c>
    </row>
    <row r="40" spans="2:6" x14ac:dyDescent="0.3">
      <c r="D40" s="245" t="s">
        <v>386</v>
      </c>
    </row>
    <row r="41" spans="2:6" x14ac:dyDescent="0.3">
      <c r="D41" s="245"/>
      <c r="E41" s="245" t="s">
        <v>387</v>
      </c>
    </row>
    <row r="42" spans="2:6" x14ac:dyDescent="0.3">
      <c r="D42" s="245"/>
      <c r="E42" s="245" t="s">
        <v>388</v>
      </c>
    </row>
    <row r="43" spans="2:6" x14ac:dyDescent="0.3">
      <c r="D43" s="245"/>
      <c r="E43" s="245" t="s">
        <v>389</v>
      </c>
    </row>
    <row r="44" spans="2:6" x14ac:dyDescent="0.3">
      <c r="D44" s="245"/>
      <c r="E44" s="245" t="s">
        <v>390</v>
      </c>
    </row>
    <row r="45" spans="2:6" x14ac:dyDescent="0.3">
      <c r="D45" s="245"/>
      <c r="E45" s="245" t="s">
        <v>391</v>
      </c>
    </row>
    <row r="46" spans="2:6" x14ac:dyDescent="0.3">
      <c r="D46" s="245"/>
      <c r="E46" s="245" t="s">
        <v>392</v>
      </c>
    </row>
    <row r="48" spans="2:6" x14ac:dyDescent="0.3">
      <c r="B48" s="88"/>
      <c r="C48" s="88"/>
      <c r="D48" s="88"/>
      <c r="E48" s="86"/>
      <c r="F48" s="86"/>
    </row>
    <row r="49" spans="1:7" x14ac:dyDescent="0.3">
      <c r="A49" s="84"/>
      <c r="B49" s="403" t="s">
        <v>89</v>
      </c>
      <c r="C49" s="403"/>
      <c r="D49" s="403"/>
      <c r="E49" s="403"/>
      <c r="F49" s="403"/>
      <c r="G49" s="85"/>
    </row>
    <row r="50" spans="1:7" x14ac:dyDescent="0.3">
      <c r="B50" s="87"/>
      <c r="C50" s="87"/>
      <c r="D50" s="87"/>
      <c r="E50" s="87"/>
      <c r="F50" s="87"/>
    </row>
    <row r="51" spans="1:7" ht="18" x14ac:dyDescent="0.3">
      <c r="B51" s="253" t="s">
        <v>320</v>
      </c>
    </row>
    <row r="52" spans="1:7" x14ac:dyDescent="0.3">
      <c r="C52" s="82" t="s">
        <v>299</v>
      </c>
    </row>
    <row r="53" spans="1:7" x14ac:dyDescent="0.3">
      <c r="D53" s="253" t="s">
        <v>304</v>
      </c>
    </row>
    <row r="54" spans="1:7" x14ac:dyDescent="0.3">
      <c r="D54" s="245" t="s">
        <v>302</v>
      </c>
    </row>
    <row r="55" spans="1:7" x14ac:dyDescent="0.3">
      <c r="D55" s="245" t="s">
        <v>301</v>
      </c>
    </row>
    <row r="56" spans="1:7" x14ac:dyDescent="0.3">
      <c r="D56" s="245" t="s">
        <v>300</v>
      </c>
    </row>
    <row r="57" spans="1:7" x14ac:dyDescent="0.3">
      <c r="D57" s="245" t="s">
        <v>303</v>
      </c>
    </row>
    <row r="59" spans="1:7" x14ac:dyDescent="0.3">
      <c r="D59" s="253" t="s">
        <v>305</v>
      </c>
    </row>
    <row r="60" spans="1:7" x14ac:dyDescent="0.3">
      <c r="D60" s="245" t="s">
        <v>306</v>
      </c>
    </row>
    <row r="61" spans="1:7" x14ac:dyDescent="0.3">
      <c r="D61" s="334" t="s">
        <v>376</v>
      </c>
    </row>
    <row r="62" spans="1:7" x14ac:dyDescent="0.3">
      <c r="D62" s="335" t="s">
        <v>377</v>
      </c>
    </row>
    <row r="64" spans="1:7" x14ac:dyDescent="0.3">
      <c r="D64" s="253" t="s">
        <v>308</v>
      </c>
    </row>
    <row r="65" spans="3:4" x14ac:dyDescent="0.3">
      <c r="D65" s="245" t="s">
        <v>307</v>
      </c>
    </row>
    <row r="67" spans="3:4" x14ac:dyDescent="0.3">
      <c r="D67" s="253" t="s">
        <v>365</v>
      </c>
    </row>
    <row r="68" spans="3:4" x14ac:dyDescent="0.3">
      <c r="D68" s="245" t="s">
        <v>366</v>
      </c>
    </row>
    <row r="70" spans="3:4" x14ac:dyDescent="0.3">
      <c r="D70" s="253" t="s">
        <v>309</v>
      </c>
    </row>
    <row r="71" spans="3:4" x14ac:dyDescent="0.3">
      <c r="D71" s="245" t="s">
        <v>310</v>
      </c>
    </row>
    <row r="72" spans="3:4" x14ac:dyDescent="0.3">
      <c r="D72" s="252" t="s">
        <v>318</v>
      </c>
    </row>
    <row r="73" spans="3:4" x14ac:dyDescent="0.3">
      <c r="D73" s="252" t="s">
        <v>319</v>
      </c>
    </row>
    <row r="75" spans="3:4" x14ac:dyDescent="0.3">
      <c r="D75" s="253" t="s">
        <v>367</v>
      </c>
    </row>
    <row r="76" spans="3:4" x14ac:dyDescent="0.3">
      <c r="D76" s="245" t="s">
        <v>368</v>
      </c>
    </row>
    <row r="78" spans="3:4" x14ac:dyDescent="0.3">
      <c r="C78" s="82" t="s">
        <v>311</v>
      </c>
    </row>
    <row r="79" spans="3:4" x14ac:dyDescent="0.3">
      <c r="D79" s="253" t="s">
        <v>312</v>
      </c>
    </row>
    <row r="80" spans="3:4" x14ac:dyDescent="0.3">
      <c r="D80" s="245" t="s">
        <v>313</v>
      </c>
    </row>
    <row r="82" spans="1:7" x14ac:dyDescent="0.3">
      <c r="D82" s="253" t="s">
        <v>314</v>
      </c>
    </row>
    <row r="83" spans="1:7" x14ac:dyDescent="0.3">
      <c r="D83" s="245" t="s">
        <v>315</v>
      </c>
    </row>
    <row r="85" spans="1:7" x14ac:dyDescent="0.3">
      <c r="D85" s="253" t="s">
        <v>369</v>
      </c>
    </row>
    <row r="86" spans="1:7" x14ac:dyDescent="0.3">
      <c r="D86" s="245" t="s">
        <v>370</v>
      </c>
    </row>
    <row r="88" spans="1:7" x14ac:dyDescent="0.3">
      <c r="D88" s="253" t="s">
        <v>316</v>
      </c>
    </row>
    <row r="89" spans="1:7" x14ac:dyDescent="0.3">
      <c r="D89" s="245" t="s">
        <v>317</v>
      </c>
    </row>
    <row r="91" spans="1:7" x14ac:dyDescent="0.3">
      <c r="D91" s="253" t="s">
        <v>367</v>
      </c>
    </row>
    <row r="92" spans="1:7" x14ac:dyDescent="0.3">
      <c r="D92" s="245" t="s">
        <v>371</v>
      </c>
    </row>
    <row r="94" spans="1:7" x14ac:dyDescent="0.3">
      <c r="B94" s="88"/>
      <c r="C94" s="88"/>
      <c r="D94" s="88"/>
      <c r="E94" s="86"/>
      <c r="F94" s="86"/>
    </row>
    <row r="95" spans="1:7" x14ac:dyDescent="0.3">
      <c r="A95" s="84"/>
      <c r="B95" s="403" t="s">
        <v>233</v>
      </c>
      <c r="C95" s="403"/>
      <c r="D95" s="403"/>
      <c r="E95" s="403"/>
      <c r="F95" s="403"/>
      <c r="G95" s="85"/>
    </row>
    <row r="96" spans="1:7" x14ac:dyDescent="0.3">
      <c r="B96" s="87"/>
      <c r="C96" s="87"/>
      <c r="D96" s="87"/>
      <c r="E96" s="87"/>
      <c r="F96" s="87"/>
    </row>
    <row r="97" spans="2:5" x14ac:dyDescent="0.3">
      <c r="B97" s="253" t="s">
        <v>290</v>
      </c>
    </row>
    <row r="98" spans="2:5" x14ac:dyDescent="0.3">
      <c r="C98" s="82" t="s">
        <v>321</v>
      </c>
    </row>
    <row r="99" spans="2:5" x14ac:dyDescent="0.3">
      <c r="D99" s="245" t="s">
        <v>322</v>
      </c>
    </row>
    <row r="100" spans="2:5" x14ac:dyDescent="0.3">
      <c r="D100" s="245"/>
    </row>
    <row r="101" spans="2:5" x14ac:dyDescent="0.3">
      <c r="C101" s="82" t="s">
        <v>323</v>
      </c>
    </row>
    <row r="102" spans="2:5" x14ac:dyDescent="0.3">
      <c r="D102" s="245" t="s">
        <v>324</v>
      </c>
    </row>
    <row r="103" spans="2:5" x14ac:dyDescent="0.3">
      <c r="E103" s="245" t="s">
        <v>325</v>
      </c>
    </row>
    <row r="108" spans="2:5" x14ac:dyDescent="0.3">
      <c r="D108" s="82" t="s">
        <v>204</v>
      </c>
    </row>
    <row r="109" spans="2:5" x14ac:dyDescent="0.3">
      <c r="E109" s="245" t="s">
        <v>326</v>
      </c>
    </row>
    <row r="110" spans="2:5" x14ac:dyDescent="0.3">
      <c r="E110" s="245" t="s">
        <v>327</v>
      </c>
    </row>
    <row r="123" spans="2:19" ht="26.25" x14ac:dyDescent="0.3">
      <c r="B123" s="401" t="s">
        <v>287</v>
      </c>
      <c r="C123" s="401"/>
      <c r="D123" s="401"/>
      <c r="E123" s="401"/>
      <c r="F123" s="401"/>
      <c r="G123" s="401"/>
      <c r="H123" s="401"/>
      <c r="I123" s="401"/>
      <c r="J123" s="401"/>
      <c r="K123" s="401"/>
      <c r="L123" s="401"/>
      <c r="M123" s="401"/>
      <c r="N123" s="401"/>
      <c r="O123" s="401"/>
      <c r="P123" s="401"/>
      <c r="Q123" s="401"/>
      <c r="R123" s="401"/>
      <c r="S123" s="401"/>
    </row>
    <row r="124" spans="2:19" x14ac:dyDescent="0.3">
      <c r="B124" s="86"/>
      <c r="C124" s="86"/>
      <c r="D124" s="86"/>
      <c r="E124" s="86"/>
      <c r="F124" s="86"/>
    </row>
    <row r="125" spans="2:19" x14ac:dyDescent="0.3">
      <c r="B125" s="404" t="s">
        <v>372</v>
      </c>
      <c r="C125" s="404"/>
      <c r="D125" s="404"/>
      <c r="E125" s="404"/>
      <c r="F125" s="404"/>
      <c r="G125" s="85"/>
    </row>
    <row r="126" spans="2:19" x14ac:dyDescent="0.3">
      <c r="B126" s="87"/>
      <c r="C126" s="87"/>
      <c r="D126" s="87"/>
      <c r="E126" s="87"/>
      <c r="F126" s="87"/>
    </row>
    <row r="127" spans="2:19" x14ac:dyDescent="0.3">
      <c r="B127" s="253" t="s">
        <v>291</v>
      </c>
    </row>
    <row r="128" spans="2:19" x14ac:dyDescent="0.3">
      <c r="C128" s="82" t="s">
        <v>328</v>
      </c>
    </row>
    <row r="129" spans="4:5" x14ac:dyDescent="0.3">
      <c r="D129" s="245" t="s">
        <v>374</v>
      </c>
    </row>
    <row r="130" spans="4:5" x14ac:dyDescent="0.3">
      <c r="E130" s="254" t="s">
        <v>336</v>
      </c>
    </row>
    <row r="149" spans="2:19" x14ac:dyDescent="0.3">
      <c r="D149" s="245" t="s">
        <v>375</v>
      </c>
    </row>
    <row r="150" spans="2:19" x14ac:dyDescent="0.3">
      <c r="E150" s="254" t="s">
        <v>329</v>
      </c>
    </row>
    <row r="158" spans="2:19" ht="26.25" x14ac:dyDescent="0.3">
      <c r="B158" s="401" t="s">
        <v>288</v>
      </c>
      <c r="C158" s="401"/>
      <c r="D158" s="401"/>
      <c r="E158" s="401"/>
      <c r="F158" s="401"/>
      <c r="G158" s="401"/>
      <c r="H158" s="401"/>
      <c r="I158" s="401"/>
      <c r="J158" s="401"/>
      <c r="K158" s="401"/>
      <c r="L158" s="401"/>
      <c r="M158" s="401"/>
      <c r="N158" s="401"/>
      <c r="O158" s="401"/>
      <c r="P158" s="401"/>
      <c r="Q158" s="401"/>
      <c r="R158" s="401"/>
      <c r="S158" s="401"/>
    </row>
    <row r="159" spans="2:19" x14ac:dyDescent="0.3">
      <c r="B159" s="86"/>
      <c r="C159" s="86"/>
      <c r="D159" s="86"/>
      <c r="E159" s="86"/>
      <c r="F159" s="86"/>
    </row>
    <row r="160" spans="2:19" x14ac:dyDescent="0.3">
      <c r="B160" s="400" t="s">
        <v>160</v>
      </c>
      <c r="C160" s="400"/>
      <c r="D160" s="400"/>
      <c r="E160" s="400"/>
      <c r="F160" s="400"/>
      <c r="G160" s="85"/>
    </row>
    <row r="161" spans="2:7" x14ac:dyDescent="0.3">
      <c r="B161" s="87"/>
      <c r="C161" s="87"/>
      <c r="D161" s="87"/>
      <c r="E161" s="87"/>
      <c r="F161" s="87"/>
    </row>
    <row r="162" spans="2:7" x14ac:dyDescent="0.3">
      <c r="B162" s="253" t="s">
        <v>292</v>
      </c>
      <c r="C162" s="92"/>
    </row>
    <row r="163" spans="2:7" x14ac:dyDescent="0.3">
      <c r="C163" s="82" t="s">
        <v>331</v>
      </c>
    </row>
    <row r="164" spans="2:7" x14ac:dyDescent="0.3">
      <c r="D164" s="245" t="s">
        <v>332</v>
      </c>
    </row>
    <row r="165" spans="2:7" ht="18" x14ac:dyDescent="0.3">
      <c r="D165" s="245" t="s">
        <v>413</v>
      </c>
    </row>
    <row r="166" spans="2:7" x14ac:dyDescent="0.3">
      <c r="D166" s="245" t="s">
        <v>412</v>
      </c>
    </row>
    <row r="167" spans="2:7" x14ac:dyDescent="0.3">
      <c r="B167" s="86"/>
      <c r="C167" s="86"/>
      <c r="D167" s="276"/>
      <c r="E167" s="86"/>
      <c r="F167" s="86"/>
    </row>
    <row r="168" spans="2:7" x14ac:dyDescent="0.3">
      <c r="B168" s="86"/>
      <c r="C168" s="86"/>
      <c r="D168" s="86"/>
      <c r="E168" s="86"/>
      <c r="F168" s="86"/>
    </row>
    <row r="169" spans="2:7" x14ac:dyDescent="0.3">
      <c r="B169" s="400" t="s">
        <v>237</v>
      </c>
      <c r="C169" s="400"/>
      <c r="D169" s="400"/>
      <c r="E169" s="400"/>
      <c r="F169" s="400"/>
      <c r="G169" s="85"/>
    </row>
    <row r="170" spans="2:7" x14ac:dyDescent="0.3">
      <c r="B170" s="87"/>
      <c r="C170" s="87"/>
      <c r="D170" s="87"/>
      <c r="E170" s="87"/>
      <c r="F170" s="87"/>
    </row>
    <row r="171" spans="2:7" x14ac:dyDescent="0.3">
      <c r="B171" s="253" t="s">
        <v>293</v>
      </c>
    </row>
    <row r="172" spans="2:7" x14ac:dyDescent="0.3">
      <c r="C172" s="82" t="s">
        <v>333</v>
      </c>
    </row>
    <row r="173" spans="2:7" x14ac:dyDescent="0.3">
      <c r="D173" s="245"/>
    </row>
  </sheetData>
  <sheetProtection algorithmName="SHA-512" hashValue="GEmQCKOuezeYNJzS1UhmUwPln0+rUULAbAhr4cQuGer3OqIyqrFHpxa3V+SyTWG5JZ80WdAnnlBPHaQ2NPvnLA==" saltValue="3rE2HigXGoYxQ/nFk/HfZQ==" spinCount="100000" sheet="1" objects="1" scenarios="1" selectLockedCells="1"/>
  <mergeCells count="10">
    <mergeCell ref="B169:F169"/>
    <mergeCell ref="B123:S123"/>
    <mergeCell ref="B158:S158"/>
    <mergeCell ref="B2:S2"/>
    <mergeCell ref="B5:S5"/>
    <mergeCell ref="B7:F7"/>
    <mergeCell ref="B49:F49"/>
    <mergeCell ref="B95:F95"/>
    <mergeCell ref="B125:F125"/>
    <mergeCell ref="B160:F160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O113"/>
  <sheetViews>
    <sheetView tabSelected="1" zoomScale="115" zoomScaleNormal="115" workbookViewId="0">
      <pane ySplit="5" topLeftCell="A78" activePane="bottomLeft" state="frozen"/>
      <selection pane="bottomLeft" activeCell="C104" sqref="C104:C105"/>
    </sheetView>
  </sheetViews>
  <sheetFormatPr defaultColWidth="9" defaultRowHeight="16.5" x14ac:dyDescent="0.3"/>
  <cols>
    <col min="1" max="1" width="2.5" style="82" customWidth="1"/>
    <col min="2" max="2" width="31.5" style="82" customWidth="1"/>
    <col min="3" max="3" width="10.625" style="82" customWidth="1"/>
    <col min="4" max="4" width="10.25" style="82" customWidth="1"/>
    <col min="5" max="5" width="9.125" style="82" customWidth="1"/>
    <col min="6" max="6" width="12.375" style="82" customWidth="1"/>
    <col min="7" max="7" width="13.875" style="82" customWidth="1"/>
    <col min="8" max="8" width="21" style="82" customWidth="1"/>
    <col min="9" max="16384" width="9" style="82"/>
  </cols>
  <sheetData>
    <row r="1" spans="1:15" x14ac:dyDescent="0.3">
      <c r="O1" s="83"/>
    </row>
    <row r="2" spans="1:15" ht="37.5" customHeight="1" x14ac:dyDescent="0.3">
      <c r="B2" s="408" t="s">
        <v>236</v>
      </c>
      <c r="C2" s="409"/>
      <c r="D2" s="409"/>
      <c r="E2" s="409"/>
      <c r="F2" s="409"/>
      <c r="G2" s="409"/>
      <c r="H2" s="409"/>
      <c r="I2" s="409"/>
      <c r="J2" s="409"/>
      <c r="K2" s="409"/>
      <c r="L2" s="409"/>
      <c r="M2" s="409"/>
      <c r="N2" s="410"/>
      <c r="O2" s="83"/>
    </row>
    <row r="3" spans="1:15" x14ac:dyDescent="0.3">
      <c r="B3" s="86"/>
      <c r="O3" s="83"/>
    </row>
    <row r="4" spans="1:15" ht="17.25" x14ac:dyDescent="0.3">
      <c r="A4" s="84"/>
      <c r="B4" s="91"/>
      <c r="C4" s="279" t="s">
        <v>44</v>
      </c>
      <c r="O4" s="83"/>
    </row>
    <row r="5" spans="1:15" x14ac:dyDescent="0.3">
      <c r="B5" s="88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</row>
    <row r="6" spans="1:15" ht="21" customHeight="1" x14ac:dyDescent="0.3">
      <c r="A6" s="84"/>
      <c r="B6" s="411" t="s">
        <v>263</v>
      </c>
      <c r="C6" s="411"/>
      <c r="D6" s="411"/>
      <c r="E6" s="411"/>
      <c r="F6" s="411"/>
      <c r="G6" s="411"/>
      <c r="H6" s="411"/>
      <c r="I6" s="85"/>
      <c r="O6" s="85"/>
    </row>
    <row r="7" spans="1:15" ht="21" customHeight="1" x14ac:dyDescent="0.3">
      <c r="A7" s="84"/>
      <c r="B7" s="285" t="s">
        <v>172</v>
      </c>
      <c r="C7" s="412" t="s">
        <v>430</v>
      </c>
      <c r="D7" s="412"/>
      <c r="E7" s="412"/>
      <c r="F7" s="412"/>
      <c r="G7" s="412"/>
      <c r="H7" s="412"/>
      <c r="I7" s="85"/>
      <c r="O7" s="85"/>
    </row>
    <row r="8" spans="1:15" ht="21" customHeight="1" x14ac:dyDescent="0.3">
      <c r="A8" s="84"/>
      <c r="B8" s="285" t="s">
        <v>238</v>
      </c>
      <c r="C8" s="412" t="s">
        <v>431</v>
      </c>
      <c r="D8" s="412"/>
      <c r="E8" s="412"/>
      <c r="F8" s="412"/>
      <c r="G8" s="412"/>
      <c r="H8" s="412"/>
      <c r="I8" s="85"/>
      <c r="O8" s="85"/>
    </row>
    <row r="9" spans="1:15" ht="21" customHeight="1" x14ac:dyDescent="0.3">
      <c r="A9" s="84"/>
      <c r="B9" s="285" t="s">
        <v>268</v>
      </c>
      <c r="C9" s="413">
        <v>2024</v>
      </c>
      <c r="D9" s="413"/>
      <c r="E9" s="413"/>
      <c r="F9" s="413"/>
      <c r="G9" s="413"/>
      <c r="H9" s="413"/>
      <c r="I9" s="85"/>
      <c r="O9" s="85"/>
    </row>
    <row r="10" spans="1:15" ht="21" customHeight="1" x14ac:dyDescent="0.3">
      <c r="A10" s="84"/>
      <c r="B10" s="285" t="s">
        <v>264</v>
      </c>
      <c r="C10" s="412" t="s">
        <v>432</v>
      </c>
      <c r="D10" s="412"/>
      <c r="E10" s="412"/>
      <c r="F10" s="412"/>
      <c r="G10" s="412"/>
      <c r="H10" s="412"/>
      <c r="I10" s="85"/>
      <c r="O10" s="85"/>
    </row>
    <row r="11" spans="1:15" ht="21" customHeight="1" x14ac:dyDescent="0.3">
      <c r="A11" s="84"/>
      <c r="B11" s="285" t="s">
        <v>239</v>
      </c>
      <c r="C11" s="421" t="s">
        <v>415</v>
      </c>
      <c r="D11" s="421"/>
      <c r="E11" s="421"/>
      <c r="F11" s="421"/>
      <c r="G11" s="421"/>
      <c r="H11" s="421"/>
      <c r="I11" s="85"/>
      <c r="O11" s="85"/>
    </row>
    <row r="12" spans="1:15" ht="21" customHeight="1" x14ac:dyDescent="0.3">
      <c r="A12" s="84"/>
      <c r="B12" s="285" t="s">
        <v>265</v>
      </c>
      <c r="C12" s="420" t="s">
        <v>439</v>
      </c>
      <c r="D12" s="420"/>
      <c r="E12" s="420"/>
      <c r="F12" s="420"/>
      <c r="G12" s="420"/>
      <c r="H12" s="420"/>
      <c r="I12" s="85"/>
      <c r="O12" s="85"/>
    </row>
    <row r="13" spans="1:15" ht="21" customHeight="1" x14ac:dyDescent="0.3">
      <c r="A13" s="84"/>
      <c r="B13" s="285" t="s">
        <v>266</v>
      </c>
      <c r="C13" s="419" t="s">
        <v>433</v>
      </c>
      <c r="D13" s="419"/>
      <c r="E13" s="419"/>
      <c r="F13" s="419"/>
      <c r="G13" s="419"/>
      <c r="H13" s="419"/>
      <c r="I13" s="85"/>
      <c r="O13" s="85"/>
    </row>
    <row r="14" spans="1:15" ht="21" customHeight="1" x14ac:dyDescent="0.3">
      <c r="A14" s="84"/>
      <c r="B14" s="285" t="s">
        <v>240</v>
      </c>
      <c r="C14" s="412" t="s">
        <v>416</v>
      </c>
      <c r="D14" s="412"/>
      <c r="E14" s="412"/>
      <c r="F14" s="412"/>
      <c r="G14" s="412"/>
      <c r="H14" s="412"/>
      <c r="I14" s="85"/>
      <c r="O14" s="85"/>
    </row>
    <row r="15" spans="1:15" ht="21" customHeight="1" x14ac:dyDescent="0.3">
      <c r="A15" s="84"/>
      <c r="B15" s="285" t="s">
        <v>241</v>
      </c>
      <c r="C15" s="412" t="s">
        <v>434</v>
      </c>
      <c r="D15" s="412"/>
      <c r="E15" s="412"/>
      <c r="F15" s="412"/>
      <c r="G15" s="412"/>
      <c r="H15" s="412"/>
      <c r="I15" s="85"/>
      <c r="O15" s="85"/>
    </row>
    <row r="16" spans="1:15" ht="21" customHeight="1" x14ac:dyDescent="0.3">
      <c r="A16" s="84"/>
      <c r="B16" s="285" t="s">
        <v>242</v>
      </c>
      <c r="C16" s="412" t="s">
        <v>435</v>
      </c>
      <c r="D16" s="412"/>
      <c r="E16" s="412"/>
      <c r="F16" s="412"/>
      <c r="G16" s="412"/>
      <c r="H16" s="412"/>
      <c r="I16" s="85"/>
      <c r="O16" s="85"/>
    </row>
    <row r="17" spans="1:15" ht="21" customHeight="1" x14ac:dyDescent="0.3">
      <c r="A17" s="84"/>
      <c r="B17" s="285" t="s">
        <v>244</v>
      </c>
      <c r="C17" s="419" t="s">
        <v>433</v>
      </c>
      <c r="D17" s="419"/>
      <c r="E17" s="419"/>
      <c r="F17" s="419"/>
      <c r="G17" s="419"/>
      <c r="H17" s="419"/>
      <c r="I17" s="85"/>
      <c r="O17" s="85"/>
    </row>
    <row r="18" spans="1:15" ht="21" customHeight="1" x14ac:dyDescent="0.3">
      <c r="A18" s="84"/>
      <c r="B18" s="285" t="s">
        <v>245</v>
      </c>
      <c r="C18" s="419" t="s">
        <v>436</v>
      </c>
      <c r="D18" s="419"/>
      <c r="E18" s="419"/>
      <c r="F18" s="419"/>
      <c r="G18" s="419"/>
      <c r="H18" s="419"/>
      <c r="I18" s="85"/>
    </row>
    <row r="19" spans="1:15" ht="21" customHeight="1" x14ac:dyDescent="0.3">
      <c r="A19" s="84"/>
      <c r="B19" s="285" t="s">
        <v>246</v>
      </c>
      <c r="C19" s="418" t="s">
        <v>437</v>
      </c>
      <c r="D19" s="418"/>
      <c r="E19" s="418"/>
      <c r="F19" s="418"/>
      <c r="G19" s="418"/>
      <c r="H19" s="418"/>
      <c r="I19" s="85"/>
    </row>
    <row r="20" spans="1:15" ht="21" customHeight="1" x14ac:dyDescent="0.3">
      <c r="A20" s="84"/>
      <c r="B20" s="285" t="s">
        <v>247</v>
      </c>
      <c r="C20" s="412" t="s">
        <v>438</v>
      </c>
      <c r="D20" s="412"/>
      <c r="E20" s="412"/>
      <c r="F20" s="412"/>
      <c r="G20" s="412"/>
      <c r="H20" s="412"/>
      <c r="I20" s="85"/>
      <c r="O20" s="85"/>
    </row>
    <row r="21" spans="1:15" ht="21" customHeight="1" x14ac:dyDescent="0.3">
      <c r="A21" s="84"/>
      <c r="B21" s="285" t="s">
        <v>267</v>
      </c>
      <c r="C21" s="417">
        <v>4752</v>
      </c>
      <c r="D21" s="417"/>
      <c r="E21" s="417"/>
      <c r="F21" s="417"/>
      <c r="G21" s="417"/>
      <c r="H21" s="417"/>
      <c r="I21" s="85"/>
      <c r="O21" s="85"/>
    </row>
    <row r="22" spans="1:15" ht="21" customHeight="1" x14ac:dyDescent="0.3">
      <c r="A22" s="84"/>
      <c r="B22" s="285" t="s">
        <v>248</v>
      </c>
      <c r="C22" s="416">
        <v>40</v>
      </c>
      <c r="D22" s="416"/>
      <c r="E22" s="416"/>
      <c r="F22" s="416"/>
      <c r="G22" s="416"/>
      <c r="H22" s="416"/>
      <c r="I22" s="85"/>
      <c r="O22" s="85"/>
    </row>
    <row r="23" spans="1:15" ht="21" customHeight="1" x14ac:dyDescent="0.3">
      <c r="A23" s="84"/>
      <c r="B23" s="285" t="s">
        <v>249</v>
      </c>
      <c r="C23" s="415">
        <v>13189</v>
      </c>
      <c r="D23" s="415"/>
      <c r="E23" s="415"/>
      <c r="F23" s="415"/>
      <c r="G23" s="415"/>
      <c r="H23" s="415"/>
      <c r="I23" s="85"/>
      <c r="O23" s="85"/>
    </row>
    <row r="24" spans="1:15" ht="21" customHeight="1" x14ac:dyDescent="0.3">
      <c r="A24" s="84"/>
      <c r="B24" s="285" t="s">
        <v>250</v>
      </c>
      <c r="C24" s="415">
        <v>80.744</v>
      </c>
      <c r="D24" s="415"/>
      <c r="E24" s="415"/>
      <c r="F24" s="415"/>
      <c r="G24" s="415"/>
      <c r="H24" s="415"/>
      <c r="I24" s="85"/>
      <c r="O24" s="85"/>
    </row>
    <row r="25" spans="1:15" ht="21" customHeight="1" x14ac:dyDescent="0.3">
      <c r="A25" s="84"/>
      <c r="B25" s="285" t="s">
        <v>251</v>
      </c>
      <c r="C25" s="414">
        <v>100</v>
      </c>
      <c r="D25" s="414"/>
      <c r="E25" s="414"/>
      <c r="F25" s="414"/>
      <c r="G25" s="414"/>
      <c r="H25" s="414"/>
      <c r="I25" s="85"/>
      <c r="O25" s="85"/>
    </row>
    <row r="26" spans="1:15" ht="21" customHeight="1" x14ac:dyDescent="0.3">
      <c r="A26" s="84"/>
      <c r="B26" s="285" t="s">
        <v>252</v>
      </c>
      <c r="C26" s="412" t="s">
        <v>417</v>
      </c>
      <c r="D26" s="412"/>
      <c r="E26" s="412"/>
      <c r="F26" s="412"/>
      <c r="G26" s="412"/>
      <c r="H26" s="412"/>
      <c r="I26" s="85"/>
      <c r="O26" s="85"/>
    </row>
    <row r="27" spans="1:15" ht="21" customHeight="1" x14ac:dyDescent="0.3">
      <c r="B27" s="87"/>
      <c r="C27" s="87"/>
      <c r="D27" s="87"/>
      <c r="E27" s="87"/>
      <c r="F27" s="87"/>
      <c r="G27" s="87"/>
      <c r="H27" s="87"/>
      <c r="O27" s="85"/>
    </row>
    <row r="28" spans="1:15" ht="21" customHeight="1" x14ac:dyDescent="0.3">
      <c r="B28" s="86"/>
      <c r="C28" s="86"/>
      <c r="D28" s="86"/>
      <c r="E28" s="86"/>
      <c r="F28" s="86"/>
      <c r="O28" s="85"/>
    </row>
    <row r="29" spans="1:15" ht="21" customHeight="1" x14ac:dyDescent="0.3">
      <c r="A29" s="84"/>
      <c r="B29" s="411" t="s">
        <v>341</v>
      </c>
      <c r="C29" s="411"/>
      <c r="D29" s="411"/>
      <c r="E29" s="411"/>
      <c r="F29" s="411"/>
      <c r="G29" s="411"/>
      <c r="H29" s="411"/>
      <c r="O29" s="85"/>
    </row>
    <row r="30" spans="1:15" ht="21" customHeight="1" x14ac:dyDescent="0.3">
      <c r="A30" s="84"/>
      <c r="B30" s="422"/>
      <c r="C30" s="422"/>
      <c r="D30" s="422"/>
      <c r="E30" s="422"/>
      <c r="F30" s="422"/>
      <c r="G30" s="422"/>
      <c r="H30" s="422"/>
      <c r="O30" s="85"/>
    </row>
    <row r="31" spans="1:15" ht="21" customHeight="1" x14ac:dyDescent="0.3">
      <c r="A31" s="84"/>
      <c r="B31" s="422"/>
      <c r="C31" s="422"/>
      <c r="D31" s="422"/>
      <c r="E31" s="422"/>
      <c r="F31" s="422"/>
      <c r="G31" s="422"/>
      <c r="H31" s="422"/>
      <c r="O31" s="85"/>
    </row>
    <row r="32" spans="1:15" ht="21" customHeight="1" x14ac:dyDescent="0.3">
      <c r="A32" s="84"/>
      <c r="B32" s="422"/>
      <c r="C32" s="422"/>
      <c r="D32" s="422"/>
      <c r="E32" s="422"/>
      <c r="F32" s="422"/>
      <c r="G32" s="422"/>
      <c r="H32" s="422"/>
      <c r="O32" s="85"/>
    </row>
    <row r="33" spans="1:15" ht="21" customHeight="1" x14ac:dyDescent="0.3">
      <c r="A33" s="84"/>
      <c r="B33" s="422"/>
      <c r="C33" s="422"/>
      <c r="D33" s="422"/>
      <c r="E33" s="422"/>
      <c r="F33" s="422"/>
      <c r="G33" s="422"/>
      <c r="H33" s="422"/>
    </row>
    <row r="34" spans="1:15" ht="21" customHeight="1" x14ac:dyDescent="0.3">
      <c r="A34" s="84"/>
      <c r="B34" s="422"/>
      <c r="C34" s="422"/>
      <c r="D34" s="422"/>
      <c r="E34" s="422"/>
      <c r="F34" s="422"/>
      <c r="G34" s="422"/>
      <c r="H34" s="422"/>
      <c r="O34" s="85"/>
    </row>
    <row r="35" spans="1:15" ht="21" customHeight="1" x14ac:dyDescent="0.3">
      <c r="A35" s="84"/>
      <c r="B35" s="422"/>
      <c r="C35" s="422"/>
      <c r="D35" s="422"/>
      <c r="E35" s="422"/>
      <c r="F35" s="422"/>
      <c r="G35" s="422"/>
      <c r="H35" s="422"/>
      <c r="O35" s="85"/>
    </row>
    <row r="36" spans="1:15" ht="21" customHeight="1" x14ac:dyDescent="0.3">
      <c r="A36" s="84"/>
      <c r="B36" s="422"/>
      <c r="C36" s="422"/>
      <c r="D36" s="422"/>
      <c r="E36" s="422"/>
      <c r="F36" s="422"/>
      <c r="G36" s="422"/>
      <c r="H36" s="422"/>
      <c r="O36" s="85"/>
    </row>
    <row r="37" spans="1:15" ht="21" customHeight="1" x14ac:dyDescent="0.3">
      <c r="A37" s="84"/>
      <c r="B37" s="422"/>
      <c r="C37" s="422"/>
      <c r="D37" s="422"/>
      <c r="E37" s="422"/>
      <c r="F37" s="422"/>
      <c r="G37" s="422"/>
      <c r="H37" s="422"/>
    </row>
    <row r="38" spans="1:15" ht="21" customHeight="1" x14ac:dyDescent="0.3">
      <c r="A38" s="84"/>
      <c r="B38" s="422"/>
      <c r="C38" s="422"/>
      <c r="D38" s="422"/>
      <c r="E38" s="422"/>
      <c r="F38" s="422"/>
      <c r="G38" s="422"/>
      <c r="H38" s="422"/>
      <c r="O38" s="85"/>
    </row>
    <row r="39" spans="1:15" ht="21" customHeight="1" x14ac:dyDescent="0.3">
      <c r="A39" s="84"/>
      <c r="B39" s="422"/>
      <c r="C39" s="422"/>
      <c r="D39" s="422"/>
      <c r="E39" s="422"/>
      <c r="F39" s="422"/>
      <c r="G39" s="422"/>
      <c r="H39" s="422"/>
      <c r="O39" s="85"/>
    </row>
    <row r="40" spans="1:15" ht="21" customHeight="1" x14ac:dyDescent="0.3">
      <c r="A40" s="84"/>
      <c r="B40" s="422"/>
      <c r="C40" s="422"/>
      <c r="D40" s="422"/>
      <c r="E40" s="422"/>
      <c r="F40" s="422"/>
      <c r="G40" s="422"/>
      <c r="H40" s="422"/>
      <c r="O40" s="85"/>
    </row>
    <row r="41" spans="1:15" ht="21" customHeight="1" x14ac:dyDescent="0.3">
      <c r="A41" s="84"/>
      <c r="B41" s="422"/>
      <c r="C41" s="422"/>
      <c r="D41" s="422"/>
      <c r="E41" s="422"/>
      <c r="F41" s="422"/>
      <c r="G41" s="422"/>
      <c r="H41" s="422"/>
    </row>
    <row r="42" spans="1:15" ht="21" customHeight="1" x14ac:dyDescent="0.3">
      <c r="A42" s="84"/>
      <c r="B42" s="422"/>
      <c r="C42" s="422"/>
      <c r="D42" s="422"/>
      <c r="E42" s="422"/>
      <c r="F42" s="422"/>
      <c r="G42" s="422"/>
      <c r="H42" s="422"/>
      <c r="O42" s="85"/>
    </row>
    <row r="43" spans="1:15" ht="21" customHeight="1" x14ac:dyDescent="0.3">
      <c r="A43" s="84"/>
      <c r="B43" s="422"/>
      <c r="C43" s="422"/>
      <c r="D43" s="422"/>
      <c r="E43" s="422"/>
      <c r="F43" s="422"/>
      <c r="G43" s="422"/>
      <c r="H43" s="422"/>
      <c r="O43" s="85"/>
    </row>
    <row r="44" spans="1:15" ht="21" customHeight="1" x14ac:dyDescent="0.3">
      <c r="A44" s="84"/>
      <c r="B44" s="422"/>
      <c r="C44" s="422"/>
      <c r="D44" s="422"/>
      <c r="E44" s="422"/>
      <c r="F44" s="422"/>
      <c r="G44" s="422"/>
      <c r="H44" s="422"/>
      <c r="O44" s="85"/>
    </row>
    <row r="45" spans="1:15" ht="21" customHeight="1" x14ac:dyDescent="0.3">
      <c r="A45" s="84"/>
      <c r="B45" s="422"/>
      <c r="C45" s="422"/>
      <c r="D45" s="422"/>
      <c r="E45" s="422"/>
      <c r="F45" s="422"/>
      <c r="G45" s="422"/>
      <c r="H45" s="422"/>
      <c r="O45" s="85"/>
    </row>
    <row r="46" spans="1:15" ht="21" customHeight="1" x14ac:dyDescent="0.3">
      <c r="A46" s="84"/>
      <c r="B46" s="285" t="s">
        <v>243</v>
      </c>
      <c r="C46" s="423" t="s">
        <v>440</v>
      </c>
      <c r="D46" s="424"/>
      <c r="E46" s="424"/>
      <c r="F46" s="424"/>
      <c r="G46" s="424"/>
      <c r="H46" s="425"/>
      <c r="O46" s="85"/>
    </row>
    <row r="47" spans="1:15" ht="21" customHeight="1" x14ac:dyDescent="0.3">
      <c r="A47" s="84"/>
      <c r="B47" s="89"/>
      <c r="C47" s="89"/>
      <c r="D47" s="89"/>
      <c r="E47" s="90"/>
      <c r="F47" s="90"/>
      <c r="G47" s="90"/>
      <c r="H47" s="90"/>
      <c r="O47" s="85"/>
    </row>
    <row r="48" spans="1:15" ht="21" customHeight="1" x14ac:dyDescent="0.3">
      <c r="A48" s="84"/>
      <c r="B48" s="86"/>
      <c r="C48" s="86"/>
      <c r="D48" s="86"/>
      <c r="E48" s="86"/>
      <c r="F48" s="86"/>
      <c r="G48" s="86"/>
      <c r="H48" s="86"/>
      <c r="O48" s="85"/>
    </row>
    <row r="49" spans="1:15" ht="21" customHeight="1" x14ac:dyDescent="0.3">
      <c r="A49" s="84"/>
      <c r="B49" s="411" t="s">
        <v>342</v>
      </c>
      <c r="C49" s="411"/>
      <c r="D49" s="411"/>
      <c r="E49" s="411"/>
      <c r="F49" s="411"/>
      <c r="G49" s="411"/>
      <c r="H49" s="411"/>
      <c r="O49" s="85"/>
    </row>
    <row r="50" spans="1:15" ht="21" customHeight="1" x14ac:dyDescent="0.3">
      <c r="A50" s="84"/>
      <c r="B50" s="432"/>
      <c r="C50" s="433"/>
      <c r="D50" s="433"/>
      <c r="E50" s="433"/>
      <c r="F50" s="433"/>
      <c r="G50" s="433"/>
      <c r="H50" s="434"/>
      <c r="O50" s="85"/>
    </row>
    <row r="51" spans="1:15" ht="21" customHeight="1" x14ac:dyDescent="0.3">
      <c r="A51" s="84"/>
      <c r="B51" s="435"/>
      <c r="C51" s="436"/>
      <c r="D51" s="436"/>
      <c r="E51" s="436"/>
      <c r="F51" s="436"/>
      <c r="G51" s="436"/>
      <c r="H51" s="437"/>
      <c r="O51" s="85"/>
    </row>
    <row r="52" spans="1:15" ht="21" customHeight="1" x14ac:dyDescent="0.3">
      <c r="A52" s="84"/>
      <c r="B52" s="435"/>
      <c r="C52" s="436"/>
      <c r="D52" s="436"/>
      <c r="E52" s="436"/>
      <c r="F52" s="436"/>
      <c r="G52" s="436"/>
      <c r="H52" s="437"/>
      <c r="O52" s="85"/>
    </row>
    <row r="53" spans="1:15" ht="21" customHeight="1" x14ac:dyDescent="0.3">
      <c r="B53" s="435"/>
      <c r="C53" s="436"/>
      <c r="D53" s="436"/>
      <c r="E53" s="436"/>
      <c r="F53" s="436"/>
      <c r="G53" s="436"/>
      <c r="H53" s="437"/>
      <c r="O53" s="85"/>
    </row>
    <row r="54" spans="1:15" ht="21" customHeight="1" x14ac:dyDescent="0.3">
      <c r="B54" s="435"/>
      <c r="C54" s="436"/>
      <c r="D54" s="436"/>
      <c r="E54" s="436"/>
      <c r="F54" s="436"/>
      <c r="G54" s="436"/>
      <c r="H54" s="437"/>
      <c r="O54" s="85"/>
    </row>
    <row r="55" spans="1:15" ht="21" customHeight="1" x14ac:dyDescent="0.3">
      <c r="B55" s="435"/>
      <c r="C55" s="436"/>
      <c r="D55" s="436"/>
      <c r="E55" s="436"/>
      <c r="F55" s="436"/>
      <c r="G55" s="436"/>
      <c r="H55" s="437"/>
      <c r="O55" s="85"/>
    </row>
    <row r="56" spans="1:15" ht="21" customHeight="1" x14ac:dyDescent="0.3">
      <c r="A56" s="84"/>
      <c r="B56" s="435"/>
      <c r="C56" s="436"/>
      <c r="D56" s="436"/>
      <c r="E56" s="436"/>
      <c r="F56" s="436"/>
      <c r="G56" s="436"/>
      <c r="H56" s="437"/>
      <c r="O56" s="85"/>
    </row>
    <row r="57" spans="1:15" ht="21" customHeight="1" x14ac:dyDescent="0.3">
      <c r="B57" s="435"/>
      <c r="C57" s="436"/>
      <c r="D57" s="436"/>
      <c r="E57" s="436"/>
      <c r="F57" s="436"/>
      <c r="G57" s="436"/>
      <c r="H57" s="437"/>
      <c r="O57" s="85"/>
    </row>
    <row r="58" spans="1:15" ht="21" customHeight="1" x14ac:dyDescent="0.3">
      <c r="B58" s="435"/>
      <c r="C58" s="436"/>
      <c r="D58" s="436"/>
      <c r="E58" s="436"/>
      <c r="F58" s="436"/>
      <c r="G58" s="436"/>
      <c r="H58" s="437"/>
      <c r="O58" s="85"/>
    </row>
    <row r="59" spans="1:15" ht="21" customHeight="1" x14ac:dyDescent="0.3">
      <c r="B59" s="435"/>
      <c r="C59" s="436"/>
      <c r="D59" s="436"/>
      <c r="E59" s="436"/>
      <c r="F59" s="436"/>
      <c r="G59" s="436"/>
      <c r="H59" s="437"/>
      <c r="O59" s="85"/>
    </row>
    <row r="60" spans="1:15" ht="21" customHeight="1" x14ac:dyDescent="0.3">
      <c r="B60" s="435"/>
      <c r="C60" s="436"/>
      <c r="D60" s="436"/>
      <c r="E60" s="436"/>
      <c r="F60" s="436"/>
      <c r="G60" s="436"/>
      <c r="H60" s="437"/>
      <c r="O60" s="85"/>
    </row>
    <row r="61" spans="1:15" ht="21" customHeight="1" x14ac:dyDescent="0.3">
      <c r="B61" s="435"/>
      <c r="C61" s="436"/>
      <c r="D61" s="436"/>
      <c r="E61" s="436"/>
      <c r="F61" s="436"/>
      <c r="G61" s="436"/>
      <c r="H61" s="437"/>
      <c r="O61" s="85"/>
    </row>
    <row r="62" spans="1:15" ht="21" customHeight="1" x14ac:dyDescent="0.3">
      <c r="B62" s="435"/>
      <c r="C62" s="436"/>
      <c r="D62" s="436"/>
      <c r="E62" s="436"/>
      <c r="F62" s="436"/>
      <c r="G62" s="436"/>
      <c r="H62" s="437"/>
      <c r="O62" s="85"/>
    </row>
    <row r="63" spans="1:15" ht="21" customHeight="1" x14ac:dyDescent="0.3">
      <c r="B63" s="435"/>
      <c r="C63" s="436"/>
      <c r="D63" s="436"/>
      <c r="E63" s="436"/>
      <c r="F63" s="436"/>
      <c r="G63" s="436"/>
      <c r="H63" s="437"/>
      <c r="O63" s="85"/>
    </row>
    <row r="64" spans="1:15" x14ac:dyDescent="0.3">
      <c r="B64" s="435"/>
      <c r="C64" s="436"/>
      <c r="D64" s="436"/>
      <c r="E64" s="436"/>
      <c r="F64" s="436"/>
      <c r="G64" s="436"/>
      <c r="H64" s="437"/>
      <c r="O64" s="85"/>
    </row>
    <row r="65" spans="1:14" x14ac:dyDescent="0.3">
      <c r="B65" s="438"/>
      <c r="C65" s="439"/>
      <c r="D65" s="439"/>
      <c r="E65" s="439"/>
      <c r="F65" s="439"/>
      <c r="G65" s="439"/>
      <c r="H65" s="440"/>
      <c r="I65" s="87"/>
      <c r="J65" s="87"/>
      <c r="K65" s="87"/>
      <c r="L65" s="87"/>
      <c r="M65" s="87"/>
      <c r="N65" s="87"/>
    </row>
    <row r="66" spans="1:14" x14ac:dyDescent="0.3">
      <c r="B66" s="285" t="s">
        <v>253</v>
      </c>
      <c r="C66" s="441" t="s">
        <v>418</v>
      </c>
      <c r="D66" s="442"/>
      <c r="E66" s="442"/>
      <c r="F66" s="442"/>
      <c r="G66" s="442"/>
      <c r="H66" s="443"/>
    </row>
    <row r="67" spans="1:14" x14ac:dyDescent="0.3">
      <c r="B67" s="285" t="s">
        <v>254</v>
      </c>
      <c r="C67" s="441" t="s">
        <v>418</v>
      </c>
      <c r="D67" s="442"/>
      <c r="E67" s="442"/>
      <c r="F67" s="442"/>
      <c r="G67" s="442"/>
      <c r="H67" s="443"/>
    </row>
    <row r="68" spans="1:14" x14ac:dyDescent="0.3">
      <c r="B68" s="86"/>
      <c r="C68" s="86"/>
      <c r="D68" s="86"/>
      <c r="E68" s="86"/>
      <c r="F68" s="86"/>
      <c r="G68" s="86"/>
      <c r="H68" s="86"/>
    </row>
    <row r="69" spans="1:14" ht="17.25" x14ac:dyDescent="0.3">
      <c r="B69" s="405" t="s">
        <v>343</v>
      </c>
      <c r="C69" s="406"/>
      <c r="D69" s="406"/>
      <c r="E69" s="406"/>
      <c r="F69" s="406"/>
      <c r="G69" s="406"/>
      <c r="H69" s="407"/>
    </row>
    <row r="70" spans="1:14" x14ac:dyDescent="0.3">
      <c r="A70" s="84"/>
      <c r="B70" s="426"/>
      <c r="C70" s="426"/>
      <c r="D70" s="426"/>
      <c r="E70" s="426"/>
      <c r="F70" s="426"/>
      <c r="G70" s="426"/>
      <c r="H70" s="426"/>
      <c r="I70" s="85"/>
    </row>
    <row r="71" spans="1:14" x14ac:dyDescent="0.3">
      <c r="A71" s="84"/>
      <c r="B71" s="426"/>
      <c r="C71" s="426"/>
      <c r="D71" s="426"/>
      <c r="E71" s="426"/>
      <c r="F71" s="426"/>
      <c r="G71" s="426"/>
      <c r="H71" s="426"/>
      <c r="I71" s="85"/>
    </row>
    <row r="72" spans="1:14" x14ac:dyDescent="0.3">
      <c r="A72" s="84"/>
      <c r="B72" s="426"/>
      <c r="C72" s="426"/>
      <c r="D72" s="426"/>
      <c r="E72" s="426"/>
      <c r="F72" s="426"/>
      <c r="G72" s="426"/>
      <c r="H72" s="426"/>
      <c r="I72" s="85"/>
    </row>
    <row r="73" spans="1:14" x14ac:dyDescent="0.3">
      <c r="A73" s="84"/>
      <c r="B73" s="426"/>
      <c r="C73" s="426"/>
      <c r="D73" s="426"/>
      <c r="E73" s="426"/>
      <c r="F73" s="426"/>
      <c r="G73" s="426"/>
      <c r="H73" s="426"/>
      <c r="I73" s="85"/>
    </row>
    <row r="74" spans="1:14" x14ac:dyDescent="0.3">
      <c r="A74" s="84"/>
      <c r="B74" s="426"/>
      <c r="C74" s="426"/>
      <c r="D74" s="426"/>
      <c r="E74" s="426"/>
      <c r="F74" s="426"/>
      <c r="G74" s="426"/>
      <c r="H74" s="426"/>
      <c r="I74" s="85"/>
    </row>
    <row r="75" spans="1:14" x14ac:dyDescent="0.3">
      <c r="A75" s="84"/>
      <c r="B75" s="426"/>
      <c r="C75" s="426"/>
      <c r="D75" s="426"/>
      <c r="E75" s="426"/>
      <c r="F75" s="426"/>
      <c r="G75" s="426"/>
      <c r="H75" s="426"/>
      <c r="I75" s="85"/>
    </row>
    <row r="76" spans="1:14" x14ac:dyDescent="0.3">
      <c r="A76" s="84"/>
      <c r="B76" s="426"/>
      <c r="C76" s="426"/>
      <c r="D76" s="426"/>
      <c r="E76" s="426"/>
      <c r="F76" s="426"/>
      <c r="G76" s="426"/>
      <c r="H76" s="426"/>
      <c r="I76" s="85"/>
    </row>
    <row r="77" spans="1:14" x14ac:dyDescent="0.3">
      <c r="A77" s="84"/>
      <c r="B77" s="426"/>
      <c r="C77" s="426"/>
      <c r="D77" s="426"/>
      <c r="E77" s="426"/>
      <c r="F77" s="426"/>
      <c r="G77" s="426"/>
      <c r="H77" s="426"/>
      <c r="I77" s="85"/>
    </row>
    <row r="78" spans="1:14" x14ac:dyDescent="0.3">
      <c r="A78" s="84"/>
      <c r="B78" s="426"/>
      <c r="C78" s="426"/>
      <c r="D78" s="426"/>
      <c r="E78" s="426"/>
      <c r="F78" s="426"/>
      <c r="G78" s="426"/>
      <c r="H78" s="426"/>
      <c r="I78" s="85"/>
    </row>
    <row r="79" spans="1:14" x14ac:dyDescent="0.3">
      <c r="A79" s="84"/>
      <c r="B79" s="426"/>
      <c r="C79" s="426"/>
      <c r="D79" s="426"/>
      <c r="E79" s="426"/>
      <c r="F79" s="426"/>
      <c r="G79" s="426"/>
      <c r="H79" s="426"/>
      <c r="I79" s="85"/>
    </row>
    <row r="80" spans="1:14" x14ac:dyDescent="0.3">
      <c r="A80" s="84"/>
      <c r="B80" s="426"/>
      <c r="C80" s="426"/>
      <c r="D80" s="426"/>
      <c r="E80" s="426"/>
      <c r="F80" s="426"/>
      <c r="G80" s="426"/>
      <c r="H80" s="426"/>
      <c r="I80" s="85"/>
    </row>
    <row r="81" spans="1:9" x14ac:dyDescent="0.3">
      <c r="A81" s="84"/>
      <c r="B81" s="426"/>
      <c r="C81" s="426"/>
      <c r="D81" s="426"/>
      <c r="E81" s="426"/>
      <c r="F81" s="426"/>
      <c r="G81" s="426"/>
      <c r="H81" s="426"/>
      <c r="I81" s="85"/>
    </row>
    <row r="82" spans="1:9" x14ac:dyDescent="0.3">
      <c r="A82" s="84"/>
      <c r="B82" s="426"/>
      <c r="C82" s="426"/>
      <c r="D82" s="426"/>
      <c r="E82" s="426"/>
      <c r="F82" s="426"/>
      <c r="G82" s="426"/>
      <c r="H82" s="426"/>
      <c r="I82" s="85"/>
    </row>
    <row r="83" spans="1:9" x14ac:dyDescent="0.3">
      <c r="A83" s="84"/>
      <c r="B83" s="426"/>
      <c r="C83" s="426"/>
      <c r="D83" s="426"/>
      <c r="E83" s="426"/>
      <c r="F83" s="426"/>
      <c r="G83" s="426"/>
      <c r="H83" s="426"/>
      <c r="I83" s="85"/>
    </row>
    <row r="84" spans="1:9" x14ac:dyDescent="0.3">
      <c r="A84" s="84"/>
      <c r="B84" s="426"/>
      <c r="C84" s="426"/>
      <c r="D84" s="426"/>
      <c r="E84" s="426"/>
      <c r="F84" s="426"/>
      <c r="G84" s="426"/>
      <c r="H84" s="426"/>
      <c r="I84" s="85"/>
    </row>
    <row r="85" spans="1:9" x14ac:dyDescent="0.3">
      <c r="A85" s="84"/>
      <c r="B85" s="426"/>
      <c r="C85" s="426"/>
      <c r="D85" s="426"/>
      <c r="E85" s="426"/>
      <c r="F85" s="426"/>
      <c r="G85" s="426"/>
      <c r="H85" s="426"/>
      <c r="I85" s="85"/>
    </row>
    <row r="86" spans="1:9" x14ac:dyDescent="0.3">
      <c r="A86" s="84"/>
      <c r="B86" s="426"/>
      <c r="C86" s="426"/>
      <c r="D86" s="426"/>
      <c r="E86" s="426"/>
      <c r="F86" s="426"/>
      <c r="G86" s="426"/>
      <c r="H86" s="426"/>
      <c r="I86" s="85"/>
    </row>
    <row r="87" spans="1:9" ht="25.5" customHeight="1" x14ac:dyDescent="0.3">
      <c r="A87" s="84"/>
      <c r="B87" s="427"/>
      <c r="C87" s="428"/>
      <c r="D87" s="428"/>
      <c r="E87" s="428"/>
      <c r="F87" s="428"/>
      <c r="G87" s="428"/>
      <c r="H87" s="429"/>
      <c r="I87" s="85"/>
    </row>
    <row r="88" spans="1:9" ht="27" customHeight="1" x14ac:dyDescent="0.3">
      <c r="A88" s="84"/>
      <c r="B88" s="430" t="s">
        <v>255</v>
      </c>
      <c r="C88" s="431" t="s">
        <v>441</v>
      </c>
      <c r="D88" s="431"/>
      <c r="E88" s="431"/>
      <c r="F88" s="431"/>
      <c r="G88" s="431"/>
      <c r="H88" s="431"/>
      <c r="I88" s="85"/>
    </row>
    <row r="89" spans="1:9" x14ac:dyDescent="0.3">
      <c r="A89" s="84"/>
      <c r="B89" s="430"/>
      <c r="C89" s="431"/>
      <c r="D89" s="431"/>
      <c r="E89" s="431"/>
      <c r="F89" s="431"/>
      <c r="G89" s="431"/>
      <c r="H89" s="431"/>
      <c r="I89" s="85"/>
    </row>
    <row r="90" spans="1:9" x14ac:dyDescent="0.3">
      <c r="A90" s="84"/>
      <c r="B90" s="430"/>
      <c r="C90" s="431"/>
      <c r="D90" s="431"/>
      <c r="E90" s="431"/>
      <c r="F90" s="431"/>
      <c r="G90" s="431"/>
      <c r="H90" s="431"/>
      <c r="I90" s="85"/>
    </row>
    <row r="91" spans="1:9" x14ac:dyDescent="0.3">
      <c r="A91" s="84"/>
      <c r="B91" s="430"/>
      <c r="C91" s="431"/>
      <c r="D91" s="431"/>
      <c r="E91" s="431"/>
      <c r="F91" s="431"/>
      <c r="G91" s="431"/>
      <c r="H91" s="431"/>
      <c r="I91" s="85"/>
    </row>
    <row r="92" spans="1:9" x14ac:dyDescent="0.3">
      <c r="A92" s="84"/>
      <c r="B92" s="430"/>
      <c r="C92" s="431"/>
      <c r="D92" s="431"/>
      <c r="E92" s="431"/>
      <c r="F92" s="431"/>
      <c r="G92" s="431"/>
      <c r="H92" s="431"/>
      <c r="I92" s="85"/>
    </row>
    <row r="93" spans="1:9" x14ac:dyDescent="0.3">
      <c r="A93" s="84"/>
      <c r="B93" s="430"/>
      <c r="C93" s="431"/>
      <c r="D93" s="431"/>
      <c r="E93" s="431"/>
      <c r="F93" s="431"/>
      <c r="G93" s="431"/>
      <c r="H93" s="431"/>
      <c r="I93" s="85"/>
    </row>
    <row r="94" spans="1:9" x14ac:dyDescent="0.3">
      <c r="B94" s="87"/>
      <c r="C94" s="87"/>
      <c r="D94" s="87"/>
      <c r="E94" s="87"/>
      <c r="F94" s="87"/>
      <c r="G94" s="87"/>
      <c r="H94" s="87"/>
    </row>
    <row r="95" spans="1:9" ht="17.25" x14ac:dyDescent="0.3">
      <c r="B95" s="405" t="s">
        <v>384</v>
      </c>
      <c r="C95" s="406"/>
      <c r="D95" s="406"/>
      <c r="E95" s="406"/>
      <c r="F95" s="406"/>
      <c r="G95" s="406"/>
      <c r="H95" s="407"/>
    </row>
    <row r="96" spans="1:9" x14ac:dyDescent="0.3">
      <c r="A96" s="84"/>
      <c r="B96" s="337" t="s">
        <v>378</v>
      </c>
      <c r="C96" s="294" t="s">
        <v>382</v>
      </c>
      <c r="D96" s="294" t="s">
        <v>17</v>
      </c>
      <c r="E96" s="337" t="s">
        <v>381</v>
      </c>
      <c r="F96" s="337" t="s">
        <v>379</v>
      </c>
      <c r="G96" s="337" t="s">
        <v>383</v>
      </c>
      <c r="H96" s="337" t="s">
        <v>380</v>
      </c>
      <c r="I96" s="85"/>
    </row>
    <row r="97" spans="1:9" x14ac:dyDescent="0.3">
      <c r="A97" s="84"/>
      <c r="B97" s="391" t="s">
        <v>442</v>
      </c>
      <c r="C97" s="390" t="s">
        <v>447</v>
      </c>
      <c r="D97" s="392" t="s">
        <v>426</v>
      </c>
      <c r="E97" s="392">
        <v>1</v>
      </c>
      <c r="F97" s="393" t="s">
        <v>428</v>
      </c>
      <c r="G97" s="284">
        <v>2005</v>
      </c>
      <c r="H97" s="284"/>
      <c r="I97" s="85"/>
    </row>
    <row r="98" spans="1:9" x14ac:dyDescent="0.3">
      <c r="A98" s="84"/>
      <c r="B98" s="391" t="s">
        <v>442</v>
      </c>
      <c r="C98" s="390" t="s">
        <v>443</v>
      </c>
      <c r="D98" s="392" t="s">
        <v>427</v>
      </c>
      <c r="E98" s="392">
        <v>1</v>
      </c>
      <c r="F98" s="393" t="s">
        <v>428</v>
      </c>
      <c r="G98" s="284">
        <v>2005</v>
      </c>
      <c r="H98" s="284"/>
      <c r="I98" s="85"/>
    </row>
    <row r="99" spans="1:9" x14ac:dyDescent="0.3">
      <c r="A99" s="84"/>
      <c r="B99" s="391" t="s">
        <v>442</v>
      </c>
      <c r="C99" s="390" t="s">
        <v>444</v>
      </c>
      <c r="D99" s="392" t="s">
        <v>427</v>
      </c>
      <c r="E99" s="392">
        <v>1</v>
      </c>
      <c r="F99" s="393" t="s">
        <v>428</v>
      </c>
      <c r="G99" s="284">
        <v>2004</v>
      </c>
      <c r="H99" s="284"/>
      <c r="I99" s="85"/>
    </row>
    <row r="100" spans="1:9" x14ac:dyDescent="0.3">
      <c r="A100" s="84"/>
      <c r="B100" s="394" t="s">
        <v>445</v>
      </c>
      <c r="C100" s="392" t="s">
        <v>448</v>
      </c>
      <c r="D100" s="392" t="s">
        <v>427</v>
      </c>
      <c r="E100" s="392">
        <v>1</v>
      </c>
      <c r="F100" s="393" t="s">
        <v>428</v>
      </c>
      <c r="G100" s="284">
        <v>2017</v>
      </c>
      <c r="H100" s="284"/>
      <c r="I100" s="85"/>
    </row>
    <row r="101" spans="1:9" x14ac:dyDescent="0.3">
      <c r="A101" s="84"/>
      <c r="B101" s="394" t="s">
        <v>445</v>
      </c>
      <c r="C101" s="392" t="s">
        <v>446</v>
      </c>
      <c r="D101" s="392" t="s">
        <v>427</v>
      </c>
      <c r="E101" s="392">
        <v>1</v>
      </c>
      <c r="F101" s="393" t="s">
        <v>428</v>
      </c>
      <c r="G101" s="284">
        <v>2018</v>
      </c>
      <c r="H101" s="284"/>
      <c r="I101" s="85"/>
    </row>
    <row r="102" spans="1:9" x14ac:dyDescent="0.3">
      <c r="A102" s="84"/>
      <c r="B102" s="394" t="s">
        <v>445</v>
      </c>
      <c r="C102" s="399" t="s">
        <v>449</v>
      </c>
      <c r="D102" s="392" t="s">
        <v>427</v>
      </c>
      <c r="E102" s="392">
        <v>1</v>
      </c>
      <c r="F102" s="393" t="s">
        <v>428</v>
      </c>
      <c r="G102" s="284">
        <v>2005</v>
      </c>
      <c r="H102" s="284"/>
      <c r="I102" s="85"/>
    </row>
    <row r="103" spans="1:9" x14ac:dyDescent="0.3">
      <c r="A103" s="84"/>
      <c r="B103" s="284" t="s">
        <v>450</v>
      </c>
      <c r="C103" s="336" t="s">
        <v>451</v>
      </c>
      <c r="D103" s="392" t="s">
        <v>427</v>
      </c>
      <c r="E103" s="392">
        <v>2</v>
      </c>
      <c r="F103" s="393" t="s">
        <v>428</v>
      </c>
      <c r="G103" s="284">
        <v>2010</v>
      </c>
      <c r="H103" s="284"/>
      <c r="I103" s="85"/>
    </row>
    <row r="104" spans="1:9" x14ac:dyDescent="0.3">
      <c r="A104" s="84"/>
      <c r="B104" s="284" t="s">
        <v>452</v>
      </c>
      <c r="C104" s="399">
        <v>450</v>
      </c>
      <c r="D104" s="392" t="s">
        <v>427</v>
      </c>
      <c r="E104" s="392">
        <v>1</v>
      </c>
      <c r="F104" s="393" t="s">
        <v>428</v>
      </c>
      <c r="G104" s="284">
        <v>1995</v>
      </c>
      <c r="H104" s="284"/>
      <c r="I104" s="85"/>
    </row>
    <row r="105" spans="1:9" x14ac:dyDescent="0.3">
      <c r="A105" s="84"/>
      <c r="B105" s="398" t="s">
        <v>452</v>
      </c>
      <c r="C105" s="399">
        <v>1000</v>
      </c>
      <c r="D105" s="392" t="s">
        <v>427</v>
      </c>
      <c r="E105" s="336">
        <v>1</v>
      </c>
      <c r="F105" s="393" t="s">
        <v>428</v>
      </c>
      <c r="G105" s="284">
        <v>2009</v>
      </c>
      <c r="H105" s="284"/>
      <c r="I105" s="85"/>
    </row>
    <row r="106" spans="1:9" x14ac:dyDescent="0.3">
      <c r="A106" s="84"/>
      <c r="B106" s="284" t="s">
        <v>453</v>
      </c>
      <c r="C106" s="336" t="s">
        <v>455</v>
      </c>
      <c r="D106" s="392" t="s">
        <v>427</v>
      </c>
      <c r="E106" s="336">
        <v>1</v>
      </c>
      <c r="F106" s="393" t="s">
        <v>428</v>
      </c>
      <c r="G106" s="284"/>
      <c r="H106" s="284"/>
      <c r="I106" s="85"/>
    </row>
    <row r="107" spans="1:9" x14ac:dyDescent="0.3">
      <c r="A107" s="84"/>
      <c r="B107" s="284" t="s">
        <v>454</v>
      </c>
      <c r="C107" s="336" t="s">
        <v>456</v>
      </c>
      <c r="D107" s="392" t="s">
        <v>427</v>
      </c>
      <c r="E107" s="336">
        <v>2</v>
      </c>
      <c r="F107" s="393" t="s">
        <v>428</v>
      </c>
      <c r="G107" s="284"/>
      <c r="H107" s="284"/>
      <c r="I107" s="85"/>
    </row>
    <row r="108" spans="1:9" x14ac:dyDescent="0.3">
      <c r="A108" s="84"/>
      <c r="B108" s="326"/>
      <c r="C108" s="389"/>
      <c r="D108" s="336"/>
      <c r="E108" s="336"/>
      <c r="F108" s="338"/>
      <c r="G108" s="284"/>
      <c r="H108" s="284"/>
      <c r="I108" s="85"/>
    </row>
    <row r="109" spans="1:9" x14ac:dyDescent="0.3">
      <c r="A109" s="84"/>
      <c r="B109" s="390"/>
      <c r="C109" s="336"/>
      <c r="D109" s="336"/>
      <c r="E109" s="336"/>
      <c r="F109" s="338"/>
      <c r="G109" s="284"/>
      <c r="H109" s="284"/>
      <c r="I109" s="85"/>
    </row>
    <row r="110" spans="1:9" x14ac:dyDescent="0.3">
      <c r="A110" s="84"/>
      <c r="B110" s="390"/>
      <c r="C110" s="336"/>
      <c r="D110" s="336"/>
      <c r="E110" s="336"/>
      <c r="F110" s="338"/>
      <c r="G110" s="284"/>
      <c r="H110" s="284"/>
      <c r="I110" s="85"/>
    </row>
    <row r="111" spans="1:9" x14ac:dyDescent="0.3">
      <c r="A111" s="84"/>
      <c r="B111" s="284"/>
      <c r="C111" s="389"/>
      <c r="D111" s="336"/>
      <c r="E111" s="336"/>
      <c r="F111" s="338"/>
      <c r="G111" s="284"/>
      <c r="H111" s="284"/>
      <c r="I111" s="85"/>
    </row>
    <row r="112" spans="1:9" x14ac:dyDescent="0.3">
      <c r="A112" s="84"/>
      <c r="B112" s="284"/>
      <c r="C112" s="336"/>
      <c r="D112" s="336"/>
      <c r="E112" s="336"/>
      <c r="F112" s="338"/>
      <c r="G112" s="284"/>
      <c r="H112" s="284"/>
      <c r="I112" s="85"/>
    </row>
    <row r="113" spans="1:9" x14ac:dyDescent="0.3">
      <c r="A113" s="84"/>
      <c r="B113" s="284"/>
      <c r="C113" s="336"/>
      <c r="D113" s="336"/>
      <c r="E113" s="336"/>
      <c r="F113" s="338"/>
      <c r="G113" s="284"/>
      <c r="H113" s="284"/>
      <c r="I113" s="85"/>
    </row>
  </sheetData>
  <sheetProtection algorithmName="SHA-512" hashValue="CdUL5ul46mYpOYxqUk9cDdv8ll8hg/Y70yvOVFvtYtPLvjzecFr+O0etDbqLSTYAC5iOLXlRkw8K2n2RuXJcGQ==" saltValue="8Q0Yt64TmOwEot0RbICwqg==" spinCount="100000" sheet="1" scenarios="1" formatCells="0" selectLockedCells="1"/>
  <mergeCells count="35">
    <mergeCell ref="B70:H86"/>
    <mergeCell ref="B87:H87"/>
    <mergeCell ref="B88:B93"/>
    <mergeCell ref="C88:H93"/>
    <mergeCell ref="B49:H49"/>
    <mergeCell ref="B50:H65"/>
    <mergeCell ref="C66:H66"/>
    <mergeCell ref="C67:H67"/>
    <mergeCell ref="B69:H69"/>
    <mergeCell ref="C13:H13"/>
    <mergeCell ref="C12:H12"/>
    <mergeCell ref="C11:H11"/>
    <mergeCell ref="B30:H45"/>
    <mergeCell ref="C46:H46"/>
    <mergeCell ref="C18:H18"/>
    <mergeCell ref="C17:H17"/>
    <mergeCell ref="C16:H16"/>
    <mergeCell ref="C15:H15"/>
    <mergeCell ref="C14:H14"/>
    <mergeCell ref="B95:H95"/>
    <mergeCell ref="B2:N2"/>
    <mergeCell ref="B29:H29"/>
    <mergeCell ref="B6:H6"/>
    <mergeCell ref="C7:H7"/>
    <mergeCell ref="C8:H8"/>
    <mergeCell ref="C9:H9"/>
    <mergeCell ref="C10:H10"/>
    <mergeCell ref="C26:H26"/>
    <mergeCell ref="C25:H25"/>
    <mergeCell ref="C24:H24"/>
    <mergeCell ref="C23:H23"/>
    <mergeCell ref="C22:H22"/>
    <mergeCell ref="C21:H21"/>
    <mergeCell ref="C20:H20"/>
    <mergeCell ref="C19:H19"/>
  </mergeCells>
  <phoneticPr fontId="3" type="noConversion"/>
  <dataValidations count="1">
    <dataValidation type="list" allowBlank="1" showInputMessage="1" showErrorMessage="1" sqref="C26:H26">
      <formula1>"Y, N"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B2:U57"/>
  <sheetViews>
    <sheetView showGridLines="0" zoomScale="85" zoomScaleNormal="85" workbookViewId="0">
      <pane ySplit="5" topLeftCell="A6" activePane="bottomLeft" state="frozen"/>
      <selection pane="bottomLeft" activeCell="N35" sqref="N35"/>
    </sheetView>
  </sheetViews>
  <sheetFormatPr defaultColWidth="9" defaultRowHeight="16.5" x14ac:dyDescent="0.3"/>
  <cols>
    <col min="1" max="1" width="2.5" style="191" customWidth="1"/>
    <col min="2" max="2" width="15" style="191" customWidth="1"/>
    <col min="3" max="3" width="15.75" style="191" customWidth="1"/>
    <col min="4" max="4" width="22.125" style="191" bestFit="1" customWidth="1"/>
    <col min="5" max="5" width="13.75" style="191" bestFit="1" customWidth="1"/>
    <col min="6" max="6" width="9" style="191"/>
    <col min="7" max="7" width="15.875" style="191" customWidth="1"/>
    <col min="8" max="8" width="16.625" style="191" bestFit="1" customWidth="1"/>
    <col min="9" max="20" width="15.5" style="191" bestFit="1" customWidth="1"/>
    <col min="21" max="21" width="23.375" style="190" customWidth="1"/>
    <col min="22" max="16384" width="9" style="191"/>
  </cols>
  <sheetData>
    <row r="2" spans="2:21" ht="37.5" customHeight="1" x14ac:dyDescent="0.3">
      <c r="B2" s="339" t="s">
        <v>89</v>
      </c>
      <c r="C2" s="339"/>
      <c r="D2" s="339"/>
      <c r="E2" s="444" t="s">
        <v>393</v>
      </c>
      <c r="F2" s="444"/>
      <c r="G2" s="340" t="str">
        <f>'2. 사업장 일반현황'!C9&amp;""</f>
        <v>2024</v>
      </c>
      <c r="H2" s="339" t="s">
        <v>394</v>
      </c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39"/>
      <c r="U2" s="339"/>
    </row>
    <row r="4" spans="2:21" ht="17.25" x14ac:dyDescent="0.3">
      <c r="B4" s="192"/>
      <c r="C4" s="278" t="s">
        <v>44</v>
      </c>
    </row>
    <row r="5" spans="2:21" ht="21" thickBot="1" x14ac:dyDescent="0.35">
      <c r="F5" s="471" t="s">
        <v>373</v>
      </c>
      <c r="G5" s="471"/>
      <c r="H5" s="472"/>
      <c r="I5" s="472"/>
      <c r="J5" s="472"/>
      <c r="K5" s="472"/>
      <c r="L5" s="472"/>
      <c r="M5" s="472"/>
      <c r="N5" s="472"/>
      <c r="O5" s="193"/>
    </row>
    <row r="6" spans="2:21" ht="22.5" customHeight="1" x14ac:dyDescent="0.3">
      <c r="B6" s="454" t="s">
        <v>78</v>
      </c>
      <c r="C6" s="455"/>
      <c r="D6" s="488" t="s">
        <v>71</v>
      </c>
      <c r="E6" s="488" t="s">
        <v>42</v>
      </c>
      <c r="F6" s="488" t="s">
        <v>17</v>
      </c>
      <c r="G6" s="473" t="s">
        <v>362</v>
      </c>
      <c r="H6" s="490" t="s">
        <v>0</v>
      </c>
      <c r="I6" s="490"/>
      <c r="J6" s="490"/>
      <c r="K6" s="490"/>
      <c r="L6" s="490"/>
      <c r="M6" s="490"/>
      <c r="N6" s="490"/>
      <c r="O6" s="490"/>
      <c r="P6" s="490"/>
      <c r="Q6" s="490"/>
      <c r="R6" s="490"/>
      <c r="S6" s="490"/>
      <c r="T6" s="490"/>
      <c r="U6" s="486" t="s">
        <v>363</v>
      </c>
    </row>
    <row r="7" spans="2:21" ht="22.5" customHeight="1" thickBot="1" x14ac:dyDescent="0.35">
      <c r="B7" s="456"/>
      <c r="C7" s="457"/>
      <c r="D7" s="489"/>
      <c r="E7" s="489"/>
      <c r="F7" s="489"/>
      <c r="G7" s="474"/>
      <c r="H7" s="286" t="s">
        <v>2</v>
      </c>
      <c r="I7" s="287" t="s">
        <v>1</v>
      </c>
      <c r="J7" s="287" t="s">
        <v>3</v>
      </c>
      <c r="K7" s="287" t="s">
        <v>4</v>
      </c>
      <c r="L7" s="287" t="s">
        <v>5</v>
      </c>
      <c r="M7" s="287" t="s">
        <v>6</v>
      </c>
      <c r="N7" s="287" t="s">
        <v>7</v>
      </c>
      <c r="O7" s="287" t="s">
        <v>8</v>
      </c>
      <c r="P7" s="287" t="s">
        <v>9</v>
      </c>
      <c r="Q7" s="287" t="s">
        <v>10</v>
      </c>
      <c r="R7" s="287" t="s">
        <v>11</v>
      </c>
      <c r="S7" s="287" t="s">
        <v>12</v>
      </c>
      <c r="T7" s="288" t="s">
        <v>13</v>
      </c>
      <c r="U7" s="487"/>
    </row>
    <row r="8" spans="2:21" ht="22.5" customHeight="1" thickTop="1" x14ac:dyDescent="0.3">
      <c r="B8" s="458" t="s">
        <v>84</v>
      </c>
      <c r="C8" s="467" t="s">
        <v>59</v>
      </c>
      <c r="D8" s="309"/>
      <c r="E8" s="310"/>
      <c r="F8" s="281" t="str">
        <f>IF($E8="","",VLOOKUP($E8,Reference!$B$5:$C$30,2,0))</f>
        <v/>
      </c>
      <c r="G8" s="307"/>
      <c r="H8" s="194">
        <f t="shared" ref="H8:H18" si="0">SUM(I8:T8)</f>
        <v>0</v>
      </c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2"/>
      <c r="U8" s="295"/>
    </row>
    <row r="9" spans="2:21" ht="22.5" customHeight="1" x14ac:dyDescent="0.3">
      <c r="B9" s="459"/>
      <c r="C9" s="468"/>
      <c r="D9" s="311"/>
      <c r="E9" s="311"/>
      <c r="F9" s="282" t="str">
        <f>IF($E9="","",VLOOKUP($E9,Reference!$B$5:$C$30,2,0))</f>
        <v/>
      </c>
      <c r="G9" s="307"/>
      <c r="H9" s="196">
        <f t="shared" si="0"/>
        <v>0</v>
      </c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7"/>
      <c r="U9" s="298"/>
    </row>
    <row r="10" spans="2:21" ht="22.5" customHeight="1" x14ac:dyDescent="0.3">
      <c r="B10" s="459"/>
      <c r="C10" s="468"/>
      <c r="D10" s="311"/>
      <c r="E10" s="311"/>
      <c r="F10" s="282" t="str">
        <f>IF($E10="","",VLOOKUP($E10,Reference!$B$5:$C$30,2,0))</f>
        <v/>
      </c>
      <c r="G10" s="307"/>
      <c r="H10" s="196">
        <f t="shared" si="0"/>
        <v>0</v>
      </c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300"/>
      <c r="U10" s="298"/>
    </row>
    <row r="11" spans="2:21" ht="22.5" customHeight="1" x14ac:dyDescent="0.3">
      <c r="B11" s="459"/>
      <c r="C11" s="465"/>
      <c r="D11" s="312"/>
      <c r="E11" s="311"/>
      <c r="F11" s="282" t="str">
        <f>IF($E11="","",VLOOKUP($E11,Reference!$B$5:$C$30,2,0))</f>
        <v/>
      </c>
      <c r="G11" s="307"/>
      <c r="H11" s="196">
        <f t="shared" si="0"/>
        <v>0</v>
      </c>
      <c r="I11" s="299"/>
      <c r="J11" s="299"/>
      <c r="K11" s="299"/>
      <c r="L11" s="299"/>
      <c r="M11" s="299"/>
      <c r="N11" s="299"/>
      <c r="O11" s="299"/>
      <c r="P11" s="299"/>
      <c r="Q11" s="299"/>
      <c r="R11" s="299"/>
      <c r="S11" s="299"/>
      <c r="T11" s="300"/>
      <c r="U11" s="298"/>
    </row>
    <row r="12" spans="2:21" ht="22.5" customHeight="1" x14ac:dyDescent="0.3">
      <c r="B12" s="459"/>
      <c r="C12" s="464" t="s">
        <v>61</v>
      </c>
      <c r="D12" s="313"/>
      <c r="E12" s="311"/>
      <c r="F12" s="282" t="str">
        <f>IF($E12="","",VLOOKUP($E12,Reference!$B$36:$C$42,2,0))</f>
        <v/>
      </c>
      <c r="G12" s="307"/>
      <c r="H12" s="196">
        <f t="shared" si="0"/>
        <v>0</v>
      </c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7"/>
      <c r="U12" s="298"/>
    </row>
    <row r="13" spans="2:21" ht="22.5" customHeight="1" x14ac:dyDescent="0.3">
      <c r="B13" s="459"/>
      <c r="C13" s="468"/>
      <c r="D13" s="314"/>
      <c r="E13" s="311"/>
      <c r="F13" s="282" t="str">
        <f>IF($E13="","",VLOOKUP($E13,Reference!$B$36:$C$42,2,0))</f>
        <v/>
      </c>
      <c r="G13" s="307"/>
      <c r="H13" s="196">
        <f t="shared" si="0"/>
        <v>0</v>
      </c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7"/>
      <c r="U13" s="298"/>
    </row>
    <row r="14" spans="2:21" ht="22.5" customHeight="1" x14ac:dyDescent="0.3">
      <c r="B14" s="459"/>
      <c r="C14" s="468"/>
      <c r="D14" s="314"/>
      <c r="E14" s="311"/>
      <c r="F14" s="282" t="str">
        <f>IF($E14="","",VLOOKUP($E14,Reference!$B$36:$C$42,2,0))</f>
        <v/>
      </c>
      <c r="G14" s="307"/>
      <c r="H14" s="196">
        <f t="shared" si="0"/>
        <v>0</v>
      </c>
      <c r="I14" s="301"/>
      <c r="J14" s="301"/>
      <c r="K14" s="301"/>
      <c r="L14" s="301"/>
      <c r="M14" s="301"/>
      <c r="N14" s="301"/>
      <c r="O14" s="301"/>
      <c r="P14" s="301"/>
      <c r="Q14" s="301"/>
      <c r="R14" s="301"/>
      <c r="S14" s="301"/>
      <c r="T14" s="302"/>
      <c r="U14" s="303"/>
    </row>
    <row r="15" spans="2:21" ht="22.5" customHeight="1" x14ac:dyDescent="0.3">
      <c r="B15" s="460"/>
      <c r="C15" s="465"/>
      <c r="D15" s="314"/>
      <c r="E15" s="311"/>
      <c r="F15" s="282" t="str">
        <f>IF($E15="","",VLOOKUP($E15,Reference!$B$36:$C$42,2,0))</f>
        <v/>
      </c>
      <c r="G15" s="307"/>
      <c r="H15" s="196">
        <f t="shared" si="0"/>
        <v>0</v>
      </c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1"/>
      <c r="T15" s="302"/>
      <c r="U15" s="303"/>
    </row>
    <row r="16" spans="2:21" ht="22.5" customHeight="1" x14ac:dyDescent="0.3">
      <c r="B16" s="461" t="s">
        <v>85</v>
      </c>
      <c r="C16" s="464" t="s">
        <v>154</v>
      </c>
      <c r="D16" s="314" t="s">
        <v>420</v>
      </c>
      <c r="E16" s="314" t="s">
        <v>421</v>
      </c>
      <c r="F16" s="282" t="str">
        <f>IF($E16="","",VLOOKUP($E16,Reference!$B$47:$C$47,2,0))</f>
        <v>kWh</v>
      </c>
      <c r="G16" s="307" t="s">
        <v>422</v>
      </c>
      <c r="H16" s="196">
        <f t="shared" si="0"/>
        <v>448581.99999999994</v>
      </c>
      <c r="I16" s="395">
        <v>37381.833333333336</v>
      </c>
      <c r="J16" s="396">
        <v>37381.833333333336</v>
      </c>
      <c r="K16" s="396">
        <v>37381.833333333336</v>
      </c>
      <c r="L16" s="396">
        <v>37381.833333333336</v>
      </c>
      <c r="M16" s="396">
        <v>37381.833333333336</v>
      </c>
      <c r="N16" s="396">
        <v>37381.833333333336</v>
      </c>
      <c r="O16" s="396">
        <v>37381.833333333336</v>
      </c>
      <c r="P16" s="396">
        <v>37381.833333333336</v>
      </c>
      <c r="Q16" s="396">
        <v>37381.833333333336</v>
      </c>
      <c r="R16" s="396">
        <v>37381.833333333336</v>
      </c>
      <c r="S16" s="396">
        <v>37381.833333333336</v>
      </c>
      <c r="T16" s="397">
        <v>37381.833333333336</v>
      </c>
      <c r="U16" s="303"/>
    </row>
    <row r="17" spans="2:21" ht="22.5" customHeight="1" x14ac:dyDescent="0.3">
      <c r="B17" s="462"/>
      <c r="C17" s="465"/>
      <c r="D17" s="315"/>
      <c r="E17" s="314"/>
      <c r="F17" s="282" t="str">
        <f>IF($E17="","",VLOOKUP($E17,Reference!$B$47:$C$47,2,0))</f>
        <v/>
      </c>
      <c r="G17" s="307"/>
      <c r="H17" s="196">
        <f t="shared" si="0"/>
        <v>0</v>
      </c>
      <c r="I17" s="301"/>
      <c r="J17" s="301"/>
      <c r="K17" s="301"/>
      <c r="L17" s="301"/>
      <c r="M17" s="301"/>
      <c r="N17" s="301"/>
      <c r="O17" s="301"/>
      <c r="P17" s="301"/>
      <c r="Q17" s="301"/>
      <c r="R17" s="301"/>
      <c r="S17" s="301"/>
      <c r="T17" s="302"/>
      <c r="U17" s="303"/>
    </row>
    <row r="18" spans="2:21" ht="22.5" customHeight="1" x14ac:dyDescent="0.3">
      <c r="B18" s="462"/>
      <c r="C18" s="464" t="s">
        <v>155</v>
      </c>
      <c r="D18" s="314"/>
      <c r="E18" s="314"/>
      <c r="F18" s="282" t="str">
        <f>IF($E18="","",VLOOKUP($E18,Reference!$B$48:$C$48,2,0))</f>
        <v/>
      </c>
      <c r="G18" s="307"/>
      <c r="H18" s="196">
        <f t="shared" si="0"/>
        <v>0</v>
      </c>
      <c r="I18" s="301"/>
      <c r="J18" s="301"/>
      <c r="K18" s="301"/>
      <c r="L18" s="301"/>
      <c r="M18" s="301"/>
      <c r="N18" s="301"/>
      <c r="O18" s="301"/>
      <c r="P18" s="301"/>
      <c r="Q18" s="301"/>
      <c r="R18" s="301"/>
      <c r="S18" s="301"/>
      <c r="T18" s="302"/>
      <c r="U18" s="303"/>
    </row>
    <row r="19" spans="2:21" ht="22.5" customHeight="1" thickBot="1" x14ac:dyDescent="0.35">
      <c r="B19" s="463"/>
      <c r="C19" s="466"/>
      <c r="D19" s="316"/>
      <c r="E19" s="317"/>
      <c r="F19" s="283" t="str">
        <f>IF($E19="","",VLOOKUP($E19,Reference!$B$48:$C$48,2,0))</f>
        <v/>
      </c>
      <c r="G19" s="308"/>
      <c r="H19" s="197">
        <f>SUM(I19:T19)</f>
        <v>0</v>
      </c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304"/>
      <c r="T19" s="305"/>
      <c r="U19" s="306"/>
    </row>
    <row r="20" spans="2:21" x14ac:dyDescent="0.3">
      <c r="F20" s="198"/>
      <c r="G20" s="198"/>
      <c r="M20" s="199"/>
      <c r="N20" s="200"/>
      <c r="O20" s="200"/>
      <c r="U20" s="195"/>
    </row>
    <row r="21" spans="2:21" ht="17.25" thickBot="1" x14ac:dyDescent="0.35"/>
    <row r="22" spans="2:21" ht="17.25" x14ac:dyDescent="0.3">
      <c r="B22" s="469" t="s">
        <v>43</v>
      </c>
      <c r="C22" s="480" t="s">
        <v>86</v>
      </c>
      <c r="D22" s="481"/>
      <c r="E22" s="482"/>
      <c r="F22" s="475" t="s">
        <v>17</v>
      </c>
      <c r="G22" s="475" t="s">
        <v>364</v>
      </c>
      <c r="H22" s="477" t="s">
        <v>68</v>
      </c>
      <c r="I22" s="478"/>
      <c r="J22" s="478"/>
      <c r="K22" s="478"/>
      <c r="L22" s="478"/>
      <c r="M22" s="478"/>
      <c r="N22" s="478"/>
      <c r="O22" s="478"/>
      <c r="P22" s="478"/>
      <c r="Q22" s="478"/>
      <c r="R22" s="478"/>
      <c r="S22" s="478"/>
      <c r="T22" s="479"/>
      <c r="U22" s="486" t="s">
        <v>363</v>
      </c>
    </row>
    <row r="23" spans="2:21" ht="18" thickBot="1" x14ac:dyDescent="0.35">
      <c r="B23" s="470"/>
      <c r="C23" s="483"/>
      <c r="D23" s="484"/>
      <c r="E23" s="485"/>
      <c r="F23" s="476"/>
      <c r="G23" s="476"/>
      <c r="H23" s="289" t="s">
        <v>2</v>
      </c>
      <c r="I23" s="289" t="s">
        <v>1</v>
      </c>
      <c r="J23" s="289" t="s">
        <v>3</v>
      </c>
      <c r="K23" s="289" t="s">
        <v>4</v>
      </c>
      <c r="L23" s="289" t="s">
        <v>5</v>
      </c>
      <c r="M23" s="289" t="s">
        <v>6</v>
      </c>
      <c r="N23" s="289" t="s">
        <v>7</v>
      </c>
      <c r="O23" s="289" t="s">
        <v>8</v>
      </c>
      <c r="P23" s="289" t="s">
        <v>9</v>
      </c>
      <c r="Q23" s="289" t="s">
        <v>10</v>
      </c>
      <c r="R23" s="289" t="s">
        <v>11</v>
      </c>
      <c r="S23" s="289" t="s">
        <v>12</v>
      </c>
      <c r="T23" s="290" t="s">
        <v>13</v>
      </c>
      <c r="U23" s="487"/>
    </row>
    <row r="24" spans="2:21" ht="22.5" customHeight="1" thickTop="1" x14ac:dyDescent="0.3">
      <c r="B24" s="201" t="s">
        <v>15</v>
      </c>
      <c r="C24" s="445" t="s">
        <v>457</v>
      </c>
      <c r="D24" s="446"/>
      <c r="E24" s="447"/>
      <c r="F24" s="318" t="s">
        <v>400</v>
      </c>
      <c r="G24" s="319" t="s">
        <v>423</v>
      </c>
      <c r="H24" s="202">
        <f>SUM(I24:T24)</f>
        <v>4752</v>
      </c>
      <c r="I24" s="322">
        <v>396</v>
      </c>
      <c r="J24" s="322">
        <v>396</v>
      </c>
      <c r="K24" s="322">
        <v>396</v>
      </c>
      <c r="L24" s="322">
        <v>396</v>
      </c>
      <c r="M24" s="322">
        <v>396</v>
      </c>
      <c r="N24" s="322">
        <v>396</v>
      </c>
      <c r="O24" s="322">
        <v>396</v>
      </c>
      <c r="P24" s="322">
        <v>396</v>
      </c>
      <c r="Q24" s="322">
        <v>396</v>
      </c>
      <c r="R24" s="322">
        <v>396</v>
      </c>
      <c r="S24" s="322">
        <v>396</v>
      </c>
      <c r="T24" s="322">
        <v>396</v>
      </c>
      <c r="U24" s="323" t="s">
        <v>429</v>
      </c>
    </row>
    <row r="25" spans="2:21" ht="22.5" customHeight="1" x14ac:dyDescent="0.3">
      <c r="B25" s="203" t="s">
        <v>16</v>
      </c>
      <c r="C25" s="448"/>
      <c r="D25" s="449"/>
      <c r="E25" s="450"/>
      <c r="F25" s="320"/>
      <c r="G25" s="321"/>
      <c r="H25" s="204">
        <f>SUM(I25:T25)</f>
        <v>0</v>
      </c>
      <c r="I25" s="301"/>
      <c r="J25" s="301"/>
      <c r="K25" s="301"/>
      <c r="L25" s="301"/>
      <c r="M25" s="301"/>
      <c r="N25" s="301"/>
      <c r="O25" s="301"/>
      <c r="P25" s="301"/>
      <c r="Q25" s="301"/>
      <c r="R25" s="301"/>
      <c r="S25" s="301"/>
      <c r="T25" s="324"/>
      <c r="U25" s="303"/>
    </row>
    <row r="26" spans="2:21" ht="22.5" customHeight="1" thickBot="1" x14ac:dyDescent="0.35">
      <c r="B26" s="451" t="s">
        <v>2</v>
      </c>
      <c r="C26" s="452"/>
      <c r="D26" s="452"/>
      <c r="E26" s="453"/>
      <c r="F26" s="291" t="str">
        <f>IF(F24="", "", F24)</f>
        <v>ton</v>
      </c>
      <c r="G26" s="291"/>
      <c r="H26" s="205">
        <f>SUM(I26:T26)</f>
        <v>4752</v>
      </c>
      <c r="I26" s="292">
        <f>SUM(I24:I25)</f>
        <v>396</v>
      </c>
      <c r="J26" s="292">
        <f t="shared" ref="J26:S26" si="1">SUM(J24:J25)</f>
        <v>396</v>
      </c>
      <c r="K26" s="292">
        <f t="shared" si="1"/>
        <v>396</v>
      </c>
      <c r="L26" s="292">
        <f t="shared" si="1"/>
        <v>396</v>
      </c>
      <c r="M26" s="292">
        <f t="shared" si="1"/>
        <v>396</v>
      </c>
      <c r="N26" s="292">
        <f t="shared" si="1"/>
        <v>396</v>
      </c>
      <c r="O26" s="292">
        <f t="shared" si="1"/>
        <v>396</v>
      </c>
      <c r="P26" s="292">
        <f t="shared" si="1"/>
        <v>396</v>
      </c>
      <c r="Q26" s="292">
        <f t="shared" si="1"/>
        <v>396</v>
      </c>
      <c r="R26" s="292">
        <f t="shared" si="1"/>
        <v>396</v>
      </c>
      <c r="S26" s="292">
        <f t="shared" si="1"/>
        <v>396</v>
      </c>
      <c r="T26" s="293">
        <f>SUM(T24:T25)</f>
        <v>396</v>
      </c>
      <c r="U26" s="306"/>
    </row>
    <row r="30" spans="2:21" x14ac:dyDescent="0.3"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</row>
    <row r="31" spans="2:21" x14ac:dyDescent="0.3"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</row>
    <row r="32" spans="2:21" x14ac:dyDescent="0.3"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</row>
    <row r="33" spans="9:20" x14ac:dyDescent="0.3"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</row>
    <row r="34" spans="9:20" x14ac:dyDescent="0.3"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</row>
    <row r="35" spans="9:20" x14ac:dyDescent="0.3">
      <c r="I35" s="206"/>
      <c r="J35" s="206"/>
      <c r="K35" s="206"/>
      <c r="L35" s="206"/>
      <c r="M35" s="206"/>
      <c r="N35" s="206"/>
      <c r="O35" s="206"/>
      <c r="P35" s="206"/>
      <c r="Q35" s="206"/>
      <c r="R35" s="206"/>
      <c r="S35" s="206"/>
      <c r="T35" s="206"/>
    </row>
    <row r="36" spans="9:20" x14ac:dyDescent="0.3"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</row>
    <row r="37" spans="9:20" x14ac:dyDescent="0.3">
      <c r="I37" s="206"/>
      <c r="J37" s="206"/>
      <c r="K37" s="206"/>
      <c r="L37" s="206"/>
      <c r="M37" s="206"/>
      <c r="N37" s="206"/>
      <c r="O37" s="206"/>
      <c r="P37" s="206"/>
      <c r="Q37" s="206"/>
      <c r="R37" s="206"/>
      <c r="S37" s="206"/>
      <c r="T37" s="206"/>
    </row>
    <row r="38" spans="9:20" x14ac:dyDescent="0.3">
      <c r="I38" s="206"/>
      <c r="J38" s="206"/>
      <c r="K38" s="206"/>
      <c r="L38" s="206"/>
      <c r="M38" s="206"/>
      <c r="N38" s="206"/>
      <c r="O38" s="206"/>
      <c r="P38" s="206"/>
      <c r="Q38" s="206"/>
      <c r="R38" s="206"/>
      <c r="S38" s="206"/>
      <c r="T38" s="206"/>
    </row>
    <row r="39" spans="9:20" x14ac:dyDescent="0.3"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206"/>
    </row>
    <row r="40" spans="9:20" x14ac:dyDescent="0.3"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</row>
    <row r="41" spans="9:20" x14ac:dyDescent="0.3"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</row>
    <row r="42" spans="9:20" x14ac:dyDescent="0.3"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</row>
    <row r="43" spans="9:20" x14ac:dyDescent="0.3"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</row>
    <row r="44" spans="9:20" x14ac:dyDescent="0.3"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</row>
    <row r="45" spans="9:20" x14ac:dyDescent="0.3"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</row>
    <row r="46" spans="9:20" x14ac:dyDescent="0.3"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</row>
    <row r="47" spans="9:20" x14ac:dyDescent="0.3"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</row>
    <row r="48" spans="9:20" x14ac:dyDescent="0.3"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</row>
    <row r="49" spans="9:20" x14ac:dyDescent="0.3"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</row>
    <row r="50" spans="9:20" x14ac:dyDescent="0.3"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</row>
    <row r="51" spans="9:20" x14ac:dyDescent="0.3"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</row>
    <row r="52" spans="9:20" x14ac:dyDescent="0.3"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</row>
    <row r="53" spans="9:20" x14ac:dyDescent="0.3"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</row>
    <row r="54" spans="9:20" x14ac:dyDescent="0.3"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</row>
    <row r="55" spans="9:20" x14ac:dyDescent="0.3"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</row>
    <row r="56" spans="9:20" x14ac:dyDescent="0.3"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</row>
    <row r="57" spans="9:20" x14ac:dyDescent="0.3">
      <c r="I57" s="206"/>
    </row>
  </sheetData>
  <sheetProtection algorithmName="SHA-512" hashValue="0KXqw6guvaU3H5KG5JROyETWLLlkMhNN0M7os4c3tu7rtfm02XxubD1qzKYsFx+Bvl5+52qcF9h3P2UoJLDJTw==" saltValue="aO+PzofeMihoddMWm7s+vg==" spinCount="100000" sheet="1" objects="1" scenarios="1"/>
  <mergeCells count="24">
    <mergeCell ref="C22:E23"/>
    <mergeCell ref="U6:U7"/>
    <mergeCell ref="U22:U23"/>
    <mergeCell ref="G22:G23"/>
    <mergeCell ref="D6:D7"/>
    <mergeCell ref="E6:E7"/>
    <mergeCell ref="F6:F7"/>
    <mergeCell ref="H6:T6"/>
    <mergeCell ref="E2:F2"/>
    <mergeCell ref="C24:E24"/>
    <mergeCell ref="C25:E25"/>
    <mergeCell ref="B26:E26"/>
    <mergeCell ref="B6:C7"/>
    <mergeCell ref="B8:B15"/>
    <mergeCell ref="B16:B19"/>
    <mergeCell ref="C16:C17"/>
    <mergeCell ref="C18:C19"/>
    <mergeCell ref="C8:C11"/>
    <mergeCell ref="C12:C15"/>
    <mergeCell ref="B22:B23"/>
    <mergeCell ref="F5:N5"/>
    <mergeCell ref="G6:G7"/>
    <mergeCell ref="F22:F23"/>
    <mergeCell ref="H22:T22"/>
  </mergeCells>
  <phoneticPr fontId="3" type="noConversion"/>
  <dataValidations count="3">
    <dataValidation type="list" allowBlank="1" showInputMessage="1" showErrorMessage="1" sqref="F24:F25">
      <formula1>"ton"</formula1>
    </dataValidation>
    <dataValidation type="list" allowBlank="1" showInputMessage="1" showErrorMessage="1" sqref="G8:G19">
      <formula1>"법적 고지서, 거래명세서, 기타"</formula1>
    </dataValidation>
    <dataValidation type="list" allowBlank="1" showInputMessage="1" showErrorMessage="1" sqref="G24:G25">
      <formula1>"ERP/MES, 거래명세서, 자제관리대장, 기타"</formula1>
    </dataValidation>
  </dataValidations>
  <pageMargins left="0.7" right="0.7" top="0.75" bottom="0.75" header="0.3" footer="0.3"/>
  <pageSetup paperSize="9" orientation="portrait" horizontalDpi="4294967292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Reference!$B$47</xm:f>
          </x14:formula1>
          <xm:sqref>E16:E17</xm:sqref>
        </x14:dataValidation>
        <x14:dataValidation type="list" allowBlank="1" showInputMessage="1" showErrorMessage="1">
          <x14:formula1>
            <xm:f>Reference!$B$36:$B$42</xm:f>
          </x14:formula1>
          <xm:sqref>E12:E15</xm:sqref>
        </x14:dataValidation>
        <x14:dataValidation type="list" allowBlank="1" showInputMessage="1" showErrorMessage="1">
          <x14:formula1>
            <xm:f>Reference!$B$5:$B$30</xm:f>
          </x14:formula1>
          <xm:sqref>E8:E11</xm:sqref>
        </x14:dataValidation>
        <x14:dataValidation type="list" allowBlank="1" showInputMessage="1" showErrorMessage="1">
          <x14:formula1>
            <xm:f>Reference!$B$48:$B$48</xm:f>
          </x14:formula1>
          <xm:sqref>E18:E19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2:S111"/>
  <sheetViews>
    <sheetView showGridLines="0" zoomScale="75" zoomScaleNormal="75" workbookViewId="0">
      <pane ySplit="9" topLeftCell="A61" activePane="bottomLeft" state="frozen"/>
      <selection pane="bottomLeft" activeCell="H66" sqref="H66:S66"/>
    </sheetView>
  </sheetViews>
  <sheetFormatPr defaultRowHeight="16.5" x14ac:dyDescent="0.3"/>
  <cols>
    <col min="1" max="1" width="2.75" customWidth="1"/>
    <col min="2" max="2" width="14" customWidth="1"/>
    <col min="3" max="3" width="22.625" bestFit="1" customWidth="1"/>
    <col min="4" max="4" width="21.875" bestFit="1" customWidth="1"/>
    <col min="5" max="5" width="21.75" customWidth="1"/>
    <col min="6" max="6" width="9.375" customWidth="1"/>
    <col min="7" max="7" width="15.625" bestFit="1" customWidth="1"/>
    <col min="8" max="8" width="14.625" bestFit="1" customWidth="1"/>
    <col min="9" max="21" width="16" customWidth="1"/>
  </cols>
  <sheetData>
    <row r="2" spans="2:19" ht="37.5" customHeight="1" x14ac:dyDescent="0.3">
      <c r="B2" s="557" t="s">
        <v>160</v>
      </c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  <c r="S2" s="557"/>
    </row>
    <row r="3" spans="2:19" ht="17.25" x14ac:dyDescent="0.3">
      <c r="B3" s="2"/>
    </row>
    <row r="4" spans="2:19" s="66" customFormat="1" ht="18" thickBot="1" x14ac:dyDescent="0.35">
      <c r="B4" s="65" t="s">
        <v>49</v>
      </c>
    </row>
    <row r="5" spans="2:19" s="66" customFormat="1" ht="17.25" x14ac:dyDescent="0.3">
      <c r="B5" s="67" t="s">
        <v>73</v>
      </c>
      <c r="I5" s="561" t="s">
        <v>164</v>
      </c>
      <c r="J5" s="562"/>
      <c r="K5" s="562" t="s">
        <v>165</v>
      </c>
      <c r="L5" s="562"/>
      <c r="M5" s="562" t="s">
        <v>166</v>
      </c>
      <c r="N5" s="565"/>
      <c r="O5" s="569" t="s">
        <v>395</v>
      </c>
      <c r="P5" s="570"/>
      <c r="Q5" s="573" t="s">
        <v>396</v>
      </c>
      <c r="R5" s="574"/>
    </row>
    <row r="6" spans="2:19" s="66" customFormat="1" ht="17.25" x14ac:dyDescent="0.3">
      <c r="B6" s="67" t="s">
        <v>161</v>
      </c>
      <c r="D6" s="66" t="s">
        <v>162</v>
      </c>
      <c r="F6" s="66" t="s">
        <v>163</v>
      </c>
      <c r="I6" s="563"/>
      <c r="J6" s="564"/>
      <c r="K6" s="564"/>
      <c r="L6" s="564"/>
      <c r="M6" s="564"/>
      <c r="N6" s="566"/>
      <c r="O6" s="571"/>
      <c r="P6" s="572"/>
      <c r="Q6" s="575"/>
      <c r="R6" s="576"/>
    </row>
    <row r="7" spans="2:19" s="66" customFormat="1" ht="17.25" x14ac:dyDescent="0.3">
      <c r="B7" s="67" t="s">
        <v>47</v>
      </c>
      <c r="D7" s="67" t="s">
        <v>50</v>
      </c>
      <c r="F7" s="67" t="s">
        <v>55</v>
      </c>
      <c r="I7" s="544">
        <f>SUM(G34,G38,G42,G46,G50,G54,G58,G62)</f>
        <v>0</v>
      </c>
      <c r="J7" s="545"/>
      <c r="K7" s="545">
        <f>SUM(G66,G70,G74,G78)</f>
        <v>214.45023237500001</v>
      </c>
      <c r="L7" s="545"/>
      <c r="M7" s="545">
        <f>G79</f>
        <v>214.45023237500001</v>
      </c>
      <c r="N7" s="555"/>
      <c r="O7" s="544">
        <f>G110</f>
        <v>102.725278</v>
      </c>
      <c r="P7" s="555"/>
      <c r="Q7" s="544">
        <f>G111</f>
        <v>4.3063872000000005</v>
      </c>
      <c r="R7" s="555"/>
    </row>
    <row r="8" spans="2:19" s="66" customFormat="1" ht="18" thickBot="1" x14ac:dyDescent="0.35">
      <c r="B8" s="67" t="s">
        <v>48</v>
      </c>
      <c r="F8" s="67" t="s">
        <v>75</v>
      </c>
      <c r="I8" s="546"/>
      <c r="J8" s="547"/>
      <c r="K8" s="547"/>
      <c r="L8" s="547"/>
      <c r="M8" s="547"/>
      <c r="N8" s="556"/>
      <c r="O8" s="546"/>
      <c r="P8" s="556"/>
      <c r="Q8" s="546"/>
      <c r="R8" s="556"/>
    </row>
    <row r="9" spans="2:19" ht="17.25" thickBot="1" x14ac:dyDescent="0.35">
      <c r="B9" s="3"/>
    </row>
    <row r="10" spans="2:19" ht="33" customHeight="1" thickBot="1" x14ac:dyDescent="0.35">
      <c r="B10" s="76" t="s">
        <v>45</v>
      </c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8"/>
    </row>
    <row r="11" spans="2:19" ht="22.5" customHeight="1" x14ac:dyDescent="0.3">
      <c r="B11" s="512" t="s">
        <v>78</v>
      </c>
      <c r="C11" s="513"/>
      <c r="D11" s="516" t="s">
        <v>71</v>
      </c>
      <c r="E11" s="518" t="s">
        <v>56</v>
      </c>
      <c r="F11" s="520" t="s">
        <v>19</v>
      </c>
      <c r="G11" s="522" t="s">
        <v>0</v>
      </c>
      <c r="H11" s="523"/>
      <c r="I11" s="523"/>
      <c r="J11" s="523"/>
      <c r="K11" s="523"/>
      <c r="L11" s="523"/>
      <c r="M11" s="523"/>
      <c r="N11" s="523"/>
      <c r="O11" s="523"/>
      <c r="P11" s="523"/>
      <c r="Q11" s="523"/>
      <c r="R11" s="523"/>
      <c r="S11" s="524"/>
    </row>
    <row r="12" spans="2:19" ht="22.5" customHeight="1" thickBot="1" x14ac:dyDescent="0.35">
      <c r="B12" s="567"/>
      <c r="C12" s="568"/>
      <c r="D12" s="558"/>
      <c r="E12" s="559"/>
      <c r="F12" s="560"/>
      <c r="G12" s="69" t="s">
        <v>2</v>
      </c>
      <c r="H12" s="70" t="s">
        <v>1</v>
      </c>
      <c r="I12" s="70" t="s">
        <v>3</v>
      </c>
      <c r="J12" s="70" t="s">
        <v>4</v>
      </c>
      <c r="K12" s="70" t="s">
        <v>5</v>
      </c>
      <c r="L12" s="70" t="s">
        <v>6</v>
      </c>
      <c r="M12" s="70" t="s">
        <v>7</v>
      </c>
      <c r="N12" s="70" t="s">
        <v>8</v>
      </c>
      <c r="O12" s="70" t="s">
        <v>9</v>
      </c>
      <c r="P12" s="70" t="s">
        <v>10</v>
      </c>
      <c r="Q12" s="70" t="s">
        <v>11</v>
      </c>
      <c r="R12" s="70" t="s">
        <v>12</v>
      </c>
      <c r="S12" s="71" t="s">
        <v>13</v>
      </c>
    </row>
    <row r="13" spans="2:19" ht="21" customHeight="1" thickTop="1" x14ac:dyDescent="0.3">
      <c r="B13" s="552" t="s">
        <v>84</v>
      </c>
      <c r="C13" s="554" t="s">
        <v>59</v>
      </c>
      <c r="D13" s="365" t="str">
        <f>IF('3. 기준연도 활동자료 입력'!D8="","",'3. 기준연도 활동자료 입력'!D8)</f>
        <v/>
      </c>
      <c r="E13" s="365" t="str">
        <f>IF('3. 기준연도 활동자료 입력'!E8="","",'3. 기준연도 활동자료 입력'!E8)</f>
        <v/>
      </c>
      <c r="F13" s="93" t="str">
        <f>IF('3. 기준연도 활동자료 입력'!F8="","",'3. 기준연도 활동자료 입력'!F8)</f>
        <v/>
      </c>
      <c r="G13" s="94">
        <f>SUM(H13:S13)</f>
        <v>0</v>
      </c>
      <c r="H13" s="95" t="str">
        <f>IF('3. 기준연도 활동자료 입력'!I8="", "", '3. 기준연도 활동자료 입력'!I8)</f>
        <v/>
      </c>
      <c r="I13" s="95" t="str">
        <f>IF('3. 기준연도 활동자료 입력'!J8="", "", '3. 기준연도 활동자료 입력'!J8)</f>
        <v/>
      </c>
      <c r="J13" s="95" t="str">
        <f>IF('3. 기준연도 활동자료 입력'!K8="", "", '3. 기준연도 활동자료 입력'!K8)</f>
        <v/>
      </c>
      <c r="K13" s="95" t="str">
        <f>IF('3. 기준연도 활동자료 입력'!L8="", "", '3. 기준연도 활동자료 입력'!L8)</f>
        <v/>
      </c>
      <c r="L13" s="95" t="str">
        <f>IF('3. 기준연도 활동자료 입력'!M8="", "", '3. 기준연도 활동자료 입력'!M8)</f>
        <v/>
      </c>
      <c r="M13" s="95" t="str">
        <f>IF('3. 기준연도 활동자료 입력'!N8="", "", '3. 기준연도 활동자료 입력'!N8)</f>
        <v/>
      </c>
      <c r="N13" s="95" t="str">
        <f>IF('3. 기준연도 활동자료 입력'!O8="", "", '3. 기준연도 활동자료 입력'!O8)</f>
        <v/>
      </c>
      <c r="O13" s="95" t="str">
        <f>IF('3. 기준연도 활동자료 입력'!P8="", "", '3. 기준연도 활동자료 입력'!P8)</f>
        <v/>
      </c>
      <c r="P13" s="95" t="str">
        <f>IF('3. 기준연도 활동자료 입력'!Q8="", "", '3. 기준연도 활동자료 입력'!Q8)</f>
        <v/>
      </c>
      <c r="Q13" s="95" t="str">
        <f>IF('3. 기준연도 활동자료 입력'!R8="", "", '3. 기준연도 활동자료 입력'!R8)</f>
        <v/>
      </c>
      <c r="R13" s="95" t="str">
        <f>IF('3. 기준연도 활동자료 입력'!S8="", "", '3. 기준연도 활동자료 입력'!S8)</f>
        <v/>
      </c>
      <c r="S13" s="96" t="str">
        <f>IF('3. 기준연도 활동자료 입력'!T8="", "", '3. 기준연도 활동자료 입력'!T8)</f>
        <v/>
      </c>
    </row>
    <row r="14" spans="2:19" ht="21" customHeight="1" x14ac:dyDescent="0.3">
      <c r="B14" s="553"/>
      <c r="C14" s="543"/>
      <c r="D14" s="366" t="str">
        <f>IF('3. 기준연도 활동자료 입력'!D9="","",'3. 기준연도 활동자료 입력'!D9)</f>
        <v/>
      </c>
      <c r="E14" s="366" t="str">
        <f>IF('3. 기준연도 활동자료 입력'!E9="","",'3. 기준연도 활동자료 입력'!E9)</f>
        <v/>
      </c>
      <c r="F14" s="97" t="str">
        <f>IF('3. 기준연도 활동자료 입력'!F9="","",'3. 기준연도 활동자료 입력'!F9)</f>
        <v/>
      </c>
      <c r="G14" s="98">
        <f t="shared" ref="G14:G24" si="0">SUM(H14:S14)</f>
        <v>0</v>
      </c>
      <c r="H14" s="99" t="str">
        <f>IF('3. 기준연도 활동자료 입력'!I9="", "", '3. 기준연도 활동자료 입력'!I9)</f>
        <v/>
      </c>
      <c r="I14" s="99" t="str">
        <f>IF('3. 기준연도 활동자료 입력'!J9="", "", '3. 기준연도 활동자료 입력'!J9)</f>
        <v/>
      </c>
      <c r="J14" s="99" t="str">
        <f>IF('3. 기준연도 활동자료 입력'!K9="", "", '3. 기준연도 활동자료 입력'!K9)</f>
        <v/>
      </c>
      <c r="K14" s="99" t="str">
        <f>IF('3. 기준연도 활동자료 입력'!L9="", "", '3. 기준연도 활동자료 입력'!L9)</f>
        <v/>
      </c>
      <c r="L14" s="99" t="str">
        <f>IF('3. 기준연도 활동자료 입력'!M9="", "", '3. 기준연도 활동자료 입력'!M9)</f>
        <v/>
      </c>
      <c r="M14" s="99" t="str">
        <f>IF('3. 기준연도 활동자료 입력'!N9="", "", '3. 기준연도 활동자료 입력'!N9)</f>
        <v/>
      </c>
      <c r="N14" s="99" t="str">
        <f>IF('3. 기준연도 활동자료 입력'!O9="", "", '3. 기준연도 활동자료 입력'!O9)</f>
        <v/>
      </c>
      <c r="O14" s="99" t="str">
        <f>IF('3. 기준연도 활동자료 입력'!P9="", "", '3. 기준연도 활동자료 입력'!P9)</f>
        <v/>
      </c>
      <c r="P14" s="99" t="str">
        <f>IF('3. 기준연도 활동자료 입력'!Q9="", "", '3. 기준연도 활동자료 입력'!Q9)</f>
        <v/>
      </c>
      <c r="Q14" s="99" t="str">
        <f>IF('3. 기준연도 활동자료 입력'!R9="", "", '3. 기준연도 활동자료 입력'!R9)</f>
        <v/>
      </c>
      <c r="R14" s="99" t="str">
        <f>IF('3. 기준연도 활동자료 입력'!S9="", "", '3. 기준연도 활동자료 입력'!S9)</f>
        <v/>
      </c>
      <c r="S14" s="100" t="str">
        <f>IF('3. 기준연도 활동자료 입력'!T9="", "", '3. 기준연도 활동자료 입력'!T9)</f>
        <v/>
      </c>
    </row>
    <row r="15" spans="2:19" ht="21" customHeight="1" x14ac:dyDescent="0.3">
      <c r="B15" s="553"/>
      <c r="C15" s="543"/>
      <c r="D15" s="366" t="str">
        <f>IF('3. 기준연도 활동자료 입력'!D10="","",'3. 기준연도 활동자료 입력'!D10)</f>
        <v/>
      </c>
      <c r="E15" s="366" t="str">
        <f>IF('3. 기준연도 활동자료 입력'!E10="","",'3. 기준연도 활동자료 입력'!E10)</f>
        <v/>
      </c>
      <c r="F15" s="97" t="str">
        <f>IF('3. 기준연도 활동자료 입력'!F10="","",'3. 기준연도 활동자료 입력'!F10)</f>
        <v/>
      </c>
      <c r="G15" s="98">
        <f t="shared" si="0"/>
        <v>0</v>
      </c>
      <c r="H15" s="99" t="str">
        <f>IF('3. 기준연도 활동자료 입력'!I10="", "", '3. 기준연도 활동자료 입력'!I10)</f>
        <v/>
      </c>
      <c r="I15" s="99" t="str">
        <f>IF('3. 기준연도 활동자료 입력'!J10="", "", '3. 기준연도 활동자료 입력'!J10)</f>
        <v/>
      </c>
      <c r="J15" s="99" t="str">
        <f>IF('3. 기준연도 활동자료 입력'!K10="", "", '3. 기준연도 활동자료 입력'!K10)</f>
        <v/>
      </c>
      <c r="K15" s="99" t="str">
        <f>IF('3. 기준연도 활동자료 입력'!L10="", "", '3. 기준연도 활동자료 입력'!L10)</f>
        <v/>
      </c>
      <c r="L15" s="99" t="str">
        <f>IF('3. 기준연도 활동자료 입력'!M10="", "", '3. 기준연도 활동자료 입력'!M10)</f>
        <v/>
      </c>
      <c r="M15" s="99" t="str">
        <f>IF('3. 기준연도 활동자료 입력'!N10="", "", '3. 기준연도 활동자료 입력'!N10)</f>
        <v/>
      </c>
      <c r="N15" s="99" t="str">
        <f>IF('3. 기준연도 활동자료 입력'!O10="", "", '3. 기준연도 활동자료 입력'!O10)</f>
        <v/>
      </c>
      <c r="O15" s="99" t="str">
        <f>IF('3. 기준연도 활동자료 입력'!P10="", "", '3. 기준연도 활동자료 입력'!P10)</f>
        <v/>
      </c>
      <c r="P15" s="99" t="str">
        <f>IF('3. 기준연도 활동자료 입력'!Q10="", "", '3. 기준연도 활동자료 입력'!Q10)</f>
        <v/>
      </c>
      <c r="Q15" s="99" t="str">
        <f>IF('3. 기준연도 활동자료 입력'!R10="", "", '3. 기준연도 활동자료 입력'!R10)</f>
        <v/>
      </c>
      <c r="R15" s="99" t="str">
        <f>IF('3. 기준연도 활동자료 입력'!S10="", "", '3. 기준연도 활동자료 입력'!S10)</f>
        <v/>
      </c>
      <c r="S15" s="100" t="str">
        <f>IF('3. 기준연도 활동자료 입력'!T10="", "", '3. 기준연도 활동자료 입력'!T10)</f>
        <v/>
      </c>
    </row>
    <row r="16" spans="2:19" ht="21" customHeight="1" x14ac:dyDescent="0.3">
      <c r="B16" s="553"/>
      <c r="C16" s="543"/>
      <c r="D16" s="366" t="str">
        <f>IF('3. 기준연도 활동자료 입력'!D11="","",'3. 기준연도 활동자료 입력'!D11)</f>
        <v/>
      </c>
      <c r="E16" s="366" t="str">
        <f>IF('3. 기준연도 활동자료 입력'!E11="","",'3. 기준연도 활동자료 입력'!E11)</f>
        <v/>
      </c>
      <c r="F16" s="97" t="str">
        <f>IF('3. 기준연도 활동자료 입력'!F11="","",'3. 기준연도 활동자료 입력'!F11)</f>
        <v/>
      </c>
      <c r="G16" s="98">
        <f t="shared" si="0"/>
        <v>0</v>
      </c>
      <c r="H16" s="99" t="str">
        <f>IF('3. 기준연도 활동자료 입력'!I11="", "", '3. 기준연도 활동자료 입력'!I11)</f>
        <v/>
      </c>
      <c r="I16" s="99" t="str">
        <f>IF('3. 기준연도 활동자료 입력'!J11="", "", '3. 기준연도 활동자료 입력'!J11)</f>
        <v/>
      </c>
      <c r="J16" s="99" t="str">
        <f>IF('3. 기준연도 활동자료 입력'!K11="", "", '3. 기준연도 활동자료 입력'!K11)</f>
        <v/>
      </c>
      <c r="K16" s="99" t="str">
        <f>IF('3. 기준연도 활동자료 입력'!L11="", "", '3. 기준연도 활동자료 입력'!L11)</f>
        <v/>
      </c>
      <c r="L16" s="99" t="str">
        <f>IF('3. 기준연도 활동자료 입력'!M11="", "", '3. 기준연도 활동자료 입력'!M11)</f>
        <v/>
      </c>
      <c r="M16" s="99" t="str">
        <f>IF('3. 기준연도 활동자료 입력'!N11="", "", '3. 기준연도 활동자료 입력'!N11)</f>
        <v/>
      </c>
      <c r="N16" s="99" t="str">
        <f>IF('3. 기준연도 활동자료 입력'!O11="", "", '3. 기준연도 활동자료 입력'!O11)</f>
        <v/>
      </c>
      <c r="O16" s="99" t="str">
        <f>IF('3. 기준연도 활동자료 입력'!P11="", "", '3. 기준연도 활동자료 입력'!P11)</f>
        <v/>
      </c>
      <c r="P16" s="99" t="str">
        <f>IF('3. 기준연도 활동자료 입력'!Q11="", "", '3. 기준연도 활동자료 입력'!Q11)</f>
        <v/>
      </c>
      <c r="Q16" s="99" t="str">
        <f>IF('3. 기준연도 활동자료 입력'!R11="", "", '3. 기준연도 활동자료 입력'!R11)</f>
        <v/>
      </c>
      <c r="R16" s="99" t="str">
        <f>IF('3. 기준연도 활동자료 입력'!S11="", "", '3. 기준연도 활동자료 입력'!S11)</f>
        <v/>
      </c>
      <c r="S16" s="100" t="str">
        <f>IF('3. 기준연도 활동자료 입력'!T11="", "", '3. 기준연도 활동자료 입력'!T11)</f>
        <v/>
      </c>
    </row>
    <row r="17" spans="2:19" ht="21" customHeight="1" x14ac:dyDescent="0.3">
      <c r="B17" s="553"/>
      <c r="C17" s="543" t="s">
        <v>61</v>
      </c>
      <c r="D17" s="366" t="str">
        <f>IF('3. 기준연도 활동자료 입력'!D12="","",'3. 기준연도 활동자료 입력'!D12)</f>
        <v/>
      </c>
      <c r="E17" s="366" t="str">
        <f>IF('3. 기준연도 활동자료 입력'!E12="","",'3. 기준연도 활동자료 입력'!E12)</f>
        <v/>
      </c>
      <c r="F17" s="97" t="str">
        <f>IF('3. 기준연도 활동자료 입력'!F12="","",'3. 기준연도 활동자료 입력'!F12)</f>
        <v/>
      </c>
      <c r="G17" s="98">
        <f t="shared" si="0"/>
        <v>0</v>
      </c>
      <c r="H17" s="99" t="str">
        <f>IF('3. 기준연도 활동자료 입력'!I12="", "", '3. 기준연도 활동자료 입력'!I12)</f>
        <v/>
      </c>
      <c r="I17" s="99" t="str">
        <f>IF('3. 기준연도 활동자료 입력'!J12="", "", '3. 기준연도 활동자료 입력'!J12)</f>
        <v/>
      </c>
      <c r="J17" s="99" t="str">
        <f>IF('3. 기준연도 활동자료 입력'!K12="", "", '3. 기준연도 활동자료 입력'!K12)</f>
        <v/>
      </c>
      <c r="K17" s="99" t="str">
        <f>IF('3. 기준연도 활동자료 입력'!L12="", "", '3. 기준연도 활동자료 입력'!L12)</f>
        <v/>
      </c>
      <c r="L17" s="99" t="str">
        <f>IF('3. 기준연도 활동자료 입력'!M12="", "", '3. 기준연도 활동자료 입력'!M12)</f>
        <v/>
      </c>
      <c r="M17" s="99" t="str">
        <f>IF('3. 기준연도 활동자료 입력'!N12="", "", '3. 기준연도 활동자료 입력'!N12)</f>
        <v/>
      </c>
      <c r="N17" s="99" t="str">
        <f>IF('3. 기준연도 활동자료 입력'!O12="", "", '3. 기준연도 활동자료 입력'!O12)</f>
        <v/>
      </c>
      <c r="O17" s="99" t="str">
        <f>IF('3. 기준연도 활동자료 입력'!P12="", "", '3. 기준연도 활동자료 입력'!P12)</f>
        <v/>
      </c>
      <c r="P17" s="99" t="str">
        <f>IF('3. 기준연도 활동자료 입력'!Q12="", "", '3. 기준연도 활동자료 입력'!Q12)</f>
        <v/>
      </c>
      <c r="Q17" s="99" t="str">
        <f>IF('3. 기준연도 활동자료 입력'!R12="", "", '3. 기준연도 활동자료 입력'!R12)</f>
        <v/>
      </c>
      <c r="R17" s="99" t="str">
        <f>IF('3. 기준연도 활동자료 입력'!S12="", "", '3. 기준연도 활동자료 입력'!S12)</f>
        <v/>
      </c>
      <c r="S17" s="100" t="str">
        <f>IF('3. 기준연도 활동자료 입력'!T12="", "", '3. 기준연도 활동자료 입력'!T12)</f>
        <v/>
      </c>
    </row>
    <row r="18" spans="2:19" ht="21" customHeight="1" x14ac:dyDescent="0.3">
      <c r="B18" s="553"/>
      <c r="C18" s="543"/>
      <c r="D18" s="366" t="str">
        <f>IF('3. 기준연도 활동자료 입력'!D13="","",'3. 기준연도 활동자료 입력'!D13)</f>
        <v/>
      </c>
      <c r="E18" s="366" t="str">
        <f>IF('3. 기준연도 활동자료 입력'!E13="","",'3. 기준연도 활동자료 입력'!E13)</f>
        <v/>
      </c>
      <c r="F18" s="97" t="str">
        <f>IF('3. 기준연도 활동자료 입력'!F13="","",'3. 기준연도 활동자료 입력'!F13)</f>
        <v/>
      </c>
      <c r="G18" s="98">
        <f t="shared" si="0"/>
        <v>0</v>
      </c>
      <c r="H18" s="99" t="str">
        <f>IF('3. 기준연도 활동자료 입력'!I13="", "", '3. 기준연도 활동자료 입력'!I13)</f>
        <v/>
      </c>
      <c r="I18" s="99" t="str">
        <f>IF('3. 기준연도 활동자료 입력'!J13="", "", '3. 기준연도 활동자료 입력'!J13)</f>
        <v/>
      </c>
      <c r="J18" s="99" t="str">
        <f>IF('3. 기준연도 활동자료 입력'!K13="", "", '3. 기준연도 활동자료 입력'!K13)</f>
        <v/>
      </c>
      <c r="K18" s="99" t="str">
        <f>IF('3. 기준연도 활동자료 입력'!L13="", "", '3. 기준연도 활동자료 입력'!L13)</f>
        <v/>
      </c>
      <c r="L18" s="99" t="str">
        <f>IF('3. 기준연도 활동자료 입력'!M13="", "", '3. 기준연도 활동자료 입력'!M13)</f>
        <v/>
      </c>
      <c r="M18" s="99" t="str">
        <f>IF('3. 기준연도 활동자료 입력'!N13="", "", '3. 기준연도 활동자료 입력'!N13)</f>
        <v/>
      </c>
      <c r="N18" s="99" t="str">
        <f>IF('3. 기준연도 활동자료 입력'!O13="", "", '3. 기준연도 활동자료 입력'!O13)</f>
        <v/>
      </c>
      <c r="O18" s="99" t="str">
        <f>IF('3. 기준연도 활동자료 입력'!P13="", "", '3. 기준연도 활동자료 입력'!P13)</f>
        <v/>
      </c>
      <c r="P18" s="99" t="str">
        <f>IF('3. 기준연도 활동자료 입력'!Q13="", "", '3. 기준연도 활동자료 입력'!Q13)</f>
        <v/>
      </c>
      <c r="Q18" s="99" t="str">
        <f>IF('3. 기준연도 활동자료 입력'!R13="", "", '3. 기준연도 활동자료 입력'!R13)</f>
        <v/>
      </c>
      <c r="R18" s="99" t="str">
        <f>IF('3. 기준연도 활동자료 입력'!S13="", "", '3. 기준연도 활동자료 입력'!S13)</f>
        <v/>
      </c>
      <c r="S18" s="100" t="str">
        <f>IF('3. 기준연도 활동자료 입력'!T13="", "", '3. 기준연도 활동자료 입력'!T13)</f>
        <v/>
      </c>
    </row>
    <row r="19" spans="2:19" ht="21" customHeight="1" x14ac:dyDescent="0.3">
      <c r="B19" s="553"/>
      <c r="C19" s="543"/>
      <c r="D19" s="366" t="str">
        <f>IF('3. 기준연도 활동자료 입력'!D14="","",'3. 기준연도 활동자료 입력'!D14)</f>
        <v/>
      </c>
      <c r="E19" s="366" t="str">
        <f>IF('3. 기준연도 활동자료 입력'!E14="","",'3. 기준연도 활동자료 입력'!E14)</f>
        <v/>
      </c>
      <c r="F19" s="97" t="str">
        <f>IF('3. 기준연도 활동자료 입력'!F14="","",'3. 기준연도 활동자료 입력'!F14)</f>
        <v/>
      </c>
      <c r="G19" s="98">
        <f t="shared" si="0"/>
        <v>0</v>
      </c>
      <c r="H19" s="99" t="str">
        <f>IF('3. 기준연도 활동자료 입력'!I14="", "", '3. 기준연도 활동자료 입력'!I14)</f>
        <v/>
      </c>
      <c r="I19" s="99" t="str">
        <f>IF('3. 기준연도 활동자료 입력'!J14="", "", '3. 기준연도 활동자료 입력'!J14)</f>
        <v/>
      </c>
      <c r="J19" s="99" t="str">
        <f>IF('3. 기준연도 활동자료 입력'!K14="", "", '3. 기준연도 활동자료 입력'!K14)</f>
        <v/>
      </c>
      <c r="K19" s="99" t="str">
        <f>IF('3. 기준연도 활동자료 입력'!L14="", "", '3. 기준연도 활동자료 입력'!L14)</f>
        <v/>
      </c>
      <c r="L19" s="99" t="str">
        <f>IF('3. 기준연도 활동자료 입력'!M14="", "", '3. 기준연도 활동자료 입력'!M14)</f>
        <v/>
      </c>
      <c r="M19" s="99" t="str">
        <f>IF('3. 기준연도 활동자료 입력'!N14="", "", '3. 기준연도 활동자료 입력'!N14)</f>
        <v/>
      </c>
      <c r="N19" s="99" t="str">
        <f>IF('3. 기준연도 활동자료 입력'!O14="", "", '3. 기준연도 활동자료 입력'!O14)</f>
        <v/>
      </c>
      <c r="O19" s="99" t="str">
        <f>IF('3. 기준연도 활동자료 입력'!P14="", "", '3. 기준연도 활동자료 입력'!P14)</f>
        <v/>
      </c>
      <c r="P19" s="99" t="str">
        <f>IF('3. 기준연도 활동자료 입력'!Q14="", "", '3. 기준연도 활동자료 입력'!Q14)</f>
        <v/>
      </c>
      <c r="Q19" s="99" t="str">
        <f>IF('3. 기준연도 활동자료 입력'!R14="", "", '3. 기준연도 활동자료 입력'!R14)</f>
        <v/>
      </c>
      <c r="R19" s="99" t="str">
        <f>IF('3. 기준연도 활동자료 입력'!S14="", "", '3. 기준연도 활동자료 입력'!S14)</f>
        <v/>
      </c>
      <c r="S19" s="100" t="str">
        <f>IF('3. 기준연도 활동자료 입력'!T14="", "", '3. 기준연도 활동자료 입력'!T14)</f>
        <v/>
      </c>
    </row>
    <row r="20" spans="2:19" ht="21" customHeight="1" x14ac:dyDescent="0.3">
      <c r="B20" s="553"/>
      <c r="C20" s="543"/>
      <c r="D20" s="366" t="str">
        <f>IF('3. 기준연도 활동자료 입력'!D15="","",'3. 기준연도 활동자료 입력'!D15)</f>
        <v/>
      </c>
      <c r="E20" s="366" t="str">
        <f>IF('3. 기준연도 활동자료 입력'!E15="","",'3. 기준연도 활동자료 입력'!E15)</f>
        <v/>
      </c>
      <c r="F20" s="97" t="str">
        <f>IF('3. 기준연도 활동자료 입력'!F15="","",'3. 기준연도 활동자료 입력'!F15)</f>
        <v/>
      </c>
      <c r="G20" s="98">
        <f t="shared" si="0"/>
        <v>0</v>
      </c>
      <c r="H20" s="99" t="str">
        <f>IF('3. 기준연도 활동자료 입력'!I15="", "", '3. 기준연도 활동자료 입력'!I15)</f>
        <v/>
      </c>
      <c r="I20" s="99" t="str">
        <f>IF('3. 기준연도 활동자료 입력'!J15="", "", '3. 기준연도 활동자료 입력'!J15)</f>
        <v/>
      </c>
      <c r="J20" s="99" t="str">
        <f>IF('3. 기준연도 활동자료 입력'!K15="", "", '3. 기준연도 활동자료 입력'!K15)</f>
        <v/>
      </c>
      <c r="K20" s="99" t="str">
        <f>IF('3. 기준연도 활동자료 입력'!L15="", "", '3. 기준연도 활동자료 입력'!L15)</f>
        <v/>
      </c>
      <c r="L20" s="99" t="str">
        <f>IF('3. 기준연도 활동자료 입력'!M15="", "", '3. 기준연도 활동자료 입력'!M15)</f>
        <v/>
      </c>
      <c r="M20" s="99" t="str">
        <f>IF('3. 기준연도 활동자료 입력'!N15="", "", '3. 기준연도 활동자료 입력'!N15)</f>
        <v/>
      </c>
      <c r="N20" s="99" t="str">
        <f>IF('3. 기준연도 활동자료 입력'!O15="", "", '3. 기준연도 활동자료 입력'!O15)</f>
        <v/>
      </c>
      <c r="O20" s="99" t="str">
        <f>IF('3. 기준연도 활동자료 입력'!P15="", "", '3. 기준연도 활동자료 입력'!P15)</f>
        <v/>
      </c>
      <c r="P20" s="99" t="str">
        <f>IF('3. 기준연도 활동자료 입력'!Q15="", "", '3. 기준연도 활동자료 입력'!Q15)</f>
        <v/>
      </c>
      <c r="Q20" s="99" t="str">
        <f>IF('3. 기준연도 활동자료 입력'!R15="", "", '3. 기준연도 활동자료 입력'!R15)</f>
        <v/>
      </c>
      <c r="R20" s="99" t="str">
        <f>IF('3. 기준연도 활동자료 입력'!S15="", "", '3. 기준연도 활동자료 입력'!S15)</f>
        <v/>
      </c>
      <c r="S20" s="100" t="str">
        <f>IF('3. 기준연도 활동자료 입력'!T15="", "", '3. 기준연도 활동자료 입력'!T15)</f>
        <v/>
      </c>
    </row>
    <row r="21" spans="2:19" ht="21" customHeight="1" x14ac:dyDescent="0.3">
      <c r="B21" s="548" t="s">
        <v>85</v>
      </c>
      <c r="C21" s="543" t="s">
        <v>154</v>
      </c>
      <c r="D21" s="366" t="str">
        <f>IF('3. 기준연도 활동자료 입력'!D16="","",'3. 기준연도 활동자료 입력'!D16)</f>
        <v>사업장 단위 전기사용시설</v>
      </c>
      <c r="E21" s="366" t="str">
        <f>IF('3. 기준연도 활동자료 입력'!E16="","",'3. 기준연도 활동자료 입력'!E16)</f>
        <v>전기(소비기준)</v>
      </c>
      <c r="F21" s="97" t="str">
        <f>IF('3. 기준연도 활동자료 입력'!F16="","",'3. 기준연도 활동자료 입력'!F16)</f>
        <v>kWh</v>
      </c>
      <c r="G21" s="98">
        <f t="shared" si="0"/>
        <v>448581.99999999994</v>
      </c>
      <c r="H21" s="99">
        <f>IF('3. 기준연도 활동자료 입력'!I16="", "", '3. 기준연도 활동자료 입력'!I16)</f>
        <v>37381.833333333336</v>
      </c>
      <c r="I21" s="99">
        <f>IF('3. 기준연도 활동자료 입력'!J16="", "", '3. 기준연도 활동자료 입력'!J16)</f>
        <v>37381.833333333336</v>
      </c>
      <c r="J21" s="99">
        <f>IF('3. 기준연도 활동자료 입력'!K16="", "", '3. 기준연도 활동자료 입력'!K16)</f>
        <v>37381.833333333336</v>
      </c>
      <c r="K21" s="99">
        <f>IF('3. 기준연도 활동자료 입력'!L16="", "", '3. 기준연도 활동자료 입력'!L16)</f>
        <v>37381.833333333336</v>
      </c>
      <c r="L21" s="99">
        <f>IF('3. 기준연도 활동자료 입력'!M16="", "", '3. 기준연도 활동자료 입력'!M16)</f>
        <v>37381.833333333336</v>
      </c>
      <c r="M21" s="99">
        <f>IF('3. 기준연도 활동자료 입력'!N16="", "", '3. 기준연도 활동자료 입력'!N16)</f>
        <v>37381.833333333336</v>
      </c>
      <c r="N21" s="99">
        <f>IF('3. 기준연도 활동자료 입력'!O16="", "", '3. 기준연도 활동자료 입력'!O16)</f>
        <v>37381.833333333336</v>
      </c>
      <c r="O21" s="99">
        <f>IF('3. 기준연도 활동자료 입력'!P16="", "", '3. 기준연도 활동자료 입력'!P16)</f>
        <v>37381.833333333336</v>
      </c>
      <c r="P21" s="99">
        <f>IF('3. 기준연도 활동자료 입력'!Q16="", "", '3. 기준연도 활동자료 입력'!Q16)</f>
        <v>37381.833333333336</v>
      </c>
      <c r="Q21" s="99">
        <f>IF('3. 기준연도 활동자료 입력'!R16="", "", '3. 기준연도 활동자료 입력'!R16)</f>
        <v>37381.833333333336</v>
      </c>
      <c r="R21" s="99">
        <f>IF('3. 기준연도 활동자료 입력'!S16="", "", '3. 기준연도 활동자료 입력'!S16)</f>
        <v>37381.833333333336</v>
      </c>
      <c r="S21" s="100">
        <f>IF('3. 기준연도 활동자료 입력'!T16="", "", '3. 기준연도 활동자료 입력'!T16)</f>
        <v>37381.833333333336</v>
      </c>
    </row>
    <row r="22" spans="2:19" ht="21" customHeight="1" x14ac:dyDescent="0.3">
      <c r="B22" s="549"/>
      <c r="C22" s="543"/>
      <c r="D22" s="366" t="str">
        <f>IF('3. 기준연도 활동자료 입력'!D17="","",'3. 기준연도 활동자료 입력'!D17)</f>
        <v/>
      </c>
      <c r="E22" s="366" t="str">
        <f>IF('3. 기준연도 활동자료 입력'!E17="","",'3. 기준연도 활동자료 입력'!E17)</f>
        <v/>
      </c>
      <c r="F22" s="97" t="str">
        <f>IF('3. 기준연도 활동자료 입력'!F17="","",'3. 기준연도 활동자료 입력'!F17)</f>
        <v/>
      </c>
      <c r="G22" s="98">
        <f t="shared" si="0"/>
        <v>0</v>
      </c>
      <c r="H22" s="99" t="str">
        <f>IF('3. 기준연도 활동자료 입력'!I17="", "", '3. 기준연도 활동자료 입력'!I17)</f>
        <v/>
      </c>
      <c r="I22" s="99" t="str">
        <f>IF('3. 기준연도 활동자료 입력'!J17="", "", '3. 기준연도 활동자료 입력'!J17)</f>
        <v/>
      </c>
      <c r="J22" s="99" t="str">
        <f>IF('3. 기준연도 활동자료 입력'!K17="", "", '3. 기준연도 활동자료 입력'!K17)</f>
        <v/>
      </c>
      <c r="K22" s="99" t="str">
        <f>IF('3. 기준연도 활동자료 입력'!L17="", "", '3. 기준연도 활동자료 입력'!L17)</f>
        <v/>
      </c>
      <c r="L22" s="99" t="str">
        <f>IF('3. 기준연도 활동자료 입력'!M17="", "", '3. 기준연도 활동자료 입력'!M17)</f>
        <v/>
      </c>
      <c r="M22" s="99" t="str">
        <f>IF('3. 기준연도 활동자료 입력'!N17="", "", '3. 기준연도 활동자료 입력'!N17)</f>
        <v/>
      </c>
      <c r="N22" s="99" t="str">
        <f>IF('3. 기준연도 활동자료 입력'!O17="", "", '3. 기준연도 활동자료 입력'!O17)</f>
        <v/>
      </c>
      <c r="O22" s="99" t="str">
        <f>IF('3. 기준연도 활동자료 입력'!P17="", "", '3. 기준연도 활동자료 입력'!P17)</f>
        <v/>
      </c>
      <c r="P22" s="99" t="str">
        <f>IF('3. 기준연도 활동자료 입력'!Q17="", "", '3. 기준연도 활동자료 입력'!Q17)</f>
        <v/>
      </c>
      <c r="Q22" s="99" t="str">
        <f>IF('3. 기준연도 활동자료 입력'!R17="", "", '3. 기준연도 활동자료 입력'!R17)</f>
        <v/>
      </c>
      <c r="R22" s="99" t="str">
        <f>IF('3. 기준연도 활동자료 입력'!S17="", "", '3. 기준연도 활동자료 입력'!S17)</f>
        <v/>
      </c>
      <c r="S22" s="100" t="str">
        <f>IF('3. 기준연도 활동자료 입력'!T17="", "", '3. 기준연도 활동자료 입력'!T17)</f>
        <v/>
      </c>
    </row>
    <row r="23" spans="2:19" ht="21" customHeight="1" x14ac:dyDescent="0.3">
      <c r="B23" s="549"/>
      <c r="C23" s="543" t="s">
        <v>155</v>
      </c>
      <c r="D23" s="366" t="str">
        <f>IF('3. 기준연도 활동자료 입력'!D18="","",'3. 기준연도 활동자료 입력'!D18)</f>
        <v/>
      </c>
      <c r="E23" s="366" t="str">
        <f>IF('3. 기준연도 활동자료 입력'!E18="","",'3. 기준연도 활동자료 입력'!E18)</f>
        <v/>
      </c>
      <c r="F23" s="97" t="str">
        <f>IF('3. 기준연도 활동자료 입력'!F18="","",'3. 기준연도 활동자료 입력'!F18)</f>
        <v/>
      </c>
      <c r="G23" s="98">
        <f t="shared" si="0"/>
        <v>0</v>
      </c>
      <c r="H23" s="99" t="str">
        <f>IF('3. 기준연도 활동자료 입력'!I18="", "", '3. 기준연도 활동자료 입력'!I18)</f>
        <v/>
      </c>
      <c r="I23" s="99" t="str">
        <f>IF('3. 기준연도 활동자료 입력'!J18="", "", '3. 기준연도 활동자료 입력'!J18)</f>
        <v/>
      </c>
      <c r="J23" s="99" t="str">
        <f>IF('3. 기준연도 활동자료 입력'!K18="", "", '3. 기준연도 활동자료 입력'!K18)</f>
        <v/>
      </c>
      <c r="K23" s="99" t="str">
        <f>IF('3. 기준연도 활동자료 입력'!L18="", "", '3. 기준연도 활동자료 입력'!L18)</f>
        <v/>
      </c>
      <c r="L23" s="99" t="str">
        <f>IF('3. 기준연도 활동자료 입력'!M18="", "", '3. 기준연도 활동자료 입력'!M18)</f>
        <v/>
      </c>
      <c r="M23" s="99" t="str">
        <f>IF('3. 기준연도 활동자료 입력'!N18="", "", '3. 기준연도 활동자료 입력'!N18)</f>
        <v/>
      </c>
      <c r="N23" s="99" t="str">
        <f>IF('3. 기준연도 활동자료 입력'!O18="", "", '3. 기준연도 활동자료 입력'!O18)</f>
        <v/>
      </c>
      <c r="O23" s="99" t="str">
        <f>IF('3. 기준연도 활동자료 입력'!P18="", "", '3. 기준연도 활동자료 입력'!P18)</f>
        <v/>
      </c>
      <c r="P23" s="99" t="str">
        <f>IF('3. 기준연도 활동자료 입력'!Q18="", "", '3. 기준연도 활동자료 입력'!Q18)</f>
        <v/>
      </c>
      <c r="Q23" s="99" t="str">
        <f>IF('3. 기준연도 활동자료 입력'!R18="", "", '3. 기준연도 활동자료 입력'!R18)</f>
        <v/>
      </c>
      <c r="R23" s="99" t="str">
        <f>IF('3. 기준연도 활동자료 입력'!S18="", "", '3. 기준연도 활동자료 입력'!S18)</f>
        <v/>
      </c>
      <c r="S23" s="100" t="str">
        <f>IF('3. 기준연도 활동자료 입력'!T18="", "", '3. 기준연도 활동자료 입력'!T18)</f>
        <v/>
      </c>
    </row>
    <row r="24" spans="2:19" ht="21" customHeight="1" thickBot="1" x14ac:dyDescent="0.35">
      <c r="B24" s="550"/>
      <c r="C24" s="551"/>
      <c r="D24" s="367" t="str">
        <f>IF('3. 기준연도 활동자료 입력'!D19="","",'3. 기준연도 활동자료 입력'!D19)</f>
        <v/>
      </c>
      <c r="E24" s="367" t="str">
        <f>IF('3. 기준연도 활동자료 입력'!E19="","",'3. 기준연도 활동자료 입력'!E19)</f>
        <v/>
      </c>
      <c r="F24" s="101" t="str">
        <f>IF('3. 기준연도 활동자료 입력'!F19="","",'3. 기준연도 활동자료 입력'!F19)</f>
        <v/>
      </c>
      <c r="G24" s="102">
        <f t="shared" si="0"/>
        <v>0</v>
      </c>
      <c r="H24" s="103" t="str">
        <f>IF('3. 기준연도 활동자료 입력'!I19="", "", '3. 기준연도 활동자료 입력'!I19)</f>
        <v/>
      </c>
      <c r="I24" s="103" t="str">
        <f>IF('3. 기준연도 활동자료 입력'!J19="", "", '3. 기준연도 활동자료 입력'!J19)</f>
        <v/>
      </c>
      <c r="J24" s="103" t="str">
        <f>IF('3. 기준연도 활동자료 입력'!K19="", "", '3. 기준연도 활동자료 입력'!K19)</f>
        <v/>
      </c>
      <c r="K24" s="103" t="str">
        <f>IF('3. 기준연도 활동자료 입력'!L19="", "", '3. 기준연도 활동자료 입력'!L19)</f>
        <v/>
      </c>
      <c r="L24" s="103" t="str">
        <f>IF('3. 기준연도 활동자료 입력'!M19="", "", '3. 기준연도 활동자료 입력'!M19)</f>
        <v/>
      </c>
      <c r="M24" s="103" t="str">
        <f>IF('3. 기준연도 활동자료 입력'!N19="", "", '3. 기준연도 활동자료 입력'!N19)</f>
        <v/>
      </c>
      <c r="N24" s="103" t="str">
        <f>IF('3. 기준연도 활동자료 입력'!O19="", "", '3. 기준연도 활동자료 입력'!O19)</f>
        <v/>
      </c>
      <c r="O24" s="103" t="str">
        <f>IF('3. 기준연도 활동자료 입력'!P19="", "", '3. 기준연도 활동자료 입력'!P19)</f>
        <v/>
      </c>
      <c r="P24" s="103" t="str">
        <f>IF('3. 기준연도 활동자료 입력'!Q19="", "", '3. 기준연도 활동자료 입력'!Q19)</f>
        <v/>
      </c>
      <c r="Q24" s="103" t="str">
        <f>IF('3. 기준연도 활동자료 입력'!R19="", "", '3. 기준연도 활동자료 입력'!R19)</f>
        <v/>
      </c>
      <c r="R24" s="103" t="str">
        <f>IF('3. 기준연도 활동자료 입력'!S19="", "", '3. 기준연도 활동자료 입력'!S19)</f>
        <v/>
      </c>
      <c r="S24" s="104" t="str">
        <f>IF('3. 기준연도 활동자료 입력'!T19="", "", '3. 기준연도 활동자료 입력'!T19)</f>
        <v/>
      </c>
    </row>
    <row r="25" spans="2:19" x14ac:dyDescent="0.3">
      <c r="E25" s="68"/>
      <c r="G25" s="68"/>
      <c r="H25" s="14"/>
      <c r="I25" s="14"/>
      <c r="J25" s="14"/>
      <c r="K25" s="14"/>
    </row>
    <row r="26" spans="2:19" x14ac:dyDescent="0.3">
      <c r="E26" s="68"/>
      <c r="G26" s="14"/>
      <c r="H26" s="14"/>
      <c r="I26" s="14"/>
      <c r="J26" s="14"/>
      <c r="K26" s="14"/>
    </row>
    <row r="27" spans="2:19" ht="17.25" thickBot="1" x14ac:dyDescent="0.35">
      <c r="F27" s="13"/>
    </row>
    <row r="28" spans="2:19" ht="33" customHeight="1" thickBot="1" x14ac:dyDescent="0.35">
      <c r="B28" s="73" t="s">
        <v>46</v>
      </c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5"/>
    </row>
    <row r="29" spans="2:19" ht="22.5" customHeight="1" x14ac:dyDescent="0.3">
      <c r="B29" s="512" t="s">
        <v>78</v>
      </c>
      <c r="C29" s="513"/>
      <c r="D29" s="516" t="s">
        <v>71</v>
      </c>
      <c r="E29" s="518" t="s">
        <v>42</v>
      </c>
      <c r="F29" s="520" t="s">
        <v>17</v>
      </c>
      <c r="G29" s="522" t="s">
        <v>38</v>
      </c>
      <c r="H29" s="523"/>
      <c r="I29" s="523"/>
      <c r="J29" s="523"/>
      <c r="K29" s="523"/>
      <c r="L29" s="523"/>
      <c r="M29" s="523"/>
      <c r="N29" s="523"/>
      <c r="O29" s="523"/>
      <c r="P29" s="523"/>
      <c r="Q29" s="523"/>
      <c r="R29" s="523"/>
      <c r="S29" s="524"/>
    </row>
    <row r="30" spans="2:19" ht="22.5" customHeight="1" thickBot="1" x14ac:dyDescent="0.35">
      <c r="B30" s="514"/>
      <c r="C30" s="515"/>
      <c r="D30" s="517"/>
      <c r="E30" s="519"/>
      <c r="F30" s="521"/>
      <c r="G30" s="79" t="s">
        <v>21</v>
      </c>
      <c r="H30" s="80" t="s">
        <v>22</v>
      </c>
      <c r="I30" s="80" t="s">
        <v>23</v>
      </c>
      <c r="J30" s="80" t="s">
        <v>24</v>
      </c>
      <c r="K30" s="80" t="s">
        <v>25</v>
      </c>
      <c r="L30" s="80" t="s">
        <v>26</v>
      </c>
      <c r="M30" s="80" t="s">
        <v>27</v>
      </c>
      <c r="N30" s="80" t="s">
        <v>28</v>
      </c>
      <c r="O30" s="80" t="s">
        <v>29</v>
      </c>
      <c r="P30" s="80" t="s">
        <v>30</v>
      </c>
      <c r="Q30" s="80" t="s">
        <v>31</v>
      </c>
      <c r="R30" s="80" t="s">
        <v>32</v>
      </c>
      <c r="S30" s="81" t="s">
        <v>33</v>
      </c>
    </row>
    <row r="31" spans="2:19" ht="21" customHeight="1" x14ac:dyDescent="0.3">
      <c r="B31" s="537" t="s">
        <v>84</v>
      </c>
      <c r="C31" s="540" t="s">
        <v>59</v>
      </c>
      <c r="D31" s="530" t="str">
        <f>D13</f>
        <v/>
      </c>
      <c r="E31" s="530" t="str">
        <f>E13</f>
        <v/>
      </c>
      <c r="F31" s="105" t="s">
        <v>35</v>
      </c>
      <c r="G31" s="106" t="str">
        <f>IF(OR($G$13="", $G$13=0), "", SUM(H31:S31))</f>
        <v/>
      </c>
      <c r="H31" s="107" t="str">
        <f>IF(H13="","",H13*(VLOOKUP($E$31,Reference!$B$5:$G$30,COLUMN(Reference!$G$2)-COLUMN(Reference!$B$2)+1,0)/(10^6)*(VLOOKUP($E$31,Reference!$B$5:$H$30,COLUMN(Reference!$H$2)-COLUMN(Reference!$B$2)+1,0)/(10^3))))</f>
        <v/>
      </c>
      <c r="I31" s="107" t="str">
        <f>IF(I13="","",I13*(VLOOKUP($E$31,Reference!$B$5:$G$30,COLUMN(Reference!$G$2)-COLUMN(Reference!$B$2)+1,0)/(10^6)*(VLOOKUP($E$31,Reference!$B$5:$H$30,COLUMN(Reference!$H$2)-COLUMN(Reference!$B$2)+1,0)/(10^3))))</f>
        <v/>
      </c>
      <c r="J31" s="107" t="str">
        <f>IF(J13="","",J13*(VLOOKUP($E$31,Reference!$B$5:$G$30,COLUMN(Reference!$G$2)-COLUMN(Reference!$B$2)+1,0)/(10^6)*(VLOOKUP($E$31,Reference!$B$5:$H$30,COLUMN(Reference!$H$2)-COLUMN(Reference!$B$2)+1,0)/(10^3))))</f>
        <v/>
      </c>
      <c r="K31" s="107" t="str">
        <f>IF(K13="","",K13*(VLOOKUP($E$31,Reference!$B$5:$G$30,COLUMN(Reference!$G$2)-COLUMN(Reference!$B$2)+1,0)/(10^6)*(VLOOKUP($E$31,Reference!$B$5:$H$30,COLUMN(Reference!$H$2)-COLUMN(Reference!$B$2)+1,0)/(10^3))))</f>
        <v/>
      </c>
      <c r="L31" s="107" t="str">
        <f>IF(L13="","",L13*(VLOOKUP($E$31,Reference!$B$5:$G$30,COLUMN(Reference!$G$2)-COLUMN(Reference!$B$2)+1,0)/(10^6)*(VLOOKUP($E$31,Reference!$B$5:$H$30,COLUMN(Reference!$H$2)-COLUMN(Reference!$B$2)+1,0)/(10^3))))</f>
        <v/>
      </c>
      <c r="M31" s="107" t="str">
        <f>IF(M13="","",M13*(VLOOKUP($E$31,Reference!$B$5:$G$30,COLUMN(Reference!$G$2)-COLUMN(Reference!$B$2)+1,0)/(10^6)*(VLOOKUP($E$31,Reference!$B$5:$H$30,COLUMN(Reference!$H$2)-COLUMN(Reference!$B$2)+1,0)/(10^3))))</f>
        <v/>
      </c>
      <c r="N31" s="107" t="str">
        <f>IF(N13="","",N13*(VLOOKUP($E$31,Reference!$B$5:$G$30,COLUMN(Reference!$G$2)-COLUMN(Reference!$B$2)+1,0)/(10^6)*(VLOOKUP($E$31,Reference!$B$5:$H$30,COLUMN(Reference!$H$2)-COLUMN(Reference!$B$2)+1,0)/(10^3))))</f>
        <v/>
      </c>
      <c r="O31" s="107" t="str">
        <f>IF(O13="","",O13*(VLOOKUP($E$31,Reference!$B$5:$G$30,COLUMN(Reference!$G$2)-COLUMN(Reference!$B$2)+1,0)/(10^6)*(VLOOKUP($E$31,Reference!$B$5:$H$30,COLUMN(Reference!$H$2)-COLUMN(Reference!$B$2)+1,0)/(10^3))))</f>
        <v/>
      </c>
      <c r="P31" s="107" t="str">
        <f>IF(P13="","",P13*(VLOOKUP($E$31,Reference!$B$5:$G$30,COLUMN(Reference!$G$2)-COLUMN(Reference!$B$2)+1,0)/(10^6)*(VLOOKUP($E$31,Reference!$B$5:$H$30,COLUMN(Reference!$H$2)-COLUMN(Reference!$B$2)+1,0)/(10^3))))</f>
        <v/>
      </c>
      <c r="Q31" s="107" t="str">
        <f>IF(Q13="","",Q13*(VLOOKUP($E$31,Reference!$B$5:$G$30,COLUMN(Reference!$G$2)-COLUMN(Reference!$B$2)+1,0)/(10^6)*(VLOOKUP($E$31,Reference!$B$5:$H$30,COLUMN(Reference!$H$2)-COLUMN(Reference!$B$2)+1,0)/(10^3))))</f>
        <v/>
      </c>
      <c r="R31" s="107" t="str">
        <f>IF(R13="","",R13*(VLOOKUP($E$31,Reference!$B$5:$G$30,COLUMN(Reference!$G$2)-COLUMN(Reference!$B$2)+1,0)/(10^6)*(VLOOKUP($E$31,Reference!$B$5:$H$30,COLUMN(Reference!$H$2)-COLUMN(Reference!$B$2)+1,0)/(10^3))))</f>
        <v/>
      </c>
      <c r="S31" s="108" t="str">
        <f>IF(S13="","",S13*(VLOOKUP($E$31,Reference!$B$5:$G$30,COLUMN(Reference!$G$2)-COLUMN(Reference!$B$2)+1,0)/(10^6)*(VLOOKUP($E$31,Reference!$B$5:$H$30,COLUMN(Reference!$H$2)-COLUMN(Reference!$B$2)+1,0)/(10^3))))</f>
        <v/>
      </c>
    </row>
    <row r="32" spans="2:19" ht="21" customHeight="1" x14ac:dyDescent="0.3">
      <c r="B32" s="538"/>
      <c r="C32" s="505"/>
      <c r="D32" s="531"/>
      <c r="E32" s="531"/>
      <c r="F32" s="109" t="s">
        <v>256</v>
      </c>
      <c r="G32" s="110" t="str">
        <f t="shared" ref="G32:G34" si="1">IF(OR($G$13="", $G$13=0), "", SUM(H32:S32))</f>
        <v/>
      </c>
      <c r="H32" s="111" t="str">
        <f>IF(H13="","",H13*(VLOOKUP($E$31,Reference!$B$5:$G$30,COLUMN(Reference!$G$2)-COLUMN(Reference!$B$2)+1,0)/(10^6)*(VLOOKUP($E$31,Reference!$B$5:$I$30,COLUMN(Reference!$I$2)-COLUMN(Reference!$B$2)+1,0)/(10^3))))</f>
        <v/>
      </c>
      <c r="I32" s="111" t="str">
        <f>IF(I13="","",I13*(VLOOKUP($E$31,Reference!$B$5:$G$30,COLUMN(Reference!$G$2)-COLUMN(Reference!$B$2)+1,0)/(10^6)*(VLOOKUP($E$31,Reference!$B$5:$I$30,COLUMN(Reference!$I$2)-COLUMN(Reference!$B$2)+1,0)/(10^3))))</f>
        <v/>
      </c>
      <c r="J32" s="111" t="str">
        <f>IF(J13="","",J13*(VLOOKUP($E$31,Reference!$B$5:$G$30,COLUMN(Reference!$G$2)-COLUMN(Reference!$B$2)+1,0)/(10^6)*(VLOOKUP($E$31,Reference!$B$5:$I$30,COLUMN(Reference!$I$2)-COLUMN(Reference!$B$2)+1,0)/(10^3))))</f>
        <v/>
      </c>
      <c r="K32" s="111" t="str">
        <f>IF(K13="","",K13*(VLOOKUP($E$31,Reference!$B$5:$G$30,COLUMN(Reference!$G$2)-COLUMN(Reference!$B$2)+1,0)/(10^6)*(VLOOKUP($E$31,Reference!$B$5:$I$30,COLUMN(Reference!$I$2)-COLUMN(Reference!$B$2)+1,0)/(10^3))))</f>
        <v/>
      </c>
      <c r="L32" s="111" t="str">
        <f>IF(L13="","",L13*(VLOOKUP($E$31,Reference!$B$5:$G$30,COLUMN(Reference!$G$2)-COLUMN(Reference!$B$2)+1,0)/(10^6)*(VLOOKUP($E$31,Reference!$B$5:$I$30,COLUMN(Reference!$I$2)-COLUMN(Reference!$B$2)+1,0)/(10^3))))</f>
        <v/>
      </c>
      <c r="M32" s="111" t="str">
        <f>IF(M13="","",M13*(VLOOKUP($E$31,Reference!$B$5:$G$30,COLUMN(Reference!$G$2)-COLUMN(Reference!$B$2)+1,0)/(10^6)*(VLOOKUP($E$31,Reference!$B$5:$I$30,COLUMN(Reference!$I$2)-COLUMN(Reference!$B$2)+1,0)/(10^3))))</f>
        <v/>
      </c>
      <c r="N32" s="111" t="str">
        <f>IF(N13="","",N13*(VLOOKUP($E$31,Reference!$B$5:$G$30,COLUMN(Reference!$G$2)-COLUMN(Reference!$B$2)+1,0)/(10^6)*(VLOOKUP($E$31,Reference!$B$5:$I$30,COLUMN(Reference!$I$2)-COLUMN(Reference!$B$2)+1,0)/(10^3))))</f>
        <v/>
      </c>
      <c r="O32" s="111" t="str">
        <f>IF(O13="","",O13*(VLOOKUP($E$31,Reference!$B$5:$G$30,COLUMN(Reference!$G$2)-COLUMN(Reference!$B$2)+1,0)/(10^6)*(VLOOKUP($E$31,Reference!$B$5:$I$30,COLUMN(Reference!$I$2)-COLUMN(Reference!$B$2)+1,0)/(10^3))))</f>
        <v/>
      </c>
      <c r="P32" s="111" t="str">
        <f>IF(P13="","",P13*(VLOOKUP($E$31,Reference!$B$5:$G$30,COLUMN(Reference!$G$2)-COLUMN(Reference!$B$2)+1,0)/(10^6)*(VLOOKUP($E$31,Reference!$B$5:$I$30,COLUMN(Reference!$I$2)-COLUMN(Reference!$B$2)+1,0)/(10^3))))</f>
        <v/>
      </c>
      <c r="Q32" s="111" t="str">
        <f>IF(Q13="","",Q13*(VLOOKUP($E$31,Reference!$B$5:$G$30,COLUMN(Reference!$G$2)-COLUMN(Reference!$B$2)+1,0)/(10^6)*(VLOOKUP($E$31,Reference!$B$5:$I$30,COLUMN(Reference!$I$2)-COLUMN(Reference!$B$2)+1,0)/(10^3))))</f>
        <v/>
      </c>
      <c r="R32" s="111" t="str">
        <f>IF(R13="","",R13*(VLOOKUP($E$31,Reference!$B$5:$G$30,COLUMN(Reference!$G$2)-COLUMN(Reference!$B$2)+1,0)/(10^6)*(VLOOKUP($E$31,Reference!$B$5:$I$30,COLUMN(Reference!$I$2)-COLUMN(Reference!$B$2)+1,0)/(10^3))))</f>
        <v/>
      </c>
      <c r="S32" s="112" t="str">
        <f>IF(S13="","",S13*(VLOOKUP($E$31,Reference!$B$5:$G$30,COLUMN(Reference!$G$2)-COLUMN(Reference!$B$2)+1,0)/(10^6)*(VLOOKUP($E$31,Reference!$B$5:$I$30,COLUMN(Reference!$I$2)-COLUMN(Reference!$B$2)+1,0)/(10^3))))</f>
        <v/>
      </c>
    </row>
    <row r="33" spans="2:19" ht="21" customHeight="1" x14ac:dyDescent="0.3">
      <c r="B33" s="538"/>
      <c r="C33" s="505"/>
      <c r="D33" s="531"/>
      <c r="E33" s="531"/>
      <c r="F33" s="109" t="s">
        <v>257</v>
      </c>
      <c r="G33" s="110" t="str">
        <f t="shared" si="1"/>
        <v/>
      </c>
      <c r="H33" s="111" t="str">
        <f>IF(H13="","",H13*(VLOOKUP($E$31,Reference!$B$5:$G$30,COLUMN(Reference!$G$2)-COLUMN(Reference!$B$2)+1,0)/(10^6)*(VLOOKUP($E$31,Reference!$B$5:$J$30,COLUMN(Reference!$J$2)-COLUMN(Reference!$B$2)+1,0)/(10^3))))</f>
        <v/>
      </c>
      <c r="I33" s="111" t="str">
        <f>IF(I13="","",I13*(VLOOKUP($E$31,Reference!$B$5:$G$30,COLUMN(Reference!$G$2)-COLUMN(Reference!$B$2)+1,0)/(10^6)*(VLOOKUP($E$31,Reference!$B$5:$J$30,COLUMN(Reference!$J$2)-COLUMN(Reference!$B$2)+1,0)/(10^3))))</f>
        <v/>
      </c>
      <c r="J33" s="111" t="str">
        <f>IF(J13="","",J13*(VLOOKUP($E$31,Reference!$B$5:$G$30,COLUMN(Reference!$G$2)-COLUMN(Reference!$B$2)+1,0)/(10^6)*(VLOOKUP($E$31,Reference!$B$5:$J$30,COLUMN(Reference!$J$2)-COLUMN(Reference!$B$2)+1,0)/(10^3))))</f>
        <v/>
      </c>
      <c r="K33" s="111" t="str">
        <f>IF(K13="","",K13*(VLOOKUP($E$31,Reference!$B$5:$G$30,COLUMN(Reference!$G$2)-COLUMN(Reference!$B$2)+1,0)/(10^6)*(VLOOKUP($E$31,Reference!$B$5:$J$30,COLUMN(Reference!$J$2)-COLUMN(Reference!$B$2)+1,0)/(10^3))))</f>
        <v/>
      </c>
      <c r="L33" s="111" t="str">
        <f>IF(L13="","",L13*(VLOOKUP($E$31,Reference!$B$5:$G$30,COLUMN(Reference!$G$2)-COLUMN(Reference!$B$2)+1,0)/(10^6)*(VLOOKUP($E$31,Reference!$B$5:$J$30,COLUMN(Reference!$J$2)-COLUMN(Reference!$B$2)+1,0)/(10^3))))</f>
        <v/>
      </c>
      <c r="M33" s="111" t="str">
        <f>IF(M13="","",M13*(VLOOKUP($E$31,Reference!$B$5:$G$30,COLUMN(Reference!$G$2)-COLUMN(Reference!$B$2)+1,0)/(10^6)*(VLOOKUP($E$31,Reference!$B$5:$J$30,COLUMN(Reference!$J$2)-COLUMN(Reference!$B$2)+1,0)/(10^3))))</f>
        <v/>
      </c>
      <c r="N33" s="111" t="str">
        <f>IF(N13="","",N13*(VLOOKUP($E$31,Reference!$B$5:$G$30,COLUMN(Reference!$G$2)-COLUMN(Reference!$B$2)+1,0)/(10^6)*(VLOOKUP($E$31,Reference!$B$5:$J$30,COLUMN(Reference!$J$2)-COLUMN(Reference!$B$2)+1,0)/(10^3))))</f>
        <v/>
      </c>
      <c r="O33" s="111" t="str">
        <f>IF(O13="","",O13*(VLOOKUP($E$31,Reference!$B$5:$G$30,COLUMN(Reference!$G$2)-COLUMN(Reference!$B$2)+1,0)/(10^6)*(VLOOKUP($E$31,Reference!$B$5:$J$30,COLUMN(Reference!$J$2)-COLUMN(Reference!$B$2)+1,0)/(10^3))))</f>
        <v/>
      </c>
      <c r="P33" s="111" t="str">
        <f>IF(P13="","",P13*(VLOOKUP($E$31,Reference!$B$5:$G$30,COLUMN(Reference!$G$2)-COLUMN(Reference!$B$2)+1,0)/(10^6)*(VLOOKUP($E$31,Reference!$B$5:$J$30,COLUMN(Reference!$J$2)-COLUMN(Reference!$B$2)+1,0)/(10^3))))</f>
        <v/>
      </c>
      <c r="Q33" s="111" t="str">
        <f>IF(Q13="","",Q13*(VLOOKUP($E$31,Reference!$B$5:$G$30,COLUMN(Reference!$G$2)-COLUMN(Reference!$B$2)+1,0)/(10^6)*(VLOOKUP($E$31,Reference!$B$5:$J$30,COLUMN(Reference!$J$2)-COLUMN(Reference!$B$2)+1,0)/(10^3))))</f>
        <v/>
      </c>
      <c r="R33" s="111" t="str">
        <f>IF(R13="","",R13*(VLOOKUP($E$31,Reference!$B$5:$G$30,COLUMN(Reference!$G$2)-COLUMN(Reference!$B$2)+1,0)/(10^6)*(VLOOKUP($E$31,Reference!$B$5:$J$30,COLUMN(Reference!$J$2)-COLUMN(Reference!$B$2)+1,0)/(10^3))))</f>
        <v/>
      </c>
      <c r="S33" s="112" t="str">
        <f>IF(S13="","",S13*(VLOOKUP($E$31,Reference!$B$5:$G$30,COLUMN(Reference!$G$2)-COLUMN(Reference!$B$2)+1,0)/(10^6)*(VLOOKUP($E$31,Reference!$B$5:$J$30,COLUMN(Reference!$J$2)-COLUMN(Reference!$B$2)+1,0)/(10^3))))</f>
        <v/>
      </c>
    </row>
    <row r="34" spans="2:19" ht="21" customHeight="1" x14ac:dyDescent="0.3">
      <c r="B34" s="538"/>
      <c r="C34" s="505"/>
      <c r="D34" s="532"/>
      <c r="E34" s="532"/>
      <c r="F34" s="113" t="s">
        <v>34</v>
      </c>
      <c r="G34" s="110" t="str">
        <f t="shared" si="1"/>
        <v/>
      </c>
      <c r="H34" s="114" t="str">
        <f>IF($G$31="", "", (H31*Reference!$B$54)+(H32*Reference!$C$54)+('4. 기준연도 배출량 산정'!H33*Reference!$D$54))</f>
        <v/>
      </c>
      <c r="I34" s="114" t="str">
        <f>IF($G$31="", "", (I31*Reference!$B$54)+(I32*Reference!$C$54)+('4. 기준연도 배출량 산정'!I33*Reference!$D$54))</f>
        <v/>
      </c>
      <c r="J34" s="114" t="str">
        <f>IF($G$31="", "", (J31*Reference!$B$54)+(J32*Reference!$C$54)+('4. 기준연도 배출량 산정'!J33*Reference!$D$54))</f>
        <v/>
      </c>
      <c r="K34" s="114" t="str">
        <f>IF($G$31="", "", (K31*Reference!$B$54)+(K32*Reference!$C$54)+('4. 기준연도 배출량 산정'!K33*Reference!$D$54))</f>
        <v/>
      </c>
      <c r="L34" s="114" t="str">
        <f>IF($G$31="", "", (L31*Reference!$B$54)+(L32*Reference!$C$54)+('4. 기준연도 배출량 산정'!L33*Reference!$D$54))</f>
        <v/>
      </c>
      <c r="M34" s="114" t="str">
        <f>IF($G$31="", "", (M31*Reference!$B$54)+(M32*Reference!$C$54)+('4. 기준연도 배출량 산정'!M33*Reference!$D$54))</f>
        <v/>
      </c>
      <c r="N34" s="114" t="str">
        <f>IF($G$31="", "", (N31*Reference!$B$54)+(N32*Reference!$C$54)+('4. 기준연도 배출량 산정'!N33*Reference!$D$54))</f>
        <v/>
      </c>
      <c r="O34" s="114" t="str">
        <f>IF($G$31="", "", (O31*Reference!$B$54)+(O32*Reference!$C$54)+('4. 기준연도 배출량 산정'!O33*Reference!$D$54))</f>
        <v/>
      </c>
      <c r="P34" s="114" t="str">
        <f>IF($G$31="", "", (P31*Reference!$B$54)+(P32*Reference!$C$54)+('4. 기준연도 배출량 산정'!P33*Reference!$D$54))</f>
        <v/>
      </c>
      <c r="Q34" s="114" t="str">
        <f>IF($G$31="", "", (Q31*Reference!$B$54)+(Q32*Reference!$C$54)+('4. 기준연도 배출량 산정'!Q33*Reference!$D$54))</f>
        <v/>
      </c>
      <c r="R34" s="114" t="str">
        <f>IF($G$31="", "", (R31*Reference!$B$54)+(R32*Reference!$C$54)+('4. 기준연도 배출량 산정'!R33*Reference!$D$54))</f>
        <v/>
      </c>
      <c r="S34" s="115" t="str">
        <f>IF($G$31="", "", (S31*Reference!$B$54)+(S32*Reference!$C$54)+('4. 기준연도 배출량 산정'!S33*Reference!$D$54))</f>
        <v/>
      </c>
    </row>
    <row r="35" spans="2:19" ht="21" customHeight="1" x14ac:dyDescent="0.3">
      <c r="B35" s="538"/>
      <c r="C35" s="505"/>
      <c r="D35" s="533" t="str">
        <f>D14</f>
        <v/>
      </c>
      <c r="E35" s="533" t="str">
        <f>E14</f>
        <v/>
      </c>
      <c r="F35" s="109" t="s">
        <v>35</v>
      </c>
      <c r="G35" s="110" t="str">
        <f>IF(OR($G$14="", $G$14=0), "", SUM(H35:S35))</f>
        <v/>
      </c>
      <c r="H35" s="116" t="str">
        <f>IF(H14="","",H14*(VLOOKUP($E$35,Reference!$B$5:$G$30,COLUMN(Reference!$G$2)-COLUMN(Reference!$B$2)+1,0)/(10^6)*(VLOOKUP($E$35,Reference!$B$5:$H$30,COLUMN(Reference!$H$2)-COLUMN(Reference!$B$2)+1,0)/(10^3))))</f>
        <v/>
      </c>
      <c r="I35" s="116" t="str">
        <f>IF(I14="","",I14*(VLOOKUP($E$35,Reference!$B$5:$G$30,COLUMN(Reference!$G$2)-COLUMN(Reference!$B$2)+1,0)/(10^6)*(VLOOKUP($E$35,Reference!$B$5:$H$30,COLUMN(Reference!$H$2)-COLUMN(Reference!$B$2)+1,0)/(10^3))))</f>
        <v/>
      </c>
      <c r="J35" s="116" t="str">
        <f>IF(J14="","",J14*(VLOOKUP($E$35,Reference!$B$5:$G$30,COLUMN(Reference!$G$2)-COLUMN(Reference!$B$2)+1,0)/(10^6)*(VLOOKUP($E$35,Reference!$B$5:$H$30,COLUMN(Reference!$H$2)-COLUMN(Reference!$B$2)+1,0)/(10^3))))</f>
        <v/>
      </c>
      <c r="K35" s="116" t="str">
        <f>IF(K14="","",K14*(VLOOKUP($E$35,Reference!$B$5:$G$30,COLUMN(Reference!$G$2)-COLUMN(Reference!$B$2)+1,0)/(10^6)*(VLOOKUP($E$35,Reference!$B$5:$H$30,COLUMN(Reference!$H$2)-COLUMN(Reference!$B$2)+1,0)/(10^3))))</f>
        <v/>
      </c>
      <c r="L35" s="116" t="str">
        <f>IF(L14="","",L14*(VLOOKUP($E$35,Reference!$B$5:$G$30,COLUMN(Reference!$G$2)-COLUMN(Reference!$B$2)+1,0)/(10^6)*(VLOOKUP($E$35,Reference!$B$5:$H$30,COLUMN(Reference!$H$2)-COLUMN(Reference!$B$2)+1,0)/(10^3))))</f>
        <v/>
      </c>
      <c r="M35" s="116" t="str">
        <f>IF(M14="","",M14*(VLOOKUP($E$35,Reference!$B$5:$G$30,COLUMN(Reference!$G$2)-COLUMN(Reference!$B$2)+1,0)/(10^6)*(VLOOKUP($E$35,Reference!$B$5:$H$30,COLUMN(Reference!$H$2)-COLUMN(Reference!$B$2)+1,0)/(10^3))))</f>
        <v/>
      </c>
      <c r="N35" s="116" t="str">
        <f>IF(N14="","",N14*(VLOOKUP($E$35,Reference!$B$5:$G$30,COLUMN(Reference!$G$2)-COLUMN(Reference!$B$2)+1,0)/(10^6)*(VLOOKUP($E$35,Reference!$B$5:$H$30,COLUMN(Reference!$H$2)-COLUMN(Reference!$B$2)+1,0)/(10^3))))</f>
        <v/>
      </c>
      <c r="O35" s="116" t="str">
        <f>IF(O14="","",O14*(VLOOKUP($E$35,Reference!$B$5:$G$30,COLUMN(Reference!$G$2)-COLUMN(Reference!$B$2)+1,0)/(10^6)*(VLOOKUP($E$35,Reference!$B$5:$H$30,COLUMN(Reference!$H$2)-COLUMN(Reference!$B$2)+1,0)/(10^3))))</f>
        <v/>
      </c>
      <c r="P35" s="116" t="str">
        <f>IF(P14="","",P14*(VLOOKUP($E$35,Reference!$B$5:$G$30,COLUMN(Reference!$G$2)-COLUMN(Reference!$B$2)+1,0)/(10^6)*(VLOOKUP($E$35,Reference!$B$5:$H$30,COLUMN(Reference!$H$2)-COLUMN(Reference!$B$2)+1,0)/(10^3))))</f>
        <v/>
      </c>
      <c r="Q35" s="116" t="str">
        <f>IF(Q14="","",Q14*(VLOOKUP($E$35,Reference!$B$5:$G$30,COLUMN(Reference!$G$2)-COLUMN(Reference!$B$2)+1,0)/(10^6)*(VLOOKUP($E$35,Reference!$B$5:$H$30,COLUMN(Reference!$H$2)-COLUMN(Reference!$B$2)+1,0)/(10^3))))</f>
        <v/>
      </c>
      <c r="R35" s="116" t="str">
        <f>IF(R14="","",R14*(VLOOKUP($E$35,Reference!$B$5:$G$30,COLUMN(Reference!$G$2)-COLUMN(Reference!$B$2)+1,0)/(10^6)*(VLOOKUP($E$35,Reference!$B$5:$H$30,COLUMN(Reference!$H$2)-COLUMN(Reference!$B$2)+1,0)/(10^3))))</f>
        <v/>
      </c>
      <c r="S35" s="117" t="str">
        <f>IF(S14="","",S14*(VLOOKUP($E$35,Reference!$B$5:$G$30,COLUMN(Reference!$G$2)-COLUMN(Reference!$B$2)+1,0)/(10^6)*(VLOOKUP($E$35,Reference!$B$5:$H$30,COLUMN(Reference!$H$2)-COLUMN(Reference!$B$2)+1,0)/(10^3))))</f>
        <v/>
      </c>
    </row>
    <row r="36" spans="2:19" ht="21" customHeight="1" x14ac:dyDescent="0.3">
      <c r="B36" s="538"/>
      <c r="C36" s="505"/>
      <c r="D36" s="531"/>
      <c r="E36" s="531"/>
      <c r="F36" s="109" t="s">
        <v>36</v>
      </c>
      <c r="G36" s="110" t="str">
        <f>IF(OR($G$14="", $G$14=0), "", SUM(H36:S36))</f>
        <v/>
      </c>
      <c r="H36" s="111" t="str">
        <f>IF(H14="","",H14*(VLOOKUP($E$35,Reference!$B$5:$G$30,COLUMN(Reference!$G$2)-COLUMN(Reference!$B$2)+1,0)/(10^6)*(VLOOKUP($E$35,Reference!$B$5:$I$30,COLUMN(Reference!$I$2)-COLUMN(Reference!$B$2)+1,0)/(10^3))))</f>
        <v/>
      </c>
      <c r="I36" s="111" t="str">
        <f>IF(I14="","",I14*(VLOOKUP($E$35,Reference!$B$5:$G$30,COLUMN(Reference!$G$2)-COLUMN(Reference!$B$2)+1,0)/(10^6)*(VLOOKUP($E$35,Reference!$B$5:$I$30,COLUMN(Reference!$I$2)-COLUMN(Reference!$B$2)+1,0)/(10^3))))</f>
        <v/>
      </c>
      <c r="J36" s="111" t="str">
        <f>IF(J14="","",J14*(VLOOKUP($E$35,Reference!$B$5:$G$30,COLUMN(Reference!$G$2)-COLUMN(Reference!$B$2)+1,0)/(10^6)*(VLOOKUP($E$35,Reference!$B$5:$I$30,COLUMN(Reference!$I$2)-COLUMN(Reference!$B$2)+1,0)/(10^3))))</f>
        <v/>
      </c>
      <c r="K36" s="111" t="str">
        <f>IF(K14="","",K14*(VLOOKUP($E$35,Reference!$B$5:$G$30,COLUMN(Reference!$G$2)-COLUMN(Reference!$B$2)+1,0)/(10^6)*(VLOOKUP($E$35,Reference!$B$5:$I$30,COLUMN(Reference!$I$2)-COLUMN(Reference!$B$2)+1,0)/(10^3))))</f>
        <v/>
      </c>
      <c r="L36" s="111" t="str">
        <f>IF(L14="","",L14*(VLOOKUP($E$35,Reference!$B$5:$G$30,COLUMN(Reference!$G$2)-COLUMN(Reference!$B$2)+1,0)/(10^6)*(VLOOKUP($E$35,Reference!$B$5:$I$30,COLUMN(Reference!$I$2)-COLUMN(Reference!$B$2)+1,0)/(10^3))))</f>
        <v/>
      </c>
      <c r="M36" s="111" t="str">
        <f>IF(M14="","",M14*(VLOOKUP($E$35,Reference!$B$5:$G$30,COLUMN(Reference!$G$2)-COLUMN(Reference!$B$2)+1,0)/(10^6)*(VLOOKUP($E$35,Reference!$B$5:$I$30,COLUMN(Reference!$I$2)-COLUMN(Reference!$B$2)+1,0)/(10^3))))</f>
        <v/>
      </c>
      <c r="N36" s="111" t="str">
        <f>IF(N14="","",N14*(VLOOKUP($E$35,Reference!$B$5:$G$30,COLUMN(Reference!$G$2)-COLUMN(Reference!$B$2)+1,0)/(10^6)*(VLOOKUP($E$35,Reference!$B$5:$I$30,COLUMN(Reference!$I$2)-COLUMN(Reference!$B$2)+1,0)/(10^3))))</f>
        <v/>
      </c>
      <c r="O36" s="111" t="str">
        <f>IF(O14="","",O14*(VLOOKUP($E$35,Reference!$B$5:$G$30,COLUMN(Reference!$G$2)-COLUMN(Reference!$B$2)+1,0)/(10^6)*(VLOOKUP($E$35,Reference!$B$5:$I$30,COLUMN(Reference!$I$2)-COLUMN(Reference!$B$2)+1,0)/(10^3))))</f>
        <v/>
      </c>
      <c r="P36" s="111" t="str">
        <f>IF(P14="","",P14*(VLOOKUP($E$35,Reference!$B$5:$G$30,COLUMN(Reference!$G$2)-COLUMN(Reference!$B$2)+1,0)/(10^6)*(VLOOKUP($E$35,Reference!$B$5:$I$30,COLUMN(Reference!$I$2)-COLUMN(Reference!$B$2)+1,0)/(10^3))))</f>
        <v/>
      </c>
      <c r="Q36" s="111" t="str">
        <f>IF(Q14="","",Q14*(VLOOKUP($E$35,Reference!$B$5:$G$30,COLUMN(Reference!$G$2)-COLUMN(Reference!$B$2)+1,0)/(10^6)*(VLOOKUP($E$35,Reference!$B$5:$I$30,COLUMN(Reference!$I$2)-COLUMN(Reference!$B$2)+1,0)/(10^3))))</f>
        <v/>
      </c>
      <c r="R36" s="111" t="str">
        <f>IF(R14="","",R14*(VLOOKUP($E$35,Reference!$B$5:$G$30,COLUMN(Reference!$G$2)-COLUMN(Reference!$B$2)+1,0)/(10^6)*(VLOOKUP($E$35,Reference!$B$5:$I$30,COLUMN(Reference!$I$2)-COLUMN(Reference!$B$2)+1,0)/(10^3))))</f>
        <v/>
      </c>
      <c r="S36" s="112" t="str">
        <f>IF(S14="","",S14*(VLOOKUP($E$35,Reference!$B$5:$G$30,COLUMN(Reference!$G$2)-COLUMN(Reference!$B$2)+1,0)/(10^6)*(VLOOKUP($E$35,Reference!$B$5:$I$30,COLUMN(Reference!$I$2)-COLUMN(Reference!$B$2)+1,0)/(10^3))))</f>
        <v/>
      </c>
    </row>
    <row r="37" spans="2:19" ht="21" customHeight="1" x14ac:dyDescent="0.3">
      <c r="B37" s="538"/>
      <c r="C37" s="505"/>
      <c r="D37" s="531"/>
      <c r="E37" s="531"/>
      <c r="F37" s="109" t="s">
        <v>37</v>
      </c>
      <c r="G37" s="110" t="str">
        <f>IF(OR($G$14="", $G$14=0), "", SUM(H37:S37))</f>
        <v/>
      </c>
      <c r="H37" s="111" t="str">
        <f>IF(H14="","",H14*(VLOOKUP($E$35,Reference!$B$5:$G$30,COLUMN(Reference!$G$2)-COLUMN(Reference!$B$2)+1,0)/(10^6)*(VLOOKUP($E$35,Reference!$B$5:$J$30,COLUMN(Reference!$J$2)-COLUMN(Reference!$B$2)+1,0)/(10^3))))</f>
        <v/>
      </c>
      <c r="I37" s="111" t="str">
        <f>IF(I14="","",I14*(VLOOKUP($E$35,Reference!$B$5:$G$30,COLUMN(Reference!$G$2)-COLUMN(Reference!$B$2)+1,0)/(10^6)*(VLOOKUP($E$35,Reference!$B$5:$J$30,COLUMN(Reference!$J$2)-COLUMN(Reference!$B$2)+1,0)/(10^3))))</f>
        <v/>
      </c>
      <c r="J37" s="111" t="str">
        <f>IF(J14="","",J14*(VLOOKUP($E$35,Reference!$B$5:$G$30,COLUMN(Reference!$G$2)-COLUMN(Reference!$B$2)+1,0)/(10^6)*(VLOOKUP($E$35,Reference!$B$5:$J$30,COLUMN(Reference!$J$2)-COLUMN(Reference!$B$2)+1,0)/(10^3))))</f>
        <v/>
      </c>
      <c r="K37" s="111" t="str">
        <f>IF(K14="","",K14*(VLOOKUP($E$35,Reference!$B$5:$G$30,COLUMN(Reference!$G$2)-COLUMN(Reference!$B$2)+1,0)/(10^6)*(VLOOKUP($E$35,Reference!$B$5:$J$30,COLUMN(Reference!$J$2)-COLUMN(Reference!$B$2)+1,0)/(10^3))))</f>
        <v/>
      </c>
      <c r="L37" s="111" t="str">
        <f>IF(L14="","",L14*(VLOOKUP($E$35,Reference!$B$5:$G$30,COLUMN(Reference!$G$2)-COLUMN(Reference!$B$2)+1,0)/(10^6)*(VLOOKUP($E$35,Reference!$B$5:$J$30,COLUMN(Reference!$J$2)-COLUMN(Reference!$B$2)+1,0)/(10^3))))</f>
        <v/>
      </c>
      <c r="M37" s="111" t="str">
        <f>IF(M14="","",M14*(VLOOKUP($E$35,Reference!$B$5:$G$30,COLUMN(Reference!$G$2)-COLUMN(Reference!$B$2)+1,0)/(10^6)*(VLOOKUP($E$35,Reference!$B$5:$J$30,COLUMN(Reference!$J$2)-COLUMN(Reference!$B$2)+1,0)/(10^3))))</f>
        <v/>
      </c>
      <c r="N37" s="111" t="str">
        <f>IF(N14="","",N14*(VLOOKUP($E$35,Reference!$B$5:$G$30,COLUMN(Reference!$G$2)-COLUMN(Reference!$B$2)+1,0)/(10^6)*(VLOOKUP($E$35,Reference!$B$5:$J$30,COLUMN(Reference!$J$2)-COLUMN(Reference!$B$2)+1,0)/(10^3))))</f>
        <v/>
      </c>
      <c r="O37" s="111" t="str">
        <f>IF(O14="","",O14*(VLOOKUP($E$35,Reference!$B$5:$G$30,COLUMN(Reference!$G$2)-COLUMN(Reference!$B$2)+1,0)/(10^6)*(VLOOKUP($E$35,Reference!$B$5:$J$30,COLUMN(Reference!$J$2)-COLUMN(Reference!$B$2)+1,0)/(10^3))))</f>
        <v/>
      </c>
      <c r="P37" s="111" t="str">
        <f>IF(P14="","",P14*(VLOOKUP($E$35,Reference!$B$5:$G$30,COLUMN(Reference!$G$2)-COLUMN(Reference!$B$2)+1,0)/(10^6)*(VLOOKUP($E$35,Reference!$B$5:$J$30,COLUMN(Reference!$J$2)-COLUMN(Reference!$B$2)+1,0)/(10^3))))</f>
        <v/>
      </c>
      <c r="Q37" s="111" t="str">
        <f>IF(Q14="","",Q14*(VLOOKUP($E$35,Reference!$B$5:$G$30,COLUMN(Reference!$G$2)-COLUMN(Reference!$B$2)+1,0)/(10^6)*(VLOOKUP($E$35,Reference!$B$5:$J$30,COLUMN(Reference!$J$2)-COLUMN(Reference!$B$2)+1,0)/(10^3))))</f>
        <v/>
      </c>
      <c r="R37" s="111" t="str">
        <f>IF(R14="","",R14*(VLOOKUP($E$35,Reference!$B$5:$G$30,COLUMN(Reference!$G$2)-COLUMN(Reference!$B$2)+1,0)/(10^6)*(VLOOKUP($E$35,Reference!$B$5:$J$30,COLUMN(Reference!$J$2)-COLUMN(Reference!$B$2)+1,0)/(10^3))))</f>
        <v/>
      </c>
      <c r="S37" s="112" t="str">
        <f>IF(S14="","",S14*(VLOOKUP($E$35,Reference!$B$5:$G$30,COLUMN(Reference!$G$2)-COLUMN(Reference!$B$2)+1,0)/(10^6)*(VLOOKUP($E$35,Reference!$B$5:$J$30,COLUMN(Reference!$J$2)-COLUMN(Reference!$B$2)+1,0)/(10^3))))</f>
        <v/>
      </c>
    </row>
    <row r="38" spans="2:19" ht="21" customHeight="1" x14ac:dyDescent="0.3">
      <c r="B38" s="538"/>
      <c r="C38" s="505"/>
      <c r="D38" s="532"/>
      <c r="E38" s="532"/>
      <c r="F38" s="113" t="s">
        <v>34</v>
      </c>
      <c r="G38" s="110" t="str">
        <f>IF(OR($G$14="", $G$14=0), "", SUM(H38:S38))</f>
        <v/>
      </c>
      <c r="H38" s="114" t="str">
        <f>IF($G$35="", "", (H35*Reference!$B$54)+(H36*Reference!$C$54)+('4. 기준연도 배출량 산정'!H37*Reference!$D$54))</f>
        <v/>
      </c>
      <c r="I38" s="114" t="str">
        <f>IF($G$35="", "", (I35*Reference!$B$54)+(I36*Reference!$C$54)+('4. 기준연도 배출량 산정'!I37*Reference!$D$54))</f>
        <v/>
      </c>
      <c r="J38" s="114" t="str">
        <f>IF($G$35="", "", (J35*Reference!$B$54)+(J36*Reference!$C$54)+('4. 기준연도 배출량 산정'!J37*Reference!$D$54))</f>
        <v/>
      </c>
      <c r="K38" s="114" t="str">
        <f>IF($G$35="", "", (K35*Reference!$B$54)+(K36*Reference!$C$54)+('4. 기준연도 배출량 산정'!K37*Reference!$D$54))</f>
        <v/>
      </c>
      <c r="L38" s="114" t="str">
        <f>IF($G$35="", "", (L35*Reference!$B$54)+(L36*Reference!$C$54)+('4. 기준연도 배출량 산정'!L37*Reference!$D$54))</f>
        <v/>
      </c>
      <c r="M38" s="114" t="str">
        <f>IF($G$35="", "", (M35*Reference!$B$54)+(M36*Reference!$C$54)+('4. 기준연도 배출량 산정'!M37*Reference!$D$54))</f>
        <v/>
      </c>
      <c r="N38" s="114" t="str">
        <f>IF($G$35="", "", (N35*Reference!$B$54)+(N36*Reference!$C$54)+('4. 기준연도 배출량 산정'!N37*Reference!$D$54))</f>
        <v/>
      </c>
      <c r="O38" s="114" t="str">
        <f>IF($G$35="", "", (O35*Reference!$B$54)+(O36*Reference!$C$54)+('4. 기준연도 배출량 산정'!O37*Reference!$D$54))</f>
        <v/>
      </c>
      <c r="P38" s="114" t="str">
        <f>IF($G$35="", "", (P35*Reference!$B$54)+(P36*Reference!$C$54)+('4. 기준연도 배출량 산정'!P37*Reference!$D$54))</f>
        <v/>
      </c>
      <c r="Q38" s="114" t="str">
        <f>IF($G$35="", "", (Q35*Reference!$B$54)+(Q36*Reference!$C$54)+('4. 기준연도 배출량 산정'!Q37*Reference!$D$54))</f>
        <v/>
      </c>
      <c r="R38" s="114" t="str">
        <f>IF($G$35="", "", (R35*Reference!$B$54)+(R36*Reference!$C$54)+('4. 기준연도 배출량 산정'!R37*Reference!$D$54))</f>
        <v/>
      </c>
      <c r="S38" s="115" t="str">
        <f>IF($G$35="", "", (S35*Reference!$B$54)+(S36*Reference!$C$54)+('4. 기준연도 배출량 산정'!S37*Reference!$D$54))</f>
        <v/>
      </c>
    </row>
    <row r="39" spans="2:19" ht="21" customHeight="1" x14ac:dyDescent="0.3">
      <c r="B39" s="538"/>
      <c r="C39" s="505"/>
      <c r="D39" s="533" t="str">
        <f>D15</f>
        <v/>
      </c>
      <c r="E39" s="533" t="str">
        <f>E15</f>
        <v/>
      </c>
      <c r="F39" s="109" t="s">
        <v>35</v>
      </c>
      <c r="G39" s="110" t="str">
        <f>IF(OR($G$15="", $G$15=0), "", SUM(H39:S39))</f>
        <v/>
      </c>
      <c r="H39" s="116" t="str">
        <f>IF(H15="","",H15*(VLOOKUP($E$39,Reference!$B$5:$G$30,COLUMN(Reference!$G$2)-COLUMN(Reference!$B$2)+1,0)/(10^6)*(VLOOKUP($E$39,Reference!$B$5:$H$30,COLUMN(Reference!$H$2)-COLUMN(Reference!$B$2)+1,0)/(10^3))))</f>
        <v/>
      </c>
      <c r="I39" s="116" t="str">
        <f>IF(I15="","",I15*(VLOOKUP($E$39,Reference!$B$5:$G$30,COLUMN(Reference!$G$2)-COLUMN(Reference!$B$2)+1,0)/(10^6)*(VLOOKUP($E$39,Reference!$B$5:$H$30,COLUMN(Reference!$H$2)-COLUMN(Reference!$B$2)+1,0)/(10^3))))</f>
        <v/>
      </c>
      <c r="J39" s="116" t="str">
        <f>IF(J15="","",J15*(VLOOKUP($E$39,Reference!$B$5:$G$30,COLUMN(Reference!$G$2)-COLUMN(Reference!$B$2)+1,0)/(10^6)*(VLOOKUP($E$39,Reference!$B$5:$H$30,COLUMN(Reference!$H$2)-COLUMN(Reference!$B$2)+1,0)/(10^3))))</f>
        <v/>
      </c>
      <c r="K39" s="116" t="str">
        <f>IF(K15="","",K15*(VLOOKUP($E$39,Reference!$B$5:$G$30,COLUMN(Reference!$G$2)-COLUMN(Reference!$B$2)+1,0)/(10^6)*(VLOOKUP($E$39,Reference!$B$5:$H$30,COLUMN(Reference!$H$2)-COLUMN(Reference!$B$2)+1,0)/(10^3))))</f>
        <v/>
      </c>
      <c r="L39" s="116" t="str">
        <f>IF(L15="","",L15*(VLOOKUP($E$39,Reference!$B$5:$G$30,COLUMN(Reference!$G$2)-COLUMN(Reference!$B$2)+1,0)/(10^6)*(VLOOKUP($E$39,Reference!$B$5:$H$30,COLUMN(Reference!$H$2)-COLUMN(Reference!$B$2)+1,0)/(10^3))))</f>
        <v/>
      </c>
      <c r="M39" s="116" t="str">
        <f>IF(M15="","",M15*(VLOOKUP($E$39,Reference!$B$5:$G$30,COLUMN(Reference!$G$2)-COLUMN(Reference!$B$2)+1,0)/(10^6)*(VLOOKUP($E$39,Reference!$B$5:$H$30,COLUMN(Reference!$H$2)-COLUMN(Reference!$B$2)+1,0)/(10^3))))</f>
        <v/>
      </c>
      <c r="N39" s="116" t="str">
        <f>IF(N15="","",N15*(VLOOKUP($E$39,Reference!$B$5:$G$30,COLUMN(Reference!$G$2)-COLUMN(Reference!$B$2)+1,0)/(10^6)*(VLOOKUP($E$39,Reference!$B$5:$H$30,COLUMN(Reference!$H$2)-COLUMN(Reference!$B$2)+1,0)/(10^3))))</f>
        <v/>
      </c>
      <c r="O39" s="116" t="str">
        <f>IF(O15="","",O15*(VLOOKUP($E$39,Reference!$B$5:$G$30,COLUMN(Reference!$G$2)-COLUMN(Reference!$B$2)+1,0)/(10^6)*(VLOOKUP($E$39,Reference!$B$5:$H$30,COLUMN(Reference!$H$2)-COLUMN(Reference!$B$2)+1,0)/(10^3))))</f>
        <v/>
      </c>
      <c r="P39" s="116" t="str">
        <f>IF(P15="","",P15*(VLOOKUP($E$39,Reference!$B$5:$G$30,COLUMN(Reference!$G$2)-COLUMN(Reference!$B$2)+1,0)/(10^6)*(VLOOKUP($E$39,Reference!$B$5:$H$30,COLUMN(Reference!$H$2)-COLUMN(Reference!$B$2)+1,0)/(10^3))))</f>
        <v/>
      </c>
      <c r="Q39" s="116" t="str">
        <f>IF(Q15="","",Q15*(VLOOKUP($E$39,Reference!$B$5:$G$30,COLUMN(Reference!$G$2)-COLUMN(Reference!$B$2)+1,0)/(10^6)*(VLOOKUP($E$39,Reference!$B$5:$H$30,COLUMN(Reference!$H$2)-COLUMN(Reference!$B$2)+1,0)/(10^3))))</f>
        <v/>
      </c>
      <c r="R39" s="116" t="str">
        <f>IF(R15="","",R15*(VLOOKUP($E$39,Reference!$B$5:$G$30,COLUMN(Reference!$G$2)-COLUMN(Reference!$B$2)+1,0)/(10^6)*(VLOOKUP($E$39,Reference!$B$5:$H$30,COLUMN(Reference!$H$2)-COLUMN(Reference!$B$2)+1,0)/(10^3))))</f>
        <v/>
      </c>
      <c r="S39" s="117" t="str">
        <f>IF(S15="","",S15*(VLOOKUP($E$39,Reference!$B$5:$G$30,COLUMN(Reference!$G$2)-COLUMN(Reference!$B$2)+1,0)/(10^6)*(VLOOKUP($E$39,Reference!$B$5:$H$30,COLUMN(Reference!$H$2)-COLUMN(Reference!$B$2)+1,0)/(10^3))))</f>
        <v/>
      </c>
    </row>
    <row r="40" spans="2:19" ht="21" customHeight="1" x14ac:dyDescent="0.3">
      <c r="B40" s="538"/>
      <c r="C40" s="505"/>
      <c r="D40" s="531"/>
      <c r="E40" s="531"/>
      <c r="F40" s="109" t="s">
        <v>36</v>
      </c>
      <c r="G40" s="110" t="str">
        <f>IF(OR($G$15="", $G$15=0), "", SUM(H40:S40))</f>
        <v/>
      </c>
      <c r="H40" s="111" t="str">
        <f>IF(H15="","",H15*(VLOOKUP($E$39,Reference!$B$5:$G$30,COLUMN(Reference!$G$2)-COLUMN(Reference!$B$2)+1,0)/(10^6)*(VLOOKUP($E$39,Reference!$B$5:$I$30,COLUMN(Reference!$I$2)-COLUMN(Reference!$B$2)+1,0)/(10^3))))</f>
        <v/>
      </c>
      <c r="I40" s="111" t="str">
        <f>IF(I15="","",I15*(VLOOKUP($E$39,Reference!$B$5:$G$30,COLUMN(Reference!$G$2)-COLUMN(Reference!$B$2)+1,0)/(10^6)*(VLOOKUP($E$39,Reference!$B$5:$I$30,COLUMN(Reference!$I$2)-COLUMN(Reference!$B$2)+1,0)/(10^3))))</f>
        <v/>
      </c>
      <c r="J40" s="111" t="str">
        <f>IF(J15="","",J15*(VLOOKUP($E$39,Reference!$B$5:$G$30,COLUMN(Reference!$G$2)-COLUMN(Reference!$B$2)+1,0)/(10^6)*(VLOOKUP($E$39,Reference!$B$5:$I$30,COLUMN(Reference!$I$2)-COLUMN(Reference!$B$2)+1,0)/(10^3))))</f>
        <v/>
      </c>
      <c r="K40" s="111" t="str">
        <f>IF(K15="","",K15*(VLOOKUP($E$39,Reference!$B$5:$G$30,COLUMN(Reference!$G$2)-COLUMN(Reference!$B$2)+1,0)/(10^6)*(VLOOKUP($E$39,Reference!$B$5:$I$30,COLUMN(Reference!$I$2)-COLUMN(Reference!$B$2)+1,0)/(10^3))))</f>
        <v/>
      </c>
      <c r="L40" s="111" t="str">
        <f>IF(L15="","",L15*(VLOOKUP($E$39,Reference!$B$5:$G$30,COLUMN(Reference!$G$2)-COLUMN(Reference!$B$2)+1,0)/(10^6)*(VLOOKUP($E$39,Reference!$B$5:$I$30,COLUMN(Reference!$I$2)-COLUMN(Reference!$B$2)+1,0)/(10^3))))</f>
        <v/>
      </c>
      <c r="M40" s="111" t="str">
        <f>IF(M15="","",M15*(VLOOKUP($E$39,Reference!$B$5:$G$30,COLUMN(Reference!$G$2)-COLUMN(Reference!$B$2)+1,0)/(10^6)*(VLOOKUP($E$39,Reference!$B$5:$I$30,COLUMN(Reference!$I$2)-COLUMN(Reference!$B$2)+1,0)/(10^3))))</f>
        <v/>
      </c>
      <c r="N40" s="111" t="str">
        <f>IF(N15="","",N15*(VLOOKUP($E$39,Reference!$B$5:$G$30,COLUMN(Reference!$G$2)-COLUMN(Reference!$B$2)+1,0)/(10^6)*(VLOOKUP($E$39,Reference!$B$5:$I$30,COLUMN(Reference!$I$2)-COLUMN(Reference!$B$2)+1,0)/(10^3))))</f>
        <v/>
      </c>
      <c r="O40" s="111" t="str">
        <f>IF(O15="","",O15*(VLOOKUP($E$39,Reference!$B$5:$G$30,COLUMN(Reference!$G$2)-COLUMN(Reference!$B$2)+1,0)/(10^6)*(VLOOKUP($E$39,Reference!$B$5:$I$30,COLUMN(Reference!$I$2)-COLUMN(Reference!$B$2)+1,0)/(10^3))))</f>
        <v/>
      </c>
      <c r="P40" s="111" t="str">
        <f>IF(P15="","",P15*(VLOOKUP($E$39,Reference!$B$5:$G$30,COLUMN(Reference!$G$2)-COLUMN(Reference!$B$2)+1,0)/(10^6)*(VLOOKUP($E$39,Reference!$B$5:$I$30,COLUMN(Reference!$I$2)-COLUMN(Reference!$B$2)+1,0)/(10^3))))</f>
        <v/>
      </c>
      <c r="Q40" s="111" t="str">
        <f>IF(Q15="","",Q15*(VLOOKUP($E$39,Reference!$B$5:$G$30,COLUMN(Reference!$G$2)-COLUMN(Reference!$B$2)+1,0)/(10^6)*(VLOOKUP($E$39,Reference!$B$5:$I$30,COLUMN(Reference!$I$2)-COLUMN(Reference!$B$2)+1,0)/(10^3))))</f>
        <v/>
      </c>
      <c r="R40" s="111" t="str">
        <f>IF(R15="","",R15*(VLOOKUP($E$39,Reference!$B$5:$G$30,COLUMN(Reference!$G$2)-COLUMN(Reference!$B$2)+1,0)/(10^6)*(VLOOKUP($E$39,Reference!$B$5:$I$30,COLUMN(Reference!$I$2)-COLUMN(Reference!$B$2)+1,0)/(10^3))))</f>
        <v/>
      </c>
      <c r="S40" s="112" t="str">
        <f>IF(S15="","",S15*(VLOOKUP($E$39,Reference!$B$5:$G$30,COLUMN(Reference!$G$2)-COLUMN(Reference!$B$2)+1,0)/(10^6)*(VLOOKUP($E$39,Reference!$B$5:$I$30,COLUMN(Reference!$I$2)-COLUMN(Reference!$B$2)+1,0)/(10^3))))</f>
        <v/>
      </c>
    </row>
    <row r="41" spans="2:19" ht="21" customHeight="1" x14ac:dyDescent="0.3">
      <c r="B41" s="538"/>
      <c r="C41" s="505"/>
      <c r="D41" s="531"/>
      <c r="E41" s="531"/>
      <c r="F41" s="109" t="s">
        <v>37</v>
      </c>
      <c r="G41" s="110" t="str">
        <f>IF(OR($G$15="", $G$15=0), "", SUM(H41:S41))</f>
        <v/>
      </c>
      <c r="H41" s="111" t="str">
        <f>IF(H15="","",H15*(VLOOKUP($E$39,Reference!$B$5:$G$30,COLUMN(Reference!$G$2)-COLUMN(Reference!$B$2)+1,0)/(10^6)*(VLOOKUP($E$39,Reference!$B$5:$J$30,COLUMN(Reference!$J$2)-COLUMN(Reference!$B$2)+1,0)/(10^3))))</f>
        <v/>
      </c>
      <c r="I41" s="111" t="str">
        <f>IF(I15="","",I15*(VLOOKUP($E$39,Reference!$B$5:$G$30,COLUMN(Reference!$G$2)-COLUMN(Reference!$B$2)+1,0)/(10^6)*(VLOOKUP($E$39,Reference!$B$5:$J$30,COLUMN(Reference!$J$2)-COLUMN(Reference!$B$2)+1,0)/(10^3))))</f>
        <v/>
      </c>
      <c r="J41" s="111" t="str">
        <f>IF(J15="","",J15*(VLOOKUP($E$39,Reference!$B$5:$G$30,COLUMN(Reference!$G$2)-COLUMN(Reference!$B$2)+1,0)/(10^6)*(VLOOKUP($E$39,Reference!$B$5:$J$30,COLUMN(Reference!$J$2)-COLUMN(Reference!$B$2)+1,0)/(10^3))))</f>
        <v/>
      </c>
      <c r="K41" s="111" t="str">
        <f>IF(K15="","",K15*(VLOOKUP($E$39,Reference!$B$5:$G$30,COLUMN(Reference!$G$2)-COLUMN(Reference!$B$2)+1,0)/(10^6)*(VLOOKUP($E$39,Reference!$B$5:$J$30,COLUMN(Reference!$J$2)-COLUMN(Reference!$B$2)+1,0)/(10^3))))</f>
        <v/>
      </c>
      <c r="L41" s="111" t="str">
        <f>IF(L15="","",L15*(VLOOKUP($E$39,Reference!$B$5:$G$30,COLUMN(Reference!$G$2)-COLUMN(Reference!$B$2)+1,0)/(10^6)*(VLOOKUP($E$39,Reference!$B$5:$J$30,COLUMN(Reference!$J$2)-COLUMN(Reference!$B$2)+1,0)/(10^3))))</f>
        <v/>
      </c>
      <c r="M41" s="111" t="str">
        <f>IF(M15="","",M15*(VLOOKUP($E$39,Reference!$B$5:$G$30,COLUMN(Reference!$G$2)-COLUMN(Reference!$B$2)+1,0)/(10^6)*(VLOOKUP($E$39,Reference!$B$5:$J$30,COLUMN(Reference!$J$2)-COLUMN(Reference!$B$2)+1,0)/(10^3))))</f>
        <v/>
      </c>
      <c r="N41" s="111" t="str">
        <f>IF(N15="","",N15*(VLOOKUP($E$39,Reference!$B$5:$G$30,COLUMN(Reference!$G$2)-COLUMN(Reference!$B$2)+1,0)/(10^6)*(VLOOKUP($E$39,Reference!$B$5:$J$30,COLUMN(Reference!$J$2)-COLUMN(Reference!$B$2)+1,0)/(10^3))))</f>
        <v/>
      </c>
      <c r="O41" s="111" t="str">
        <f>IF(O15="","",O15*(VLOOKUP($E$39,Reference!$B$5:$G$30,COLUMN(Reference!$G$2)-COLUMN(Reference!$B$2)+1,0)/(10^6)*(VLOOKUP($E$39,Reference!$B$5:$J$30,COLUMN(Reference!$J$2)-COLUMN(Reference!$B$2)+1,0)/(10^3))))</f>
        <v/>
      </c>
      <c r="P41" s="111" t="str">
        <f>IF(P15="","",P15*(VLOOKUP($E$39,Reference!$B$5:$G$30,COLUMN(Reference!$G$2)-COLUMN(Reference!$B$2)+1,0)/(10^6)*(VLOOKUP($E$39,Reference!$B$5:$J$30,COLUMN(Reference!$J$2)-COLUMN(Reference!$B$2)+1,0)/(10^3))))</f>
        <v/>
      </c>
      <c r="Q41" s="111" t="str">
        <f>IF(Q15="","",Q15*(VLOOKUP($E$39,Reference!$B$5:$G$30,COLUMN(Reference!$G$2)-COLUMN(Reference!$B$2)+1,0)/(10^6)*(VLOOKUP($E$39,Reference!$B$5:$J$30,COLUMN(Reference!$J$2)-COLUMN(Reference!$B$2)+1,0)/(10^3))))</f>
        <v/>
      </c>
      <c r="R41" s="111" t="str">
        <f>IF(R15="","",R15*(VLOOKUP($E$39,Reference!$B$5:$G$30,COLUMN(Reference!$G$2)-COLUMN(Reference!$B$2)+1,0)/(10^6)*(VLOOKUP($E$39,Reference!$B$5:$J$30,COLUMN(Reference!$J$2)-COLUMN(Reference!$B$2)+1,0)/(10^3))))</f>
        <v/>
      </c>
      <c r="S41" s="112" t="str">
        <f>IF(S15="","",S15*(VLOOKUP($E$39,Reference!$B$5:$G$30,COLUMN(Reference!$G$2)-COLUMN(Reference!$B$2)+1,0)/(10^6)*(VLOOKUP($E$39,Reference!$B$5:$J$30,COLUMN(Reference!$J$2)-COLUMN(Reference!$B$2)+1,0)/(10^3))))</f>
        <v/>
      </c>
    </row>
    <row r="42" spans="2:19" ht="21" customHeight="1" x14ac:dyDescent="0.3">
      <c r="B42" s="538"/>
      <c r="C42" s="505"/>
      <c r="D42" s="532"/>
      <c r="E42" s="532"/>
      <c r="F42" s="113" t="s">
        <v>34</v>
      </c>
      <c r="G42" s="110" t="str">
        <f>IF(OR($G$15="", $G$15=0), "", SUM(H42:S42))</f>
        <v/>
      </c>
      <c r="H42" s="114" t="str">
        <f>IF($G$39="", "", (H39*Reference!$B$54)+(H40*Reference!$C$54)+('4. 기준연도 배출량 산정'!H41*Reference!$D$54))</f>
        <v/>
      </c>
      <c r="I42" s="114" t="str">
        <f>IF($G$39="", "", (I39*Reference!$B$54)+(I40*Reference!$C$54)+('4. 기준연도 배출량 산정'!I41*Reference!$D$54))</f>
        <v/>
      </c>
      <c r="J42" s="114" t="str">
        <f>IF($G$39="", "", (J39*Reference!$B$54)+(J40*Reference!$C$54)+('4. 기준연도 배출량 산정'!J41*Reference!$D$54))</f>
        <v/>
      </c>
      <c r="K42" s="114" t="str">
        <f>IF($G$39="", "", (K39*Reference!$B$54)+(K40*Reference!$C$54)+('4. 기준연도 배출량 산정'!K41*Reference!$D$54))</f>
        <v/>
      </c>
      <c r="L42" s="114" t="str">
        <f>IF($G$39="", "", (L39*Reference!$B$54)+(L40*Reference!$C$54)+('4. 기준연도 배출량 산정'!L41*Reference!$D$54))</f>
        <v/>
      </c>
      <c r="M42" s="114" t="str">
        <f>IF($G$39="", "", (M39*Reference!$B$54)+(M40*Reference!$C$54)+('4. 기준연도 배출량 산정'!M41*Reference!$D$54))</f>
        <v/>
      </c>
      <c r="N42" s="114" t="str">
        <f>IF($G$39="", "", (N39*Reference!$B$54)+(N40*Reference!$C$54)+('4. 기준연도 배출량 산정'!N41*Reference!$D$54))</f>
        <v/>
      </c>
      <c r="O42" s="114" t="str">
        <f>IF($G$39="", "", (O39*Reference!$B$54)+(O40*Reference!$C$54)+('4. 기준연도 배출량 산정'!O41*Reference!$D$54))</f>
        <v/>
      </c>
      <c r="P42" s="114" t="str">
        <f>IF($G$39="", "", (P39*Reference!$B$54)+(P40*Reference!$C$54)+('4. 기준연도 배출량 산정'!P41*Reference!$D$54))</f>
        <v/>
      </c>
      <c r="Q42" s="114" t="str">
        <f>IF($G$39="", "", (Q39*Reference!$B$54)+(Q40*Reference!$C$54)+('4. 기준연도 배출량 산정'!Q41*Reference!$D$54))</f>
        <v/>
      </c>
      <c r="R42" s="114" t="str">
        <f>IF($G$39="", "", (R39*Reference!$B$54)+(R40*Reference!$C$54)+('4. 기준연도 배출량 산정'!R41*Reference!$D$54))</f>
        <v/>
      </c>
      <c r="S42" s="115" t="str">
        <f>IF($G$39="", "", (S39*Reference!$B$54)+(S40*Reference!$C$54)+('4. 기준연도 배출량 산정'!S41*Reference!$D$54))</f>
        <v/>
      </c>
    </row>
    <row r="43" spans="2:19" ht="21" customHeight="1" x14ac:dyDescent="0.3">
      <c r="B43" s="538"/>
      <c r="C43" s="505"/>
      <c r="D43" s="528" t="str">
        <f>D16</f>
        <v/>
      </c>
      <c r="E43" s="528" t="str">
        <f>E16</f>
        <v/>
      </c>
      <c r="F43" s="109" t="s">
        <v>35</v>
      </c>
      <c r="G43" s="110" t="str">
        <f>IF(OR($G$16="", $G$16=0), "", SUM(H43:S43))</f>
        <v/>
      </c>
      <c r="H43" s="116" t="str">
        <f>IF(H16="","",H16*(VLOOKUP($E$43,Reference!$B$5:$G$30,COLUMN(Reference!$G$2)-COLUMN(Reference!$B$2)+1,0)/(10^6)*(VLOOKUP($E$43,Reference!$B$5:$H$30,COLUMN(Reference!$H$2)-COLUMN(Reference!$B$2)+1,0)/(10^3))))</f>
        <v/>
      </c>
      <c r="I43" s="116" t="str">
        <f>IF(I16="","",I16*(VLOOKUP($E$43,Reference!$B$5:$G$30,COLUMN(Reference!$G$2)-COLUMN(Reference!$B$2)+1,0)/(10^6)*(VLOOKUP($E$43,Reference!$B$5:$H$30,COLUMN(Reference!$H$2)-COLUMN(Reference!$B$2)+1,0)/(10^3))))</f>
        <v/>
      </c>
      <c r="J43" s="116" t="str">
        <f>IF(J16="","",J16*(VLOOKUP($E$43,Reference!$B$5:$G$30,COLUMN(Reference!$G$2)-COLUMN(Reference!$B$2)+1,0)/(10^6)*(VLOOKUP($E$43,Reference!$B$5:$H$30,COLUMN(Reference!$H$2)-COLUMN(Reference!$B$2)+1,0)/(10^3))))</f>
        <v/>
      </c>
      <c r="K43" s="116" t="str">
        <f>IF(K16="","",K16*(VLOOKUP($E$43,Reference!$B$5:$G$30,COLUMN(Reference!$G$2)-COLUMN(Reference!$B$2)+1,0)/(10^6)*(VLOOKUP($E$43,Reference!$B$5:$H$30,COLUMN(Reference!$H$2)-COLUMN(Reference!$B$2)+1,0)/(10^3))))</f>
        <v/>
      </c>
      <c r="L43" s="116" t="str">
        <f>IF(L16="","",L16*(VLOOKUP($E$43,Reference!$B$5:$G$30,COLUMN(Reference!$G$2)-COLUMN(Reference!$B$2)+1,0)/(10^6)*(VLOOKUP($E$43,Reference!$B$5:$H$30,COLUMN(Reference!$H$2)-COLUMN(Reference!$B$2)+1,0)/(10^3))))</f>
        <v/>
      </c>
      <c r="M43" s="116" t="str">
        <f>IF(M16="","",M16*(VLOOKUP($E$43,Reference!$B$5:$G$30,COLUMN(Reference!$G$2)-COLUMN(Reference!$B$2)+1,0)/(10^6)*(VLOOKUP($E$43,Reference!$B$5:$H$30,COLUMN(Reference!$H$2)-COLUMN(Reference!$B$2)+1,0)/(10^3))))</f>
        <v/>
      </c>
      <c r="N43" s="116" t="str">
        <f>IF(N16="","",N16*(VLOOKUP($E$43,Reference!$B$5:$G$30,COLUMN(Reference!$G$2)-COLUMN(Reference!$B$2)+1,0)/(10^6)*(VLOOKUP($E$43,Reference!$B$5:$H$30,COLUMN(Reference!$H$2)-COLUMN(Reference!$B$2)+1,0)/(10^3))))</f>
        <v/>
      </c>
      <c r="O43" s="116" t="str">
        <f>IF(O16="","",O16*(VLOOKUP($E$43,Reference!$B$5:$G$30,COLUMN(Reference!$G$2)-COLUMN(Reference!$B$2)+1,0)/(10^6)*(VLOOKUP($E$43,Reference!$B$5:$H$30,COLUMN(Reference!$H$2)-COLUMN(Reference!$B$2)+1,0)/(10^3))))</f>
        <v/>
      </c>
      <c r="P43" s="116" t="str">
        <f>IF(P16="","",P16*(VLOOKUP($E$43,Reference!$B$5:$G$30,COLUMN(Reference!$G$2)-COLUMN(Reference!$B$2)+1,0)/(10^6)*(VLOOKUP($E$43,Reference!$B$5:$H$30,COLUMN(Reference!$H$2)-COLUMN(Reference!$B$2)+1,0)/(10^3))))</f>
        <v/>
      </c>
      <c r="Q43" s="116" t="str">
        <f>IF(Q16="","",Q16*(VLOOKUP($E$43,Reference!$B$5:$G$30,COLUMN(Reference!$G$2)-COLUMN(Reference!$B$2)+1,0)/(10^6)*(VLOOKUP($E$43,Reference!$B$5:$H$30,COLUMN(Reference!$H$2)-COLUMN(Reference!$B$2)+1,0)/(10^3))))</f>
        <v/>
      </c>
      <c r="R43" s="116" t="str">
        <f>IF(R16="","",R16*(VLOOKUP($E$43,Reference!$B$5:$G$30,COLUMN(Reference!$G$2)-COLUMN(Reference!$B$2)+1,0)/(10^6)*(VLOOKUP($E$43,Reference!$B$5:$H$30,COLUMN(Reference!$H$2)-COLUMN(Reference!$B$2)+1,0)/(10^3))))</f>
        <v/>
      </c>
      <c r="S43" s="117" t="str">
        <f>IF(S16="","",S16*(VLOOKUP($E$43,Reference!$B$5:$G$30,COLUMN(Reference!$G$2)-COLUMN(Reference!$B$2)+1,0)/(10^6)*(VLOOKUP($E$43,Reference!$B$5:$H$30,COLUMN(Reference!$H$2)-COLUMN(Reference!$B$2)+1,0)/(10^3))))</f>
        <v/>
      </c>
    </row>
    <row r="44" spans="2:19" ht="21" customHeight="1" x14ac:dyDescent="0.3">
      <c r="B44" s="538"/>
      <c r="C44" s="505"/>
      <c r="D44" s="526"/>
      <c r="E44" s="526"/>
      <c r="F44" s="109" t="s">
        <v>36</v>
      </c>
      <c r="G44" s="110" t="str">
        <f>IF(OR($G$16="", $G$16=0), "", SUM(H44:S44))</f>
        <v/>
      </c>
      <c r="H44" s="111" t="str">
        <f>IF(H16="","",H16*(VLOOKUP($E$43,Reference!$B$5:$G$30,COLUMN(Reference!$G$2)-COLUMN(Reference!$B$2)+1,0)/(10^6)*(VLOOKUP($E$43,Reference!$B$5:$I$30,COLUMN(Reference!$I$2)-COLUMN(Reference!$B$2)+1,0)/(10^3))))</f>
        <v/>
      </c>
      <c r="I44" s="111" t="str">
        <f>IF(I16="","",I16*(VLOOKUP($E$43,Reference!$B$5:$G$30,COLUMN(Reference!$G$2)-COLUMN(Reference!$B$2)+1,0)/(10^6)*(VLOOKUP($E$43,Reference!$B$5:$I$30,COLUMN(Reference!$I$2)-COLUMN(Reference!$B$2)+1,0)/(10^3))))</f>
        <v/>
      </c>
      <c r="J44" s="111" t="str">
        <f>IF(J16="","",J16*(VLOOKUP($E$43,Reference!$B$5:$G$30,COLUMN(Reference!$G$2)-COLUMN(Reference!$B$2)+1,0)/(10^6)*(VLOOKUP($E$43,Reference!$B$5:$I$30,COLUMN(Reference!$I$2)-COLUMN(Reference!$B$2)+1,0)/(10^3))))</f>
        <v/>
      </c>
      <c r="K44" s="111" t="str">
        <f>IF(K16="","",K16*(VLOOKUP($E$43,Reference!$B$5:$G$30,COLUMN(Reference!$G$2)-COLUMN(Reference!$B$2)+1,0)/(10^6)*(VLOOKUP($E$43,Reference!$B$5:$I$30,COLUMN(Reference!$I$2)-COLUMN(Reference!$B$2)+1,0)/(10^3))))</f>
        <v/>
      </c>
      <c r="L44" s="111" t="str">
        <f>IF(L16="","",L16*(VLOOKUP($E$43,Reference!$B$5:$G$30,COLUMN(Reference!$G$2)-COLUMN(Reference!$B$2)+1,0)/(10^6)*(VLOOKUP($E$43,Reference!$B$5:$I$30,COLUMN(Reference!$I$2)-COLUMN(Reference!$B$2)+1,0)/(10^3))))</f>
        <v/>
      </c>
      <c r="M44" s="111" t="str">
        <f>IF(M16="","",M16*(VLOOKUP($E$43,Reference!$B$5:$G$30,COLUMN(Reference!$G$2)-COLUMN(Reference!$B$2)+1,0)/(10^6)*(VLOOKUP($E$43,Reference!$B$5:$I$30,COLUMN(Reference!$I$2)-COLUMN(Reference!$B$2)+1,0)/(10^3))))</f>
        <v/>
      </c>
      <c r="N44" s="111" t="str">
        <f>IF(N16="","",N16*(VLOOKUP($E$43,Reference!$B$5:$G$30,COLUMN(Reference!$G$2)-COLUMN(Reference!$B$2)+1,0)/(10^6)*(VLOOKUP($E$43,Reference!$B$5:$I$30,COLUMN(Reference!$I$2)-COLUMN(Reference!$B$2)+1,0)/(10^3))))</f>
        <v/>
      </c>
      <c r="O44" s="111" t="str">
        <f>IF(O16="","",O16*(VLOOKUP($E$43,Reference!$B$5:$G$30,COLUMN(Reference!$G$2)-COLUMN(Reference!$B$2)+1,0)/(10^6)*(VLOOKUP($E$43,Reference!$B$5:$I$30,COLUMN(Reference!$I$2)-COLUMN(Reference!$B$2)+1,0)/(10^3))))</f>
        <v/>
      </c>
      <c r="P44" s="111" t="str">
        <f>IF(P16="","",P16*(VLOOKUP($E$43,Reference!$B$5:$G$30,COLUMN(Reference!$G$2)-COLUMN(Reference!$B$2)+1,0)/(10^6)*(VLOOKUP($E$43,Reference!$B$5:$I$30,COLUMN(Reference!$I$2)-COLUMN(Reference!$B$2)+1,0)/(10^3))))</f>
        <v/>
      </c>
      <c r="Q44" s="111" t="str">
        <f>IF(Q16="","",Q16*(VLOOKUP($E$43,Reference!$B$5:$G$30,COLUMN(Reference!$G$2)-COLUMN(Reference!$B$2)+1,0)/(10^6)*(VLOOKUP($E$43,Reference!$B$5:$I$30,COLUMN(Reference!$I$2)-COLUMN(Reference!$B$2)+1,0)/(10^3))))</f>
        <v/>
      </c>
      <c r="R44" s="111" t="str">
        <f>IF(R16="","",R16*(VLOOKUP($E$43,Reference!$B$5:$G$30,COLUMN(Reference!$G$2)-COLUMN(Reference!$B$2)+1,0)/(10^6)*(VLOOKUP($E$43,Reference!$B$5:$I$30,COLUMN(Reference!$I$2)-COLUMN(Reference!$B$2)+1,0)/(10^3))))</f>
        <v/>
      </c>
      <c r="S44" s="112" t="str">
        <f>IF(S16="","",S16*(VLOOKUP($E$43,Reference!$B$5:$G$30,COLUMN(Reference!$G$2)-COLUMN(Reference!$B$2)+1,0)/(10^6)*(VLOOKUP($E$43,Reference!$B$5:$I$30,COLUMN(Reference!$I$2)-COLUMN(Reference!$B$2)+1,0)/(10^3))))</f>
        <v/>
      </c>
    </row>
    <row r="45" spans="2:19" ht="21" customHeight="1" x14ac:dyDescent="0.3">
      <c r="B45" s="538"/>
      <c r="C45" s="505"/>
      <c r="D45" s="526"/>
      <c r="E45" s="526"/>
      <c r="F45" s="109" t="s">
        <v>37</v>
      </c>
      <c r="G45" s="110" t="str">
        <f>IF(OR($G$16="", $G$16=0), "", SUM(H45:S45))</f>
        <v/>
      </c>
      <c r="H45" s="111" t="str">
        <f>IF(H16="","",H16*(VLOOKUP($E$43,Reference!$B$5:$G$30,COLUMN(Reference!$G$2)-COLUMN(Reference!$B$2)+1,0)/(10^6)*(VLOOKUP($E$43,Reference!$B$5:$J$30,COLUMN(Reference!$J$2)-COLUMN(Reference!$B$2)+1,0)/(10^3))))</f>
        <v/>
      </c>
      <c r="I45" s="111" t="str">
        <f>IF(I16="","",I16*(VLOOKUP($E$43,Reference!$B$5:$G$30,COLUMN(Reference!$G$2)-COLUMN(Reference!$B$2)+1,0)/(10^6)*(VLOOKUP($E$43,Reference!$B$5:$J$30,COLUMN(Reference!$J$2)-COLUMN(Reference!$B$2)+1,0)/(10^3))))</f>
        <v/>
      </c>
      <c r="J45" s="111" t="str">
        <f>IF(J16="","",J16*(VLOOKUP($E$43,Reference!$B$5:$G$30,COLUMN(Reference!$G$2)-COLUMN(Reference!$B$2)+1,0)/(10^6)*(VLOOKUP($E$43,Reference!$B$5:$J$30,COLUMN(Reference!$J$2)-COLUMN(Reference!$B$2)+1,0)/(10^3))))</f>
        <v/>
      </c>
      <c r="K45" s="111" t="str">
        <f>IF(K16="","",K16*(VLOOKUP($E$43,Reference!$B$5:$G$30,COLUMN(Reference!$G$2)-COLUMN(Reference!$B$2)+1,0)/(10^6)*(VLOOKUP($E$43,Reference!$B$5:$J$30,COLUMN(Reference!$J$2)-COLUMN(Reference!$B$2)+1,0)/(10^3))))</f>
        <v/>
      </c>
      <c r="L45" s="111" t="str">
        <f>IF(L16="","",L16*(VLOOKUP($E$43,Reference!$B$5:$G$30,COLUMN(Reference!$G$2)-COLUMN(Reference!$B$2)+1,0)/(10^6)*(VLOOKUP($E$43,Reference!$B$5:$J$30,COLUMN(Reference!$J$2)-COLUMN(Reference!$B$2)+1,0)/(10^3))))</f>
        <v/>
      </c>
      <c r="M45" s="111" t="str">
        <f>IF(M16="","",M16*(VLOOKUP($E$43,Reference!$B$5:$G$30,COLUMN(Reference!$G$2)-COLUMN(Reference!$B$2)+1,0)/(10^6)*(VLOOKUP($E$43,Reference!$B$5:$J$30,COLUMN(Reference!$J$2)-COLUMN(Reference!$B$2)+1,0)/(10^3))))</f>
        <v/>
      </c>
      <c r="N45" s="111" t="str">
        <f>IF(N16="","",N16*(VLOOKUP($E$43,Reference!$B$5:$G$30,COLUMN(Reference!$G$2)-COLUMN(Reference!$B$2)+1,0)/(10^6)*(VLOOKUP($E$43,Reference!$B$5:$J$30,COLUMN(Reference!$J$2)-COLUMN(Reference!$B$2)+1,0)/(10^3))))</f>
        <v/>
      </c>
      <c r="O45" s="111" t="str">
        <f>IF(O16="","",O16*(VLOOKUP($E$43,Reference!$B$5:$G$30,COLUMN(Reference!$G$2)-COLUMN(Reference!$B$2)+1,0)/(10^6)*(VLOOKUP($E$43,Reference!$B$5:$J$30,COLUMN(Reference!$J$2)-COLUMN(Reference!$B$2)+1,0)/(10^3))))</f>
        <v/>
      </c>
      <c r="P45" s="111" t="str">
        <f>IF(P16="","",P16*(VLOOKUP($E$43,Reference!$B$5:$G$30,COLUMN(Reference!$G$2)-COLUMN(Reference!$B$2)+1,0)/(10^6)*(VLOOKUP($E$43,Reference!$B$5:$J$30,COLUMN(Reference!$J$2)-COLUMN(Reference!$B$2)+1,0)/(10^3))))</f>
        <v/>
      </c>
      <c r="Q45" s="111" t="str">
        <f>IF(Q16="","",Q16*(VLOOKUP($E$43,Reference!$B$5:$G$30,COLUMN(Reference!$G$2)-COLUMN(Reference!$B$2)+1,0)/(10^6)*(VLOOKUP($E$43,Reference!$B$5:$J$30,COLUMN(Reference!$J$2)-COLUMN(Reference!$B$2)+1,0)/(10^3))))</f>
        <v/>
      </c>
      <c r="R45" s="111" t="str">
        <f>IF(R16="","",R16*(VLOOKUP($E$43,Reference!$B$5:$G$30,COLUMN(Reference!$G$2)-COLUMN(Reference!$B$2)+1,0)/(10^6)*(VLOOKUP($E$43,Reference!$B$5:$J$30,COLUMN(Reference!$J$2)-COLUMN(Reference!$B$2)+1,0)/(10^3))))</f>
        <v/>
      </c>
      <c r="S45" s="112" t="str">
        <f>IF(S16="","",S16*(VLOOKUP($E$43,Reference!$B$5:$G$30,COLUMN(Reference!$G$2)-COLUMN(Reference!$B$2)+1,0)/(10^6)*(VLOOKUP($E$43,Reference!$B$5:$J$30,COLUMN(Reference!$J$2)-COLUMN(Reference!$B$2)+1,0)/(10^3))))</f>
        <v/>
      </c>
    </row>
    <row r="46" spans="2:19" ht="21" customHeight="1" x14ac:dyDescent="0.3">
      <c r="B46" s="538"/>
      <c r="C46" s="505"/>
      <c r="D46" s="527"/>
      <c r="E46" s="527"/>
      <c r="F46" s="113" t="s">
        <v>34</v>
      </c>
      <c r="G46" s="110" t="str">
        <f>IF(OR($G$16="", $G$16=0), "", SUM(H46:S46))</f>
        <v/>
      </c>
      <c r="H46" s="114" t="str">
        <f>IF($G$43="", "", (H43*Reference!$B$54)+(H44*Reference!$C$54)+('4. 기준연도 배출량 산정'!H45*Reference!$D$54))</f>
        <v/>
      </c>
      <c r="I46" s="114" t="str">
        <f>IF($G$43="", "", (I43*Reference!$B$54)+(I44*Reference!$C$54)+('4. 기준연도 배출량 산정'!I45*Reference!$D$54))</f>
        <v/>
      </c>
      <c r="J46" s="114" t="str">
        <f>IF($G$43="", "", (J43*Reference!$B$54)+(J44*Reference!$C$54)+('4. 기준연도 배출량 산정'!J45*Reference!$D$54))</f>
        <v/>
      </c>
      <c r="K46" s="114" t="str">
        <f>IF($G$43="", "", (K43*Reference!$B$54)+(K44*Reference!$C$54)+('4. 기준연도 배출량 산정'!K45*Reference!$D$54))</f>
        <v/>
      </c>
      <c r="L46" s="114" t="str">
        <f>IF($G$43="", "", (L43*Reference!$B$54)+(L44*Reference!$C$54)+('4. 기준연도 배출량 산정'!L45*Reference!$D$54))</f>
        <v/>
      </c>
      <c r="M46" s="114" t="str">
        <f>IF($G$43="", "", (M43*Reference!$B$54)+(M44*Reference!$C$54)+('4. 기준연도 배출량 산정'!M45*Reference!$D$54))</f>
        <v/>
      </c>
      <c r="N46" s="114" t="str">
        <f>IF($G$43="", "", (N43*Reference!$B$54)+(N44*Reference!$C$54)+('4. 기준연도 배출량 산정'!N45*Reference!$D$54))</f>
        <v/>
      </c>
      <c r="O46" s="114" t="str">
        <f>IF($G$43="", "", (O43*Reference!$B$54)+(O44*Reference!$C$54)+('4. 기준연도 배출량 산정'!O45*Reference!$D$54))</f>
        <v/>
      </c>
      <c r="P46" s="114" t="str">
        <f>IF($G$43="", "", (P43*Reference!$B$54)+(P44*Reference!$C$54)+('4. 기준연도 배출량 산정'!P45*Reference!$D$54))</f>
        <v/>
      </c>
      <c r="Q46" s="114" t="str">
        <f>IF($G$43="", "", (Q43*Reference!$B$54)+(Q44*Reference!$C$54)+('4. 기준연도 배출량 산정'!Q45*Reference!$D$54))</f>
        <v/>
      </c>
      <c r="R46" s="114" t="str">
        <f>IF($G$43="", "", (R43*Reference!$B$54)+(R44*Reference!$C$54)+('4. 기준연도 배출량 산정'!R45*Reference!$D$54))</f>
        <v/>
      </c>
      <c r="S46" s="115" t="str">
        <f>IF($G$43="", "", (S43*Reference!$B$54)+(S44*Reference!$C$54)+('4. 기준연도 배출량 산정'!S45*Reference!$D$54))</f>
        <v/>
      </c>
    </row>
    <row r="47" spans="2:19" ht="21" customHeight="1" x14ac:dyDescent="0.3">
      <c r="B47" s="538"/>
      <c r="C47" s="505" t="s">
        <v>61</v>
      </c>
      <c r="D47" s="528" t="str">
        <f>D17</f>
        <v/>
      </c>
      <c r="E47" s="528" t="str">
        <f>E17</f>
        <v/>
      </c>
      <c r="F47" s="109" t="s">
        <v>35</v>
      </c>
      <c r="G47" s="110" t="str">
        <f>IF(OR($G$17="", $G$17=0), "", SUM(H47:S47))</f>
        <v/>
      </c>
      <c r="H47" s="116" t="str">
        <f>IF(H17="","",H17*(VLOOKUP($E$47,Reference!$B$36:$G$42,COLUMN(Reference!$G$2)-COLUMN(Reference!$B$2)+1,0)/(10^6)*(VLOOKUP($E$47,Reference!$B$36:$H$42,COLUMN(Reference!$H$2)-COLUMN(Reference!$B$2)+1,0)/(10^3))))</f>
        <v/>
      </c>
      <c r="I47" s="116" t="str">
        <f>IF(I17="","",I17*(VLOOKUP($E$47,Reference!$B$36:$G$42,COLUMN(Reference!$G$2)-COLUMN(Reference!$B$2)+1,0)/(10^6)*(VLOOKUP($E$47,Reference!$B$36:$H$42,COLUMN(Reference!$H$2)-COLUMN(Reference!$B$2)+1,0)/(10^3))))</f>
        <v/>
      </c>
      <c r="J47" s="116" t="str">
        <f>IF(J17="","",J17*(VLOOKUP($E$47,Reference!$B$36:$G$42,COLUMN(Reference!$G$2)-COLUMN(Reference!$B$2)+1,0)/(10^6)*(VLOOKUP($E$47,Reference!$B$36:$H$42,COLUMN(Reference!$H$2)-COLUMN(Reference!$B$2)+1,0)/(10^3))))</f>
        <v/>
      </c>
      <c r="K47" s="116" t="str">
        <f>IF(K17="","",K17*(VLOOKUP($E$47,Reference!$B$36:$G$42,COLUMN(Reference!$G$2)-COLUMN(Reference!$B$2)+1,0)/(10^6)*(VLOOKUP($E$47,Reference!$B$36:$H$42,COLUMN(Reference!$H$2)-COLUMN(Reference!$B$2)+1,0)/(10^3))))</f>
        <v/>
      </c>
      <c r="L47" s="116" t="str">
        <f>IF(L17="","",L17*(VLOOKUP($E$47,Reference!$B$36:$G$42,COLUMN(Reference!$G$2)-COLUMN(Reference!$B$2)+1,0)/(10^6)*(VLOOKUP($E$47,Reference!$B$36:$H$42,COLUMN(Reference!$H$2)-COLUMN(Reference!$B$2)+1,0)/(10^3))))</f>
        <v/>
      </c>
      <c r="M47" s="116" t="str">
        <f>IF(M17="","",M17*(VLOOKUP($E$47,Reference!$B$36:$G$42,COLUMN(Reference!$G$2)-COLUMN(Reference!$B$2)+1,0)/(10^6)*(VLOOKUP($E$47,Reference!$B$36:$H$42,COLUMN(Reference!$H$2)-COLUMN(Reference!$B$2)+1,0)/(10^3))))</f>
        <v/>
      </c>
      <c r="N47" s="116" t="str">
        <f>IF(N17="","",N17*(VLOOKUP($E$47,Reference!$B$36:$G$42,COLUMN(Reference!$G$2)-COLUMN(Reference!$B$2)+1,0)/(10^6)*(VLOOKUP($E$47,Reference!$B$36:$H$42,COLUMN(Reference!$H$2)-COLUMN(Reference!$B$2)+1,0)/(10^3))))</f>
        <v/>
      </c>
      <c r="O47" s="116" t="str">
        <f>IF(O17="","",O17*(VLOOKUP($E$47,Reference!$B$36:$G$42,COLUMN(Reference!$G$2)-COLUMN(Reference!$B$2)+1,0)/(10^6)*(VLOOKUP($E$47,Reference!$B$36:$H$42,COLUMN(Reference!$H$2)-COLUMN(Reference!$B$2)+1,0)/(10^3))))</f>
        <v/>
      </c>
      <c r="P47" s="116" t="str">
        <f>IF(P17="","",P17*(VLOOKUP($E$47,Reference!$B$36:$G$42,COLUMN(Reference!$G$2)-COLUMN(Reference!$B$2)+1,0)/(10^6)*(VLOOKUP($E$47,Reference!$B$36:$H$42,COLUMN(Reference!$H$2)-COLUMN(Reference!$B$2)+1,0)/(10^3))))</f>
        <v/>
      </c>
      <c r="Q47" s="116" t="str">
        <f>IF(Q17="","",Q17*(VLOOKUP($E$47,Reference!$B$36:$G$42,COLUMN(Reference!$G$2)-COLUMN(Reference!$B$2)+1,0)/(10^6)*(VLOOKUP($E$47,Reference!$B$36:$H$42,COLUMN(Reference!$H$2)-COLUMN(Reference!$B$2)+1,0)/(10^3))))</f>
        <v/>
      </c>
      <c r="R47" s="116" t="str">
        <f>IF(R17="","",R17*(VLOOKUP($E$47,Reference!$B$36:$G$42,COLUMN(Reference!$G$2)-COLUMN(Reference!$B$2)+1,0)/(10^6)*(VLOOKUP($E$47,Reference!$B$36:$H$42,COLUMN(Reference!$H$2)-COLUMN(Reference!$B$2)+1,0)/(10^3))))</f>
        <v/>
      </c>
      <c r="S47" s="117" t="str">
        <f>IF(S17="","",S17*(VLOOKUP($E$47,Reference!$B$36:$G$42,COLUMN(Reference!$G$2)-COLUMN(Reference!$B$2)+1,0)/(10^6)*(VLOOKUP($E$47,Reference!$B$36:$H$42,COLUMN(Reference!$H$2)-COLUMN(Reference!$B$2)+1,0)/(10^3))))</f>
        <v/>
      </c>
    </row>
    <row r="48" spans="2:19" ht="21" customHeight="1" x14ac:dyDescent="0.3">
      <c r="B48" s="538"/>
      <c r="C48" s="505"/>
      <c r="D48" s="526"/>
      <c r="E48" s="526"/>
      <c r="F48" s="109" t="s">
        <v>36</v>
      </c>
      <c r="G48" s="110" t="str">
        <f>IF(OR($G$17="", $G$17=0), "", SUM(H48:S48))</f>
        <v/>
      </c>
      <c r="H48" s="111" t="str">
        <f>IF(H17="","",H17*(VLOOKUP($E$47,Reference!$B$36:$G$42,COLUMN(Reference!$G$2)-COLUMN(Reference!$B$2)+1,0)/(10^6)*(VLOOKUP($E$47,Reference!$B$36:$I$42,COLUMN(Reference!$I$2)-COLUMN(Reference!$B$2)+1,0)/(10^3))))</f>
        <v/>
      </c>
      <c r="I48" s="111" t="str">
        <f>IF(I17="","",I17*(VLOOKUP($E$47,Reference!$B$36:$G$42,COLUMN(Reference!$G$2)-COLUMN(Reference!$B$2)+1,0)/(10^6)*(VLOOKUP($E$47,Reference!$B$36:$I$42,COLUMN(Reference!$I$2)-COLUMN(Reference!$B$2)+1,0)/(10^3))))</f>
        <v/>
      </c>
      <c r="J48" s="111" t="str">
        <f>IF(J17="","",J17*(VLOOKUP($E$47,Reference!$B$36:$G$42,COLUMN(Reference!$G$2)-COLUMN(Reference!$B$2)+1,0)/(10^6)*(VLOOKUP($E$47,Reference!$B$36:$I$42,COLUMN(Reference!$I$2)-COLUMN(Reference!$B$2)+1,0)/(10^3))))</f>
        <v/>
      </c>
      <c r="K48" s="111" t="str">
        <f>IF(K17="","",K17*(VLOOKUP($E$47,Reference!$B$36:$G$42,COLUMN(Reference!$G$2)-COLUMN(Reference!$B$2)+1,0)/(10^6)*(VLOOKUP($E$47,Reference!$B$36:$I$42,COLUMN(Reference!$I$2)-COLUMN(Reference!$B$2)+1,0)/(10^3))))</f>
        <v/>
      </c>
      <c r="L48" s="111" t="str">
        <f>IF(L17="","",L17*(VLOOKUP($E$47,Reference!$B$36:$G$42,COLUMN(Reference!$G$2)-COLUMN(Reference!$B$2)+1,0)/(10^6)*(VLOOKUP($E$47,Reference!$B$36:$I$42,COLUMN(Reference!$I$2)-COLUMN(Reference!$B$2)+1,0)/(10^3))))</f>
        <v/>
      </c>
      <c r="M48" s="111" t="str">
        <f>IF(M17="","",M17*(VLOOKUP($E$47,Reference!$B$36:$G$42,COLUMN(Reference!$G$2)-COLUMN(Reference!$B$2)+1,0)/(10^6)*(VLOOKUP($E$47,Reference!$B$36:$I$42,COLUMN(Reference!$I$2)-COLUMN(Reference!$B$2)+1,0)/(10^3))))</f>
        <v/>
      </c>
      <c r="N48" s="111" t="str">
        <f>IF(N17="","",N17*(VLOOKUP($E$47,Reference!$B$36:$G$42,COLUMN(Reference!$G$2)-COLUMN(Reference!$B$2)+1,0)/(10^6)*(VLOOKUP($E$47,Reference!$B$36:$I$42,COLUMN(Reference!$I$2)-COLUMN(Reference!$B$2)+1,0)/(10^3))))</f>
        <v/>
      </c>
      <c r="O48" s="111" t="str">
        <f>IF(O17="","",O17*(VLOOKUP($E$47,Reference!$B$36:$G$42,COLUMN(Reference!$G$2)-COLUMN(Reference!$B$2)+1,0)/(10^6)*(VLOOKUP($E$47,Reference!$B$36:$I$42,COLUMN(Reference!$I$2)-COLUMN(Reference!$B$2)+1,0)/(10^3))))</f>
        <v/>
      </c>
      <c r="P48" s="111" t="str">
        <f>IF(P17="","",P17*(VLOOKUP($E$47,Reference!$B$36:$G$42,COLUMN(Reference!$G$2)-COLUMN(Reference!$B$2)+1,0)/(10^6)*(VLOOKUP($E$47,Reference!$B$36:$I$42,COLUMN(Reference!$I$2)-COLUMN(Reference!$B$2)+1,0)/(10^3))))</f>
        <v/>
      </c>
      <c r="Q48" s="111" t="str">
        <f>IF(Q17="","",Q17*(VLOOKUP($E$47,Reference!$B$36:$G$42,COLUMN(Reference!$G$2)-COLUMN(Reference!$B$2)+1,0)/(10^6)*(VLOOKUP($E$47,Reference!$B$36:$I$42,COLUMN(Reference!$I$2)-COLUMN(Reference!$B$2)+1,0)/(10^3))))</f>
        <v/>
      </c>
      <c r="R48" s="111" t="str">
        <f>IF(R17="","",R17*(VLOOKUP($E$47,Reference!$B$36:$G$42,COLUMN(Reference!$G$2)-COLUMN(Reference!$B$2)+1,0)/(10^6)*(VLOOKUP($E$47,Reference!$B$36:$I$42,COLUMN(Reference!$I$2)-COLUMN(Reference!$B$2)+1,0)/(10^3))))</f>
        <v/>
      </c>
      <c r="S48" s="112" t="str">
        <f>IF(S17="","",S17*(VLOOKUP($E$47,Reference!$B$36:$G$42,COLUMN(Reference!$G$2)-COLUMN(Reference!$B$2)+1,0)/(10^6)*(VLOOKUP($E$47,Reference!$B$36:$I$42,COLUMN(Reference!$I$2)-COLUMN(Reference!$B$2)+1,0)/(10^3))))</f>
        <v/>
      </c>
    </row>
    <row r="49" spans="2:19" ht="21" customHeight="1" x14ac:dyDescent="0.3">
      <c r="B49" s="538"/>
      <c r="C49" s="505"/>
      <c r="D49" s="526"/>
      <c r="E49" s="526"/>
      <c r="F49" s="109" t="s">
        <v>37</v>
      </c>
      <c r="G49" s="110" t="str">
        <f>IF(OR($G$17="", $G$17=0), "", SUM(H49:S49))</f>
        <v/>
      </c>
      <c r="H49" s="111" t="str">
        <f>IF(H17="","",H17*(VLOOKUP($E$47,Reference!$B$36:$G$42,COLUMN(Reference!$G$2)-COLUMN(Reference!$B$2)+1,0)/(10^6)*(VLOOKUP($E$47,Reference!$B$36:$J$42,COLUMN(Reference!$J$2)-COLUMN(Reference!$B$2)+1,0)/(10^3))))</f>
        <v/>
      </c>
      <c r="I49" s="111" t="str">
        <f>IF(I17="","",I17*(VLOOKUP($E$47,Reference!$B$36:$G$42,COLUMN(Reference!$G$2)-COLUMN(Reference!$B$2)+1,0)/(10^6)*(VLOOKUP($E$47,Reference!$B$36:$J$42,COLUMN(Reference!$J$2)-COLUMN(Reference!$B$2)+1,0)/(10^3))))</f>
        <v/>
      </c>
      <c r="J49" s="111" t="str">
        <f>IF(J17="","",J17*(VLOOKUP($E$47,Reference!$B$36:$G$42,COLUMN(Reference!$G$2)-COLUMN(Reference!$B$2)+1,0)/(10^6)*(VLOOKUP($E$47,Reference!$B$36:$J$42,COLUMN(Reference!$J$2)-COLUMN(Reference!$B$2)+1,0)/(10^3))))</f>
        <v/>
      </c>
      <c r="K49" s="111" t="str">
        <f>IF(K17="","",K17*(VLOOKUP($E$47,Reference!$B$36:$G$42,COLUMN(Reference!$G$2)-COLUMN(Reference!$B$2)+1,0)/(10^6)*(VLOOKUP($E$47,Reference!$B$36:$J$42,COLUMN(Reference!$J$2)-COLUMN(Reference!$B$2)+1,0)/(10^3))))</f>
        <v/>
      </c>
      <c r="L49" s="111" t="str">
        <f>IF(L17="","",L17*(VLOOKUP($E$47,Reference!$B$36:$G$42,COLUMN(Reference!$G$2)-COLUMN(Reference!$B$2)+1,0)/(10^6)*(VLOOKUP($E$47,Reference!$B$36:$J$42,COLUMN(Reference!$J$2)-COLUMN(Reference!$B$2)+1,0)/(10^3))))</f>
        <v/>
      </c>
      <c r="M49" s="111" t="str">
        <f>IF(M17="","",M17*(VLOOKUP($E$47,Reference!$B$36:$G$42,COLUMN(Reference!$G$2)-COLUMN(Reference!$B$2)+1,0)/(10^6)*(VLOOKUP($E$47,Reference!$B$36:$J$42,COLUMN(Reference!$J$2)-COLUMN(Reference!$B$2)+1,0)/(10^3))))</f>
        <v/>
      </c>
      <c r="N49" s="111" t="str">
        <f>IF(N17="","",N17*(VLOOKUP($E$47,Reference!$B$36:$G$42,COLUMN(Reference!$G$2)-COLUMN(Reference!$B$2)+1,0)/(10^6)*(VLOOKUP($E$47,Reference!$B$36:$J$42,COLUMN(Reference!$J$2)-COLUMN(Reference!$B$2)+1,0)/(10^3))))</f>
        <v/>
      </c>
      <c r="O49" s="111" t="str">
        <f>IF(O17="","",O17*(VLOOKUP($E$47,Reference!$B$36:$G$42,COLUMN(Reference!$G$2)-COLUMN(Reference!$B$2)+1,0)/(10^6)*(VLOOKUP($E$47,Reference!$B$36:$J$42,COLUMN(Reference!$J$2)-COLUMN(Reference!$B$2)+1,0)/(10^3))))</f>
        <v/>
      </c>
      <c r="P49" s="111" t="str">
        <f>IF(P17="","",P17*(VLOOKUP($E$47,Reference!$B$36:$G$42,COLUMN(Reference!$G$2)-COLUMN(Reference!$B$2)+1,0)/(10^6)*(VLOOKUP($E$47,Reference!$B$36:$J$42,COLUMN(Reference!$J$2)-COLUMN(Reference!$B$2)+1,0)/(10^3))))</f>
        <v/>
      </c>
      <c r="Q49" s="111" t="str">
        <f>IF(Q17="","",Q17*(VLOOKUP($E$47,Reference!$B$36:$G$42,COLUMN(Reference!$G$2)-COLUMN(Reference!$B$2)+1,0)/(10^6)*(VLOOKUP($E$47,Reference!$B$36:$J$42,COLUMN(Reference!$J$2)-COLUMN(Reference!$B$2)+1,0)/(10^3))))</f>
        <v/>
      </c>
      <c r="R49" s="111" t="str">
        <f>IF(R17="","",R17*(VLOOKUP($E$47,Reference!$B$36:$G$42,COLUMN(Reference!$G$2)-COLUMN(Reference!$B$2)+1,0)/(10^6)*(VLOOKUP($E$47,Reference!$B$36:$J$42,COLUMN(Reference!$J$2)-COLUMN(Reference!$B$2)+1,0)/(10^3))))</f>
        <v/>
      </c>
      <c r="S49" s="112" t="str">
        <f>IF(S17="","",S17*(VLOOKUP($E$47,Reference!$B$36:$G$42,COLUMN(Reference!$G$2)-COLUMN(Reference!$B$2)+1,0)/(10^6)*(VLOOKUP($E$47,Reference!$B$36:$J$42,COLUMN(Reference!$J$2)-COLUMN(Reference!$B$2)+1,0)/(10^3))))</f>
        <v/>
      </c>
    </row>
    <row r="50" spans="2:19" ht="21" customHeight="1" x14ac:dyDescent="0.3">
      <c r="B50" s="538"/>
      <c r="C50" s="505"/>
      <c r="D50" s="527"/>
      <c r="E50" s="527"/>
      <c r="F50" s="113" t="s">
        <v>34</v>
      </c>
      <c r="G50" s="110" t="str">
        <f>IF(OR($G$17="", $G$17=0), "", SUM(H50:S50))</f>
        <v/>
      </c>
      <c r="H50" s="114" t="str">
        <f>IF($G$47="", "", (H47*Reference!$B$54)+(H48*Reference!$C$54)+('4. 기준연도 배출량 산정'!H49*Reference!$D$54))</f>
        <v/>
      </c>
      <c r="I50" s="114" t="str">
        <f>IF($G$47="", "", (I47*Reference!$B$54)+(I48*Reference!$C$54)+('4. 기준연도 배출량 산정'!I49*Reference!$D$54))</f>
        <v/>
      </c>
      <c r="J50" s="114" t="str">
        <f>IF($G$47="", "", (J47*Reference!$B$54)+(J48*Reference!$C$54)+('4. 기준연도 배출량 산정'!J49*Reference!$D$54))</f>
        <v/>
      </c>
      <c r="K50" s="114" t="str">
        <f>IF($G$47="", "", (K47*Reference!$B$54)+(K48*Reference!$C$54)+('4. 기준연도 배출량 산정'!K49*Reference!$D$54))</f>
        <v/>
      </c>
      <c r="L50" s="114" t="str">
        <f>IF($G$47="", "", (L47*Reference!$B$54)+(L48*Reference!$C$54)+('4. 기준연도 배출량 산정'!L49*Reference!$D$54))</f>
        <v/>
      </c>
      <c r="M50" s="114" t="str">
        <f>IF($G$47="", "", (M47*Reference!$B$54)+(M48*Reference!$C$54)+('4. 기준연도 배출량 산정'!M49*Reference!$D$54))</f>
        <v/>
      </c>
      <c r="N50" s="114" t="str">
        <f>IF($G$47="", "", (N47*Reference!$B$54)+(N48*Reference!$C$54)+('4. 기준연도 배출량 산정'!N49*Reference!$D$54))</f>
        <v/>
      </c>
      <c r="O50" s="114" t="str">
        <f>IF($G$47="", "", (O47*Reference!$B$54)+(O48*Reference!$C$54)+('4. 기준연도 배출량 산정'!O49*Reference!$D$54))</f>
        <v/>
      </c>
      <c r="P50" s="114" t="str">
        <f>IF($G$47="", "", (P47*Reference!$B$54)+(P48*Reference!$C$54)+('4. 기준연도 배출량 산정'!P49*Reference!$D$54))</f>
        <v/>
      </c>
      <c r="Q50" s="114" t="str">
        <f>IF($G$47="", "", (Q47*Reference!$B$54)+(Q48*Reference!$C$54)+('4. 기준연도 배출량 산정'!Q49*Reference!$D$54))</f>
        <v/>
      </c>
      <c r="R50" s="114" t="str">
        <f>IF($G$47="", "", (R47*Reference!$B$54)+(R48*Reference!$C$54)+('4. 기준연도 배출량 산정'!R49*Reference!$D$54))</f>
        <v/>
      </c>
      <c r="S50" s="115" t="str">
        <f>IF($G$47="", "", (S47*Reference!$B$54)+(S48*Reference!$C$54)+('4. 기준연도 배출량 산정'!S49*Reference!$D$54))</f>
        <v/>
      </c>
    </row>
    <row r="51" spans="2:19" ht="21" customHeight="1" x14ac:dyDescent="0.3">
      <c r="B51" s="538"/>
      <c r="C51" s="505"/>
      <c r="D51" s="528" t="str">
        <f>D18</f>
        <v/>
      </c>
      <c r="E51" s="528" t="str">
        <f>E18</f>
        <v/>
      </c>
      <c r="F51" s="109" t="s">
        <v>35</v>
      </c>
      <c r="G51" s="110" t="str">
        <f>IF(OR($G$18="", $G$18=0), "", SUM(H51:S51))</f>
        <v/>
      </c>
      <c r="H51" s="116" t="str">
        <f>IF(H18="","",H18*(VLOOKUP($E$51,Reference!$B$36:$G$42,COLUMN(Reference!$G$2)-COLUMN(Reference!$B$2)+1,0)/(10^6)*(VLOOKUP($E$51,Reference!$B$36:$H$42,COLUMN(Reference!$H$2)-COLUMN(Reference!$B$2)+1,0)/(10^3))))</f>
        <v/>
      </c>
      <c r="I51" s="116" t="str">
        <f>IF(I18="","",I18*(VLOOKUP($E$51,Reference!$B$36:$G$42,COLUMN(Reference!$G$2)-COLUMN(Reference!$B$2)+1,0)/(10^6)*(VLOOKUP($E$51,Reference!$B$36:$H$42,COLUMN(Reference!$H$2)-COLUMN(Reference!$B$2)+1,0)/(10^3))))</f>
        <v/>
      </c>
      <c r="J51" s="116" t="str">
        <f>IF(J18="","",J18*(VLOOKUP($E$51,Reference!$B$36:$G$42,COLUMN(Reference!$G$2)-COLUMN(Reference!$B$2)+1,0)/(10^6)*(VLOOKUP($E$51,Reference!$B$36:$H$42,COLUMN(Reference!$H$2)-COLUMN(Reference!$B$2)+1,0)/(10^3))))</f>
        <v/>
      </c>
      <c r="K51" s="116" t="str">
        <f>IF(K18="","",K18*(VLOOKUP($E$51,Reference!$B$36:$G$42,COLUMN(Reference!$G$2)-COLUMN(Reference!$B$2)+1,0)/(10^6)*(VLOOKUP($E$51,Reference!$B$36:$H$42,COLUMN(Reference!$H$2)-COLUMN(Reference!$B$2)+1,0)/(10^3))))</f>
        <v/>
      </c>
      <c r="L51" s="116" t="str">
        <f>IF(L18="","",L18*(VLOOKUP($E$51,Reference!$B$36:$G$42,COLUMN(Reference!$G$2)-COLUMN(Reference!$B$2)+1,0)/(10^6)*(VLOOKUP($E$51,Reference!$B$36:$H$42,COLUMN(Reference!$H$2)-COLUMN(Reference!$B$2)+1,0)/(10^3))))</f>
        <v/>
      </c>
      <c r="M51" s="116" t="str">
        <f>IF(M18="","",M18*(VLOOKUP($E$51,Reference!$B$36:$G$42,COLUMN(Reference!$G$2)-COLUMN(Reference!$B$2)+1,0)/(10^6)*(VLOOKUP($E$51,Reference!$B$36:$H$42,COLUMN(Reference!$H$2)-COLUMN(Reference!$B$2)+1,0)/(10^3))))</f>
        <v/>
      </c>
      <c r="N51" s="116" t="str">
        <f>IF(N18="","",N18*(VLOOKUP($E$51,Reference!$B$36:$G$42,COLUMN(Reference!$G$2)-COLUMN(Reference!$B$2)+1,0)/(10^6)*(VLOOKUP($E$51,Reference!$B$36:$H$42,COLUMN(Reference!$H$2)-COLUMN(Reference!$B$2)+1,0)/(10^3))))</f>
        <v/>
      </c>
      <c r="O51" s="116" t="str">
        <f>IF(O18="","",O18*(VLOOKUP($E$51,Reference!$B$36:$G$42,COLUMN(Reference!$G$2)-COLUMN(Reference!$B$2)+1,0)/(10^6)*(VLOOKUP($E$51,Reference!$B$36:$H$42,COLUMN(Reference!$H$2)-COLUMN(Reference!$B$2)+1,0)/(10^3))))</f>
        <v/>
      </c>
      <c r="P51" s="116" t="str">
        <f>IF(P18="","",P18*(VLOOKUP($E$51,Reference!$B$36:$G$42,COLUMN(Reference!$G$2)-COLUMN(Reference!$B$2)+1,0)/(10^6)*(VLOOKUP($E$51,Reference!$B$36:$H$42,COLUMN(Reference!$H$2)-COLUMN(Reference!$B$2)+1,0)/(10^3))))</f>
        <v/>
      </c>
      <c r="Q51" s="116" t="str">
        <f>IF(Q18="","",Q18*(VLOOKUP($E$51,Reference!$B$36:$G$42,COLUMN(Reference!$G$2)-COLUMN(Reference!$B$2)+1,0)/(10^6)*(VLOOKUP($E$51,Reference!$B$36:$H$42,COLUMN(Reference!$H$2)-COLUMN(Reference!$B$2)+1,0)/(10^3))))</f>
        <v/>
      </c>
      <c r="R51" s="116" t="str">
        <f>IF(R18="","",R18*(VLOOKUP($E$51,Reference!$B$36:$G$42,COLUMN(Reference!$G$2)-COLUMN(Reference!$B$2)+1,0)/(10^6)*(VLOOKUP($E$51,Reference!$B$36:$H$42,COLUMN(Reference!$H$2)-COLUMN(Reference!$B$2)+1,0)/(10^3))))</f>
        <v/>
      </c>
      <c r="S51" s="117" t="str">
        <f>IF(S18="","",S18*(VLOOKUP($E$51,Reference!$B$36:$G$42,COLUMN(Reference!$G$2)-COLUMN(Reference!$B$2)+1,0)/(10^6)*(VLOOKUP($E$51,Reference!$B$36:$H$42,COLUMN(Reference!$H$2)-COLUMN(Reference!$B$2)+1,0)/(10^3))))</f>
        <v/>
      </c>
    </row>
    <row r="52" spans="2:19" ht="21" customHeight="1" x14ac:dyDescent="0.3">
      <c r="B52" s="538"/>
      <c r="C52" s="505"/>
      <c r="D52" s="526"/>
      <c r="E52" s="526"/>
      <c r="F52" s="109" t="s">
        <v>36</v>
      </c>
      <c r="G52" s="110" t="str">
        <f>IF(OR($G$18="", $G$18=0), "", SUM(H52:S52))</f>
        <v/>
      </c>
      <c r="H52" s="111" t="str">
        <f>IF(H18="","",H18*(VLOOKUP($E$51,Reference!$B$36:$G$42,COLUMN(Reference!$G$2)-COLUMN(Reference!$B$2)+1,0)/(10^6)*(VLOOKUP($E$51,Reference!$B$36:$I$42,COLUMN(Reference!$I$2)-COLUMN(Reference!$B$2)+1,0)/(10^3))))</f>
        <v/>
      </c>
      <c r="I52" s="111" t="str">
        <f>IF(I18="","",I18*(VLOOKUP($E$51,Reference!$B$36:$G$42,COLUMN(Reference!$G$2)-COLUMN(Reference!$B$2)+1,0)/(10^6)*(VLOOKUP($E$51,Reference!$B$36:$I$42,COLUMN(Reference!$I$2)-COLUMN(Reference!$B$2)+1,0)/(10^3))))</f>
        <v/>
      </c>
      <c r="J52" s="111" t="str">
        <f>IF(J18="","",J18*(VLOOKUP($E$51,Reference!$B$36:$G$42,COLUMN(Reference!$G$2)-COLUMN(Reference!$B$2)+1,0)/(10^6)*(VLOOKUP($E$51,Reference!$B$36:$I$42,COLUMN(Reference!$I$2)-COLUMN(Reference!$B$2)+1,0)/(10^3))))</f>
        <v/>
      </c>
      <c r="K52" s="111" t="str">
        <f>IF(K18="","",K18*(VLOOKUP($E$51,Reference!$B$36:$G$42,COLUMN(Reference!$G$2)-COLUMN(Reference!$B$2)+1,0)/(10^6)*(VLOOKUP($E$51,Reference!$B$36:$I$42,COLUMN(Reference!$I$2)-COLUMN(Reference!$B$2)+1,0)/(10^3))))</f>
        <v/>
      </c>
      <c r="L52" s="111" t="str">
        <f>IF(L18="","",L18*(VLOOKUP($E$51,Reference!$B$36:$G$42,COLUMN(Reference!$G$2)-COLUMN(Reference!$B$2)+1,0)/(10^6)*(VLOOKUP($E$51,Reference!$B$36:$I$42,COLUMN(Reference!$I$2)-COLUMN(Reference!$B$2)+1,0)/(10^3))))</f>
        <v/>
      </c>
      <c r="M52" s="111" t="str">
        <f>IF(M18="","",M18*(VLOOKUP($E$51,Reference!$B$36:$G$42,COLUMN(Reference!$G$2)-COLUMN(Reference!$B$2)+1,0)/(10^6)*(VLOOKUP($E$51,Reference!$B$36:$I$42,COLUMN(Reference!$I$2)-COLUMN(Reference!$B$2)+1,0)/(10^3))))</f>
        <v/>
      </c>
      <c r="N52" s="111" t="str">
        <f>IF(N18="","",N18*(VLOOKUP($E$51,Reference!$B$36:$G$42,COLUMN(Reference!$G$2)-COLUMN(Reference!$B$2)+1,0)/(10^6)*(VLOOKUP($E$51,Reference!$B$36:$I$42,COLUMN(Reference!$I$2)-COLUMN(Reference!$B$2)+1,0)/(10^3))))</f>
        <v/>
      </c>
      <c r="O52" s="111" t="str">
        <f>IF(O18="","",O18*(VLOOKUP($E$51,Reference!$B$36:$G$42,COLUMN(Reference!$G$2)-COLUMN(Reference!$B$2)+1,0)/(10^6)*(VLOOKUP($E$51,Reference!$B$36:$I$42,COLUMN(Reference!$I$2)-COLUMN(Reference!$B$2)+1,0)/(10^3))))</f>
        <v/>
      </c>
      <c r="P52" s="111" t="str">
        <f>IF(P18="","",P18*(VLOOKUP($E$51,Reference!$B$36:$G$42,COLUMN(Reference!$G$2)-COLUMN(Reference!$B$2)+1,0)/(10^6)*(VLOOKUP($E$51,Reference!$B$36:$I$42,COLUMN(Reference!$I$2)-COLUMN(Reference!$B$2)+1,0)/(10^3))))</f>
        <v/>
      </c>
      <c r="Q52" s="111" t="str">
        <f>IF(Q18="","",Q18*(VLOOKUP($E$51,Reference!$B$36:$G$42,COLUMN(Reference!$G$2)-COLUMN(Reference!$B$2)+1,0)/(10^6)*(VLOOKUP($E$51,Reference!$B$36:$I$42,COLUMN(Reference!$I$2)-COLUMN(Reference!$B$2)+1,0)/(10^3))))</f>
        <v/>
      </c>
      <c r="R52" s="111" t="str">
        <f>IF(R18="","",R18*(VLOOKUP($E$51,Reference!$B$36:$G$42,COLUMN(Reference!$G$2)-COLUMN(Reference!$B$2)+1,0)/(10^6)*(VLOOKUP($E$51,Reference!$B$36:$I$42,COLUMN(Reference!$I$2)-COLUMN(Reference!$B$2)+1,0)/(10^3))))</f>
        <v/>
      </c>
      <c r="S52" s="112" t="str">
        <f>IF(S18="","",S18*(VLOOKUP($E$51,Reference!$B$36:$G$42,COLUMN(Reference!$G$2)-COLUMN(Reference!$B$2)+1,0)/(10^6)*(VLOOKUP($E$51,Reference!$B$36:$I$42,COLUMN(Reference!$I$2)-COLUMN(Reference!$B$2)+1,0)/(10^3))))</f>
        <v/>
      </c>
    </row>
    <row r="53" spans="2:19" ht="21" customHeight="1" x14ac:dyDescent="0.3">
      <c r="B53" s="538"/>
      <c r="C53" s="505"/>
      <c r="D53" s="526"/>
      <c r="E53" s="526"/>
      <c r="F53" s="109" t="s">
        <v>37</v>
      </c>
      <c r="G53" s="110" t="str">
        <f>IF(OR($G$18="", $G$18=0), "", SUM(H53:S53))</f>
        <v/>
      </c>
      <c r="H53" s="111" t="str">
        <f>IF(H18="","",H18*(VLOOKUP($E$51,Reference!$B$36:$G$42,COLUMN(Reference!$G$2)-COLUMN(Reference!$B$2)+1,0)/(10^6)*(VLOOKUP($E$51,Reference!$B$36:$J$42,COLUMN(Reference!$J$2)-COLUMN(Reference!$B$2)+1,0)/(10^3))))</f>
        <v/>
      </c>
      <c r="I53" s="111" t="str">
        <f>IF(I18="","",I18*(VLOOKUP($E$51,Reference!$B$36:$G$42,COLUMN(Reference!$G$2)-COLUMN(Reference!$B$2)+1,0)/(10^6)*(VLOOKUP($E$51,Reference!$B$36:$J$42,COLUMN(Reference!$J$2)-COLUMN(Reference!$B$2)+1,0)/(10^3))))</f>
        <v/>
      </c>
      <c r="J53" s="111" t="str">
        <f>IF(J18="","",J18*(VLOOKUP($E$51,Reference!$B$36:$G$42,COLUMN(Reference!$G$2)-COLUMN(Reference!$B$2)+1,0)/(10^6)*(VLOOKUP($E$51,Reference!$B$36:$J$42,COLUMN(Reference!$J$2)-COLUMN(Reference!$B$2)+1,0)/(10^3))))</f>
        <v/>
      </c>
      <c r="K53" s="111" t="str">
        <f>IF(K18="","",K18*(VLOOKUP($E$51,Reference!$B$36:$G$42,COLUMN(Reference!$G$2)-COLUMN(Reference!$B$2)+1,0)/(10^6)*(VLOOKUP($E$51,Reference!$B$36:$J$42,COLUMN(Reference!$J$2)-COLUMN(Reference!$B$2)+1,0)/(10^3))))</f>
        <v/>
      </c>
      <c r="L53" s="111" t="str">
        <f>IF(L18="","",L18*(VLOOKUP($E$51,Reference!$B$36:$G$42,COLUMN(Reference!$G$2)-COLUMN(Reference!$B$2)+1,0)/(10^6)*(VLOOKUP($E$51,Reference!$B$36:$J$42,COLUMN(Reference!$J$2)-COLUMN(Reference!$B$2)+1,0)/(10^3))))</f>
        <v/>
      </c>
      <c r="M53" s="111" t="str">
        <f>IF(M18="","",M18*(VLOOKUP($E$51,Reference!$B$36:$G$42,COLUMN(Reference!$G$2)-COLUMN(Reference!$B$2)+1,0)/(10^6)*(VLOOKUP($E$51,Reference!$B$36:$J$42,COLUMN(Reference!$J$2)-COLUMN(Reference!$B$2)+1,0)/(10^3))))</f>
        <v/>
      </c>
      <c r="N53" s="111" t="str">
        <f>IF(N18="","",N18*(VLOOKUP($E$51,Reference!$B$36:$G$42,COLUMN(Reference!$G$2)-COLUMN(Reference!$B$2)+1,0)/(10^6)*(VLOOKUP($E$51,Reference!$B$36:$J$42,COLUMN(Reference!$J$2)-COLUMN(Reference!$B$2)+1,0)/(10^3))))</f>
        <v/>
      </c>
      <c r="O53" s="111" t="str">
        <f>IF(O18="","",O18*(VLOOKUP($E$51,Reference!$B$36:$G$42,COLUMN(Reference!$G$2)-COLUMN(Reference!$B$2)+1,0)/(10^6)*(VLOOKUP($E$51,Reference!$B$36:$J$42,COLUMN(Reference!$J$2)-COLUMN(Reference!$B$2)+1,0)/(10^3))))</f>
        <v/>
      </c>
      <c r="P53" s="111" t="str">
        <f>IF(P18="","",P18*(VLOOKUP($E$51,Reference!$B$36:$G$42,COLUMN(Reference!$G$2)-COLUMN(Reference!$B$2)+1,0)/(10^6)*(VLOOKUP($E$51,Reference!$B$36:$J$42,COLUMN(Reference!$J$2)-COLUMN(Reference!$B$2)+1,0)/(10^3))))</f>
        <v/>
      </c>
      <c r="Q53" s="111" t="str">
        <f>IF(Q18="","",Q18*(VLOOKUP($E$51,Reference!$B$36:$G$42,COLUMN(Reference!$G$2)-COLUMN(Reference!$B$2)+1,0)/(10^6)*(VLOOKUP($E$51,Reference!$B$36:$J$42,COLUMN(Reference!$J$2)-COLUMN(Reference!$B$2)+1,0)/(10^3))))</f>
        <v/>
      </c>
      <c r="R53" s="111" t="str">
        <f>IF(R18="","",R18*(VLOOKUP($E$51,Reference!$B$36:$G$42,COLUMN(Reference!$G$2)-COLUMN(Reference!$B$2)+1,0)/(10^6)*(VLOOKUP($E$51,Reference!$B$36:$J$42,COLUMN(Reference!$J$2)-COLUMN(Reference!$B$2)+1,0)/(10^3))))</f>
        <v/>
      </c>
      <c r="S53" s="112" t="str">
        <f>IF(S18="","",S18*(VLOOKUP($E$51,Reference!$B$36:$G$42,COLUMN(Reference!$G$2)-COLUMN(Reference!$B$2)+1,0)/(10^6)*(VLOOKUP($E$51,Reference!$B$36:$J$42,COLUMN(Reference!$J$2)-COLUMN(Reference!$B$2)+1,0)/(10^3))))</f>
        <v/>
      </c>
    </row>
    <row r="54" spans="2:19" ht="21" customHeight="1" x14ac:dyDescent="0.3">
      <c r="B54" s="538"/>
      <c r="C54" s="505"/>
      <c r="D54" s="527"/>
      <c r="E54" s="527"/>
      <c r="F54" s="113" t="s">
        <v>34</v>
      </c>
      <c r="G54" s="110" t="str">
        <f>IF(OR($G$18="", $G$18=0), "", SUM(H54:S54))</f>
        <v/>
      </c>
      <c r="H54" s="114" t="str">
        <f>IF($G$51="", "", (H51*Reference!$B$54)+(H52*Reference!$C$54)+('4. 기준연도 배출량 산정'!H53*Reference!$D$54))</f>
        <v/>
      </c>
      <c r="I54" s="114" t="str">
        <f>IF($G$51="", "", (I51*Reference!$B$54)+(I52*Reference!$C$54)+('4. 기준연도 배출량 산정'!I53*Reference!$D$54))</f>
        <v/>
      </c>
      <c r="J54" s="114" t="str">
        <f>IF($G$51="", "", (J51*Reference!$B$54)+(J52*Reference!$C$54)+('4. 기준연도 배출량 산정'!J53*Reference!$D$54))</f>
        <v/>
      </c>
      <c r="K54" s="114" t="str">
        <f>IF($G$51="", "", (K51*Reference!$B$54)+(K52*Reference!$C$54)+('4. 기준연도 배출량 산정'!K53*Reference!$D$54))</f>
        <v/>
      </c>
      <c r="L54" s="114" t="str">
        <f>IF($G$51="", "", (L51*Reference!$B$54)+(L52*Reference!$C$54)+('4. 기준연도 배출량 산정'!L53*Reference!$D$54))</f>
        <v/>
      </c>
      <c r="M54" s="114" t="str">
        <f>IF($G$51="", "", (M51*Reference!$B$54)+(M52*Reference!$C$54)+('4. 기준연도 배출량 산정'!M53*Reference!$D$54))</f>
        <v/>
      </c>
      <c r="N54" s="114" t="str">
        <f>IF($G$51="", "", (N51*Reference!$B$54)+(N52*Reference!$C$54)+('4. 기준연도 배출량 산정'!N53*Reference!$D$54))</f>
        <v/>
      </c>
      <c r="O54" s="114" t="str">
        <f>IF($G$51="", "", (O51*Reference!$B$54)+(O52*Reference!$C$54)+('4. 기준연도 배출량 산정'!O53*Reference!$D$54))</f>
        <v/>
      </c>
      <c r="P54" s="114" t="str">
        <f>IF($G$51="", "", (P51*Reference!$B$54)+(P52*Reference!$C$54)+('4. 기준연도 배출량 산정'!P53*Reference!$D$54))</f>
        <v/>
      </c>
      <c r="Q54" s="114" t="str">
        <f>IF($G$51="", "", (Q51*Reference!$B$54)+(Q52*Reference!$C$54)+('4. 기준연도 배출량 산정'!Q53*Reference!$D$54))</f>
        <v/>
      </c>
      <c r="R54" s="114" t="str">
        <f>IF($G$51="", "", (R51*Reference!$B$54)+(R52*Reference!$C$54)+('4. 기준연도 배출량 산정'!R53*Reference!$D$54))</f>
        <v/>
      </c>
      <c r="S54" s="115" t="str">
        <f>IF($G$51="", "", (S51*Reference!$B$54)+(S52*Reference!$C$54)+('4. 기준연도 배출량 산정'!S53*Reference!$D$54))</f>
        <v/>
      </c>
    </row>
    <row r="55" spans="2:19" ht="21" customHeight="1" x14ac:dyDescent="0.3">
      <c r="B55" s="538"/>
      <c r="C55" s="505"/>
      <c r="D55" s="528" t="str">
        <f>D19</f>
        <v/>
      </c>
      <c r="E55" s="528" t="str">
        <f>E19</f>
        <v/>
      </c>
      <c r="F55" s="109" t="s">
        <v>35</v>
      </c>
      <c r="G55" s="110" t="str">
        <f>IF(OR($G$19="", $G$19=0), "", SUM(H55:S55))</f>
        <v/>
      </c>
      <c r="H55" s="116" t="str">
        <f>IF(H19="","",H19*(VLOOKUP($E$55,Reference!$B$36:$G$42,COLUMN(Reference!$G$2)-COLUMN(Reference!$B$2)+1,0)/(10^6)*(VLOOKUP($E$55,Reference!$B$36:$H$42,COLUMN(Reference!$H$2)-COLUMN(Reference!$B$2)+1,0)/(10^3))))</f>
        <v/>
      </c>
      <c r="I55" s="116" t="str">
        <f>IF(I19="","",I19*(VLOOKUP($E$55,Reference!$B$36:$G$42,COLUMN(Reference!$G$2)-COLUMN(Reference!$B$2)+1,0)/(10^6)*(VLOOKUP($E$55,Reference!$B$36:$H$42,COLUMN(Reference!$H$2)-COLUMN(Reference!$B$2)+1,0)/(10^3))))</f>
        <v/>
      </c>
      <c r="J55" s="116" t="str">
        <f>IF(J19="","",J19*(VLOOKUP($E$55,Reference!$B$36:$G$42,COLUMN(Reference!$G$2)-COLUMN(Reference!$B$2)+1,0)/(10^6)*(VLOOKUP($E$55,Reference!$B$36:$H$42,COLUMN(Reference!$H$2)-COLUMN(Reference!$B$2)+1,0)/(10^3))))</f>
        <v/>
      </c>
      <c r="K55" s="116" t="str">
        <f>IF(K19="","",K19*(VLOOKUP($E$55,Reference!$B$36:$G$42,COLUMN(Reference!$G$2)-COLUMN(Reference!$B$2)+1,0)/(10^6)*(VLOOKUP($E$55,Reference!$B$36:$H$42,COLUMN(Reference!$H$2)-COLUMN(Reference!$B$2)+1,0)/(10^3))))</f>
        <v/>
      </c>
      <c r="L55" s="116" t="str">
        <f>IF(L19="","",L19*(VLOOKUP($E$55,Reference!$B$36:$G$42,COLUMN(Reference!$G$2)-COLUMN(Reference!$B$2)+1,0)/(10^6)*(VLOOKUP($E$55,Reference!$B$36:$H$42,COLUMN(Reference!$H$2)-COLUMN(Reference!$B$2)+1,0)/(10^3))))</f>
        <v/>
      </c>
      <c r="M55" s="116" t="str">
        <f>IF(M19="","",M19*(VLOOKUP($E$55,Reference!$B$36:$G$42,COLUMN(Reference!$G$2)-COLUMN(Reference!$B$2)+1,0)/(10^6)*(VLOOKUP($E$55,Reference!$B$36:$H$42,COLUMN(Reference!$H$2)-COLUMN(Reference!$B$2)+1,0)/(10^3))))</f>
        <v/>
      </c>
      <c r="N55" s="116" t="str">
        <f>IF(N19="","",N19*(VLOOKUP($E$55,Reference!$B$36:$G$42,COLUMN(Reference!$G$2)-COLUMN(Reference!$B$2)+1,0)/(10^6)*(VLOOKUP($E$55,Reference!$B$36:$H$42,COLUMN(Reference!$H$2)-COLUMN(Reference!$B$2)+1,0)/(10^3))))</f>
        <v/>
      </c>
      <c r="O55" s="116" t="str">
        <f>IF(O19="","",O19*(VLOOKUP($E$55,Reference!$B$36:$G$42,COLUMN(Reference!$G$2)-COLUMN(Reference!$B$2)+1,0)/(10^6)*(VLOOKUP($E$55,Reference!$B$36:$H$42,COLUMN(Reference!$H$2)-COLUMN(Reference!$B$2)+1,0)/(10^3))))</f>
        <v/>
      </c>
      <c r="P55" s="116" t="str">
        <f>IF(P19="","",P19*(VLOOKUP($E$55,Reference!$B$36:$G$42,COLUMN(Reference!$G$2)-COLUMN(Reference!$B$2)+1,0)/(10^6)*(VLOOKUP($E$55,Reference!$B$36:$H$42,COLUMN(Reference!$H$2)-COLUMN(Reference!$B$2)+1,0)/(10^3))))</f>
        <v/>
      </c>
      <c r="Q55" s="116" t="str">
        <f>IF(Q19="","",Q19*(VLOOKUP($E$55,Reference!$B$36:$G$42,COLUMN(Reference!$G$2)-COLUMN(Reference!$B$2)+1,0)/(10^6)*(VLOOKUP($E$55,Reference!$B$36:$H$42,COLUMN(Reference!$H$2)-COLUMN(Reference!$B$2)+1,0)/(10^3))))</f>
        <v/>
      </c>
      <c r="R55" s="116" t="str">
        <f>IF(R19="","",R19*(VLOOKUP($E$55,Reference!$B$36:$G$42,COLUMN(Reference!$G$2)-COLUMN(Reference!$B$2)+1,0)/(10^6)*(VLOOKUP($E$55,Reference!$B$36:$H$42,COLUMN(Reference!$H$2)-COLUMN(Reference!$B$2)+1,0)/(10^3))))</f>
        <v/>
      </c>
      <c r="S55" s="117" t="str">
        <f>IF(S19="","",S19*(VLOOKUP($E$55,Reference!$B$36:$G$42,COLUMN(Reference!$G$2)-COLUMN(Reference!$B$2)+1,0)/(10^6)*(VLOOKUP($E$55,Reference!$B$36:$H$42,COLUMN(Reference!$H$2)-COLUMN(Reference!$B$2)+1,0)/(10^3))))</f>
        <v/>
      </c>
    </row>
    <row r="56" spans="2:19" ht="21" customHeight="1" x14ac:dyDescent="0.3">
      <c r="B56" s="538"/>
      <c r="C56" s="505"/>
      <c r="D56" s="526"/>
      <c r="E56" s="526"/>
      <c r="F56" s="109" t="s">
        <v>36</v>
      </c>
      <c r="G56" s="110" t="str">
        <f>IF(OR($G$19="", $G$19=0), "", SUM(H56:S56))</f>
        <v/>
      </c>
      <c r="H56" s="111" t="str">
        <f>IF(H19="","",H19*(VLOOKUP($E$55,Reference!$B$36:$G$42,COLUMN(Reference!$G$2)-COLUMN(Reference!$B$2)+1,0)/(10^6)*(VLOOKUP($E$55,Reference!$B$36:$I$42,COLUMN(Reference!$I$2)-COLUMN(Reference!$B$2)+1,0)/(10^3))))</f>
        <v/>
      </c>
      <c r="I56" s="111" t="str">
        <f>IF(I19="","",I19*(VLOOKUP($E$55,Reference!$B$36:$G$42,COLUMN(Reference!$G$2)-COLUMN(Reference!$B$2)+1,0)/(10^6)*(VLOOKUP($E$55,Reference!$B$36:$I$42,COLUMN(Reference!$I$2)-COLUMN(Reference!$B$2)+1,0)/(10^3))))</f>
        <v/>
      </c>
      <c r="J56" s="111" t="str">
        <f>IF(J19="","",J19*(VLOOKUP($E$55,Reference!$B$36:$G$42,COLUMN(Reference!$G$2)-COLUMN(Reference!$B$2)+1,0)/(10^6)*(VLOOKUP($E$55,Reference!$B$36:$I$42,COLUMN(Reference!$I$2)-COLUMN(Reference!$B$2)+1,0)/(10^3))))</f>
        <v/>
      </c>
      <c r="K56" s="111" t="str">
        <f>IF(K19="","",K19*(VLOOKUP($E$55,Reference!$B$36:$G$42,COLUMN(Reference!$G$2)-COLUMN(Reference!$B$2)+1,0)/(10^6)*(VLOOKUP($E$55,Reference!$B$36:$I$42,COLUMN(Reference!$I$2)-COLUMN(Reference!$B$2)+1,0)/(10^3))))</f>
        <v/>
      </c>
      <c r="L56" s="111" t="str">
        <f>IF(L19="","",L19*(VLOOKUP($E$55,Reference!$B$36:$G$42,COLUMN(Reference!$G$2)-COLUMN(Reference!$B$2)+1,0)/(10^6)*(VLOOKUP($E$55,Reference!$B$36:$I$42,COLUMN(Reference!$I$2)-COLUMN(Reference!$B$2)+1,0)/(10^3))))</f>
        <v/>
      </c>
      <c r="M56" s="111" t="str">
        <f>IF(M19="","",M19*(VLOOKUP($E$55,Reference!$B$36:$G$42,COLUMN(Reference!$G$2)-COLUMN(Reference!$B$2)+1,0)/(10^6)*(VLOOKUP($E$55,Reference!$B$36:$I$42,COLUMN(Reference!$I$2)-COLUMN(Reference!$B$2)+1,0)/(10^3))))</f>
        <v/>
      </c>
      <c r="N56" s="111" t="str">
        <f>IF(N19="","",N19*(VLOOKUP($E$55,Reference!$B$36:$G$42,COLUMN(Reference!$G$2)-COLUMN(Reference!$B$2)+1,0)/(10^6)*(VLOOKUP($E$55,Reference!$B$36:$I$42,COLUMN(Reference!$I$2)-COLUMN(Reference!$B$2)+1,0)/(10^3))))</f>
        <v/>
      </c>
      <c r="O56" s="111" t="str">
        <f>IF(O19="","",O19*(VLOOKUP($E$55,Reference!$B$36:$G$42,COLUMN(Reference!$G$2)-COLUMN(Reference!$B$2)+1,0)/(10^6)*(VLOOKUP($E$55,Reference!$B$36:$I$42,COLUMN(Reference!$I$2)-COLUMN(Reference!$B$2)+1,0)/(10^3))))</f>
        <v/>
      </c>
      <c r="P56" s="111" t="str">
        <f>IF(P19="","",P19*(VLOOKUP($E$55,Reference!$B$36:$G$42,COLUMN(Reference!$G$2)-COLUMN(Reference!$B$2)+1,0)/(10^6)*(VLOOKUP($E$55,Reference!$B$36:$I$42,COLUMN(Reference!$I$2)-COLUMN(Reference!$B$2)+1,0)/(10^3))))</f>
        <v/>
      </c>
      <c r="Q56" s="111" t="str">
        <f>IF(Q19="","",Q19*(VLOOKUP($E$55,Reference!$B$36:$G$42,COLUMN(Reference!$G$2)-COLUMN(Reference!$B$2)+1,0)/(10^6)*(VLOOKUP($E$55,Reference!$B$36:$I$42,COLUMN(Reference!$I$2)-COLUMN(Reference!$B$2)+1,0)/(10^3))))</f>
        <v/>
      </c>
      <c r="R56" s="111" t="str">
        <f>IF(R19="","",R19*(VLOOKUP($E$55,Reference!$B$36:$G$42,COLUMN(Reference!$G$2)-COLUMN(Reference!$B$2)+1,0)/(10^6)*(VLOOKUP($E$55,Reference!$B$36:$I$42,COLUMN(Reference!$I$2)-COLUMN(Reference!$B$2)+1,0)/(10^3))))</f>
        <v/>
      </c>
      <c r="S56" s="112" t="str">
        <f>IF(S19="","",S19*(VLOOKUP($E$55,Reference!$B$36:$G$42,COLUMN(Reference!$G$2)-COLUMN(Reference!$B$2)+1,0)/(10^6)*(VLOOKUP($E$55,Reference!$B$36:$I$42,COLUMN(Reference!$I$2)-COLUMN(Reference!$B$2)+1,0)/(10^3))))</f>
        <v/>
      </c>
    </row>
    <row r="57" spans="2:19" ht="21" customHeight="1" x14ac:dyDescent="0.3">
      <c r="B57" s="538"/>
      <c r="C57" s="505"/>
      <c r="D57" s="526"/>
      <c r="E57" s="526"/>
      <c r="F57" s="109" t="s">
        <v>37</v>
      </c>
      <c r="G57" s="110" t="str">
        <f>IF(OR($G$19="", $G$19=0), "", SUM(H57:S57))</f>
        <v/>
      </c>
      <c r="H57" s="111" t="str">
        <f>IF(H19="","",H19*(VLOOKUP($E$55,Reference!$B$36:$G$42,COLUMN(Reference!$G$2)-COLUMN(Reference!$B$2)+1,0)/(10^6)*(VLOOKUP($E$55,Reference!$B$36:$J$42,COLUMN(Reference!$J$2)-COLUMN(Reference!$B$2)+1,0)/(10^3))))</f>
        <v/>
      </c>
      <c r="I57" s="111" t="str">
        <f>IF(I19="","",I19*(VLOOKUP($E$55,Reference!$B$36:$G$42,COLUMN(Reference!$G$2)-COLUMN(Reference!$B$2)+1,0)/(10^6)*(VLOOKUP($E$55,Reference!$B$36:$J$42,COLUMN(Reference!$J$2)-COLUMN(Reference!$B$2)+1,0)/(10^3))))</f>
        <v/>
      </c>
      <c r="J57" s="111" t="str">
        <f>IF(J19="","",J19*(VLOOKUP($E$55,Reference!$B$36:$G$42,COLUMN(Reference!$G$2)-COLUMN(Reference!$B$2)+1,0)/(10^6)*(VLOOKUP($E$55,Reference!$B$36:$J$42,COLUMN(Reference!$J$2)-COLUMN(Reference!$B$2)+1,0)/(10^3))))</f>
        <v/>
      </c>
      <c r="K57" s="111" t="str">
        <f>IF(K19="","",K19*(VLOOKUP($E$55,Reference!$B$36:$G$42,COLUMN(Reference!$G$2)-COLUMN(Reference!$B$2)+1,0)/(10^6)*(VLOOKUP($E$55,Reference!$B$36:$J$42,COLUMN(Reference!$J$2)-COLUMN(Reference!$B$2)+1,0)/(10^3))))</f>
        <v/>
      </c>
      <c r="L57" s="111" t="str">
        <f>IF(L19="","",L19*(VLOOKUP($E$55,Reference!$B$36:$G$42,COLUMN(Reference!$G$2)-COLUMN(Reference!$B$2)+1,0)/(10^6)*(VLOOKUP($E$55,Reference!$B$36:$J$42,COLUMN(Reference!$J$2)-COLUMN(Reference!$B$2)+1,0)/(10^3))))</f>
        <v/>
      </c>
      <c r="M57" s="111" t="str">
        <f>IF(M19="","",M19*(VLOOKUP($E$55,Reference!$B$36:$G$42,COLUMN(Reference!$G$2)-COLUMN(Reference!$B$2)+1,0)/(10^6)*(VLOOKUP($E$55,Reference!$B$36:$J$42,COLUMN(Reference!$J$2)-COLUMN(Reference!$B$2)+1,0)/(10^3))))</f>
        <v/>
      </c>
      <c r="N57" s="111" t="str">
        <f>IF(N19="","",N19*(VLOOKUP($E$55,Reference!$B$36:$G$42,COLUMN(Reference!$G$2)-COLUMN(Reference!$B$2)+1,0)/(10^6)*(VLOOKUP($E$55,Reference!$B$36:$J$42,COLUMN(Reference!$J$2)-COLUMN(Reference!$B$2)+1,0)/(10^3))))</f>
        <v/>
      </c>
      <c r="O57" s="111" t="str">
        <f>IF(O19="","",O19*(VLOOKUP($E$55,Reference!$B$36:$G$42,COLUMN(Reference!$G$2)-COLUMN(Reference!$B$2)+1,0)/(10^6)*(VLOOKUP($E$55,Reference!$B$36:$J$42,COLUMN(Reference!$J$2)-COLUMN(Reference!$B$2)+1,0)/(10^3))))</f>
        <v/>
      </c>
      <c r="P57" s="111" t="str">
        <f>IF(P19="","",P19*(VLOOKUP($E$55,Reference!$B$36:$G$42,COLUMN(Reference!$G$2)-COLUMN(Reference!$B$2)+1,0)/(10^6)*(VLOOKUP($E$55,Reference!$B$36:$J$42,COLUMN(Reference!$J$2)-COLUMN(Reference!$B$2)+1,0)/(10^3))))</f>
        <v/>
      </c>
      <c r="Q57" s="111" t="str">
        <f>IF(Q19="","",Q19*(VLOOKUP($E$55,Reference!$B$36:$G$42,COLUMN(Reference!$G$2)-COLUMN(Reference!$B$2)+1,0)/(10^6)*(VLOOKUP($E$55,Reference!$B$36:$J$42,COLUMN(Reference!$J$2)-COLUMN(Reference!$B$2)+1,0)/(10^3))))</f>
        <v/>
      </c>
      <c r="R57" s="111" t="str">
        <f>IF(R19="","",R19*(VLOOKUP($E$55,Reference!$B$36:$G$42,COLUMN(Reference!$G$2)-COLUMN(Reference!$B$2)+1,0)/(10^6)*(VLOOKUP($E$55,Reference!$B$36:$J$42,COLUMN(Reference!$J$2)-COLUMN(Reference!$B$2)+1,0)/(10^3))))</f>
        <v/>
      </c>
      <c r="S57" s="112" t="str">
        <f>IF(S19="","",S19*(VLOOKUP($E$55,Reference!$B$36:$G$42,COLUMN(Reference!$G$2)-COLUMN(Reference!$B$2)+1,0)/(10^6)*(VLOOKUP($E$55,Reference!$B$36:$J$42,COLUMN(Reference!$J$2)-COLUMN(Reference!$B$2)+1,0)/(10^3))))</f>
        <v/>
      </c>
    </row>
    <row r="58" spans="2:19" ht="21" customHeight="1" x14ac:dyDescent="0.3">
      <c r="B58" s="538"/>
      <c r="C58" s="505"/>
      <c r="D58" s="527"/>
      <c r="E58" s="527"/>
      <c r="F58" s="113" t="s">
        <v>34</v>
      </c>
      <c r="G58" s="110" t="str">
        <f>IF(OR($G$19="", $G$19=0), "", SUM(H58:S58))</f>
        <v/>
      </c>
      <c r="H58" s="114" t="str">
        <f>IF($G$55="", "", (H55*Reference!$B$54)+(H56*Reference!$C$54)+('4. 기준연도 배출량 산정'!H57*Reference!$D$54))</f>
        <v/>
      </c>
      <c r="I58" s="114" t="str">
        <f>IF($G$55="", "", (I55*Reference!$B$54)+(I56*Reference!$C$54)+('4. 기준연도 배출량 산정'!I57*Reference!$D$54))</f>
        <v/>
      </c>
      <c r="J58" s="114" t="str">
        <f>IF($G$55="", "", (J55*Reference!$B$54)+(J56*Reference!$C$54)+('4. 기준연도 배출량 산정'!J57*Reference!$D$54))</f>
        <v/>
      </c>
      <c r="K58" s="114" t="str">
        <f>IF($G$55="", "", (K55*Reference!$B$54)+(K56*Reference!$C$54)+('4. 기준연도 배출량 산정'!K57*Reference!$D$54))</f>
        <v/>
      </c>
      <c r="L58" s="114" t="str">
        <f>IF($G$55="", "", (L55*Reference!$B$54)+(L56*Reference!$C$54)+('4. 기준연도 배출량 산정'!L57*Reference!$D$54))</f>
        <v/>
      </c>
      <c r="M58" s="114" t="str">
        <f>IF($G$55="", "", (M55*Reference!$B$54)+(M56*Reference!$C$54)+('4. 기준연도 배출량 산정'!M57*Reference!$D$54))</f>
        <v/>
      </c>
      <c r="N58" s="114" t="str">
        <f>IF($G$55="", "", (N55*Reference!$B$54)+(N56*Reference!$C$54)+('4. 기준연도 배출량 산정'!N57*Reference!$D$54))</f>
        <v/>
      </c>
      <c r="O58" s="114" t="str">
        <f>IF($G$55="", "", (O55*Reference!$B$54)+(O56*Reference!$C$54)+('4. 기준연도 배출량 산정'!O57*Reference!$D$54))</f>
        <v/>
      </c>
      <c r="P58" s="114" t="str">
        <f>IF($G$55="", "", (P55*Reference!$B$54)+(P56*Reference!$C$54)+('4. 기준연도 배출량 산정'!P57*Reference!$D$54))</f>
        <v/>
      </c>
      <c r="Q58" s="114" t="str">
        <f>IF($G$55="", "", (Q55*Reference!$B$54)+(Q56*Reference!$C$54)+('4. 기준연도 배출량 산정'!Q57*Reference!$D$54))</f>
        <v/>
      </c>
      <c r="R58" s="114" t="str">
        <f>IF($G$55="", "", (R55*Reference!$B$54)+(R56*Reference!$C$54)+('4. 기준연도 배출량 산정'!R57*Reference!$D$54))</f>
        <v/>
      </c>
      <c r="S58" s="115" t="str">
        <f>IF($G$55="", "", (S55*Reference!$B$54)+(S56*Reference!$C$54)+('4. 기준연도 배출량 산정'!S57*Reference!$D$54))</f>
        <v/>
      </c>
    </row>
    <row r="59" spans="2:19" ht="21" customHeight="1" x14ac:dyDescent="0.3">
      <c r="B59" s="538"/>
      <c r="C59" s="505"/>
      <c r="D59" s="528" t="str">
        <f>D20</f>
        <v/>
      </c>
      <c r="E59" s="528" t="str">
        <f>E20</f>
        <v/>
      </c>
      <c r="F59" s="109" t="s">
        <v>35</v>
      </c>
      <c r="G59" s="110" t="str">
        <f>IF(OR($G$20="", $G$20=0), "", SUM(H59:S59))</f>
        <v/>
      </c>
      <c r="H59" s="116" t="str">
        <f>IF(H20="","",H20*(VLOOKUP($E$59,Reference!$B$36:$G$42,COLUMN(Reference!$G$2)-COLUMN(Reference!$B$2)+1,0)/(10^6)*(VLOOKUP($E$59,Reference!$B$36:$H$42,COLUMN(Reference!$H$2)-COLUMN(Reference!$B$2)+1,0)/(10^3))))</f>
        <v/>
      </c>
      <c r="I59" s="116" t="str">
        <f>IF(I20="","",I20*(VLOOKUP($E$59,Reference!$B$36:$G$42,COLUMN(Reference!$G$2)-COLUMN(Reference!$B$2)+1,0)/(10^6)*(VLOOKUP($E$59,Reference!$B$36:$H$42,COLUMN(Reference!$H$2)-COLUMN(Reference!$B$2)+1,0)/(10^3))))</f>
        <v/>
      </c>
      <c r="J59" s="116" t="str">
        <f>IF(J20="","",J20*(VLOOKUP($E$59,Reference!$B$36:$G$42,COLUMN(Reference!$G$2)-COLUMN(Reference!$B$2)+1,0)/(10^6)*(VLOOKUP($E$59,Reference!$B$36:$H$42,COLUMN(Reference!$H$2)-COLUMN(Reference!$B$2)+1,0)/(10^3))))</f>
        <v/>
      </c>
      <c r="K59" s="116" t="str">
        <f>IF(K20="","",K20*(VLOOKUP($E$59,Reference!$B$36:$G$42,COLUMN(Reference!$G$2)-COLUMN(Reference!$B$2)+1,0)/(10^6)*(VLOOKUP($E$59,Reference!$B$36:$H$42,COLUMN(Reference!$H$2)-COLUMN(Reference!$B$2)+1,0)/(10^3))))</f>
        <v/>
      </c>
      <c r="L59" s="116" t="str">
        <f>IF(L20="","",L20*(VLOOKUP($E$59,Reference!$B$36:$G$42,COLUMN(Reference!$G$2)-COLUMN(Reference!$B$2)+1,0)/(10^6)*(VLOOKUP($E$59,Reference!$B$36:$H$42,COLUMN(Reference!$H$2)-COLUMN(Reference!$B$2)+1,0)/(10^3))))</f>
        <v/>
      </c>
      <c r="M59" s="116" t="str">
        <f>IF(M20="","",M20*(VLOOKUP($E$59,Reference!$B$36:$G$42,COLUMN(Reference!$G$2)-COLUMN(Reference!$B$2)+1,0)/(10^6)*(VLOOKUP($E$59,Reference!$B$36:$H$42,COLUMN(Reference!$H$2)-COLUMN(Reference!$B$2)+1,0)/(10^3))))</f>
        <v/>
      </c>
      <c r="N59" s="116" t="str">
        <f>IF(N20="","",N20*(VLOOKUP($E$59,Reference!$B$36:$G$42,COLUMN(Reference!$G$2)-COLUMN(Reference!$B$2)+1,0)/(10^6)*(VLOOKUP($E$59,Reference!$B$36:$H$42,COLUMN(Reference!$H$2)-COLUMN(Reference!$B$2)+1,0)/(10^3))))</f>
        <v/>
      </c>
      <c r="O59" s="116" t="str">
        <f>IF(O20="","",O20*(VLOOKUP($E$59,Reference!$B$36:$G$42,COLUMN(Reference!$G$2)-COLUMN(Reference!$B$2)+1,0)/(10^6)*(VLOOKUP($E$59,Reference!$B$36:$H$42,COLUMN(Reference!$H$2)-COLUMN(Reference!$B$2)+1,0)/(10^3))))</f>
        <v/>
      </c>
      <c r="P59" s="116" t="str">
        <f>IF(P20="","",P20*(VLOOKUP($E$59,Reference!$B$36:$G$42,COLUMN(Reference!$G$2)-COLUMN(Reference!$B$2)+1,0)/(10^6)*(VLOOKUP($E$59,Reference!$B$36:$H$42,COLUMN(Reference!$H$2)-COLUMN(Reference!$B$2)+1,0)/(10^3))))</f>
        <v/>
      </c>
      <c r="Q59" s="116" t="str">
        <f>IF(Q20="","",Q20*(VLOOKUP($E$59,Reference!$B$36:$G$42,COLUMN(Reference!$G$2)-COLUMN(Reference!$B$2)+1,0)/(10^6)*(VLOOKUP($E$59,Reference!$B$36:$H$42,COLUMN(Reference!$H$2)-COLUMN(Reference!$B$2)+1,0)/(10^3))))</f>
        <v/>
      </c>
      <c r="R59" s="116" t="str">
        <f>IF(R20="","",R20*(VLOOKUP($E$59,Reference!$B$36:$G$42,COLUMN(Reference!$G$2)-COLUMN(Reference!$B$2)+1,0)/(10^6)*(VLOOKUP($E$59,Reference!$B$36:$H$42,COLUMN(Reference!$H$2)-COLUMN(Reference!$B$2)+1,0)/(10^3))))</f>
        <v/>
      </c>
      <c r="S59" s="117" t="str">
        <f>IF(S20="","",S20*(VLOOKUP($E$59,Reference!$B$36:$G$42,COLUMN(Reference!$G$2)-COLUMN(Reference!$B$2)+1,0)/(10^6)*(VLOOKUP($E$59,Reference!$B$36:$H$42,COLUMN(Reference!$H$2)-COLUMN(Reference!$B$2)+1,0)/(10^3))))</f>
        <v/>
      </c>
    </row>
    <row r="60" spans="2:19" ht="21" customHeight="1" x14ac:dyDescent="0.3">
      <c r="B60" s="538"/>
      <c r="C60" s="505"/>
      <c r="D60" s="526"/>
      <c r="E60" s="526"/>
      <c r="F60" s="109" t="s">
        <v>36</v>
      </c>
      <c r="G60" s="110" t="str">
        <f>IF(OR($G$20="", $G$20=0), "", SUM(H60:S60))</f>
        <v/>
      </c>
      <c r="H60" s="111" t="str">
        <f>IF(H20="","",H20*(VLOOKUP($E$59,Reference!$B$36:$G$42,COLUMN(Reference!$G$2)-COLUMN(Reference!$B$2)+1,0)/(10^6)*(VLOOKUP($E$59,Reference!$B$36:$I$42,COLUMN(Reference!$I$2)-COLUMN(Reference!$B$2)+1,0)/(10^3))))</f>
        <v/>
      </c>
      <c r="I60" s="111" t="str">
        <f>IF(I20="","",I20*(VLOOKUP($E$59,Reference!$B$36:$G$42,COLUMN(Reference!$G$2)-COLUMN(Reference!$B$2)+1,0)/(10^6)*(VLOOKUP($E$59,Reference!$B$36:$I$42,COLUMN(Reference!$I$2)-COLUMN(Reference!$B$2)+1,0)/(10^3))))</f>
        <v/>
      </c>
      <c r="J60" s="111" t="str">
        <f>IF(J20="","",J20*(VLOOKUP($E$59,Reference!$B$36:$G$42,COLUMN(Reference!$G$2)-COLUMN(Reference!$B$2)+1,0)/(10^6)*(VLOOKUP($E$59,Reference!$B$36:$I$42,COLUMN(Reference!$I$2)-COLUMN(Reference!$B$2)+1,0)/(10^3))))</f>
        <v/>
      </c>
      <c r="K60" s="111" t="str">
        <f>IF(K20="","",K20*(VLOOKUP($E$59,Reference!$B$36:$G$42,COLUMN(Reference!$G$2)-COLUMN(Reference!$B$2)+1,0)/(10^6)*(VLOOKUP($E$59,Reference!$B$36:$I$42,COLUMN(Reference!$I$2)-COLUMN(Reference!$B$2)+1,0)/(10^3))))</f>
        <v/>
      </c>
      <c r="L60" s="111" t="str">
        <f>IF(L20="","",L20*(VLOOKUP($E$59,Reference!$B$36:$G$42,COLUMN(Reference!$G$2)-COLUMN(Reference!$B$2)+1,0)/(10^6)*(VLOOKUP($E$59,Reference!$B$36:$I$42,COLUMN(Reference!$I$2)-COLUMN(Reference!$B$2)+1,0)/(10^3))))</f>
        <v/>
      </c>
      <c r="M60" s="111" t="str">
        <f>IF(M20="","",M20*(VLOOKUP($E$59,Reference!$B$36:$G$42,COLUMN(Reference!$G$2)-COLUMN(Reference!$B$2)+1,0)/(10^6)*(VLOOKUP($E$59,Reference!$B$36:$I$42,COLUMN(Reference!$I$2)-COLUMN(Reference!$B$2)+1,0)/(10^3))))</f>
        <v/>
      </c>
      <c r="N60" s="111" t="str">
        <f>IF(N20="","",N20*(VLOOKUP($E$59,Reference!$B$36:$G$42,COLUMN(Reference!$G$2)-COLUMN(Reference!$B$2)+1,0)/(10^6)*(VLOOKUP($E$59,Reference!$B$36:$I$42,COLUMN(Reference!$I$2)-COLUMN(Reference!$B$2)+1,0)/(10^3))))</f>
        <v/>
      </c>
      <c r="O60" s="111" t="str">
        <f>IF(O20="","",O20*(VLOOKUP($E$59,Reference!$B$36:$G$42,COLUMN(Reference!$G$2)-COLUMN(Reference!$B$2)+1,0)/(10^6)*(VLOOKUP($E$59,Reference!$B$36:$I$42,COLUMN(Reference!$I$2)-COLUMN(Reference!$B$2)+1,0)/(10^3))))</f>
        <v/>
      </c>
      <c r="P60" s="111" t="str">
        <f>IF(P20="","",P20*(VLOOKUP($E$59,Reference!$B$36:$G$42,COLUMN(Reference!$G$2)-COLUMN(Reference!$B$2)+1,0)/(10^6)*(VLOOKUP($E$59,Reference!$B$36:$I$42,COLUMN(Reference!$I$2)-COLUMN(Reference!$B$2)+1,0)/(10^3))))</f>
        <v/>
      </c>
      <c r="Q60" s="111" t="str">
        <f>IF(Q20="","",Q20*(VLOOKUP($E$59,Reference!$B$36:$G$42,COLUMN(Reference!$G$2)-COLUMN(Reference!$B$2)+1,0)/(10^6)*(VLOOKUP($E$59,Reference!$B$36:$I$42,COLUMN(Reference!$I$2)-COLUMN(Reference!$B$2)+1,0)/(10^3))))</f>
        <v/>
      </c>
      <c r="R60" s="111" t="str">
        <f>IF(R20="","",R20*(VLOOKUP($E$59,Reference!$B$36:$G$42,COLUMN(Reference!$G$2)-COLUMN(Reference!$B$2)+1,0)/(10^6)*(VLOOKUP($E$59,Reference!$B$36:$I$42,COLUMN(Reference!$I$2)-COLUMN(Reference!$B$2)+1,0)/(10^3))))</f>
        <v/>
      </c>
      <c r="S60" s="112" t="str">
        <f>IF(S20="","",S20*(VLOOKUP($E$59,Reference!$B$36:$G$42,COLUMN(Reference!$G$2)-COLUMN(Reference!$B$2)+1,0)/(10^6)*(VLOOKUP($E$59,Reference!$B$36:$I$42,COLUMN(Reference!$I$2)-COLUMN(Reference!$B$2)+1,0)/(10^3))))</f>
        <v/>
      </c>
    </row>
    <row r="61" spans="2:19" ht="21" customHeight="1" x14ac:dyDescent="0.3">
      <c r="B61" s="538"/>
      <c r="C61" s="505"/>
      <c r="D61" s="526"/>
      <c r="E61" s="526"/>
      <c r="F61" s="109" t="s">
        <v>37</v>
      </c>
      <c r="G61" s="110" t="str">
        <f>IF(OR($G$20="", $G$20=0), "", SUM(H61:S61))</f>
        <v/>
      </c>
      <c r="H61" s="111" t="str">
        <f>IF(H20="","",H20*(VLOOKUP($E$59,Reference!$B$36:$G$42,COLUMN(Reference!$G$2)-COLUMN(Reference!$B$2)+1,0)/(10^6)*(VLOOKUP($E$59,Reference!$B$36:$J$42,COLUMN(Reference!$J$2)-COLUMN(Reference!$B$2)+1,0)/(10^3))))</f>
        <v/>
      </c>
      <c r="I61" s="111" t="str">
        <f>IF(I20="","",I20*(VLOOKUP($E$59,Reference!$B$36:$G$42,COLUMN(Reference!$G$2)-COLUMN(Reference!$B$2)+1,0)/(10^6)*(VLOOKUP($E$59,Reference!$B$36:$J$42,COLUMN(Reference!$J$2)-COLUMN(Reference!$B$2)+1,0)/(10^3))))</f>
        <v/>
      </c>
      <c r="J61" s="111" t="str">
        <f>IF(J20="","",J20*(VLOOKUP($E$59,Reference!$B$36:$G$42,COLUMN(Reference!$G$2)-COLUMN(Reference!$B$2)+1,0)/(10^6)*(VLOOKUP($E$59,Reference!$B$36:$J$42,COLUMN(Reference!$J$2)-COLUMN(Reference!$B$2)+1,0)/(10^3))))</f>
        <v/>
      </c>
      <c r="K61" s="111" t="str">
        <f>IF(K20="","",K20*(VLOOKUP($E$59,Reference!$B$36:$G$42,COLUMN(Reference!$G$2)-COLUMN(Reference!$B$2)+1,0)/(10^6)*(VLOOKUP($E$59,Reference!$B$36:$J$42,COLUMN(Reference!$J$2)-COLUMN(Reference!$B$2)+1,0)/(10^3))))</f>
        <v/>
      </c>
      <c r="L61" s="111" t="str">
        <f>IF(L20="","",L20*(VLOOKUP($E$59,Reference!$B$36:$G$42,COLUMN(Reference!$G$2)-COLUMN(Reference!$B$2)+1,0)/(10^6)*(VLOOKUP($E$59,Reference!$B$36:$J$42,COLUMN(Reference!$J$2)-COLUMN(Reference!$B$2)+1,0)/(10^3))))</f>
        <v/>
      </c>
      <c r="M61" s="111" t="str">
        <f>IF(M20="","",M20*(VLOOKUP($E$59,Reference!$B$36:$G$42,COLUMN(Reference!$G$2)-COLUMN(Reference!$B$2)+1,0)/(10^6)*(VLOOKUP($E$59,Reference!$B$36:$J$42,COLUMN(Reference!$J$2)-COLUMN(Reference!$B$2)+1,0)/(10^3))))</f>
        <v/>
      </c>
      <c r="N61" s="111" t="str">
        <f>IF(N20="","",N20*(VLOOKUP($E$59,Reference!$B$36:$G$42,COLUMN(Reference!$G$2)-COLUMN(Reference!$B$2)+1,0)/(10^6)*(VLOOKUP($E$59,Reference!$B$36:$J$42,COLUMN(Reference!$J$2)-COLUMN(Reference!$B$2)+1,0)/(10^3))))</f>
        <v/>
      </c>
      <c r="O61" s="111" t="str">
        <f>IF(O20="","",O20*(VLOOKUP($E$59,Reference!$B$36:$G$42,COLUMN(Reference!$G$2)-COLUMN(Reference!$B$2)+1,0)/(10^6)*(VLOOKUP($E$59,Reference!$B$36:$J$42,COLUMN(Reference!$J$2)-COLUMN(Reference!$B$2)+1,0)/(10^3))))</f>
        <v/>
      </c>
      <c r="P61" s="111" t="str">
        <f>IF(P20="","",P20*(VLOOKUP($E$59,Reference!$B$36:$G$42,COLUMN(Reference!$G$2)-COLUMN(Reference!$B$2)+1,0)/(10^6)*(VLOOKUP($E$59,Reference!$B$36:$J$42,COLUMN(Reference!$J$2)-COLUMN(Reference!$B$2)+1,0)/(10^3))))</f>
        <v/>
      </c>
      <c r="Q61" s="111" t="str">
        <f>IF(Q20="","",Q20*(VLOOKUP($E$59,Reference!$B$36:$G$42,COLUMN(Reference!$G$2)-COLUMN(Reference!$B$2)+1,0)/(10^6)*(VLOOKUP($E$59,Reference!$B$36:$J$42,COLUMN(Reference!$J$2)-COLUMN(Reference!$B$2)+1,0)/(10^3))))</f>
        <v/>
      </c>
      <c r="R61" s="111" t="str">
        <f>IF(R20="","",R20*(VLOOKUP($E$59,Reference!$B$36:$G$42,COLUMN(Reference!$G$2)-COLUMN(Reference!$B$2)+1,0)/(10^6)*(VLOOKUP($E$59,Reference!$B$36:$J$42,COLUMN(Reference!$J$2)-COLUMN(Reference!$B$2)+1,0)/(10^3))))</f>
        <v/>
      </c>
      <c r="S61" s="112" t="str">
        <f>IF(S20="","",S20*(VLOOKUP($E$59,Reference!$B$36:$G$42,COLUMN(Reference!$G$2)-COLUMN(Reference!$B$2)+1,0)/(10^6)*(VLOOKUP($E$59,Reference!$B$36:$J$42,COLUMN(Reference!$J$2)-COLUMN(Reference!$B$2)+1,0)/(10^3))))</f>
        <v/>
      </c>
    </row>
    <row r="62" spans="2:19" ht="21" customHeight="1" thickBot="1" x14ac:dyDescent="0.35">
      <c r="B62" s="539"/>
      <c r="C62" s="542"/>
      <c r="D62" s="526"/>
      <c r="E62" s="526"/>
      <c r="F62" s="118" t="s">
        <v>34</v>
      </c>
      <c r="G62" s="119" t="str">
        <f>IF(OR($G$20="", $G$20=0), "", SUM(H62:S62))</f>
        <v/>
      </c>
      <c r="H62" s="120" t="str">
        <f>IF($G$59="", "", (H59*Reference!$B$54)+(H60*Reference!$C$54)+('4. 기준연도 배출량 산정'!H61*Reference!$D$54))</f>
        <v/>
      </c>
      <c r="I62" s="120" t="str">
        <f>IF($G$59="", "", (I59*Reference!$B$54)+(I60*Reference!$C$54)+('4. 기준연도 배출량 산정'!I61*Reference!$D$54))</f>
        <v/>
      </c>
      <c r="J62" s="120" t="str">
        <f>IF($G$59="", "", (J59*Reference!$B$54)+(J60*Reference!$C$54)+('4. 기준연도 배출량 산정'!J61*Reference!$D$54))</f>
        <v/>
      </c>
      <c r="K62" s="120" t="str">
        <f>IF($G$59="", "", (K59*Reference!$B$54)+(K60*Reference!$C$54)+('4. 기준연도 배출량 산정'!K61*Reference!$D$54))</f>
        <v/>
      </c>
      <c r="L62" s="120" t="str">
        <f>IF($G$59="", "", (L59*Reference!$B$54)+(L60*Reference!$C$54)+('4. 기준연도 배출량 산정'!L61*Reference!$D$54))</f>
        <v/>
      </c>
      <c r="M62" s="120" t="str">
        <f>IF($G$59="", "", (M59*Reference!$B$54)+(M60*Reference!$C$54)+('4. 기준연도 배출량 산정'!M61*Reference!$D$54))</f>
        <v/>
      </c>
      <c r="N62" s="120" t="str">
        <f>IF($G$59="", "", (N59*Reference!$B$54)+(N60*Reference!$C$54)+('4. 기준연도 배출량 산정'!N61*Reference!$D$54))</f>
        <v/>
      </c>
      <c r="O62" s="120" t="str">
        <f>IF($G$59="", "", (O59*Reference!$B$54)+(O60*Reference!$C$54)+('4. 기준연도 배출량 산정'!O61*Reference!$D$54))</f>
        <v/>
      </c>
      <c r="P62" s="120" t="str">
        <f>IF($G$59="", "", (P59*Reference!$B$54)+(P60*Reference!$C$54)+('4. 기준연도 배출량 산정'!P61*Reference!$D$54))</f>
        <v/>
      </c>
      <c r="Q62" s="120" t="str">
        <f>IF($G$59="", "", (Q59*Reference!$B$54)+(Q60*Reference!$C$54)+('4. 기준연도 배출량 산정'!Q61*Reference!$D$54))</f>
        <v/>
      </c>
      <c r="R62" s="120" t="str">
        <f>IF($G$59="", "", (R59*Reference!$B$54)+(R60*Reference!$C$54)+('4. 기준연도 배출량 산정'!R61*Reference!$D$54))</f>
        <v/>
      </c>
      <c r="S62" s="121" t="str">
        <f>IF($G$59="", "", (S59*Reference!$B$54)+(S60*Reference!$C$54)+('4. 기준연도 배출량 산정'!S61*Reference!$D$54))</f>
        <v/>
      </c>
    </row>
    <row r="63" spans="2:19" ht="21" customHeight="1" x14ac:dyDescent="0.3">
      <c r="B63" s="534" t="s">
        <v>85</v>
      </c>
      <c r="C63" s="540" t="s">
        <v>154</v>
      </c>
      <c r="D63" s="525" t="str">
        <f>D21</f>
        <v>사업장 단위 전기사용시설</v>
      </c>
      <c r="E63" s="525" t="str">
        <f>E21</f>
        <v>전기(소비기준)</v>
      </c>
      <c r="F63" s="122" t="s">
        <v>35</v>
      </c>
      <c r="G63" s="123">
        <f>IF(OR($G$21="", $G$21=0), "", SUM(H63:S63))</f>
        <v>212.94187539999999</v>
      </c>
      <c r="H63" s="107">
        <f>IF(H21="","",H21*(10^-3)*(VLOOKUP($E$63,Reference!$B$47:$F$48,COLUMN(Reference!$D$2)-COLUMN(Reference!$B$2)+1,0)))</f>
        <v>17.745156283333337</v>
      </c>
      <c r="I63" s="107">
        <f>IF(I21="","",I21*(10^-3)*(VLOOKUP($E$63,Reference!$B$47:$F$48,COLUMN(Reference!$D$2)-COLUMN(Reference!$B$2)+1,0)))</f>
        <v>17.745156283333337</v>
      </c>
      <c r="J63" s="107">
        <f>IF(J21="","",J21*(10^-3)*(VLOOKUP($E$63,Reference!$B$47:$F$48,COLUMN(Reference!$D$2)-COLUMN(Reference!$B$2)+1,0)))</f>
        <v>17.745156283333337</v>
      </c>
      <c r="K63" s="107">
        <f>IF(K21="","",K21*(10^-3)*(VLOOKUP($E$63,Reference!$B$47:$F$48,COLUMN(Reference!$D$2)-COLUMN(Reference!$B$2)+1,0)))</f>
        <v>17.745156283333337</v>
      </c>
      <c r="L63" s="107">
        <f>IF(L21="","",L21*(10^-3)*(VLOOKUP($E$63,Reference!$B$47:$F$48,COLUMN(Reference!$D$2)-COLUMN(Reference!$B$2)+1,0)))</f>
        <v>17.745156283333337</v>
      </c>
      <c r="M63" s="107">
        <f>IF(M21="","",M21*(10^-3)*(VLOOKUP($E$63,Reference!$B$47:$F$48,COLUMN(Reference!$D$2)-COLUMN(Reference!$B$2)+1,0)))</f>
        <v>17.745156283333337</v>
      </c>
      <c r="N63" s="107">
        <f>IF(N21="","",N21*(10^-3)*(VLOOKUP($E$63,Reference!$B$47:$F$48,COLUMN(Reference!$D$2)-COLUMN(Reference!$B$2)+1,0)))</f>
        <v>17.745156283333337</v>
      </c>
      <c r="O63" s="107">
        <f>IF(O21="","",O21*(10^-3)*(VLOOKUP($E$63,Reference!$B$47:$F$48,COLUMN(Reference!$D$2)-COLUMN(Reference!$B$2)+1,0)))</f>
        <v>17.745156283333337</v>
      </c>
      <c r="P63" s="107">
        <f>IF(P21="","",P21*(10^-3)*(VLOOKUP($E$63,Reference!$B$47:$F$48,COLUMN(Reference!$D$2)-COLUMN(Reference!$B$2)+1,0)))</f>
        <v>17.745156283333337</v>
      </c>
      <c r="Q63" s="107">
        <f>IF(Q21="","",Q21*(10^-3)*(VLOOKUP($E$63,Reference!$B$47:$F$48,COLUMN(Reference!$D$2)-COLUMN(Reference!$B$2)+1,0)))</f>
        <v>17.745156283333337</v>
      </c>
      <c r="R63" s="107">
        <f>IF(R21="","",R21*(10^-3)*(VLOOKUP($E$63,Reference!$B$47:$F$48,COLUMN(Reference!$D$2)-COLUMN(Reference!$B$2)+1,0)))</f>
        <v>17.745156283333337</v>
      </c>
      <c r="S63" s="108">
        <f>IF(S21="","",S21*(10^-3)*(VLOOKUP($E$63,Reference!$B$47:$F$48,COLUMN(Reference!$D$2)-COLUMN(Reference!$B$2)+1,0)))</f>
        <v>17.745156283333337</v>
      </c>
    </row>
    <row r="64" spans="2:19" ht="21" customHeight="1" x14ac:dyDescent="0.3">
      <c r="B64" s="535"/>
      <c r="C64" s="505"/>
      <c r="D64" s="526"/>
      <c r="E64" s="526"/>
      <c r="F64" s="124" t="s">
        <v>36</v>
      </c>
      <c r="G64" s="125">
        <f>IF(OR($G$21="", $G$21=0), "", SUM(H64:S64))</f>
        <v>5.6072749999999992E-3</v>
      </c>
      <c r="H64" s="111">
        <f>IF(H21="","",H21*(10^-3)*(VLOOKUP($E$63,Reference!$B$47:$F$48,COLUMN(Reference!$E$2)-COLUMN(Reference!$B$2)+1,0)*(10^-3)))</f>
        <v>4.6727291666666675E-4</v>
      </c>
      <c r="I64" s="111">
        <f>IF(I21="","",I21*(10^-3)*(VLOOKUP($E$63,Reference!$B$47:$F$48,COLUMN(Reference!$E$2)-COLUMN(Reference!$B$2)+1,0)*(10^-3)))</f>
        <v>4.6727291666666675E-4</v>
      </c>
      <c r="J64" s="111">
        <f>IF(J21="","",J21*(10^-3)*(VLOOKUP($E$63,Reference!$B$47:$F$48,COLUMN(Reference!$E$2)-COLUMN(Reference!$B$2)+1,0)*(10^-3)))</f>
        <v>4.6727291666666675E-4</v>
      </c>
      <c r="K64" s="111">
        <f>IF(K21="","",K21*(10^-3)*(VLOOKUP($E$63,Reference!$B$47:$F$48,COLUMN(Reference!$E$2)-COLUMN(Reference!$B$2)+1,0)*(10^-3)))</f>
        <v>4.6727291666666675E-4</v>
      </c>
      <c r="L64" s="111">
        <f>IF(L21="","",L21*(10^-3)*(VLOOKUP($E$63,Reference!$B$47:$F$48,COLUMN(Reference!$E$2)-COLUMN(Reference!$B$2)+1,0)*(10^-3)))</f>
        <v>4.6727291666666675E-4</v>
      </c>
      <c r="M64" s="111">
        <f>IF(M21="","",M21*(10^-3)*(VLOOKUP($E$63,Reference!$B$47:$F$48,COLUMN(Reference!$E$2)-COLUMN(Reference!$B$2)+1,0)*(10^-3)))</f>
        <v>4.6727291666666675E-4</v>
      </c>
      <c r="N64" s="111">
        <f>IF(N21="","",N21*(10^-3)*(VLOOKUP($E$63,Reference!$B$47:$F$48,COLUMN(Reference!$E$2)-COLUMN(Reference!$B$2)+1,0)*(10^-3)))</f>
        <v>4.6727291666666675E-4</v>
      </c>
      <c r="O64" s="111">
        <f>IF(O21="","",O21*(10^-3)*(VLOOKUP($E$63,Reference!$B$47:$F$48,COLUMN(Reference!$E$2)-COLUMN(Reference!$B$2)+1,0)*(10^-3)))</f>
        <v>4.6727291666666675E-4</v>
      </c>
      <c r="P64" s="111">
        <f>IF(P21="","",P21*(10^-3)*(VLOOKUP($E$63,Reference!$B$47:$F$48,COLUMN(Reference!$E$2)-COLUMN(Reference!$B$2)+1,0)*(10^-3)))</f>
        <v>4.6727291666666675E-4</v>
      </c>
      <c r="Q64" s="111">
        <f>IF(Q21="","",Q21*(10^-3)*(VLOOKUP($E$63,Reference!$B$47:$F$48,COLUMN(Reference!$E$2)-COLUMN(Reference!$B$2)+1,0)*(10^-3)))</f>
        <v>4.6727291666666675E-4</v>
      </c>
      <c r="R64" s="111">
        <f>IF(R21="","",R21*(10^-3)*(VLOOKUP($E$63,Reference!$B$47:$F$48,COLUMN(Reference!$E$2)-COLUMN(Reference!$B$2)+1,0)*(10^-3)))</f>
        <v>4.6727291666666675E-4</v>
      </c>
      <c r="S64" s="112">
        <f>IF(S21="","",S21*(10^-3)*(VLOOKUP($E$63,Reference!$B$47:$F$48,COLUMN(Reference!$E$2)-COLUMN(Reference!$B$2)+1,0)*(10^-3)))</f>
        <v>4.6727291666666675E-4</v>
      </c>
    </row>
    <row r="65" spans="2:19" ht="21" customHeight="1" x14ac:dyDescent="0.3">
      <c r="B65" s="535"/>
      <c r="C65" s="505"/>
      <c r="D65" s="526"/>
      <c r="E65" s="526"/>
      <c r="F65" s="124" t="s">
        <v>37</v>
      </c>
      <c r="G65" s="125">
        <f>IF(OR($G$21="", $G$21=0), "", SUM(H65:S65))</f>
        <v>4.4858200000000006E-3</v>
      </c>
      <c r="H65" s="111">
        <f>IF(H21="","",H21*(10^-3)*(VLOOKUP($E$63,Reference!$B$47:$F$48,COLUMN(Reference!$F$2)-COLUMN(Reference!$B$2)+1,0)*(10^-3)))</f>
        <v>3.7381833333333342E-4</v>
      </c>
      <c r="I65" s="111">
        <f>IF(I21="","",I21*(10^-3)*(VLOOKUP($E$63,Reference!$B$47:$F$48,COLUMN(Reference!$F$2)-COLUMN(Reference!$B$2)+1,0)*(10^-3)))</f>
        <v>3.7381833333333342E-4</v>
      </c>
      <c r="J65" s="111">
        <f>IF(J21="","",J21*(10^-3)*(VLOOKUP($E$63,Reference!$B$47:$F$48,COLUMN(Reference!$F$2)-COLUMN(Reference!$B$2)+1,0)*(10^-3)))</f>
        <v>3.7381833333333342E-4</v>
      </c>
      <c r="K65" s="111">
        <f>IF(K21="","",K21*(10^-3)*(VLOOKUP($E$63,Reference!$B$47:$F$48,COLUMN(Reference!$F$2)-COLUMN(Reference!$B$2)+1,0)*(10^-3)))</f>
        <v>3.7381833333333342E-4</v>
      </c>
      <c r="L65" s="111">
        <f>IF(L21="","",L21*(10^-3)*(VLOOKUP($E$63,Reference!$B$47:$F$48,COLUMN(Reference!$F$2)-COLUMN(Reference!$B$2)+1,0)*(10^-3)))</f>
        <v>3.7381833333333342E-4</v>
      </c>
      <c r="M65" s="111">
        <f>IF(M21="","",M21*(10^-3)*(VLOOKUP($E$63,Reference!$B$47:$F$48,COLUMN(Reference!$F$2)-COLUMN(Reference!$B$2)+1,0)*(10^-3)))</f>
        <v>3.7381833333333342E-4</v>
      </c>
      <c r="N65" s="111">
        <f>IF(N21="","",N21*(10^-3)*(VLOOKUP($E$63,Reference!$B$47:$F$48,COLUMN(Reference!$F$2)-COLUMN(Reference!$B$2)+1,0)*(10^-3)))</f>
        <v>3.7381833333333342E-4</v>
      </c>
      <c r="O65" s="111">
        <f>IF(O21="","",O21*(10^-3)*(VLOOKUP($E$63,Reference!$B$47:$F$48,COLUMN(Reference!$F$2)-COLUMN(Reference!$B$2)+1,0)*(10^-3)))</f>
        <v>3.7381833333333342E-4</v>
      </c>
      <c r="P65" s="111">
        <f>IF(P21="","",P21*(10^-3)*(VLOOKUP($E$63,Reference!$B$47:$F$48,COLUMN(Reference!$F$2)-COLUMN(Reference!$B$2)+1,0)*(10^-3)))</f>
        <v>3.7381833333333342E-4</v>
      </c>
      <c r="Q65" s="111">
        <f>IF(Q21="","",Q21*(10^-3)*(VLOOKUP($E$63,Reference!$B$47:$F$48,COLUMN(Reference!$F$2)-COLUMN(Reference!$B$2)+1,0)*(10^-3)))</f>
        <v>3.7381833333333342E-4</v>
      </c>
      <c r="R65" s="111">
        <f>IF(R21="","",R21*(10^-3)*(VLOOKUP($E$63,Reference!$B$47:$F$48,COLUMN(Reference!$F$2)-COLUMN(Reference!$B$2)+1,0)*(10^-3)))</f>
        <v>3.7381833333333342E-4</v>
      </c>
      <c r="S65" s="112">
        <f>IF(S21="","",S21*(10^-3)*(VLOOKUP($E$63,Reference!$B$47:$F$48,COLUMN(Reference!$F$2)-COLUMN(Reference!$B$2)+1,0)*(10^-3)))</f>
        <v>3.7381833333333342E-4</v>
      </c>
    </row>
    <row r="66" spans="2:19" ht="21" customHeight="1" x14ac:dyDescent="0.3">
      <c r="B66" s="535"/>
      <c r="C66" s="505"/>
      <c r="D66" s="527"/>
      <c r="E66" s="527"/>
      <c r="F66" s="126" t="s">
        <v>34</v>
      </c>
      <c r="G66" s="125">
        <f>IF(OR($G$21="", $G$21=0), "", SUM(H66:S66))</f>
        <v>214.45023237500001</v>
      </c>
      <c r="H66" s="114">
        <f>IF($G$63="", "", (H63*Reference!$B$54)+(H64*Reference!$C$54)+('4. 기준연도 배출량 산정'!H65*Reference!$D$54))</f>
        <v>17.870852697916671</v>
      </c>
      <c r="I66" s="114">
        <f>IF($G$63="", "", (I63*Reference!$B$54)+(I64*Reference!$C$54)+('4. 기준연도 배출량 산정'!I65*Reference!$D$54))</f>
        <v>17.870852697916671</v>
      </c>
      <c r="J66" s="114">
        <f>IF($G$63="", "", (J63*Reference!$B$54)+(J64*Reference!$C$54)+('4. 기준연도 배출량 산정'!J65*Reference!$D$54))</f>
        <v>17.870852697916671</v>
      </c>
      <c r="K66" s="114">
        <f>IF($G$63="", "", (K63*Reference!$B$54)+(K64*Reference!$C$54)+('4. 기준연도 배출량 산정'!K65*Reference!$D$54))</f>
        <v>17.870852697916671</v>
      </c>
      <c r="L66" s="114">
        <f>IF($G$63="", "", (L63*Reference!$B$54)+(L64*Reference!$C$54)+('4. 기준연도 배출량 산정'!L65*Reference!$D$54))</f>
        <v>17.870852697916671</v>
      </c>
      <c r="M66" s="114">
        <f>IF($G$63="", "", (M63*Reference!$B$54)+(M64*Reference!$C$54)+('4. 기준연도 배출량 산정'!M65*Reference!$D$54))</f>
        <v>17.870852697916671</v>
      </c>
      <c r="N66" s="114">
        <f>IF($G$63="", "", (N63*Reference!$B$54)+(N64*Reference!$C$54)+('4. 기준연도 배출량 산정'!N65*Reference!$D$54))</f>
        <v>17.870852697916671</v>
      </c>
      <c r="O66" s="114">
        <f>IF($G$63="", "", (O63*Reference!$B$54)+(O64*Reference!$C$54)+('4. 기준연도 배출량 산정'!O65*Reference!$D$54))</f>
        <v>17.870852697916671</v>
      </c>
      <c r="P66" s="114">
        <f>IF($G$63="", "", (P63*Reference!$B$54)+(P64*Reference!$C$54)+('4. 기준연도 배출량 산정'!P65*Reference!$D$54))</f>
        <v>17.870852697916671</v>
      </c>
      <c r="Q66" s="114">
        <f>IF($G$63="", "", (Q63*Reference!$B$54)+(Q64*Reference!$C$54)+('4. 기준연도 배출량 산정'!Q65*Reference!$D$54))</f>
        <v>17.870852697916671</v>
      </c>
      <c r="R66" s="114">
        <f>IF($G$63="", "", (R63*Reference!$B$54)+(R64*Reference!$C$54)+('4. 기준연도 배출량 산정'!R65*Reference!$D$54))</f>
        <v>17.870852697916671</v>
      </c>
      <c r="S66" s="115">
        <f>IF($G$63="", "", (S63*Reference!$B$54)+(S64*Reference!$C$54)+('4. 기준연도 배출량 산정'!S65*Reference!$D$54))</f>
        <v>17.870852697916671</v>
      </c>
    </row>
    <row r="67" spans="2:19" ht="21" customHeight="1" x14ac:dyDescent="0.3">
      <c r="B67" s="535"/>
      <c r="C67" s="505"/>
      <c r="D67" s="528" t="str">
        <f>D22</f>
        <v/>
      </c>
      <c r="E67" s="528" t="str">
        <f>E22</f>
        <v/>
      </c>
      <c r="F67" s="124" t="s">
        <v>35</v>
      </c>
      <c r="G67" s="125" t="str">
        <f>IF(OR($G$22="", $G$22=0), "", SUM(H67:S67))</f>
        <v/>
      </c>
      <c r="H67" s="116" t="str">
        <f>IF(H22="","",H22*(10^-3)*(VLOOKUP($E$67,Reference!$B$47:$F$48,COLUMN(Reference!$D$2)-COLUMN(Reference!$B$2)+1,0)))</f>
        <v/>
      </c>
      <c r="I67" s="116" t="str">
        <f>IF(I22="","",I22*(10^-3)*(VLOOKUP($E$67,Reference!$B$47:$F$48,COLUMN(Reference!$D$2)-COLUMN(Reference!$B$2)+1,0)))</f>
        <v/>
      </c>
      <c r="J67" s="116" t="str">
        <f>IF(J22="","",J22*(10^-3)*(VLOOKUP($E$67,Reference!$B$47:$F$48,COLUMN(Reference!$D$2)-COLUMN(Reference!$B$2)+1,0)))</f>
        <v/>
      </c>
      <c r="K67" s="116" t="str">
        <f>IF(K22="","",K22*(10^-3)*(VLOOKUP($E$67,Reference!$B$47:$F$48,COLUMN(Reference!$D$2)-COLUMN(Reference!$B$2)+1,0)))</f>
        <v/>
      </c>
      <c r="L67" s="116" t="str">
        <f>IF(L22="","",L22*(10^-3)*(VLOOKUP($E$67,Reference!$B$47:$F$48,COLUMN(Reference!$D$2)-COLUMN(Reference!$B$2)+1,0)))</f>
        <v/>
      </c>
      <c r="M67" s="116" t="str">
        <f>IF(M22="","",M22*(10^-3)*(VLOOKUP($E$67,Reference!$B$47:$F$48,COLUMN(Reference!$D$2)-COLUMN(Reference!$B$2)+1,0)))</f>
        <v/>
      </c>
      <c r="N67" s="116" t="str">
        <f>IF(N22="","",N22*(10^-3)*(VLOOKUP($E$67,Reference!$B$47:$F$48,COLUMN(Reference!$D$2)-COLUMN(Reference!$B$2)+1,0)))</f>
        <v/>
      </c>
      <c r="O67" s="116" t="str">
        <f>IF(O22="","",O22*(10^-3)*(VLOOKUP($E$67,Reference!$B$47:$F$48,COLUMN(Reference!$D$2)-COLUMN(Reference!$B$2)+1,0)))</f>
        <v/>
      </c>
      <c r="P67" s="116" t="str">
        <f>IF(P22="","",P22*(10^-3)*(VLOOKUP($E$67,Reference!$B$47:$F$48,COLUMN(Reference!$D$2)-COLUMN(Reference!$B$2)+1,0)))</f>
        <v/>
      </c>
      <c r="Q67" s="116" t="str">
        <f>IF(Q22="","",Q22*(10^-3)*(VLOOKUP($E$67,Reference!$B$47:$F$48,COLUMN(Reference!$D$2)-COLUMN(Reference!$B$2)+1,0)))</f>
        <v/>
      </c>
      <c r="R67" s="116" t="str">
        <f>IF(R22="","",R22*(10^-3)*(VLOOKUP($E$67,Reference!$B$47:$F$48,COLUMN(Reference!$D$2)-COLUMN(Reference!$B$2)+1,0)))</f>
        <v/>
      </c>
      <c r="S67" s="117" t="str">
        <f>IF(S22="","",S22*(10^-3)*(VLOOKUP($E$67,Reference!$B$47:$F$48,COLUMN(Reference!$D$2)-COLUMN(Reference!$B$2)+1,0)))</f>
        <v/>
      </c>
    </row>
    <row r="68" spans="2:19" ht="21" customHeight="1" x14ac:dyDescent="0.3">
      <c r="B68" s="535"/>
      <c r="C68" s="505"/>
      <c r="D68" s="526"/>
      <c r="E68" s="526"/>
      <c r="F68" s="124" t="s">
        <v>36</v>
      </c>
      <c r="G68" s="125" t="str">
        <f>IF(OR($G$22="", $G$22=0), "", SUM(H68:S68))</f>
        <v/>
      </c>
      <c r="H68" s="111" t="str">
        <f>IF(H22="","",H22*(10^-3)*(VLOOKUP($E$67,Reference!$B$47:$F$48,COLUMN(Reference!$E$2)-COLUMN(Reference!$B$2)+1,0)*(10^-3)))</f>
        <v/>
      </c>
      <c r="I68" s="111" t="str">
        <f>IF(I22="","",I22*(10^-3)*(VLOOKUP($E$67,Reference!$B$47:$F$48,COLUMN(Reference!$E$2)-COLUMN(Reference!$B$2)+1,0)*(10^-3)))</f>
        <v/>
      </c>
      <c r="J68" s="111" t="str">
        <f>IF(J22="","",J22*(10^-3)*(VLOOKUP($E$67,Reference!$B$47:$F$48,COLUMN(Reference!$E$2)-COLUMN(Reference!$B$2)+1,0)*(10^-3)))</f>
        <v/>
      </c>
      <c r="K68" s="111" t="str">
        <f>IF(K22="","",K22*(10^-3)*(VLOOKUP($E$67,Reference!$B$47:$F$48,COLUMN(Reference!$E$2)-COLUMN(Reference!$B$2)+1,0)*(10^-3)))</f>
        <v/>
      </c>
      <c r="L68" s="111" t="str">
        <f>IF(L22="","",L22*(10^-3)*(VLOOKUP($E$67,Reference!$B$47:$F$48,COLUMN(Reference!$E$2)-COLUMN(Reference!$B$2)+1,0)*(10^-3)))</f>
        <v/>
      </c>
      <c r="M68" s="111" t="str">
        <f>IF(M22="","",M22*(10^-3)*(VLOOKUP($E$67,Reference!$B$47:$F$48,COLUMN(Reference!$E$2)-COLUMN(Reference!$B$2)+1,0)*(10^-3)))</f>
        <v/>
      </c>
      <c r="N68" s="111" t="str">
        <f>IF(N22="","",N22*(10^-3)*(VLOOKUP($E$67,Reference!$B$47:$F$48,COLUMN(Reference!$E$2)-COLUMN(Reference!$B$2)+1,0)*(10^-3)))</f>
        <v/>
      </c>
      <c r="O68" s="111" t="str">
        <f>IF(O22="","",O22*(10^-3)*(VLOOKUP($E$67,Reference!$B$47:$F$48,COLUMN(Reference!$E$2)-COLUMN(Reference!$B$2)+1,0)*(10^-3)))</f>
        <v/>
      </c>
      <c r="P68" s="111" t="str">
        <f>IF(P22="","",P22*(10^-3)*(VLOOKUP($E$67,Reference!$B$47:$F$48,COLUMN(Reference!$E$2)-COLUMN(Reference!$B$2)+1,0)*(10^-3)))</f>
        <v/>
      </c>
      <c r="Q68" s="111" t="str">
        <f>IF(Q22="","",Q22*(10^-3)*(VLOOKUP($E$67,Reference!$B$47:$F$48,COLUMN(Reference!$E$2)-COLUMN(Reference!$B$2)+1,0)*(10^-3)))</f>
        <v/>
      </c>
      <c r="R68" s="111" t="str">
        <f>IF(R22="","",R22*(10^-3)*(VLOOKUP($E$67,Reference!$B$47:$F$48,COLUMN(Reference!$E$2)-COLUMN(Reference!$B$2)+1,0)*(10^-3)))</f>
        <v/>
      </c>
      <c r="S68" s="112" t="str">
        <f>IF(S22="","",S22*(10^-3)*(VLOOKUP($E$67,Reference!$B$47:$F$48,COLUMN(Reference!$E$2)-COLUMN(Reference!$B$2)+1,0)*(10^-3)))</f>
        <v/>
      </c>
    </row>
    <row r="69" spans="2:19" ht="21" customHeight="1" x14ac:dyDescent="0.3">
      <c r="B69" s="535"/>
      <c r="C69" s="505"/>
      <c r="D69" s="526"/>
      <c r="E69" s="526"/>
      <c r="F69" s="124" t="s">
        <v>37</v>
      </c>
      <c r="G69" s="125" t="str">
        <f>IF(OR($G$22="", $G$22=0), "", SUM(H69:S69))</f>
        <v/>
      </c>
      <c r="H69" s="111" t="str">
        <f>IF(H22="","",H22*(10^-3)*(VLOOKUP($E$67,Reference!$B$47:$F$48,COLUMN(Reference!$F$2)-COLUMN(Reference!$B$2)+1,0)*(10^-3)))</f>
        <v/>
      </c>
      <c r="I69" s="111" t="str">
        <f>IF(I22="","",I22*(10^-3)*(VLOOKUP($E$67,Reference!$B$47:$F$48,COLUMN(Reference!$F$2)-COLUMN(Reference!$B$2)+1,0)*(10^-3)))</f>
        <v/>
      </c>
      <c r="J69" s="111" t="str">
        <f>IF(J22="","",J22*(10^-3)*(VLOOKUP($E$67,Reference!$B$47:$F$48,COLUMN(Reference!$F$2)-COLUMN(Reference!$B$2)+1,0)*(10^-3)))</f>
        <v/>
      </c>
      <c r="K69" s="111" t="str">
        <f>IF(K22="","",K22*(10^-3)*(VLOOKUP($E$67,Reference!$B$47:$F$48,COLUMN(Reference!$F$2)-COLUMN(Reference!$B$2)+1,0)*(10^-3)))</f>
        <v/>
      </c>
      <c r="L69" s="111" t="str">
        <f>IF(L22="","",L22*(10^-3)*(VLOOKUP($E$67,Reference!$B$47:$F$48,COLUMN(Reference!$F$2)-COLUMN(Reference!$B$2)+1,0)*(10^-3)))</f>
        <v/>
      </c>
      <c r="M69" s="111" t="str">
        <f>IF(M22="","",M22*(10^-3)*(VLOOKUP($E$67,Reference!$B$47:$F$48,COLUMN(Reference!$F$2)-COLUMN(Reference!$B$2)+1,0)*(10^-3)))</f>
        <v/>
      </c>
      <c r="N69" s="111" t="str">
        <f>IF(N22="","",N22*(10^-3)*(VLOOKUP($E$67,Reference!$B$47:$F$48,COLUMN(Reference!$F$2)-COLUMN(Reference!$B$2)+1,0)*(10^-3)))</f>
        <v/>
      </c>
      <c r="O69" s="111" t="str">
        <f>IF(O22="","",O22*(10^-3)*(VLOOKUP($E$67,Reference!$B$47:$F$48,COLUMN(Reference!$F$2)-COLUMN(Reference!$B$2)+1,0)*(10^-3)))</f>
        <v/>
      </c>
      <c r="P69" s="111" t="str">
        <f>IF(P22="","",P22*(10^-3)*(VLOOKUP($E$67,Reference!$B$47:$F$48,COLUMN(Reference!$F$2)-COLUMN(Reference!$B$2)+1,0)*(10^-3)))</f>
        <v/>
      </c>
      <c r="Q69" s="111" t="str">
        <f>IF(Q22="","",Q22*(10^-3)*(VLOOKUP($E$67,Reference!$B$47:$F$48,COLUMN(Reference!$F$2)-COLUMN(Reference!$B$2)+1,0)*(10^-3)))</f>
        <v/>
      </c>
      <c r="R69" s="111" t="str">
        <f>IF(R22="","",R22*(10^-3)*(VLOOKUP($E$67,Reference!$B$47:$F$48,COLUMN(Reference!$F$2)-COLUMN(Reference!$B$2)+1,0)*(10^-3)))</f>
        <v/>
      </c>
      <c r="S69" s="112" t="str">
        <f>IF(S22="","",S22*(10^-3)*(VLOOKUP($E$67,Reference!$B$47:$F$48,COLUMN(Reference!$F$2)-COLUMN(Reference!$B$2)+1,0)*(10^-3)))</f>
        <v/>
      </c>
    </row>
    <row r="70" spans="2:19" ht="21" customHeight="1" x14ac:dyDescent="0.3">
      <c r="B70" s="535"/>
      <c r="C70" s="505"/>
      <c r="D70" s="527"/>
      <c r="E70" s="527"/>
      <c r="F70" s="126" t="s">
        <v>34</v>
      </c>
      <c r="G70" s="125" t="str">
        <f>IF(OR($G$22="", $G$22=0), "", SUM(H70:S70))</f>
        <v/>
      </c>
      <c r="H70" s="114" t="str">
        <f>IF($G$67="", "", (H67*Reference!$B$54)+(H68*Reference!$C$54)+('4. 기준연도 배출량 산정'!H69*Reference!$D$54))</f>
        <v/>
      </c>
      <c r="I70" s="114" t="str">
        <f>IF($G$67="", "", (I67*Reference!$B$54)+(I68*Reference!$C$54)+('4. 기준연도 배출량 산정'!I69*Reference!$D$54))</f>
        <v/>
      </c>
      <c r="J70" s="114" t="str">
        <f>IF($G$67="", "", (J67*Reference!$B$54)+(J68*Reference!$C$54)+('4. 기준연도 배출량 산정'!J69*Reference!$D$54))</f>
        <v/>
      </c>
      <c r="K70" s="114" t="str">
        <f>IF($G$67="", "", (K67*Reference!$B$54)+(K68*Reference!$C$54)+('4. 기준연도 배출량 산정'!K69*Reference!$D$54))</f>
        <v/>
      </c>
      <c r="L70" s="114" t="str">
        <f>IF($G$67="", "", (L67*Reference!$B$54)+(L68*Reference!$C$54)+('4. 기준연도 배출량 산정'!L69*Reference!$D$54))</f>
        <v/>
      </c>
      <c r="M70" s="114" t="str">
        <f>IF($G$67="", "", (M67*Reference!$B$54)+(M68*Reference!$C$54)+('4. 기준연도 배출량 산정'!M69*Reference!$D$54))</f>
        <v/>
      </c>
      <c r="N70" s="114" t="str">
        <f>IF($G$67="", "", (N67*Reference!$B$54)+(N68*Reference!$C$54)+('4. 기준연도 배출량 산정'!N69*Reference!$D$54))</f>
        <v/>
      </c>
      <c r="O70" s="114" t="str">
        <f>IF($G$67="", "", (O67*Reference!$B$54)+(O68*Reference!$C$54)+('4. 기준연도 배출량 산정'!O69*Reference!$D$54))</f>
        <v/>
      </c>
      <c r="P70" s="114" t="str">
        <f>IF($G$67="", "", (P67*Reference!$B$54)+(P68*Reference!$C$54)+('4. 기준연도 배출량 산정'!P69*Reference!$D$54))</f>
        <v/>
      </c>
      <c r="Q70" s="114" t="str">
        <f>IF($G$67="", "", (Q67*Reference!$B$54)+(Q68*Reference!$C$54)+('4. 기준연도 배출량 산정'!Q69*Reference!$D$54))</f>
        <v/>
      </c>
      <c r="R70" s="114" t="str">
        <f>IF($G$67="", "", (R67*Reference!$B$54)+(R68*Reference!$C$54)+('4. 기준연도 배출량 산정'!R69*Reference!$D$54))</f>
        <v/>
      </c>
      <c r="S70" s="115" t="str">
        <f>IF($G$67="", "", (S67*Reference!$B$54)+(S68*Reference!$C$54)+('4. 기준연도 배출량 산정'!S69*Reference!$D$54))</f>
        <v/>
      </c>
    </row>
    <row r="71" spans="2:19" ht="21" customHeight="1" x14ac:dyDescent="0.3">
      <c r="B71" s="535"/>
      <c r="C71" s="505" t="s">
        <v>155</v>
      </c>
      <c r="D71" s="528" t="str">
        <f>D23</f>
        <v/>
      </c>
      <c r="E71" s="528" t="str">
        <f>E23</f>
        <v/>
      </c>
      <c r="F71" s="124" t="s">
        <v>35</v>
      </c>
      <c r="G71" s="125" t="str">
        <f>IF(OR($G$23="", $G$23=0), "", SUM(H71:S71))</f>
        <v/>
      </c>
      <c r="H71" s="116" t="str">
        <f>IF(H23="","",H23*(10^-6)*(VLOOKUP($E$71,Reference!$B$47:$F$48,COLUMN(Reference!$D$2)-COLUMN(Reference!$B$2)+1,0)*(10^-3)))</f>
        <v/>
      </c>
      <c r="I71" s="116" t="str">
        <f>IF(I23="","",I23*(10^-6)*(VLOOKUP($E$71,Reference!$B$47:$F$48,COLUMN(Reference!$D$2)-COLUMN(Reference!$B$2)+1,0)*(10^-3)))</f>
        <v/>
      </c>
      <c r="J71" s="116" t="str">
        <f>IF(J23="","",J23*(10^-6)*(VLOOKUP($E$71,Reference!$B$47:$F$48,COLUMN(Reference!$D$2)-COLUMN(Reference!$B$2)+1,0)*(10^-3)))</f>
        <v/>
      </c>
      <c r="K71" s="116" t="str">
        <f>IF(K23="","",K23*(10^-6)*(VLOOKUP($E$71,Reference!$B$47:$F$48,COLUMN(Reference!$D$2)-COLUMN(Reference!$B$2)+1,0)*(10^-3)))</f>
        <v/>
      </c>
      <c r="L71" s="116" t="str">
        <f>IF(L23="","",L23*(10^-6)*(VLOOKUP($E$71,Reference!$B$47:$F$48,COLUMN(Reference!$D$2)-COLUMN(Reference!$B$2)+1,0)*(10^-3)))</f>
        <v/>
      </c>
      <c r="M71" s="116" t="str">
        <f>IF(M23="","",M23*(10^-6)*(VLOOKUP($E$71,Reference!$B$47:$F$48,COLUMN(Reference!$D$2)-COLUMN(Reference!$B$2)+1,0)*(10^-3)))</f>
        <v/>
      </c>
      <c r="N71" s="116" t="str">
        <f>IF(N23="","",N23*(10^-6)*(VLOOKUP($E$71,Reference!$B$47:$F$48,COLUMN(Reference!$D$2)-COLUMN(Reference!$B$2)+1,0)*(10^-3)))</f>
        <v/>
      </c>
      <c r="O71" s="116" t="str">
        <f>IF(O23="","",O23*(10^-6)*(VLOOKUP($E$71,Reference!$B$47:$F$48,COLUMN(Reference!$D$2)-COLUMN(Reference!$B$2)+1,0)*(10^-3)))</f>
        <v/>
      </c>
      <c r="P71" s="116" t="str">
        <f>IF(P23="","",P23*(10^-6)*(VLOOKUP($E$71,Reference!$B$47:$F$48,COLUMN(Reference!$D$2)-COLUMN(Reference!$B$2)+1,0)*(10^-3)))</f>
        <v/>
      </c>
      <c r="Q71" s="116" t="str">
        <f>IF(Q23="","",Q23*(10^-6)*(VLOOKUP($E$71,Reference!$B$47:$F$48,COLUMN(Reference!$D$2)-COLUMN(Reference!$B$2)+1,0)*(10^-3)))</f>
        <v/>
      </c>
      <c r="R71" s="116" t="str">
        <f>IF(R23="","",R23*(10^-6)*(VLOOKUP($E$71,Reference!$B$47:$F$48,COLUMN(Reference!$D$2)-COLUMN(Reference!$B$2)+1,0)*(10^-3)))</f>
        <v/>
      </c>
      <c r="S71" s="117" t="str">
        <f>IF(S23="","",S23*(10^-6)*(VLOOKUP($E$71,Reference!$B$47:$F$48,COLUMN(Reference!$D$2)-COLUMN(Reference!$B$2)+1,0)*(10^-3)))</f>
        <v/>
      </c>
    </row>
    <row r="72" spans="2:19" ht="21" customHeight="1" x14ac:dyDescent="0.3">
      <c r="B72" s="535"/>
      <c r="C72" s="505"/>
      <c r="D72" s="526"/>
      <c r="E72" s="526"/>
      <c r="F72" s="124" t="s">
        <v>36</v>
      </c>
      <c r="G72" s="125" t="str">
        <f>IF(OR($G$23="", $G$23=0), "", SUM(H72:S72))</f>
        <v/>
      </c>
      <c r="H72" s="111" t="str">
        <f>IF(H23="","",H23*(10^-6)*(VLOOKUP($E$71,Reference!$B$47:$F$48,COLUMN(Reference!$E$2)-COLUMN(Reference!$B$2)+1,0)*(10^-3)))</f>
        <v/>
      </c>
      <c r="I72" s="111" t="str">
        <f>IF(I23="","",I23*(10^-6)*(VLOOKUP($E$71,Reference!$B$47:$F$48,COLUMN(Reference!$E$2)-COLUMN(Reference!$B$2)+1,0)*(10^-3)))</f>
        <v/>
      </c>
      <c r="J72" s="111" t="str">
        <f>IF(J23="","",J23*(10^-6)*(VLOOKUP($E$71,Reference!$B$47:$F$48,COLUMN(Reference!$E$2)-COLUMN(Reference!$B$2)+1,0)*(10^-3)))</f>
        <v/>
      </c>
      <c r="K72" s="111" t="str">
        <f>IF(K23="","",K23*(10^-6)*(VLOOKUP($E$71,Reference!$B$47:$F$48,COLUMN(Reference!$E$2)-COLUMN(Reference!$B$2)+1,0)*(10^-3)))</f>
        <v/>
      </c>
      <c r="L72" s="111" t="str">
        <f>IF(L23="","",L23*(10^-6)*(VLOOKUP($E$71,Reference!$B$47:$F$48,COLUMN(Reference!$E$2)-COLUMN(Reference!$B$2)+1,0)*(10^-3)))</f>
        <v/>
      </c>
      <c r="M72" s="111" t="str">
        <f>IF(M23="","",M23*(10^-6)*(VLOOKUP($E$71,Reference!$B$47:$F$48,COLUMN(Reference!$E$2)-COLUMN(Reference!$B$2)+1,0)*(10^-3)))</f>
        <v/>
      </c>
      <c r="N72" s="111" t="str">
        <f>IF(N23="","",N23*(10^-6)*(VLOOKUP($E$71,Reference!$B$47:$F$48,COLUMN(Reference!$E$2)-COLUMN(Reference!$B$2)+1,0)*(10^-3)))</f>
        <v/>
      </c>
      <c r="O72" s="111" t="str">
        <f>IF(O23="","",O23*(10^-6)*(VLOOKUP($E$71,Reference!$B$47:$F$48,COLUMN(Reference!$E$2)-COLUMN(Reference!$B$2)+1,0)*(10^-3)))</f>
        <v/>
      </c>
      <c r="P72" s="111" t="str">
        <f>IF(P23="","",P23*(10^-6)*(VLOOKUP($E$71,Reference!$B$47:$F$48,COLUMN(Reference!$E$2)-COLUMN(Reference!$B$2)+1,0)*(10^-3)))</f>
        <v/>
      </c>
      <c r="Q72" s="111" t="str">
        <f>IF(Q23="","",Q23*(10^-6)*(VLOOKUP($E$71,Reference!$B$47:$F$48,COLUMN(Reference!$E$2)-COLUMN(Reference!$B$2)+1,0)*(10^-3)))</f>
        <v/>
      </c>
      <c r="R72" s="111" t="str">
        <f>IF(R23="","",R23*(10^-6)*(VLOOKUP($E$71,Reference!$B$47:$F$48,COLUMN(Reference!$E$2)-COLUMN(Reference!$B$2)+1,0)*(10^-3)))</f>
        <v/>
      </c>
      <c r="S72" s="112" t="str">
        <f>IF(S23="","",S23*(10^-6)*(VLOOKUP($E$71,Reference!$B$47:$F$48,COLUMN(Reference!$E$2)-COLUMN(Reference!$B$2)+1,0)*(10^-3)))</f>
        <v/>
      </c>
    </row>
    <row r="73" spans="2:19" ht="21" customHeight="1" x14ac:dyDescent="0.3">
      <c r="B73" s="535"/>
      <c r="C73" s="505"/>
      <c r="D73" s="526"/>
      <c r="E73" s="526"/>
      <c r="F73" s="124" t="s">
        <v>37</v>
      </c>
      <c r="G73" s="125" t="str">
        <f>IF(OR($G$23="", $G$23=0), "", SUM(H73:S73))</f>
        <v/>
      </c>
      <c r="H73" s="111" t="str">
        <f>IF(H23="","",H23*(10^-6)*(VLOOKUP($E$71,Reference!$B$47:$F$48,COLUMN(Reference!$F$2)-COLUMN(Reference!$B$2)+1,0)*(10^-3)))</f>
        <v/>
      </c>
      <c r="I73" s="111" t="str">
        <f>IF(I23="","",I23*(10^-6)*(VLOOKUP($E$71,Reference!$B$47:$F$48,COLUMN(Reference!$F$2)-COLUMN(Reference!$B$2)+1,0)*(10^-3)))</f>
        <v/>
      </c>
      <c r="J73" s="111" t="str">
        <f>IF(J23="","",J23*(10^-6)*(VLOOKUP($E$71,Reference!$B$47:$F$48,COLUMN(Reference!$F$2)-COLUMN(Reference!$B$2)+1,0)*(10^-3)))</f>
        <v/>
      </c>
      <c r="K73" s="111" t="str">
        <f>IF(K23="","",K23*(10^-6)*(VLOOKUP($E$71,Reference!$B$47:$F$48,COLUMN(Reference!$F$2)-COLUMN(Reference!$B$2)+1,0)*(10^-3)))</f>
        <v/>
      </c>
      <c r="L73" s="111" t="str">
        <f>IF(L23="","",L23*(10^-6)*(VLOOKUP($E$71,Reference!$B$47:$F$48,COLUMN(Reference!$F$2)-COLUMN(Reference!$B$2)+1,0)*(10^-3)))</f>
        <v/>
      </c>
      <c r="M73" s="111" t="str">
        <f>IF(M23="","",M23*(10^-6)*(VLOOKUP($E$71,Reference!$B$47:$F$48,COLUMN(Reference!$F$2)-COLUMN(Reference!$B$2)+1,0)*(10^-3)))</f>
        <v/>
      </c>
      <c r="N73" s="111" t="str">
        <f>IF(N23="","",N23*(10^-6)*(VLOOKUP($E$71,Reference!$B$47:$F$48,COLUMN(Reference!$F$2)-COLUMN(Reference!$B$2)+1,0)*(10^-3)))</f>
        <v/>
      </c>
      <c r="O73" s="111" t="str">
        <f>IF(O23="","",O23*(10^-6)*(VLOOKUP($E$71,Reference!$B$47:$F$48,COLUMN(Reference!$F$2)-COLUMN(Reference!$B$2)+1,0)*(10^-3)))</f>
        <v/>
      </c>
      <c r="P73" s="111" t="str">
        <f>IF(P23="","",P23*(10^-6)*(VLOOKUP($E$71,Reference!$B$47:$F$48,COLUMN(Reference!$F$2)-COLUMN(Reference!$B$2)+1,0)*(10^-3)))</f>
        <v/>
      </c>
      <c r="Q73" s="111" t="str">
        <f>IF(Q23="","",Q23*(10^-6)*(VLOOKUP($E$71,Reference!$B$47:$F$48,COLUMN(Reference!$F$2)-COLUMN(Reference!$B$2)+1,0)*(10^-3)))</f>
        <v/>
      </c>
      <c r="R73" s="111" t="str">
        <f>IF(R23="","",R23*(10^-6)*(VLOOKUP($E$71,Reference!$B$47:$F$48,COLUMN(Reference!$F$2)-COLUMN(Reference!$B$2)+1,0)*(10^-3)))</f>
        <v/>
      </c>
      <c r="S73" s="112" t="str">
        <f>IF(S23="","",S23*(10^-6)*(VLOOKUP($E$71,Reference!$B$47:$F$48,COLUMN(Reference!$F$2)-COLUMN(Reference!$B$2)+1,0)*(10^-3)))</f>
        <v/>
      </c>
    </row>
    <row r="74" spans="2:19" ht="21" customHeight="1" x14ac:dyDescent="0.3">
      <c r="B74" s="535"/>
      <c r="C74" s="505"/>
      <c r="D74" s="527"/>
      <c r="E74" s="527"/>
      <c r="F74" s="126" t="s">
        <v>34</v>
      </c>
      <c r="G74" s="125" t="str">
        <f>IF(OR($G$23="", $G$23=0), "", SUM(H74:S74))</f>
        <v/>
      </c>
      <c r="H74" s="114" t="str">
        <f>IF($G$71="", "", (H71*Reference!$B$54)+(H72*Reference!$C$54)+('4. 기준연도 배출량 산정'!H73*Reference!$D$54))</f>
        <v/>
      </c>
      <c r="I74" s="114" t="str">
        <f>IF($G$71="", "", (I71*Reference!$B$54)+(I72*Reference!$C$54)+('4. 기준연도 배출량 산정'!I73*Reference!$D$54))</f>
        <v/>
      </c>
      <c r="J74" s="114" t="str">
        <f>IF($G$71="", "", (J71*Reference!$B$54)+(J72*Reference!$C$54)+('4. 기준연도 배출량 산정'!J73*Reference!$D$54))</f>
        <v/>
      </c>
      <c r="K74" s="114" t="str">
        <f>IF($G$71="", "", (K71*Reference!$B$54)+(K72*Reference!$C$54)+('4. 기준연도 배출량 산정'!K73*Reference!$D$54))</f>
        <v/>
      </c>
      <c r="L74" s="114" t="str">
        <f>IF($G$71="", "", (L71*Reference!$B$54)+(L72*Reference!$C$54)+('4. 기준연도 배출량 산정'!L73*Reference!$D$54))</f>
        <v/>
      </c>
      <c r="M74" s="114" t="str">
        <f>IF($G$71="", "", (M71*Reference!$B$54)+(M72*Reference!$C$54)+('4. 기준연도 배출량 산정'!M73*Reference!$D$54))</f>
        <v/>
      </c>
      <c r="N74" s="114" t="str">
        <f>IF($G$71="", "", (N71*Reference!$B$54)+(N72*Reference!$C$54)+('4. 기준연도 배출량 산정'!N73*Reference!$D$54))</f>
        <v/>
      </c>
      <c r="O74" s="114" t="str">
        <f>IF($G$71="", "", (O71*Reference!$B$54)+(O72*Reference!$C$54)+('4. 기준연도 배출량 산정'!O73*Reference!$D$54))</f>
        <v/>
      </c>
      <c r="P74" s="114" t="str">
        <f>IF($G$71="", "", (P71*Reference!$B$54)+(P72*Reference!$C$54)+('4. 기준연도 배출량 산정'!P73*Reference!$D$54))</f>
        <v/>
      </c>
      <c r="Q74" s="114" t="str">
        <f>IF($G$71="", "", (Q71*Reference!$B$54)+(Q72*Reference!$C$54)+('4. 기준연도 배출량 산정'!Q73*Reference!$D$54))</f>
        <v/>
      </c>
      <c r="R74" s="114" t="str">
        <f>IF($G$71="", "", (R71*Reference!$B$54)+(R72*Reference!$C$54)+('4. 기준연도 배출량 산정'!R73*Reference!$D$54))</f>
        <v/>
      </c>
      <c r="S74" s="115" t="str">
        <f>IF($G$71="", "", (S71*Reference!$B$54)+(S72*Reference!$C$54)+('4. 기준연도 배출량 산정'!S73*Reference!$D$54))</f>
        <v/>
      </c>
    </row>
    <row r="75" spans="2:19" ht="21" customHeight="1" x14ac:dyDescent="0.3">
      <c r="B75" s="535"/>
      <c r="C75" s="505"/>
      <c r="D75" s="528" t="str">
        <f>D24</f>
        <v/>
      </c>
      <c r="E75" s="528" t="str">
        <f>E24</f>
        <v/>
      </c>
      <c r="F75" s="124" t="s">
        <v>35</v>
      </c>
      <c r="G75" s="125" t="str">
        <f>IF(OR($G$24="", $G$24=0), "", SUM(H75:S75))</f>
        <v/>
      </c>
      <c r="H75" s="116" t="str">
        <f>IF(H24="","",H24*(10^-6)*(VLOOKUP($E$75,Reference!$B$47:$F$48,COLUMN(Reference!$D$2)-COLUMN(Reference!$B$2)+1,0)*(10^-3)))</f>
        <v/>
      </c>
      <c r="I75" s="116" t="str">
        <f>IF(I24="","",I24*(10^-6)*(VLOOKUP($E$75,Reference!$B$47:$F$48,COLUMN(Reference!$D$2)-COLUMN(Reference!$B$2)+1,0)*(10^-3)))</f>
        <v/>
      </c>
      <c r="J75" s="116" t="str">
        <f>IF(J24="","",J24*(10^-6)*(VLOOKUP($E$75,Reference!$B$47:$F$48,COLUMN(Reference!$D$2)-COLUMN(Reference!$B$2)+1,0)*(10^-3)))</f>
        <v/>
      </c>
      <c r="K75" s="116" t="str">
        <f>IF(K24="","",K24*(10^-6)*(VLOOKUP($E$75,Reference!$B$47:$F$48,COLUMN(Reference!$D$2)-COLUMN(Reference!$B$2)+1,0)*(10^-3)))</f>
        <v/>
      </c>
      <c r="L75" s="116" t="str">
        <f>IF(L24="","",L24*(10^-6)*(VLOOKUP($E$75,Reference!$B$47:$F$48,COLUMN(Reference!$D$2)-COLUMN(Reference!$B$2)+1,0)*(10^-3)))</f>
        <v/>
      </c>
      <c r="M75" s="116" t="str">
        <f>IF(M24="","",M24*(10^-6)*(VLOOKUP($E$75,Reference!$B$47:$F$48,COLUMN(Reference!$D$2)-COLUMN(Reference!$B$2)+1,0)*(10^-3)))</f>
        <v/>
      </c>
      <c r="N75" s="116" t="str">
        <f>IF(N24="","",N24*(10^-6)*(VLOOKUP($E$75,Reference!$B$47:$F$48,COLUMN(Reference!$D$2)-COLUMN(Reference!$B$2)+1,0)*(10^-3)))</f>
        <v/>
      </c>
      <c r="O75" s="116" t="str">
        <f>IF(O24="","",O24*(10^-6)*(VLOOKUP($E$75,Reference!$B$47:$F$48,COLUMN(Reference!$D$2)-COLUMN(Reference!$B$2)+1,0)*(10^-3)))</f>
        <v/>
      </c>
      <c r="P75" s="116" t="str">
        <f>IF(P24="","",P24*(10^-6)*(VLOOKUP($E$75,Reference!$B$47:$F$48,COLUMN(Reference!$D$2)-COLUMN(Reference!$B$2)+1,0)*(10^-3)))</f>
        <v/>
      </c>
      <c r="Q75" s="116" t="str">
        <f>IF(Q24="","",Q24*(10^-6)*(VLOOKUP($E$75,Reference!$B$47:$F$48,COLUMN(Reference!$D$2)-COLUMN(Reference!$B$2)+1,0)*(10^-3)))</f>
        <v/>
      </c>
      <c r="R75" s="116" t="str">
        <f>IF(R24="","",R24*(10^-6)*(VLOOKUP($E$75,Reference!$B$47:$F$48,COLUMN(Reference!$D$2)-COLUMN(Reference!$B$2)+1,0)*(10^-3)))</f>
        <v/>
      </c>
      <c r="S75" s="117" t="str">
        <f>IF(S24="","",S24*(10^-6)*(VLOOKUP($E$75,Reference!$B$47:$F$48,COLUMN(Reference!$D$2)-COLUMN(Reference!$B$2)+1,0)*(10^-3)))</f>
        <v/>
      </c>
    </row>
    <row r="76" spans="2:19" ht="21" customHeight="1" x14ac:dyDescent="0.3">
      <c r="B76" s="535"/>
      <c r="C76" s="505"/>
      <c r="D76" s="526"/>
      <c r="E76" s="526"/>
      <c r="F76" s="124" t="s">
        <v>36</v>
      </c>
      <c r="G76" s="125" t="str">
        <f>IF(OR($G$24="", $G$24=0), "", SUM(H76:S76))</f>
        <v/>
      </c>
      <c r="H76" s="111" t="str">
        <f>IF(H24="","",H24*(10^-6)*(VLOOKUP($E$75,Reference!$B$47:$F$48,COLUMN(Reference!$E$2)-COLUMN(Reference!$B$2)+1,0)*(10^-3)))</f>
        <v/>
      </c>
      <c r="I76" s="111" t="str">
        <f>IF(I24="","",I24*(10^-6)*(VLOOKUP($E$75,Reference!$B$47:$F$48,COLUMN(Reference!$E$2)-COLUMN(Reference!$B$2)+1,0)*(10^-3)))</f>
        <v/>
      </c>
      <c r="J76" s="111" t="str">
        <f>IF(J24="","",J24*(10^-6)*(VLOOKUP($E$75,Reference!$B$47:$F$48,COLUMN(Reference!$E$2)-COLUMN(Reference!$B$2)+1,0)*(10^-3)))</f>
        <v/>
      </c>
      <c r="K76" s="111" t="str">
        <f>IF(K24="","",K24*(10^-6)*(VLOOKUP($E$75,Reference!$B$47:$F$48,COLUMN(Reference!$E$2)-COLUMN(Reference!$B$2)+1,0)*(10^-3)))</f>
        <v/>
      </c>
      <c r="L76" s="111" t="str">
        <f>IF(L24="","",L24*(10^-6)*(VLOOKUP($E$75,Reference!$B$47:$F$48,COLUMN(Reference!$E$2)-COLUMN(Reference!$B$2)+1,0)*(10^-3)))</f>
        <v/>
      </c>
      <c r="M76" s="111" t="str">
        <f>IF(M24="","",M24*(10^-6)*(VLOOKUP($E$75,Reference!$B$47:$F$48,COLUMN(Reference!$E$2)-COLUMN(Reference!$B$2)+1,0)*(10^-3)))</f>
        <v/>
      </c>
      <c r="N76" s="111" t="str">
        <f>IF(N24="","",N24*(10^-6)*(VLOOKUP($E$75,Reference!$B$47:$F$48,COLUMN(Reference!$E$2)-COLUMN(Reference!$B$2)+1,0)*(10^-3)))</f>
        <v/>
      </c>
      <c r="O76" s="111" t="str">
        <f>IF(O24="","",O24*(10^-6)*(VLOOKUP($E$75,Reference!$B$47:$F$48,COLUMN(Reference!$E$2)-COLUMN(Reference!$B$2)+1,0)*(10^-3)))</f>
        <v/>
      </c>
      <c r="P76" s="111" t="str">
        <f>IF(P24="","",P24*(10^-6)*(VLOOKUP($E$75,Reference!$B$47:$F$48,COLUMN(Reference!$E$2)-COLUMN(Reference!$B$2)+1,0)*(10^-3)))</f>
        <v/>
      </c>
      <c r="Q76" s="111" t="str">
        <f>IF(Q24="","",Q24*(10^-6)*(VLOOKUP($E$75,Reference!$B$47:$F$48,COLUMN(Reference!$E$2)-COLUMN(Reference!$B$2)+1,0)*(10^-3)))</f>
        <v/>
      </c>
      <c r="R76" s="111" t="str">
        <f>IF(R24="","",R24*(10^-6)*(VLOOKUP($E$75,Reference!$B$47:$F$48,COLUMN(Reference!$E$2)-COLUMN(Reference!$B$2)+1,0)*(10^-3)))</f>
        <v/>
      </c>
      <c r="S76" s="112" t="str">
        <f>IF(S24="","",S24*(10^-6)*(VLOOKUP($E$75,Reference!$B$47:$F$48,COLUMN(Reference!$E$2)-COLUMN(Reference!$B$2)+1,0)*(10^-3)))</f>
        <v/>
      </c>
    </row>
    <row r="77" spans="2:19" ht="21" customHeight="1" x14ac:dyDescent="0.3">
      <c r="B77" s="535"/>
      <c r="C77" s="505"/>
      <c r="D77" s="526"/>
      <c r="E77" s="526"/>
      <c r="F77" s="124" t="s">
        <v>37</v>
      </c>
      <c r="G77" s="125" t="str">
        <f>IF(OR($G$24="", $G$24=0), "", SUM(H77:S77))</f>
        <v/>
      </c>
      <c r="H77" s="111" t="str">
        <f>IF(H24="","",H24*(10^-6)*(VLOOKUP($E$75,Reference!$B$47:$F$48,COLUMN(Reference!$F$2)-COLUMN(Reference!$B$2)+1,0)*(10^-3)))</f>
        <v/>
      </c>
      <c r="I77" s="111" t="str">
        <f>IF(I24="","",I24*(10^-6)*(VLOOKUP($E$75,Reference!$B$47:$F$48,COLUMN(Reference!$F$2)-COLUMN(Reference!$B$2)+1,0)*(10^-3)))</f>
        <v/>
      </c>
      <c r="J77" s="111" t="str">
        <f>IF(J24="","",J24*(10^-6)*(VLOOKUP($E$75,Reference!$B$47:$F$48,COLUMN(Reference!$F$2)-COLUMN(Reference!$B$2)+1,0)*(10^-3)))</f>
        <v/>
      </c>
      <c r="K77" s="111" t="str">
        <f>IF(K24="","",K24*(10^-6)*(VLOOKUP($E$75,Reference!$B$47:$F$48,COLUMN(Reference!$F$2)-COLUMN(Reference!$B$2)+1,0)*(10^-3)))</f>
        <v/>
      </c>
      <c r="L77" s="111" t="str">
        <f>IF(L24="","",L24*(10^-6)*(VLOOKUP($E$75,Reference!$B$47:$F$48,COLUMN(Reference!$F$2)-COLUMN(Reference!$B$2)+1,0)*(10^-3)))</f>
        <v/>
      </c>
      <c r="M77" s="111" t="str">
        <f>IF(M24="","",M24*(10^-6)*(VLOOKUP($E$75,Reference!$B$47:$F$48,COLUMN(Reference!$F$2)-COLUMN(Reference!$B$2)+1,0)*(10^-3)))</f>
        <v/>
      </c>
      <c r="N77" s="111" t="str">
        <f>IF(N24="","",N24*(10^-6)*(VLOOKUP($E$75,Reference!$B$47:$F$48,COLUMN(Reference!$F$2)-COLUMN(Reference!$B$2)+1,0)*(10^-3)))</f>
        <v/>
      </c>
      <c r="O77" s="111" t="str">
        <f>IF(O24="","",O24*(10^-6)*(VLOOKUP($E$75,Reference!$B$47:$F$48,COLUMN(Reference!$F$2)-COLUMN(Reference!$B$2)+1,0)*(10^-3)))</f>
        <v/>
      </c>
      <c r="P77" s="111" t="str">
        <f>IF(P24="","",P24*(10^-6)*(VLOOKUP($E$75,Reference!$B$47:$F$48,COLUMN(Reference!$F$2)-COLUMN(Reference!$B$2)+1,0)*(10^-3)))</f>
        <v/>
      </c>
      <c r="Q77" s="111" t="str">
        <f>IF(Q24="","",Q24*(10^-6)*(VLOOKUP($E$75,Reference!$B$47:$F$48,COLUMN(Reference!$F$2)-COLUMN(Reference!$B$2)+1,0)*(10^-3)))</f>
        <v/>
      </c>
      <c r="R77" s="111" t="str">
        <f>IF(R24="","",R24*(10^-6)*(VLOOKUP($E$75,Reference!$B$47:$F$48,COLUMN(Reference!$F$2)-COLUMN(Reference!$B$2)+1,0)*(10^-3)))</f>
        <v/>
      </c>
      <c r="S77" s="112" t="str">
        <f>IF(S24="","",S24*(10^-6)*(VLOOKUP($E$75,Reference!$B$47:$F$48,COLUMN(Reference!$F$2)-COLUMN(Reference!$B$2)+1,0)*(10^-3)))</f>
        <v/>
      </c>
    </row>
    <row r="78" spans="2:19" ht="21" customHeight="1" thickBot="1" x14ac:dyDescent="0.35">
      <c r="B78" s="536"/>
      <c r="C78" s="541"/>
      <c r="D78" s="529"/>
      <c r="E78" s="529"/>
      <c r="F78" s="127" t="s">
        <v>34</v>
      </c>
      <c r="G78" s="128" t="str">
        <f>IF(OR($G$24="", $G$24=0), "", SUM(H78:S78))</f>
        <v/>
      </c>
      <c r="H78" s="129" t="str">
        <f>IF($G$75="", "", (H75*Reference!$B$54)+(H76*Reference!$C$54)+('4. 기준연도 배출량 산정'!H77*Reference!$D$54))</f>
        <v/>
      </c>
      <c r="I78" s="129" t="str">
        <f>IF($G$75="", "", (I75*Reference!$B$54)+(I76*Reference!$C$54)+('4. 기준연도 배출량 산정'!I77*Reference!$D$54))</f>
        <v/>
      </c>
      <c r="J78" s="129" t="str">
        <f>IF($G$75="", "", (J75*Reference!$B$54)+(J76*Reference!$C$54)+('4. 기준연도 배출량 산정'!J77*Reference!$D$54))</f>
        <v/>
      </c>
      <c r="K78" s="129" t="str">
        <f>IF($G$75="", "", (K75*Reference!$B$54)+(K76*Reference!$C$54)+('4. 기준연도 배출량 산정'!K77*Reference!$D$54))</f>
        <v/>
      </c>
      <c r="L78" s="129" t="str">
        <f>IF($G$75="", "", (L75*Reference!$B$54)+(L76*Reference!$C$54)+('4. 기준연도 배출량 산정'!L77*Reference!$D$54))</f>
        <v/>
      </c>
      <c r="M78" s="129" t="str">
        <f>IF($G$75="", "", (M75*Reference!$B$54)+(M76*Reference!$C$54)+('4. 기준연도 배출량 산정'!M77*Reference!$D$54))</f>
        <v/>
      </c>
      <c r="N78" s="129" t="str">
        <f>IF($G$75="", "", (N75*Reference!$B$54)+(N76*Reference!$C$54)+('4. 기준연도 배출량 산정'!N77*Reference!$D$54))</f>
        <v/>
      </c>
      <c r="O78" s="129" t="str">
        <f>IF($G$75="", "", (O75*Reference!$B$54)+(O76*Reference!$C$54)+('4. 기준연도 배출량 산정'!O77*Reference!$D$54))</f>
        <v/>
      </c>
      <c r="P78" s="129" t="str">
        <f>IF($G$75="", "", (P75*Reference!$B$54)+(P76*Reference!$C$54)+('4. 기준연도 배출량 산정'!P77*Reference!$D$54))</f>
        <v/>
      </c>
      <c r="Q78" s="129" t="str">
        <f>IF($G$75="", "", (Q75*Reference!$B$54)+(Q76*Reference!$C$54)+('4. 기준연도 배출량 산정'!Q77*Reference!$D$54))</f>
        <v/>
      </c>
      <c r="R78" s="129" t="str">
        <f>IF($G$75="", "", (R75*Reference!$B$54)+(R76*Reference!$C$54)+('4. 기준연도 배출량 산정'!R77*Reference!$D$54))</f>
        <v/>
      </c>
      <c r="S78" s="130" t="str">
        <f>IF($G$75="", "", (S75*Reference!$B$54)+(S76*Reference!$C$54)+('4. 기준연도 배출량 산정'!S77*Reference!$D$54))</f>
        <v/>
      </c>
    </row>
    <row r="79" spans="2:19" ht="21" customHeight="1" thickBot="1" x14ac:dyDescent="0.35">
      <c r="B79" s="494" t="s">
        <v>57</v>
      </c>
      <c r="C79" s="495"/>
      <c r="D79" s="495"/>
      <c r="E79" s="496"/>
      <c r="F79" s="131" t="s">
        <v>34</v>
      </c>
      <c r="G79" s="132">
        <f>SUM(H79:S79)</f>
        <v>214.45023237500001</v>
      </c>
      <c r="H79" s="133">
        <f>SUM(H34,H38,H42,H46,H50,H54,H58,H62,H66,H70,H74,H78)</f>
        <v>17.870852697916671</v>
      </c>
      <c r="I79" s="133">
        <f t="shared" ref="I79:S79" si="2">SUM(I34,I38,I42,I46,I50,I54,I58,I62,I66,I70,I74,I78)</f>
        <v>17.870852697916671</v>
      </c>
      <c r="J79" s="133">
        <f t="shared" si="2"/>
        <v>17.870852697916671</v>
      </c>
      <c r="K79" s="133">
        <f t="shared" si="2"/>
        <v>17.870852697916671</v>
      </c>
      <c r="L79" s="133">
        <f t="shared" si="2"/>
        <v>17.870852697916671</v>
      </c>
      <c r="M79" s="133">
        <f t="shared" si="2"/>
        <v>17.870852697916671</v>
      </c>
      <c r="N79" s="133">
        <f t="shared" si="2"/>
        <v>17.870852697916671</v>
      </c>
      <c r="O79" s="133">
        <f t="shared" si="2"/>
        <v>17.870852697916671</v>
      </c>
      <c r="P79" s="133">
        <f t="shared" si="2"/>
        <v>17.870852697916671</v>
      </c>
      <c r="Q79" s="133">
        <f t="shared" si="2"/>
        <v>17.870852697916671</v>
      </c>
      <c r="R79" s="133">
        <f t="shared" si="2"/>
        <v>17.870852697916671</v>
      </c>
      <c r="S79" s="131">
        <f t="shared" si="2"/>
        <v>17.870852697916671</v>
      </c>
    </row>
    <row r="82" spans="2:19" ht="17.25" thickBot="1" x14ac:dyDescent="0.35"/>
    <row r="83" spans="2:19" ht="21" thickBot="1" x14ac:dyDescent="0.35">
      <c r="B83" s="73" t="s">
        <v>397</v>
      </c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5"/>
    </row>
    <row r="84" spans="2:19" ht="20.25" x14ac:dyDescent="0.3">
      <c r="B84" s="512" t="s">
        <v>78</v>
      </c>
      <c r="C84" s="513"/>
      <c r="D84" s="516" t="s">
        <v>71</v>
      </c>
      <c r="E84" s="518" t="s">
        <v>42</v>
      </c>
      <c r="F84" s="520" t="s">
        <v>17</v>
      </c>
      <c r="G84" s="522" t="s">
        <v>414</v>
      </c>
      <c r="H84" s="523"/>
      <c r="I84" s="523"/>
      <c r="J84" s="523"/>
      <c r="K84" s="523"/>
      <c r="L84" s="523"/>
      <c r="M84" s="523"/>
      <c r="N84" s="523"/>
      <c r="O84" s="523"/>
      <c r="P84" s="523"/>
      <c r="Q84" s="523"/>
      <c r="R84" s="523"/>
      <c r="S84" s="524"/>
    </row>
    <row r="85" spans="2:19" ht="21" thickBot="1" x14ac:dyDescent="0.35">
      <c r="B85" s="514"/>
      <c r="C85" s="515"/>
      <c r="D85" s="517"/>
      <c r="E85" s="519"/>
      <c r="F85" s="521"/>
      <c r="G85" s="79" t="s">
        <v>2</v>
      </c>
      <c r="H85" s="80" t="s">
        <v>1</v>
      </c>
      <c r="I85" s="80" t="s">
        <v>3</v>
      </c>
      <c r="J85" s="80" t="s">
        <v>4</v>
      </c>
      <c r="K85" s="80" t="s">
        <v>5</v>
      </c>
      <c r="L85" s="80" t="s">
        <v>6</v>
      </c>
      <c r="M85" s="80" t="s">
        <v>7</v>
      </c>
      <c r="N85" s="80" t="s">
        <v>8</v>
      </c>
      <c r="O85" s="80" t="s">
        <v>9</v>
      </c>
      <c r="P85" s="80" t="s">
        <v>10</v>
      </c>
      <c r="Q85" s="80" t="s">
        <v>11</v>
      </c>
      <c r="R85" s="80" t="s">
        <v>12</v>
      </c>
      <c r="S85" s="81" t="s">
        <v>13</v>
      </c>
    </row>
    <row r="86" spans="2:19" ht="17.25" x14ac:dyDescent="0.3">
      <c r="B86" s="509" t="s">
        <v>84</v>
      </c>
      <c r="C86" s="504" t="s">
        <v>59</v>
      </c>
      <c r="D86" s="507" t="str">
        <f>'3. 기준연도 활동자료 입력'!D8&amp;""</f>
        <v/>
      </c>
      <c r="E86" s="507" t="str">
        <f>'3. 기준연도 활동자료 입력'!E8&amp;""</f>
        <v/>
      </c>
      <c r="F86" s="342" t="s">
        <v>398</v>
      </c>
      <c r="G86" s="363" t="str">
        <f>IF(OR($G$13="", $G$13=0), "", SUM(H86:S86))</f>
        <v/>
      </c>
      <c r="H86" s="344">
        <f>IFERROR(H13*VLOOKUP($E13,Reference!$B$5:$K$30,10,FALSE)/1000,0)</f>
        <v>0</v>
      </c>
      <c r="I86" s="344">
        <f>IFERROR(I13*VLOOKUP($E13,Reference!$B$5:$K$30,10,FALSE)/1000,0)</f>
        <v>0</v>
      </c>
      <c r="J86" s="344">
        <f>IFERROR(J13*VLOOKUP($E13,Reference!$B$5:$K$30,10,FALSE)/1000,0)</f>
        <v>0</v>
      </c>
      <c r="K86" s="344">
        <f>IFERROR(K13*VLOOKUP($E13,Reference!$B$5:$K$30,10,FALSE)/1000,0)</f>
        <v>0</v>
      </c>
      <c r="L86" s="344">
        <f>IFERROR(L13*VLOOKUP($E13,Reference!$B$5:$K$30,10,FALSE)/1000,0)</f>
        <v>0</v>
      </c>
      <c r="M86" s="344">
        <f>IFERROR(M13*VLOOKUP($E13,Reference!$B$5:$K$30,10,FALSE)/1000,0)</f>
        <v>0</v>
      </c>
      <c r="N86" s="344">
        <f>IFERROR(N13*VLOOKUP($E13,Reference!$B$5:$K$30,10,FALSE)/1000,0)</f>
        <v>0</v>
      </c>
      <c r="O86" s="344">
        <f>IFERROR(O13*VLOOKUP($E13,Reference!$B$5:$K$30,10,FALSE)/1000,0)</f>
        <v>0</v>
      </c>
      <c r="P86" s="344">
        <f>IFERROR(P13*VLOOKUP($E13,Reference!$B$5:$K$30,10,FALSE)/1000,0)</f>
        <v>0</v>
      </c>
      <c r="Q86" s="344">
        <f>IFERROR(Q13*VLOOKUP($E13,Reference!$B$5:$K$30,10,FALSE)/1000,0)</f>
        <v>0</v>
      </c>
      <c r="R86" s="344">
        <f>IFERROR(R13*VLOOKUP($E13,Reference!$B$5:$K$30,10,FALSE)/1000,0)</f>
        <v>0</v>
      </c>
      <c r="S86" s="345">
        <f>IFERROR(S13*VLOOKUP($E13,Reference!$B$5:$K$30,10,FALSE)/1000,0)</f>
        <v>0</v>
      </c>
    </row>
    <row r="87" spans="2:19" ht="17.25" x14ac:dyDescent="0.3">
      <c r="B87" s="510"/>
      <c r="C87" s="505"/>
      <c r="D87" s="497"/>
      <c r="E87" s="497"/>
      <c r="F87" s="109" t="s">
        <v>399</v>
      </c>
      <c r="G87" s="110" t="str">
        <f t="shared" ref="G87" si="3">IF(OR($G$13="", $G$13=0), "", SUM(H87:S87))</f>
        <v/>
      </c>
      <c r="H87" s="111">
        <f>IFERROR(H13*VLOOKUP($E13,Reference!$B$5:$K$30,5,FALSE)/1000000,0)</f>
        <v>0</v>
      </c>
      <c r="I87" s="111">
        <f>IFERROR(I13*VLOOKUP($E13,Reference!$B$5:$K$30,5,FALSE)/1000000,0)</f>
        <v>0</v>
      </c>
      <c r="J87" s="111">
        <f>IFERROR(J13*VLOOKUP($E13,Reference!$B$5:$K$30,5,FALSE)/1000000,0)</f>
        <v>0</v>
      </c>
      <c r="K87" s="111">
        <f>IFERROR(K13*VLOOKUP($E13,Reference!$B$5:$K$30,5,FALSE)/1000000,0)</f>
        <v>0</v>
      </c>
      <c r="L87" s="111">
        <f>IFERROR(L13*VLOOKUP($E13,Reference!$B$5:$K$30,5,FALSE)/1000000,0)</f>
        <v>0</v>
      </c>
      <c r="M87" s="111">
        <f>IFERROR(M13*VLOOKUP($E13,Reference!$B$5:$K$30,5,FALSE)/1000000,0)</f>
        <v>0</v>
      </c>
      <c r="N87" s="111">
        <f>IFERROR(N13*VLOOKUP($E13,Reference!$B$5:$K$30,5,FALSE)/1000000,0)</f>
        <v>0</v>
      </c>
      <c r="O87" s="111">
        <f>IFERROR(O13*VLOOKUP($E13,Reference!$B$5:$K$30,5,FALSE)/1000000,0)</f>
        <v>0</v>
      </c>
      <c r="P87" s="111">
        <f>IFERROR(P13*VLOOKUP($E13,Reference!$B$5:$K$30,5,FALSE)/1000000,0)</f>
        <v>0</v>
      </c>
      <c r="Q87" s="111">
        <f>IFERROR(Q13*VLOOKUP($E13,Reference!$B$5:$K$30,5,FALSE)/1000000,0)</f>
        <v>0</v>
      </c>
      <c r="R87" s="111">
        <f>IFERROR(R13*VLOOKUP($E13,Reference!$B$5:$K$30,5,FALSE)/1000000,0)</f>
        <v>0</v>
      </c>
      <c r="S87" s="346">
        <f>IFERROR(S13*VLOOKUP($E13,Reference!$B$5:$K$30,5,FALSE)/1000000,0)</f>
        <v>0</v>
      </c>
    </row>
    <row r="88" spans="2:19" ht="17.25" x14ac:dyDescent="0.3">
      <c r="B88" s="510"/>
      <c r="C88" s="505"/>
      <c r="D88" s="497" t="str">
        <f>'3. 기준연도 활동자료 입력'!D9&amp;""</f>
        <v/>
      </c>
      <c r="E88" s="497" t="str">
        <f>'3. 기준연도 활동자료 입력'!E9&amp;""</f>
        <v/>
      </c>
      <c r="F88" s="109" t="s">
        <v>398</v>
      </c>
      <c r="G88" s="110" t="str">
        <f>IF(OR($G$14="", $G$14=0), "", SUM(H88:S88))</f>
        <v/>
      </c>
      <c r="H88" s="116">
        <f>IFERROR(H14*VLOOKUP($E14,Reference!$B$5:$K$30,10,FALSE)/1000,0)</f>
        <v>0</v>
      </c>
      <c r="I88" s="116">
        <f>IFERROR(I14*VLOOKUP($E14,Reference!$B$5:$K$30,10,FALSE)/1000,0)</f>
        <v>0</v>
      </c>
      <c r="J88" s="116">
        <f>IFERROR(J14*VLOOKUP($E14,Reference!$B$5:$K$30,10,FALSE)/1000,0)</f>
        <v>0</v>
      </c>
      <c r="K88" s="116">
        <f>IFERROR(K14*VLOOKUP($E14,Reference!$B$5:$K$30,10,FALSE)/1000,0)</f>
        <v>0</v>
      </c>
      <c r="L88" s="116">
        <f>IFERROR(L14*VLOOKUP($E14,Reference!$B$5:$K$30,10,FALSE)/1000,0)</f>
        <v>0</v>
      </c>
      <c r="M88" s="116">
        <f>IFERROR(M14*VLOOKUP($E14,Reference!$B$5:$K$30,10,FALSE)/1000,0)</f>
        <v>0</v>
      </c>
      <c r="N88" s="116">
        <f>IFERROR(N14*VLOOKUP($E14,Reference!$B$5:$K$30,10,FALSE)/1000,0)</f>
        <v>0</v>
      </c>
      <c r="O88" s="116">
        <f>IFERROR(O14*VLOOKUP($E14,Reference!$B$5:$K$30,10,FALSE)/1000,0)</f>
        <v>0</v>
      </c>
      <c r="P88" s="116">
        <f>IFERROR(P14*VLOOKUP($E14,Reference!$B$5:$K$30,10,FALSE)/1000,0)</f>
        <v>0</v>
      </c>
      <c r="Q88" s="116">
        <f>IFERROR(Q14*VLOOKUP($E14,Reference!$B$5:$K$30,10,FALSE)/1000,0)</f>
        <v>0</v>
      </c>
      <c r="R88" s="116">
        <f>IFERROR(R14*VLOOKUP($E14,Reference!$B$5:$K$30,10,FALSE)/1000,0)</f>
        <v>0</v>
      </c>
      <c r="S88" s="347">
        <f>IFERROR(S14*VLOOKUP($E14,Reference!$B$5:$K$30,10,FALSE)/1000,0)</f>
        <v>0</v>
      </c>
    </row>
    <row r="89" spans="2:19" ht="17.25" x14ac:dyDescent="0.3">
      <c r="B89" s="510"/>
      <c r="C89" s="505"/>
      <c r="D89" s="497"/>
      <c r="E89" s="497"/>
      <c r="F89" s="109" t="s">
        <v>399</v>
      </c>
      <c r="G89" s="110" t="str">
        <f>IF(OR($G$14="", $G$14=0), "", SUM(H89:S89))</f>
        <v/>
      </c>
      <c r="H89" s="111">
        <f>IFERROR(H14*VLOOKUP($E14,Reference!$B$5:$K$30,5,FALSE)/1000000,0)</f>
        <v>0</v>
      </c>
      <c r="I89" s="111">
        <f>IFERROR(I14*VLOOKUP($E14,Reference!$B$5:$K$30,5,FALSE)/1000000,0)</f>
        <v>0</v>
      </c>
      <c r="J89" s="111">
        <f>IFERROR(J14*VLOOKUP($E14,Reference!$B$5:$K$30,5,FALSE)/1000000,0)</f>
        <v>0</v>
      </c>
      <c r="K89" s="111">
        <f>IFERROR(K14*VLOOKUP($E14,Reference!$B$5:$K$30,5,FALSE)/1000000,0)</f>
        <v>0</v>
      </c>
      <c r="L89" s="111">
        <f>IFERROR(L14*VLOOKUP($E14,Reference!$B$5:$K$30,5,FALSE)/1000000,0)</f>
        <v>0</v>
      </c>
      <c r="M89" s="111">
        <f>IFERROR(M14*VLOOKUP($E14,Reference!$B$5:$K$30,5,FALSE)/1000000,0)</f>
        <v>0</v>
      </c>
      <c r="N89" s="111">
        <f>IFERROR(N14*VLOOKUP($E14,Reference!$B$5:$K$30,5,FALSE)/1000000,0)</f>
        <v>0</v>
      </c>
      <c r="O89" s="111">
        <f>IFERROR(O14*VLOOKUP($E14,Reference!$B$5:$K$30,5,FALSE)/1000000,0)</f>
        <v>0</v>
      </c>
      <c r="P89" s="111">
        <f>IFERROR(P14*VLOOKUP($E14,Reference!$B$5:$K$30,5,FALSE)/1000000,0)</f>
        <v>0</v>
      </c>
      <c r="Q89" s="111">
        <f>IFERROR(Q14*VLOOKUP($E14,Reference!$B$5:$K$30,5,FALSE)/1000000,0)</f>
        <v>0</v>
      </c>
      <c r="R89" s="111">
        <f>IFERROR(R14*VLOOKUP($E14,Reference!$B$5:$K$30,5,FALSE)/1000000,0)</f>
        <v>0</v>
      </c>
      <c r="S89" s="346">
        <f>IFERROR(S14*VLOOKUP($E14,Reference!$B$5:$K$30,5,FALSE)/1000000,0)</f>
        <v>0</v>
      </c>
    </row>
    <row r="90" spans="2:19" ht="17.25" x14ac:dyDescent="0.3">
      <c r="B90" s="510"/>
      <c r="C90" s="505"/>
      <c r="D90" s="497" t="str">
        <f>'3. 기준연도 활동자료 입력'!D10&amp;""</f>
        <v/>
      </c>
      <c r="E90" s="497" t="str">
        <f>'3. 기준연도 활동자료 입력'!E10&amp;""</f>
        <v/>
      </c>
      <c r="F90" s="109" t="s">
        <v>398</v>
      </c>
      <c r="G90" s="110" t="str">
        <f>IF(OR($G$15="", $G$15=0), "", SUM(H90:S90))</f>
        <v/>
      </c>
      <c r="H90" s="116">
        <f>IFERROR(H15*VLOOKUP($E15,Reference!$B$5:$K$30,10,FALSE)/1000,0)</f>
        <v>0</v>
      </c>
      <c r="I90" s="116">
        <f>IFERROR(I15*VLOOKUP($E15,Reference!$B$5:$K$30,10,FALSE)/1000,0)</f>
        <v>0</v>
      </c>
      <c r="J90" s="116">
        <f>IFERROR(J15*VLOOKUP($E15,Reference!$B$5:$K$30,10,FALSE)/1000,0)</f>
        <v>0</v>
      </c>
      <c r="K90" s="116">
        <f>IFERROR(K15*VLOOKUP($E15,Reference!$B$5:$K$30,10,FALSE)/1000,0)</f>
        <v>0</v>
      </c>
      <c r="L90" s="116">
        <f>IFERROR(L15*VLOOKUP($E15,Reference!$B$5:$K$30,10,FALSE)/1000,0)</f>
        <v>0</v>
      </c>
      <c r="M90" s="116">
        <f>IFERROR(M15*VLOOKUP($E15,Reference!$B$5:$K$30,10,FALSE)/1000,0)</f>
        <v>0</v>
      </c>
      <c r="N90" s="116">
        <f>IFERROR(N15*VLOOKUP($E15,Reference!$B$5:$K$30,10,FALSE)/1000,0)</f>
        <v>0</v>
      </c>
      <c r="O90" s="116">
        <f>IFERROR(O15*VLOOKUP($E15,Reference!$B$5:$K$30,10,FALSE)/1000,0)</f>
        <v>0</v>
      </c>
      <c r="P90" s="116">
        <f>IFERROR(P15*VLOOKUP($E15,Reference!$B$5:$K$30,10,FALSE)/1000,0)</f>
        <v>0</v>
      </c>
      <c r="Q90" s="116">
        <f>IFERROR(Q15*VLOOKUP($E15,Reference!$B$5:$K$30,10,FALSE)/1000,0)</f>
        <v>0</v>
      </c>
      <c r="R90" s="116">
        <f>IFERROR(R15*VLOOKUP($E15,Reference!$B$5:$K$30,10,FALSE)/1000,0)</f>
        <v>0</v>
      </c>
      <c r="S90" s="347">
        <f>IFERROR(S15*VLOOKUP($E15,Reference!$B$5:$K$30,10,FALSE)/1000,0)</f>
        <v>0</v>
      </c>
    </row>
    <row r="91" spans="2:19" ht="17.25" x14ac:dyDescent="0.3">
      <c r="B91" s="510"/>
      <c r="C91" s="505"/>
      <c r="D91" s="497"/>
      <c r="E91" s="497"/>
      <c r="F91" s="109" t="s">
        <v>399</v>
      </c>
      <c r="G91" s="110" t="str">
        <f>IF(OR($G$15="", $G$15=0), "", SUM(H91:S91))</f>
        <v/>
      </c>
      <c r="H91" s="111">
        <f>IFERROR(H15*VLOOKUP($E15,Reference!$B$5:$K$30,5,FALSE)/1000000,0)</f>
        <v>0</v>
      </c>
      <c r="I91" s="111">
        <f>IFERROR(I15*VLOOKUP($E15,Reference!$B$5:$K$30,5,FALSE)/1000000,0)</f>
        <v>0</v>
      </c>
      <c r="J91" s="111">
        <f>IFERROR(J15*VLOOKUP($E15,Reference!$B$5:$K$30,5,FALSE)/1000000,0)</f>
        <v>0</v>
      </c>
      <c r="K91" s="111">
        <f>IFERROR(K15*VLOOKUP($E15,Reference!$B$5:$K$30,5,FALSE)/1000000,0)</f>
        <v>0</v>
      </c>
      <c r="L91" s="111">
        <f>IFERROR(L15*VLOOKUP($E15,Reference!$B$5:$K$30,5,FALSE)/1000000,0)</f>
        <v>0</v>
      </c>
      <c r="M91" s="111">
        <f>IFERROR(M15*VLOOKUP($E15,Reference!$B$5:$K$30,5,FALSE)/1000000,0)</f>
        <v>0</v>
      </c>
      <c r="N91" s="111">
        <f>IFERROR(N15*VLOOKUP($E15,Reference!$B$5:$K$30,5,FALSE)/1000000,0)</f>
        <v>0</v>
      </c>
      <c r="O91" s="111">
        <f>IFERROR(O15*VLOOKUP($E15,Reference!$B$5:$K$30,5,FALSE)/1000000,0)</f>
        <v>0</v>
      </c>
      <c r="P91" s="111">
        <f>IFERROR(P15*VLOOKUP($E15,Reference!$B$5:$K$30,5,FALSE)/1000000,0)</f>
        <v>0</v>
      </c>
      <c r="Q91" s="111">
        <f>IFERROR(Q15*VLOOKUP($E15,Reference!$B$5:$K$30,5,FALSE)/1000000,0)</f>
        <v>0</v>
      </c>
      <c r="R91" s="111">
        <f>IFERROR(R15*VLOOKUP($E15,Reference!$B$5:$K$30,5,FALSE)/1000000,0)</f>
        <v>0</v>
      </c>
      <c r="S91" s="346">
        <f>IFERROR(S15*VLOOKUP($E15,Reference!$B$5:$K$30,5,FALSE)/1000000,0)</f>
        <v>0</v>
      </c>
    </row>
    <row r="92" spans="2:19" ht="17.25" x14ac:dyDescent="0.3">
      <c r="B92" s="510"/>
      <c r="C92" s="505"/>
      <c r="D92" s="498" t="str">
        <f>'3. 기준연도 활동자료 입력'!D11&amp;""</f>
        <v/>
      </c>
      <c r="E92" s="497" t="str">
        <f>'3. 기준연도 활동자료 입력'!E11&amp;""</f>
        <v/>
      </c>
      <c r="F92" s="109" t="s">
        <v>398</v>
      </c>
      <c r="G92" s="110" t="str">
        <f>IF(OR($G$16="", $G$16=0), "", SUM(H92:S92))</f>
        <v/>
      </c>
      <c r="H92" s="116">
        <f>IFERROR(H16*VLOOKUP($E16,Reference!$B$5:$K$30,10,FALSE)/1000,0)</f>
        <v>0</v>
      </c>
      <c r="I92" s="116">
        <f>IFERROR(I16*VLOOKUP($E16,Reference!$B$5:$K$30,10,FALSE)/1000,0)</f>
        <v>0</v>
      </c>
      <c r="J92" s="116">
        <f>IFERROR(J16*VLOOKUP($E16,Reference!$B$5:$K$30,10,FALSE)/1000,0)</f>
        <v>0</v>
      </c>
      <c r="K92" s="116">
        <f>IFERROR(K16*VLOOKUP($E16,Reference!$B$5:$K$30,10,FALSE)/1000,0)</f>
        <v>0</v>
      </c>
      <c r="L92" s="116">
        <f>IFERROR(L16*VLOOKUP($E16,Reference!$B$5:$K$30,10,FALSE)/1000,0)</f>
        <v>0</v>
      </c>
      <c r="M92" s="116">
        <f>IFERROR(M16*VLOOKUP($E16,Reference!$B$5:$K$30,10,FALSE)/1000,0)</f>
        <v>0</v>
      </c>
      <c r="N92" s="116">
        <f>IFERROR(N16*VLOOKUP($E16,Reference!$B$5:$K$30,10,FALSE)/1000,0)</f>
        <v>0</v>
      </c>
      <c r="O92" s="116">
        <f>IFERROR(O16*VLOOKUP($E16,Reference!$B$5:$K$30,10,FALSE)/1000,0)</f>
        <v>0</v>
      </c>
      <c r="P92" s="116">
        <f>IFERROR(P16*VLOOKUP($E16,Reference!$B$5:$K$30,10,FALSE)/1000,0)</f>
        <v>0</v>
      </c>
      <c r="Q92" s="116">
        <f>IFERROR(Q16*VLOOKUP($E16,Reference!$B$5:$K$30,10,FALSE)/1000,0)</f>
        <v>0</v>
      </c>
      <c r="R92" s="116">
        <f>IFERROR(R16*VLOOKUP($E16,Reference!$B$5:$K$30,10,FALSE)/1000,0)</f>
        <v>0</v>
      </c>
      <c r="S92" s="347">
        <f>IFERROR(S16*VLOOKUP($E16,Reference!$B$5:$K$30,10,FALSE)/1000,0)</f>
        <v>0</v>
      </c>
    </row>
    <row r="93" spans="2:19" ht="17.25" x14ac:dyDescent="0.3">
      <c r="B93" s="510"/>
      <c r="C93" s="505"/>
      <c r="D93" s="498"/>
      <c r="E93" s="497"/>
      <c r="F93" s="109" t="s">
        <v>399</v>
      </c>
      <c r="G93" s="110" t="str">
        <f>IF(OR($G$16="", $G$16=0), "", SUM(H93:S93))</f>
        <v/>
      </c>
      <c r="H93" s="111">
        <f>IFERROR(H16*VLOOKUP($E16,Reference!$B$5:$K$30,5,FALSE)/1000000,0)</f>
        <v>0</v>
      </c>
      <c r="I93" s="111">
        <f>IFERROR(I16*VLOOKUP($E16,Reference!$B$5:$K$30,5,FALSE)/1000000,0)</f>
        <v>0</v>
      </c>
      <c r="J93" s="111">
        <f>IFERROR(J16*VLOOKUP($E16,Reference!$B$5:$K$30,5,FALSE)/1000000,0)</f>
        <v>0</v>
      </c>
      <c r="K93" s="111">
        <f>IFERROR(K16*VLOOKUP($E16,Reference!$B$5:$K$30,5,FALSE)/1000000,0)</f>
        <v>0</v>
      </c>
      <c r="L93" s="111">
        <f>IFERROR(L16*VLOOKUP($E16,Reference!$B$5:$K$30,5,FALSE)/1000000,0)</f>
        <v>0</v>
      </c>
      <c r="M93" s="111">
        <f>IFERROR(M16*VLOOKUP($E16,Reference!$B$5:$K$30,5,FALSE)/1000000,0)</f>
        <v>0</v>
      </c>
      <c r="N93" s="111">
        <f>IFERROR(N16*VLOOKUP($E16,Reference!$B$5:$K$30,5,FALSE)/1000000,0)</f>
        <v>0</v>
      </c>
      <c r="O93" s="111">
        <f>IFERROR(O16*VLOOKUP($E16,Reference!$B$5:$K$30,5,FALSE)/1000000,0)</f>
        <v>0</v>
      </c>
      <c r="P93" s="111">
        <f>IFERROR(P16*VLOOKUP($E16,Reference!$B$5:$K$30,5,FALSE)/1000000,0)</f>
        <v>0</v>
      </c>
      <c r="Q93" s="111">
        <f>IFERROR(Q16*VLOOKUP($E16,Reference!$B$5:$K$30,5,FALSE)/1000000,0)</f>
        <v>0</v>
      </c>
      <c r="R93" s="111">
        <f>IFERROR(R16*VLOOKUP($E16,Reference!$B$5:$K$30,5,FALSE)/1000000,0)</f>
        <v>0</v>
      </c>
      <c r="S93" s="346">
        <f>IFERROR(S16*VLOOKUP($E16,Reference!$B$5:$K$30,5,FALSE)/1000000,0)</f>
        <v>0</v>
      </c>
    </row>
    <row r="94" spans="2:19" ht="17.25" x14ac:dyDescent="0.3">
      <c r="B94" s="510"/>
      <c r="C94" s="505" t="s">
        <v>61</v>
      </c>
      <c r="D94" s="498" t="str">
        <f>'3. 기준연도 활동자료 입력'!D12&amp;""</f>
        <v/>
      </c>
      <c r="E94" s="497" t="str">
        <f>'3. 기준연도 활동자료 입력'!E12&amp;""</f>
        <v/>
      </c>
      <c r="F94" s="109" t="s">
        <v>398</v>
      </c>
      <c r="G94" s="110" t="str">
        <f>IF(OR($G$17="", $G$17=0), "", SUM(H94:S94))</f>
        <v/>
      </c>
      <c r="H94" s="116">
        <f>IFERROR(H17*VLOOKUP($E17,Reference!$B$36:$K$42,10,FALSE)/1000,0)</f>
        <v>0</v>
      </c>
      <c r="I94" s="116">
        <f>IFERROR(I17*VLOOKUP($E17,Reference!$B$36:$K$42,10,FALSE)/1000,0)</f>
        <v>0</v>
      </c>
      <c r="J94" s="116">
        <f>IFERROR(J17*VLOOKUP($E17,Reference!$B$36:$K$42,10,FALSE)/1000,0)</f>
        <v>0</v>
      </c>
      <c r="K94" s="116">
        <f>IFERROR(K17*VLOOKUP($E17,Reference!$B$36:$K$42,10,FALSE)/1000,0)</f>
        <v>0</v>
      </c>
      <c r="L94" s="116">
        <f>IFERROR(L17*VLOOKUP($E17,Reference!$B$36:$K$42,10,FALSE)/1000,0)</f>
        <v>0</v>
      </c>
      <c r="M94" s="116">
        <f>IFERROR(M17*VLOOKUP($E17,Reference!$B$36:$K$42,10,FALSE)/1000,0)</f>
        <v>0</v>
      </c>
      <c r="N94" s="116">
        <f>IFERROR(N17*VLOOKUP($E17,Reference!$B$36:$K$42,10,FALSE)/1000,0)</f>
        <v>0</v>
      </c>
      <c r="O94" s="116">
        <f>IFERROR(O17*VLOOKUP($E17,Reference!$B$36:$K$42,10,FALSE)/1000,0)</f>
        <v>0</v>
      </c>
      <c r="P94" s="116">
        <f>IFERROR(P17*VLOOKUP($E17,Reference!$B$36:$K$42,10,FALSE)/1000,0)</f>
        <v>0</v>
      </c>
      <c r="Q94" s="116">
        <f>IFERROR(Q17*VLOOKUP($E17,Reference!$B$36:$K$42,10,FALSE)/1000,0)</f>
        <v>0</v>
      </c>
      <c r="R94" s="116">
        <f>IFERROR(R17*VLOOKUP($E17,Reference!$B$36:$K$42,10,FALSE)/1000,0)</f>
        <v>0</v>
      </c>
      <c r="S94" s="347">
        <f>IFERROR(S17*VLOOKUP($E17,Reference!$B$36:$K$42,10,FALSE)/1000,0)</f>
        <v>0</v>
      </c>
    </row>
    <row r="95" spans="2:19" ht="17.25" x14ac:dyDescent="0.3">
      <c r="B95" s="510"/>
      <c r="C95" s="505"/>
      <c r="D95" s="498"/>
      <c r="E95" s="497"/>
      <c r="F95" s="109" t="s">
        <v>399</v>
      </c>
      <c r="G95" s="110" t="str">
        <f>IF(OR($G$17="", $G$17=0), "", SUM(H95:S95))</f>
        <v/>
      </c>
      <c r="H95" s="111">
        <f>IFERROR(H17*VLOOKUP($E17,Reference!$B$36:$K$42,5,FALSE)/1000000,0)</f>
        <v>0</v>
      </c>
      <c r="I95" s="111">
        <f>IFERROR(I17*VLOOKUP($E17,Reference!$B$36:$K$42,5,FALSE)/1000000,0)</f>
        <v>0</v>
      </c>
      <c r="J95" s="111">
        <f>IFERROR(J17*VLOOKUP($E17,Reference!$B$36:$K$42,5,FALSE)/1000000,0)</f>
        <v>0</v>
      </c>
      <c r="K95" s="111">
        <f>IFERROR(K17*VLOOKUP($E17,Reference!$B$36:$K$42,5,FALSE)/1000000,0)</f>
        <v>0</v>
      </c>
      <c r="L95" s="111">
        <f>IFERROR(L17*VLOOKUP($E17,Reference!$B$36:$K$42,5,FALSE)/1000000,0)</f>
        <v>0</v>
      </c>
      <c r="M95" s="111">
        <f>IFERROR(M17*VLOOKUP($E17,Reference!$B$36:$K$42,5,FALSE)/1000000,0)</f>
        <v>0</v>
      </c>
      <c r="N95" s="111">
        <f>IFERROR(N17*VLOOKUP($E17,Reference!$B$36:$K$42,5,FALSE)/1000000,0)</f>
        <v>0</v>
      </c>
      <c r="O95" s="111">
        <f>IFERROR(O17*VLOOKUP($E17,Reference!$B$36:$K$42,5,FALSE)/1000000,0)</f>
        <v>0</v>
      </c>
      <c r="P95" s="111">
        <f>IFERROR(P17*VLOOKUP($E17,Reference!$B$36:$K$42,5,FALSE)/1000000,0)</f>
        <v>0</v>
      </c>
      <c r="Q95" s="111">
        <f>IFERROR(Q17*VLOOKUP($E17,Reference!$B$36:$K$42,5,FALSE)/1000000,0)</f>
        <v>0</v>
      </c>
      <c r="R95" s="111">
        <f>IFERROR(R17*VLOOKUP($E17,Reference!$B$36:$K$42,5,FALSE)/1000000,0)</f>
        <v>0</v>
      </c>
      <c r="S95" s="346">
        <f>IFERROR(S17*VLOOKUP($E17,Reference!$B$36:$K$42,5,FALSE)/1000000,0)</f>
        <v>0</v>
      </c>
    </row>
    <row r="96" spans="2:19" ht="17.25" x14ac:dyDescent="0.3">
      <c r="B96" s="510"/>
      <c r="C96" s="505"/>
      <c r="D96" s="498" t="str">
        <f>'3. 기준연도 활동자료 입력'!D13&amp;""</f>
        <v/>
      </c>
      <c r="E96" s="497" t="str">
        <f>'3. 기준연도 활동자료 입력'!E13&amp;""</f>
        <v/>
      </c>
      <c r="F96" s="109" t="s">
        <v>398</v>
      </c>
      <c r="G96" s="110" t="str">
        <f>IF(OR($G$18="", $G$18=0), "", SUM(H96:S96))</f>
        <v/>
      </c>
      <c r="H96" s="116">
        <f>IFERROR(H18*VLOOKUP($E18,Reference!$B$36:$K$42,10,FALSE)/1000,0)</f>
        <v>0</v>
      </c>
      <c r="I96" s="116">
        <f>IFERROR(I18*VLOOKUP($E18,Reference!$B$36:$K$42,10,FALSE)/1000,0)</f>
        <v>0</v>
      </c>
      <c r="J96" s="116">
        <f>IFERROR(J18*VLOOKUP($E18,Reference!$B$36:$K$42,10,FALSE)/1000,0)</f>
        <v>0</v>
      </c>
      <c r="K96" s="116">
        <f>IFERROR(K18*VLOOKUP($E18,Reference!$B$36:$K$42,10,FALSE)/1000,0)</f>
        <v>0</v>
      </c>
      <c r="L96" s="116">
        <f>IFERROR(L18*VLOOKUP($E18,Reference!$B$36:$K$42,10,FALSE)/1000,0)</f>
        <v>0</v>
      </c>
      <c r="M96" s="116">
        <f>IFERROR(M18*VLOOKUP($E18,Reference!$B$36:$K$42,10,FALSE)/1000,0)</f>
        <v>0</v>
      </c>
      <c r="N96" s="116">
        <f>IFERROR(N18*VLOOKUP($E18,Reference!$B$36:$K$42,10,FALSE)/1000,0)</f>
        <v>0</v>
      </c>
      <c r="O96" s="116">
        <f>IFERROR(O18*VLOOKUP($E18,Reference!$B$36:$K$42,10,FALSE)/1000,0)</f>
        <v>0</v>
      </c>
      <c r="P96" s="116">
        <f>IFERROR(P18*VLOOKUP($E18,Reference!$B$36:$K$42,10,FALSE)/1000,0)</f>
        <v>0</v>
      </c>
      <c r="Q96" s="116">
        <f>IFERROR(Q18*VLOOKUP($E18,Reference!$B$36:$K$42,10,FALSE)/1000,0)</f>
        <v>0</v>
      </c>
      <c r="R96" s="116">
        <f>IFERROR(R18*VLOOKUP($E18,Reference!$B$36:$K$42,10,FALSE)/1000,0)</f>
        <v>0</v>
      </c>
      <c r="S96" s="347">
        <f>IFERROR(S18*VLOOKUP($E18,Reference!$B$36:$K$42,10,FALSE)/1000,0)</f>
        <v>0</v>
      </c>
    </row>
    <row r="97" spans="2:19" ht="17.25" x14ac:dyDescent="0.3">
      <c r="B97" s="510"/>
      <c r="C97" s="505"/>
      <c r="D97" s="498"/>
      <c r="E97" s="497"/>
      <c r="F97" s="109" t="s">
        <v>399</v>
      </c>
      <c r="G97" s="110" t="str">
        <f>IF(OR($G$18="", $G$18=0), "", SUM(H97:S97))</f>
        <v/>
      </c>
      <c r="H97" s="111">
        <f>IFERROR(H18*VLOOKUP($E18,Reference!$B$36:$K$42,5,FALSE)/1000000,0)</f>
        <v>0</v>
      </c>
      <c r="I97" s="111">
        <f>IFERROR(I18*VLOOKUP($E18,Reference!$B$36:$K$42,5,FALSE)/1000000,0)</f>
        <v>0</v>
      </c>
      <c r="J97" s="111">
        <f>IFERROR(J18*VLOOKUP($E18,Reference!$B$36:$K$42,5,FALSE)/1000000,0)</f>
        <v>0</v>
      </c>
      <c r="K97" s="111">
        <f>IFERROR(K18*VLOOKUP($E18,Reference!$B$36:$K$42,5,FALSE)/1000000,0)</f>
        <v>0</v>
      </c>
      <c r="L97" s="111">
        <f>IFERROR(L18*VLOOKUP($E18,Reference!$B$36:$K$42,5,FALSE)/1000000,0)</f>
        <v>0</v>
      </c>
      <c r="M97" s="111">
        <f>IFERROR(M18*VLOOKUP($E18,Reference!$B$36:$K$42,5,FALSE)/1000000,0)</f>
        <v>0</v>
      </c>
      <c r="N97" s="111">
        <f>IFERROR(N18*VLOOKUP($E18,Reference!$B$36:$K$42,5,FALSE)/1000000,0)</f>
        <v>0</v>
      </c>
      <c r="O97" s="111">
        <f>IFERROR(O18*VLOOKUP($E18,Reference!$B$36:$K$42,5,FALSE)/1000000,0)</f>
        <v>0</v>
      </c>
      <c r="P97" s="111">
        <f>IFERROR(P18*VLOOKUP($E18,Reference!$B$36:$K$42,5,FALSE)/1000000,0)</f>
        <v>0</v>
      </c>
      <c r="Q97" s="111">
        <f>IFERROR(Q18*VLOOKUP($E18,Reference!$B$36:$K$42,5,FALSE)/1000000,0)</f>
        <v>0</v>
      </c>
      <c r="R97" s="111">
        <f>IFERROR(R18*VLOOKUP($E18,Reference!$B$36:$K$42,5,FALSE)/1000000,0)</f>
        <v>0</v>
      </c>
      <c r="S97" s="346">
        <f>IFERROR(S18*VLOOKUP($E18,Reference!$B$36:$K$42,5,FALSE)/1000000,0)</f>
        <v>0</v>
      </c>
    </row>
    <row r="98" spans="2:19" ht="17.25" x14ac:dyDescent="0.3">
      <c r="B98" s="510"/>
      <c r="C98" s="505"/>
      <c r="D98" s="498" t="str">
        <f>'3. 기준연도 활동자료 입력'!D14&amp;""</f>
        <v/>
      </c>
      <c r="E98" s="497" t="str">
        <f>'3. 기준연도 활동자료 입력'!E14&amp;""</f>
        <v/>
      </c>
      <c r="F98" s="109" t="s">
        <v>398</v>
      </c>
      <c r="G98" s="110" t="str">
        <f>IF(OR($G$19="", $G$19=0), "", SUM(H98:S98))</f>
        <v/>
      </c>
      <c r="H98" s="116">
        <f>IFERROR(H19*VLOOKUP($E19,Reference!$B$36:$K$42,10,FALSE)/1000,0)</f>
        <v>0</v>
      </c>
      <c r="I98" s="116">
        <f>IFERROR(I19*VLOOKUP($E19,Reference!$B$36:$K$42,10,FALSE)/1000,0)</f>
        <v>0</v>
      </c>
      <c r="J98" s="116">
        <f>IFERROR(J19*VLOOKUP($E19,Reference!$B$36:$K$42,10,FALSE)/1000,0)</f>
        <v>0</v>
      </c>
      <c r="K98" s="116">
        <f>IFERROR(K19*VLOOKUP($E19,Reference!$B$36:$K$42,10,FALSE)/1000,0)</f>
        <v>0</v>
      </c>
      <c r="L98" s="116">
        <f>IFERROR(L19*VLOOKUP($E19,Reference!$B$36:$K$42,10,FALSE)/1000,0)</f>
        <v>0</v>
      </c>
      <c r="M98" s="116">
        <f>IFERROR(M19*VLOOKUP($E19,Reference!$B$36:$K$42,10,FALSE)/1000,0)</f>
        <v>0</v>
      </c>
      <c r="N98" s="116">
        <f>IFERROR(N19*VLOOKUP($E19,Reference!$B$36:$K$42,10,FALSE)/1000,0)</f>
        <v>0</v>
      </c>
      <c r="O98" s="116">
        <f>IFERROR(O19*VLOOKUP($E19,Reference!$B$36:$K$42,10,FALSE)/1000,0)</f>
        <v>0</v>
      </c>
      <c r="P98" s="116">
        <f>IFERROR(P19*VLOOKUP($E19,Reference!$B$36:$K$42,10,FALSE)/1000,0)</f>
        <v>0</v>
      </c>
      <c r="Q98" s="116">
        <f>IFERROR(Q19*VLOOKUP($E19,Reference!$B$36:$K$42,10,FALSE)/1000,0)</f>
        <v>0</v>
      </c>
      <c r="R98" s="116">
        <f>IFERROR(R19*VLOOKUP($E19,Reference!$B$36:$K$42,10,FALSE)/1000,0)</f>
        <v>0</v>
      </c>
      <c r="S98" s="347">
        <f>IFERROR(S19*VLOOKUP($E19,Reference!$B$36:$K$42,10,FALSE)/1000,0)</f>
        <v>0</v>
      </c>
    </row>
    <row r="99" spans="2:19" ht="17.25" x14ac:dyDescent="0.3">
      <c r="B99" s="510"/>
      <c r="C99" s="505"/>
      <c r="D99" s="498"/>
      <c r="E99" s="497"/>
      <c r="F99" s="109" t="s">
        <v>399</v>
      </c>
      <c r="G99" s="110" t="str">
        <f>IF(OR($G$19="", $G$19=0), "", SUM(H99:S99))</f>
        <v/>
      </c>
      <c r="H99" s="111">
        <f>IFERROR(H19*VLOOKUP($E19,Reference!$B$36:$K$42,5,FALSE)/1000000,0)</f>
        <v>0</v>
      </c>
      <c r="I99" s="111">
        <f>IFERROR(I19*VLOOKUP($E19,Reference!$B$36:$K$42,5,FALSE)/1000000,0)</f>
        <v>0</v>
      </c>
      <c r="J99" s="111">
        <f>IFERROR(J19*VLOOKUP($E19,Reference!$B$36:$K$42,5,FALSE)/1000000,0)</f>
        <v>0</v>
      </c>
      <c r="K99" s="111">
        <f>IFERROR(K19*VLOOKUP($E19,Reference!$B$36:$K$42,5,FALSE)/1000000,0)</f>
        <v>0</v>
      </c>
      <c r="L99" s="111">
        <f>IFERROR(L19*VLOOKUP($E19,Reference!$B$36:$K$42,5,FALSE)/1000000,0)</f>
        <v>0</v>
      </c>
      <c r="M99" s="111">
        <f>IFERROR(M19*VLOOKUP($E19,Reference!$B$36:$K$42,5,FALSE)/1000000,0)</f>
        <v>0</v>
      </c>
      <c r="N99" s="111">
        <f>IFERROR(N19*VLOOKUP($E19,Reference!$B$36:$K$42,5,FALSE)/1000000,0)</f>
        <v>0</v>
      </c>
      <c r="O99" s="111">
        <f>IFERROR(O19*VLOOKUP($E19,Reference!$B$36:$K$42,5,FALSE)/1000000,0)</f>
        <v>0</v>
      </c>
      <c r="P99" s="111">
        <f>IFERROR(P19*VLOOKUP($E19,Reference!$B$36:$K$42,5,FALSE)/1000000,0)</f>
        <v>0</v>
      </c>
      <c r="Q99" s="111">
        <f>IFERROR(Q19*VLOOKUP($E19,Reference!$B$36:$K$42,5,FALSE)/1000000,0)</f>
        <v>0</v>
      </c>
      <c r="R99" s="111">
        <f>IFERROR(R19*VLOOKUP($E19,Reference!$B$36:$K$42,5,FALSE)/1000000,0)</f>
        <v>0</v>
      </c>
      <c r="S99" s="346">
        <f>IFERROR(S19*VLOOKUP($E19,Reference!$B$36:$K$42,5,FALSE)/1000000,0)</f>
        <v>0</v>
      </c>
    </row>
    <row r="100" spans="2:19" ht="17.25" x14ac:dyDescent="0.3">
      <c r="B100" s="510"/>
      <c r="C100" s="505"/>
      <c r="D100" s="498" t="str">
        <f>'3. 기준연도 활동자료 입력'!D15&amp;""</f>
        <v/>
      </c>
      <c r="E100" s="497" t="str">
        <f>'3. 기준연도 활동자료 입력'!E15&amp;""</f>
        <v/>
      </c>
      <c r="F100" s="109" t="s">
        <v>398</v>
      </c>
      <c r="G100" s="110" t="str">
        <f>IF(OR($G$20="", $G$20=0), "", SUM(H100:S100))</f>
        <v/>
      </c>
      <c r="H100" s="116">
        <f>IFERROR(H20*VLOOKUP($E20,Reference!$B$36:$K$42,10,FALSE)/1000,0)</f>
        <v>0</v>
      </c>
      <c r="I100" s="116">
        <f>IFERROR(I20*VLOOKUP($E20,Reference!$B$36:$K$42,10,FALSE)/1000,0)</f>
        <v>0</v>
      </c>
      <c r="J100" s="116">
        <f>IFERROR(J20*VLOOKUP($E20,Reference!$B$36:$K$42,10,FALSE)/1000,0)</f>
        <v>0</v>
      </c>
      <c r="K100" s="116">
        <f>IFERROR(K20*VLOOKUP($E20,Reference!$B$36:$K$42,10,FALSE)/1000,0)</f>
        <v>0</v>
      </c>
      <c r="L100" s="116">
        <f>IFERROR(L20*VLOOKUP($E20,Reference!$B$36:$K$42,10,FALSE)/1000,0)</f>
        <v>0</v>
      </c>
      <c r="M100" s="116">
        <f>IFERROR(M20*VLOOKUP($E20,Reference!$B$36:$K$42,10,FALSE)/1000,0)</f>
        <v>0</v>
      </c>
      <c r="N100" s="116">
        <f>IFERROR(N20*VLOOKUP($E20,Reference!$B$36:$K$42,10,FALSE)/1000,0)</f>
        <v>0</v>
      </c>
      <c r="O100" s="116">
        <f>IFERROR(O20*VLOOKUP($E20,Reference!$B$36:$K$42,10,FALSE)/1000,0)</f>
        <v>0</v>
      </c>
      <c r="P100" s="116">
        <f>IFERROR(P20*VLOOKUP($E20,Reference!$B$36:$K$42,10,FALSE)/1000,0)</f>
        <v>0</v>
      </c>
      <c r="Q100" s="116">
        <f>IFERROR(Q20*VLOOKUP($E20,Reference!$B$36:$K$42,10,FALSE)/1000,0)</f>
        <v>0</v>
      </c>
      <c r="R100" s="116">
        <f>IFERROR(R20*VLOOKUP($E20,Reference!$B$36:$K$42,10,FALSE)/1000,0)</f>
        <v>0</v>
      </c>
      <c r="S100" s="347">
        <f>IFERROR(S20*VLOOKUP($E20,Reference!$B$36:$K$42,10,FALSE)/1000,0)</f>
        <v>0</v>
      </c>
    </row>
    <row r="101" spans="2:19" ht="18" thickBot="1" x14ac:dyDescent="0.35">
      <c r="B101" s="511"/>
      <c r="C101" s="508"/>
      <c r="D101" s="499"/>
      <c r="E101" s="500"/>
      <c r="F101" s="343" t="s">
        <v>399</v>
      </c>
      <c r="G101" s="364" t="str">
        <f>IF(OR($G$20="", $G$20=0), "", SUM(H101:S101))</f>
        <v/>
      </c>
      <c r="H101" s="348">
        <f>IFERROR(H20*VLOOKUP($E20,Reference!$B$36:$K$42,5,FALSE)/1000000,0)</f>
        <v>0</v>
      </c>
      <c r="I101" s="348">
        <f>IFERROR(I20*VLOOKUP($E20,Reference!$B$36:$K$42,5,FALSE)/1000000,0)</f>
        <v>0</v>
      </c>
      <c r="J101" s="348">
        <f>IFERROR(J20*VLOOKUP($E20,Reference!$B$36:$K$42,5,FALSE)/1000000,0)</f>
        <v>0</v>
      </c>
      <c r="K101" s="348">
        <f>IFERROR(K20*VLOOKUP($E20,Reference!$B$36:$K$42,5,FALSE)/1000000,0)</f>
        <v>0</v>
      </c>
      <c r="L101" s="348">
        <f>IFERROR(L20*VLOOKUP($E20,Reference!$B$36:$K$42,5,FALSE)/1000000,0)</f>
        <v>0</v>
      </c>
      <c r="M101" s="348">
        <f>IFERROR(M20*VLOOKUP($E20,Reference!$B$36:$K$42,5,FALSE)/1000000,0)</f>
        <v>0</v>
      </c>
      <c r="N101" s="348">
        <f>IFERROR(N20*VLOOKUP($E20,Reference!$B$36:$K$42,5,FALSE)/1000000,0)</f>
        <v>0</v>
      </c>
      <c r="O101" s="348">
        <f>IFERROR(O20*VLOOKUP($E20,Reference!$B$36:$K$42,5,FALSE)/1000000,0)</f>
        <v>0</v>
      </c>
      <c r="P101" s="348">
        <f>IFERROR(P20*VLOOKUP($E20,Reference!$B$36:$K$42,5,FALSE)/1000000,0)</f>
        <v>0</v>
      </c>
      <c r="Q101" s="348">
        <f>IFERROR(Q20*VLOOKUP($E20,Reference!$B$36:$K$42,5,FALSE)/1000000,0)</f>
        <v>0</v>
      </c>
      <c r="R101" s="348">
        <f>IFERROR(R20*VLOOKUP($E20,Reference!$B$36:$K$42,5,FALSE)/1000000,0)</f>
        <v>0</v>
      </c>
      <c r="S101" s="349">
        <f>IFERROR(S20*VLOOKUP($E20,Reference!$B$36:$K$42,5,FALSE)/1000000,0)</f>
        <v>0</v>
      </c>
    </row>
    <row r="102" spans="2:19" ht="17.25" x14ac:dyDescent="0.3">
      <c r="B102" s="501" t="s">
        <v>85</v>
      </c>
      <c r="C102" s="504" t="s">
        <v>154</v>
      </c>
      <c r="D102" s="506" t="str">
        <f>'3. 기준연도 활동자료 입력'!D16&amp;""</f>
        <v>사업장 단위 전기사용시설</v>
      </c>
      <c r="E102" s="507" t="str">
        <f>'3. 기준연도 활동자료 입력'!E16&amp;""</f>
        <v>전기(소비기준)</v>
      </c>
      <c r="F102" s="342" t="s">
        <v>398</v>
      </c>
      <c r="G102" s="363">
        <f>IF(OR($G$21="", $G$21=0), "", SUM(H102:S102))</f>
        <v>102.725278</v>
      </c>
      <c r="H102" s="344">
        <f>IFERROR(H21*VLOOKUP($E21,Reference!$B$47:$I$48,8,FALSE)/1000,0)</f>
        <v>8.5604398333333336</v>
      </c>
      <c r="I102" s="344">
        <f>IFERROR(I21*VLOOKUP($E21,Reference!$B$47:$I$48,8,FALSE)/1000,0)</f>
        <v>8.5604398333333336</v>
      </c>
      <c r="J102" s="344">
        <f>IFERROR(J21*VLOOKUP($E21,Reference!$B$47:$I$48,8,FALSE)/1000,0)</f>
        <v>8.5604398333333336</v>
      </c>
      <c r="K102" s="344">
        <f>IFERROR(K21*VLOOKUP($E21,Reference!$B$47:$I$48,8,FALSE)/1000,0)</f>
        <v>8.5604398333333336</v>
      </c>
      <c r="L102" s="344">
        <f>IFERROR(L21*VLOOKUP($E21,Reference!$B$47:$I$48,8,FALSE)/1000,0)</f>
        <v>8.5604398333333336</v>
      </c>
      <c r="M102" s="344">
        <f>IFERROR(M21*VLOOKUP($E21,Reference!$B$47:$I$48,8,FALSE)/1000,0)</f>
        <v>8.5604398333333336</v>
      </c>
      <c r="N102" s="344">
        <f>IFERROR(N21*VLOOKUP($E21,Reference!$B$47:$I$48,8,FALSE)/1000,0)</f>
        <v>8.5604398333333336</v>
      </c>
      <c r="O102" s="344">
        <f>IFERROR(O21*VLOOKUP($E21,Reference!$B$47:$I$48,8,FALSE)/1000,0)</f>
        <v>8.5604398333333336</v>
      </c>
      <c r="P102" s="344">
        <f>IFERROR(P21*VLOOKUP($E21,Reference!$B$47:$I$48,8,FALSE)/1000,0)</f>
        <v>8.5604398333333336</v>
      </c>
      <c r="Q102" s="344">
        <f>IFERROR(Q21*VLOOKUP($E21,Reference!$B$47:$I$48,8,FALSE)/1000,0)</f>
        <v>8.5604398333333336</v>
      </c>
      <c r="R102" s="344">
        <f>IFERROR(R21*VLOOKUP($E21,Reference!$B$47:$I$48,8,FALSE)/1000,0)</f>
        <v>8.5604398333333336</v>
      </c>
      <c r="S102" s="345">
        <f>IFERROR(S21*VLOOKUP($E21,Reference!$B$47:$I$48,8,FALSE)/1000,0)</f>
        <v>8.5604398333333336</v>
      </c>
    </row>
    <row r="103" spans="2:19" ht="17.25" x14ac:dyDescent="0.3">
      <c r="B103" s="502"/>
      <c r="C103" s="505"/>
      <c r="D103" s="498"/>
      <c r="E103" s="497"/>
      <c r="F103" s="109" t="s">
        <v>399</v>
      </c>
      <c r="G103" s="110">
        <f>IF(OR($G$21="", $G$21=0), "", SUM(H103:S103))</f>
        <v>4.3063872000000005</v>
      </c>
      <c r="H103" s="111">
        <f>IFERROR(H21*VLOOKUP($E21,Reference!$B$47:$I$48,6,FALSE)/1000000,0)</f>
        <v>0.35886560000000006</v>
      </c>
      <c r="I103" s="111">
        <f>IFERROR(I21*VLOOKUP($E21,Reference!$B$47:$I$48,6,FALSE)/1000000,0)</f>
        <v>0.35886560000000006</v>
      </c>
      <c r="J103" s="111">
        <f>IFERROR(J21*VLOOKUP($E21,Reference!$B$47:$I$48,6,FALSE)/1000000,0)</f>
        <v>0.35886560000000006</v>
      </c>
      <c r="K103" s="111">
        <f>IFERROR(K21*VLOOKUP($E21,Reference!$B$47:$I$48,6,FALSE)/1000000,0)</f>
        <v>0.35886560000000006</v>
      </c>
      <c r="L103" s="111">
        <f>IFERROR(L21*VLOOKUP($E21,Reference!$B$47:$I$48,6,FALSE)/1000000,0)</f>
        <v>0.35886560000000006</v>
      </c>
      <c r="M103" s="111">
        <f>IFERROR(M21*VLOOKUP($E21,Reference!$B$47:$I$48,6,FALSE)/1000000,0)</f>
        <v>0.35886560000000006</v>
      </c>
      <c r="N103" s="111">
        <f>IFERROR(N21*VLOOKUP($E21,Reference!$B$47:$I$48,6,FALSE)/1000000,0)</f>
        <v>0.35886560000000006</v>
      </c>
      <c r="O103" s="111">
        <f>IFERROR(O21*VLOOKUP($E21,Reference!$B$47:$I$48,6,FALSE)/1000000,0)</f>
        <v>0.35886560000000006</v>
      </c>
      <c r="P103" s="111">
        <f>IFERROR(P21*VLOOKUP($E21,Reference!$B$47:$I$48,6,FALSE)/1000000,0)</f>
        <v>0.35886560000000006</v>
      </c>
      <c r="Q103" s="111">
        <f>IFERROR(Q21*VLOOKUP($E21,Reference!$B$47:$I$48,6,FALSE)/1000000,0)</f>
        <v>0.35886560000000006</v>
      </c>
      <c r="R103" s="111">
        <f>IFERROR(R21*VLOOKUP($E21,Reference!$B$47:$I$48,6,FALSE)/1000000,0)</f>
        <v>0.35886560000000006</v>
      </c>
      <c r="S103" s="346">
        <f>IFERROR(S21*VLOOKUP($E21,Reference!$B$47:$I$48,6,FALSE)/1000000,0)</f>
        <v>0.35886560000000006</v>
      </c>
    </row>
    <row r="104" spans="2:19" ht="17.25" x14ac:dyDescent="0.3">
      <c r="B104" s="502"/>
      <c r="C104" s="505"/>
      <c r="D104" s="498" t="str">
        <f>'3. 기준연도 활동자료 입력'!D17&amp;""</f>
        <v/>
      </c>
      <c r="E104" s="497" t="str">
        <f>'3. 기준연도 활동자료 입력'!E17&amp;""</f>
        <v/>
      </c>
      <c r="F104" s="109" t="s">
        <v>398</v>
      </c>
      <c r="G104" s="110" t="str">
        <f>IF(OR($G$22="", $G$22=0), "", SUM(H104:S104))</f>
        <v/>
      </c>
      <c r="H104" s="116">
        <f>IFERROR(H22*VLOOKUP($E22,Reference!$B$47:$I$48,8,FALSE)/1000,0)</f>
        <v>0</v>
      </c>
      <c r="I104" s="116">
        <f>IFERROR(I22*VLOOKUP($E22,Reference!$B$47:$I$48,8,FALSE)/1000,0)</f>
        <v>0</v>
      </c>
      <c r="J104" s="116">
        <f>IFERROR(J22*VLOOKUP($E22,Reference!$B$47:$I$48,8,FALSE)/1000,0)</f>
        <v>0</v>
      </c>
      <c r="K104" s="116">
        <f>IFERROR(K22*VLOOKUP($E22,Reference!$B$47:$I$48,8,FALSE)/1000,0)</f>
        <v>0</v>
      </c>
      <c r="L104" s="116">
        <f>IFERROR(L22*VLOOKUP($E22,Reference!$B$47:$I$48,8,FALSE)/1000,0)</f>
        <v>0</v>
      </c>
      <c r="M104" s="116">
        <f>IFERROR(M22*VLOOKUP($E22,Reference!$B$47:$I$48,8,FALSE)/1000,0)</f>
        <v>0</v>
      </c>
      <c r="N104" s="116">
        <f>IFERROR(N22*VLOOKUP($E22,Reference!$B$47:$I$48,8,FALSE)/1000,0)</f>
        <v>0</v>
      </c>
      <c r="O104" s="116">
        <f>IFERROR(O22*VLOOKUP($E22,Reference!$B$47:$I$48,8,FALSE)/1000,0)</f>
        <v>0</v>
      </c>
      <c r="P104" s="116">
        <f>IFERROR(P22*VLOOKUP($E22,Reference!$B$47:$I$48,8,FALSE)/1000,0)</f>
        <v>0</v>
      </c>
      <c r="Q104" s="116">
        <f>IFERROR(Q22*VLOOKUP($E22,Reference!$B$47:$I$48,8,FALSE)/1000,0)</f>
        <v>0</v>
      </c>
      <c r="R104" s="116">
        <f>IFERROR(R22*VLOOKUP($E22,Reference!$B$47:$I$48,8,FALSE)/1000,0)</f>
        <v>0</v>
      </c>
      <c r="S104" s="347">
        <f>IFERROR(S22*VLOOKUP($E22,Reference!$B$47:$I$48,8,FALSE)/1000,0)</f>
        <v>0</v>
      </c>
    </row>
    <row r="105" spans="2:19" ht="17.25" x14ac:dyDescent="0.3">
      <c r="B105" s="502"/>
      <c r="C105" s="505"/>
      <c r="D105" s="498"/>
      <c r="E105" s="497"/>
      <c r="F105" s="109" t="s">
        <v>399</v>
      </c>
      <c r="G105" s="110" t="str">
        <f>IF(OR($G$22="", $G$22=0), "", SUM(H105:S105))</f>
        <v/>
      </c>
      <c r="H105" s="111">
        <f>IFERROR(H22*VLOOKUP($E22,Reference!$B$47:$I$48,6,FALSE)/1000000,0)</f>
        <v>0</v>
      </c>
      <c r="I105" s="111">
        <f>IFERROR(I22*VLOOKUP($E22,Reference!$B$47:$I$48,6,FALSE)/1000000,0)</f>
        <v>0</v>
      </c>
      <c r="J105" s="111">
        <f>IFERROR(J22*VLOOKUP($E22,Reference!$B$47:$I$48,6,FALSE)/1000000,0)</f>
        <v>0</v>
      </c>
      <c r="K105" s="111">
        <f>IFERROR(K22*VLOOKUP($E22,Reference!$B$47:$I$48,6,FALSE)/1000000,0)</f>
        <v>0</v>
      </c>
      <c r="L105" s="111">
        <f>IFERROR(L22*VLOOKUP($E22,Reference!$B$47:$I$48,6,FALSE)/1000000,0)</f>
        <v>0</v>
      </c>
      <c r="M105" s="111">
        <f>IFERROR(M22*VLOOKUP($E22,Reference!$B$47:$I$48,6,FALSE)/1000000,0)</f>
        <v>0</v>
      </c>
      <c r="N105" s="111">
        <f>IFERROR(N22*VLOOKUP($E22,Reference!$B$47:$I$48,6,FALSE)/1000000,0)</f>
        <v>0</v>
      </c>
      <c r="O105" s="111">
        <f>IFERROR(O22*VLOOKUP($E22,Reference!$B$47:$I$48,6,FALSE)/1000000,0)</f>
        <v>0</v>
      </c>
      <c r="P105" s="111">
        <f>IFERROR(P22*VLOOKUP($E22,Reference!$B$47:$I$48,6,FALSE)/1000000,0)</f>
        <v>0</v>
      </c>
      <c r="Q105" s="111">
        <f>IFERROR(Q22*VLOOKUP($E22,Reference!$B$47:$I$48,6,FALSE)/1000000,0)</f>
        <v>0</v>
      </c>
      <c r="R105" s="111">
        <f>IFERROR(R22*VLOOKUP($E22,Reference!$B$47:$I$48,6,FALSE)/1000000,0)</f>
        <v>0</v>
      </c>
      <c r="S105" s="346">
        <f>IFERROR(S22*VLOOKUP($E22,Reference!$B$47:$I$48,6,FALSE)/1000000,0)</f>
        <v>0</v>
      </c>
    </row>
    <row r="106" spans="2:19" ht="17.25" x14ac:dyDescent="0.3">
      <c r="B106" s="502"/>
      <c r="C106" s="505" t="s">
        <v>155</v>
      </c>
      <c r="D106" s="498" t="str">
        <f>'3. 기준연도 활동자료 입력'!D18&amp;""</f>
        <v/>
      </c>
      <c r="E106" s="497" t="str">
        <f>'3. 기준연도 활동자료 입력'!E18&amp;""</f>
        <v/>
      </c>
      <c r="F106" s="109" t="s">
        <v>398</v>
      </c>
      <c r="G106" s="110" t="str">
        <f>IF(OR($G$23="", $G$23=0), "", SUM(H106:S106))</f>
        <v/>
      </c>
      <c r="H106" s="116">
        <f>IFERROR(H23*VLOOKUP($E23,Reference!$B$47:$I$48,8,FALSE)/1000,0)</f>
        <v>0</v>
      </c>
      <c r="I106" s="116">
        <f>IFERROR(I23*VLOOKUP($E23,Reference!$B$47:$I$48,8,FALSE)/1000,0)</f>
        <v>0</v>
      </c>
      <c r="J106" s="116">
        <f>IFERROR(J23*VLOOKUP($E23,Reference!$B$47:$I$48,8,FALSE)/1000,0)</f>
        <v>0</v>
      </c>
      <c r="K106" s="116">
        <f>IFERROR(K23*VLOOKUP($E23,Reference!$B$47:$I$48,8,FALSE)/1000,0)</f>
        <v>0</v>
      </c>
      <c r="L106" s="116">
        <f>IFERROR(L23*VLOOKUP($E23,Reference!$B$47:$I$48,8,FALSE)/1000,0)</f>
        <v>0</v>
      </c>
      <c r="M106" s="116">
        <f>IFERROR(M23*VLOOKUP($E23,Reference!$B$47:$I$48,8,FALSE)/1000,0)</f>
        <v>0</v>
      </c>
      <c r="N106" s="116">
        <f>IFERROR(N23*VLOOKUP($E23,Reference!$B$47:$I$48,8,FALSE)/1000,0)</f>
        <v>0</v>
      </c>
      <c r="O106" s="116">
        <f>IFERROR(O23*VLOOKUP($E23,Reference!$B$47:$I$48,8,FALSE)/1000,0)</f>
        <v>0</v>
      </c>
      <c r="P106" s="116">
        <f>IFERROR(P23*VLOOKUP($E23,Reference!$B$47:$I$48,8,FALSE)/1000,0)</f>
        <v>0</v>
      </c>
      <c r="Q106" s="116">
        <f>IFERROR(Q23*VLOOKUP($E23,Reference!$B$47:$I$48,8,FALSE)/1000,0)</f>
        <v>0</v>
      </c>
      <c r="R106" s="116">
        <f>IFERROR(R23*VLOOKUP($E23,Reference!$B$47:$I$48,8,FALSE)/1000,0)</f>
        <v>0</v>
      </c>
      <c r="S106" s="347">
        <f>IFERROR(S23*VLOOKUP($E23,Reference!$B$47:$I$48,8,FALSE)/1000,0)</f>
        <v>0</v>
      </c>
    </row>
    <row r="107" spans="2:19" ht="17.25" x14ac:dyDescent="0.3">
      <c r="B107" s="502"/>
      <c r="C107" s="505"/>
      <c r="D107" s="498"/>
      <c r="E107" s="497"/>
      <c r="F107" s="109" t="s">
        <v>399</v>
      </c>
      <c r="G107" s="110" t="str">
        <f>IF(OR($G$23="", $G$23=0), "", SUM(H107:S107))</f>
        <v/>
      </c>
      <c r="H107" s="111">
        <f>IFERROR(H23/1000000,0)</f>
        <v>0</v>
      </c>
      <c r="I107" s="111">
        <f t="shared" ref="I107:S107" si="4">IFERROR(I23/1000000,0)</f>
        <v>0</v>
      </c>
      <c r="J107" s="111">
        <f t="shared" si="4"/>
        <v>0</v>
      </c>
      <c r="K107" s="111">
        <f t="shared" si="4"/>
        <v>0</v>
      </c>
      <c r="L107" s="111">
        <f t="shared" si="4"/>
        <v>0</v>
      </c>
      <c r="M107" s="111">
        <f t="shared" si="4"/>
        <v>0</v>
      </c>
      <c r="N107" s="111">
        <f t="shared" si="4"/>
        <v>0</v>
      </c>
      <c r="O107" s="111">
        <f t="shared" si="4"/>
        <v>0</v>
      </c>
      <c r="P107" s="111">
        <f t="shared" si="4"/>
        <v>0</v>
      </c>
      <c r="Q107" s="111">
        <f t="shared" si="4"/>
        <v>0</v>
      </c>
      <c r="R107" s="111">
        <f t="shared" si="4"/>
        <v>0</v>
      </c>
      <c r="S107" s="346">
        <f t="shared" si="4"/>
        <v>0</v>
      </c>
    </row>
    <row r="108" spans="2:19" ht="17.25" x14ac:dyDescent="0.3">
      <c r="B108" s="502"/>
      <c r="C108" s="505"/>
      <c r="D108" s="498" t="str">
        <f>'3. 기준연도 활동자료 입력'!D19&amp;""</f>
        <v/>
      </c>
      <c r="E108" s="497" t="str">
        <f>'3. 기준연도 활동자료 입력'!E19&amp;""</f>
        <v/>
      </c>
      <c r="F108" s="109" t="s">
        <v>398</v>
      </c>
      <c r="G108" s="110" t="str">
        <f>IF(OR($G$24="", $G$24=0), "", SUM(H108:S108))</f>
        <v/>
      </c>
      <c r="H108" s="116">
        <f>IFERROR(H24*VLOOKUP($E24,Reference!$B$47:$I$48,8,FALSE)/1000,0)</f>
        <v>0</v>
      </c>
      <c r="I108" s="116">
        <f>IFERROR(I24*VLOOKUP($E24,Reference!$B$47:$I$48,8,FALSE)/1000,0)</f>
        <v>0</v>
      </c>
      <c r="J108" s="116">
        <f>IFERROR(J24*VLOOKUP($E24,Reference!$B$47:$I$48,8,FALSE)/1000,0)</f>
        <v>0</v>
      </c>
      <c r="K108" s="116">
        <f>IFERROR(K24*VLOOKUP($E24,Reference!$B$47:$I$48,8,FALSE)/1000,0)</f>
        <v>0</v>
      </c>
      <c r="L108" s="116">
        <f>IFERROR(L24*VLOOKUP($E24,Reference!$B$47:$I$48,8,FALSE)/1000,0)</f>
        <v>0</v>
      </c>
      <c r="M108" s="116">
        <f>IFERROR(M24*VLOOKUP($E24,Reference!$B$47:$I$48,8,FALSE)/1000,0)</f>
        <v>0</v>
      </c>
      <c r="N108" s="116">
        <f>IFERROR(N24*VLOOKUP($E24,Reference!$B$47:$I$48,8,FALSE)/1000,0)</f>
        <v>0</v>
      </c>
      <c r="O108" s="116">
        <f>IFERROR(O24*VLOOKUP($E24,Reference!$B$47:$I$48,8,FALSE)/1000,0)</f>
        <v>0</v>
      </c>
      <c r="P108" s="116">
        <f>IFERROR(P24*VLOOKUP($E24,Reference!$B$47:$I$48,8,FALSE)/1000,0)</f>
        <v>0</v>
      </c>
      <c r="Q108" s="116">
        <f>IFERROR(Q24*VLOOKUP($E24,Reference!$B$47:$I$48,8,FALSE)/1000,0)</f>
        <v>0</v>
      </c>
      <c r="R108" s="116">
        <f>IFERROR(R24*VLOOKUP($E24,Reference!$B$47:$I$48,8,FALSE)/1000,0)</f>
        <v>0</v>
      </c>
      <c r="S108" s="347">
        <f>IFERROR(S24*VLOOKUP($E24,Reference!$B$47:$I$48,8,FALSE)/1000,0)</f>
        <v>0</v>
      </c>
    </row>
    <row r="109" spans="2:19" ht="18" thickBot="1" x14ac:dyDescent="0.35">
      <c r="B109" s="503"/>
      <c r="C109" s="508"/>
      <c r="D109" s="499"/>
      <c r="E109" s="500"/>
      <c r="F109" s="343" t="s">
        <v>399</v>
      </c>
      <c r="G109" s="364" t="str">
        <f>IF(OR($G$24="", $G$24=0), "", SUM(H109:S109))</f>
        <v/>
      </c>
      <c r="H109" s="348">
        <f>IFERROR(H24/1000000,0)</f>
        <v>0</v>
      </c>
      <c r="I109" s="348">
        <f t="shared" ref="I109:S109" si="5">IFERROR(I24/1000000,0)</f>
        <v>0</v>
      </c>
      <c r="J109" s="348">
        <f t="shared" si="5"/>
        <v>0</v>
      </c>
      <c r="K109" s="348">
        <f t="shared" si="5"/>
        <v>0</v>
      </c>
      <c r="L109" s="348">
        <f t="shared" si="5"/>
        <v>0</v>
      </c>
      <c r="M109" s="348">
        <f t="shared" si="5"/>
        <v>0</v>
      </c>
      <c r="N109" s="348">
        <f t="shared" si="5"/>
        <v>0</v>
      </c>
      <c r="O109" s="348">
        <f t="shared" si="5"/>
        <v>0</v>
      </c>
      <c r="P109" s="348">
        <f t="shared" si="5"/>
        <v>0</v>
      </c>
      <c r="Q109" s="348">
        <f t="shared" si="5"/>
        <v>0</v>
      </c>
      <c r="R109" s="348">
        <f t="shared" si="5"/>
        <v>0</v>
      </c>
      <c r="S109" s="349">
        <f t="shared" si="5"/>
        <v>0</v>
      </c>
    </row>
    <row r="110" spans="2:19" ht="21" customHeight="1" thickBot="1" x14ac:dyDescent="0.35">
      <c r="B110" s="491" t="s">
        <v>57</v>
      </c>
      <c r="C110" s="492"/>
      <c r="D110" s="492"/>
      <c r="E110" s="493"/>
      <c r="F110" s="350" t="s">
        <v>398</v>
      </c>
      <c r="G110" s="351">
        <f>IFERROR(SUM(H110:S110),"")</f>
        <v>102.725278</v>
      </c>
      <c r="H110" s="352">
        <f>SUM(H86,H88,H90,H92,H94,H96,H98,H100,H102,H104,H106,H108)</f>
        <v>8.5604398333333336</v>
      </c>
      <c r="I110" s="352">
        <f t="shared" ref="I110:S110" si="6">SUM(I86,I88,I90,I92,I94,I96,I98,I100,I102,I104,I106,I108)</f>
        <v>8.5604398333333336</v>
      </c>
      <c r="J110" s="352">
        <f t="shared" si="6"/>
        <v>8.5604398333333336</v>
      </c>
      <c r="K110" s="352">
        <f t="shared" si="6"/>
        <v>8.5604398333333336</v>
      </c>
      <c r="L110" s="352">
        <f t="shared" si="6"/>
        <v>8.5604398333333336</v>
      </c>
      <c r="M110" s="352">
        <f t="shared" si="6"/>
        <v>8.5604398333333336</v>
      </c>
      <c r="N110" s="352">
        <f t="shared" si="6"/>
        <v>8.5604398333333336</v>
      </c>
      <c r="O110" s="352">
        <f t="shared" si="6"/>
        <v>8.5604398333333336</v>
      </c>
      <c r="P110" s="352">
        <f t="shared" si="6"/>
        <v>8.5604398333333336</v>
      </c>
      <c r="Q110" s="352">
        <f t="shared" si="6"/>
        <v>8.5604398333333336</v>
      </c>
      <c r="R110" s="352">
        <f t="shared" si="6"/>
        <v>8.5604398333333336</v>
      </c>
      <c r="S110" s="353">
        <f t="shared" si="6"/>
        <v>8.5604398333333336</v>
      </c>
    </row>
    <row r="111" spans="2:19" ht="17.25" thickBot="1" x14ac:dyDescent="0.35">
      <c r="B111" s="494"/>
      <c r="C111" s="495"/>
      <c r="D111" s="495"/>
      <c r="E111" s="496"/>
      <c r="F111" s="341" t="s">
        <v>399</v>
      </c>
      <c r="G111" s="132">
        <f>IFERROR(SUM(H111:S111),"")</f>
        <v>4.3063872000000005</v>
      </c>
      <c r="H111" s="133">
        <f>SUM(H87,H89,H91,H93,H95,H97,H99,H101,H103,H105,H107,H109)</f>
        <v>0.35886560000000006</v>
      </c>
      <c r="I111" s="133">
        <f t="shared" ref="I111:S111" si="7">SUM(I87,I89,I91,I93,I95,I97,I99,I101,I103,I105,I107,I109)</f>
        <v>0.35886560000000006</v>
      </c>
      <c r="J111" s="133">
        <f t="shared" si="7"/>
        <v>0.35886560000000006</v>
      </c>
      <c r="K111" s="133">
        <f t="shared" si="7"/>
        <v>0.35886560000000006</v>
      </c>
      <c r="L111" s="133">
        <f t="shared" si="7"/>
        <v>0.35886560000000006</v>
      </c>
      <c r="M111" s="133">
        <f t="shared" si="7"/>
        <v>0.35886560000000006</v>
      </c>
      <c r="N111" s="133">
        <f t="shared" si="7"/>
        <v>0.35886560000000006</v>
      </c>
      <c r="O111" s="133">
        <f t="shared" si="7"/>
        <v>0.35886560000000006</v>
      </c>
      <c r="P111" s="133">
        <f t="shared" si="7"/>
        <v>0.35886560000000006</v>
      </c>
      <c r="Q111" s="133">
        <f t="shared" si="7"/>
        <v>0.35886560000000006</v>
      </c>
      <c r="R111" s="133">
        <f t="shared" si="7"/>
        <v>0.35886560000000006</v>
      </c>
      <c r="S111" s="131">
        <f t="shared" si="7"/>
        <v>0.35886560000000006</v>
      </c>
    </row>
  </sheetData>
  <sheetProtection algorithmName="SHA-512" hashValue="AkG2Dqf0rduU5BI2O3RTkZgAQ5aFQm51ReU24B4q/ue8FMRmu8cwzfWqQrqdY9T/ptUNOUvJJUI3DxYDv2J6tg==" saltValue="p2VIzmeRxju+1OW1cbYXhg==" spinCount="100000" sheet="1" objects="1" scenarios="1"/>
  <mergeCells count="94">
    <mergeCell ref="B2:S2"/>
    <mergeCell ref="D11:D12"/>
    <mergeCell ref="E11:E12"/>
    <mergeCell ref="F11:F12"/>
    <mergeCell ref="G11:S11"/>
    <mergeCell ref="K7:L8"/>
    <mergeCell ref="M7:N8"/>
    <mergeCell ref="I5:J6"/>
    <mergeCell ref="K5:L6"/>
    <mergeCell ref="M5:N6"/>
    <mergeCell ref="B11:C12"/>
    <mergeCell ref="O5:P6"/>
    <mergeCell ref="Q5:R6"/>
    <mergeCell ref="C17:C20"/>
    <mergeCell ref="I7:J8"/>
    <mergeCell ref="B29:C30"/>
    <mergeCell ref="E29:E30"/>
    <mergeCell ref="B21:B24"/>
    <mergeCell ref="C21:C22"/>
    <mergeCell ref="C23:C24"/>
    <mergeCell ref="G29:S29"/>
    <mergeCell ref="D29:D30"/>
    <mergeCell ref="F29:F30"/>
    <mergeCell ref="B13:B20"/>
    <mergeCell ref="C13:C16"/>
    <mergeCell ref="O7:P8"/>
    <mergeCell ref="Q7:R8"/>
    <mergeCell ref="D31:D34"/>
    <mergeCell ref="E31:E34"/>
    <mergeCell ref="D35:D38"/>
    <mergeCell ref="E35:E38"/>
    <mergeCell ref="B63:B78"/>
    <mergeCell ref="B31:B62"/>
    <mergeCell ref="C63:C70"/>
    <mergeCell ref="C71:C78"/>
    <mergeCell ref="C31:C46"/>
    <mergeCell ref="C47:C62"/>
    <mergeCell ref="D39:D42"/>
    <mergeCell ref="E39:E42"/>
    <mergeCell ref="D43:D46"/>
    <mergeCell ref="E43:E46"/>
    <mergeCell ref="D47:D50"/>
    <mergeCell ref="D51:D54"/>
    <mergeCell ref="D55:D58"/>
    <mergeCell ref="D59:D62"/>
    <mergeCell ref="E47:E50"/>
    <mergeCell ref="E51:E54"/>
    <mergeCell ref="E55:E58"/>
    <mergeCell ref="E59:E62"/>
    <mergeCell ref="B79:E79"/>
    <mergeCell ref="D63:D66"/>
    <mergeCell ref="D67:D70"/>
    <mergeCell ref="D71:D74"/>
    <mergeCell ref="D75:D78"/>
    <mergeCell ref="E63:E66"/>
    <mergeCell ref="E67:E70"/>
    <mergeCell ref="E71:E74"/>
    <mergeCell ref="E75:E78"/>
    <mergeCell ref="B84:C85"/>
    <mergeCell ref="D84:D85"/>
    <mergeCell ref="E84:E85"/>
    <mergeCell ref="F84:F85"/>
    <mergeCell ref="G84:S84"/>
    <mergeCell ref="C94:C101"/>
    <mergeCell ref="D94:D95"/>
    <mergeCell ref="E94:E95"/>
    <mergeCell ref="D96:D97"/>
    <mergeCell ref="E96:E97"/>
    <mergeCell ref="D98:D99"/>
    <mergeCell ref="C86:C93"/>
    <mergeCell ref="D86:D87"/>
    <mergeCell ref="E86:E87"/>
    <mergeCell ref="D88:D89"/>
    <mergeCell ref="E88:E89"/>
    <mergeCell ref="D90:D91"/>
    <mergeCell ref="E90:E91"/>
    <mergeCell ref="D92:D93"/>
    <mergeCell ref="E92:E93"/>
    <mergeCell ref="B110:E111"/>
    <mergeCell ref="E98:E99"/>
    <mergeCell ref="D100:D101"/>
    <mergeCell ref="E100:E101"/>
    <mergeCell ref="B102:B109"/>
    <mergeCell ref="C102:C105"/>
    <mergeCell ref="D102:D103"/>
    <mergeCell ref="E102:E103"/>
    <mergeCell ref="D104:D105"/>
    <mergeCell ref="E104:E105"/>
    <mergeCell ref="C106:C109"/>
    <mergeCell ref="D106:D107"/>
    <mergeCell ref="E106:E107"/>
    <mergeCell ref="D108:D109"/>
    <mergeCell ref="E108:E109"/>
    <mergeCell ref="B86:B101"/>
  </mergeCells>
  <phoneticPr fontId="3" type="noConversion"/>
  <pageMargins left="0.7" right="0.7" top="0.75" bottom="0.75" header="0.3" footer="0.3"/>
  <pageSetup paperSize="9" scale="34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23"/>
  <sheetViews>
    <sheetView zoomScale="90" zoomScaleNormal="90" workbookViewId="0">
      <pane ySplit="8" topLeftCell="A41" activePane="bottomLeft" state="frozen"/>
      <selection pane="bottomLeft" activeCell="J10" sqref="J10:P22"/>
    </sheetView>
  </sheetViews>
  <sheetFormatPr defaultColWidth="9" defaultRowHeight="16.5" x14ac:dyDescent="0.3"/>
  <cols>
    <col min="1" max="1" width="2.5" style="134" customWidth="1"/>
    <col min="2" max="19" width="12.625" style="134" customWidth="1"/>
    <col min="20" max="16384" width="9" style="134"/>
  </cols>
  <sheetData>
    <row r="1" spans="2:19" x14ac:dyDescent="0.3">
      <c r="Q1" s="135"/>
    </row>
    <row r="2" spans="2:19" ht="37.5" customHeight="1" x14ac:dyDescent="0.3">
      <c r="B2" s="605" t="s">
        <v>237</v>
      </c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</row>
    <row r="3" spans="2:19" ht="26.25" thickBot="1" x14ac:dyDescent="0.35">
      <c r="B3" s="136"/>
      <c r="C3" s="136"/>
      <c r="D3" s="136"/>
      <c r="E3" s="136"/>
      <c r="F3" s="136"/>
      <c r="G3" s="137"/>
      <c r="H3" s="137"/>
      <c r="I3" s="137"/>
      <c r="J3" s="137"/>
      <c r="K3" s="137"/>
      <c r="L3" s="137"/>
      <c r="M3" s="137"/>
      <c r="N3" s="137"/>
      <c r="O3" s="137"/>
      <c r="P3" s="136"/>
      <c r="Q3" s="136"/>
      <c r="R3" s="136"/>
      <c r="S3" s="136"/>
    </row>
    <row r="4" spans="2:19" ht="26.25" x14ac:dyDescent="0.3">
      <c r="B4" s="136"/>
      <c r="C4" s="136"/>
      <c r="D4" s="623" t="s">
        <v>260</v>
      </c>
      <c r="E4" s="622"/>
      <c r="F4" s="622"/>
      <c r="G4" s="622"/>
      <c r="H4" s="622" t="s">
        <v>261</v>
      </c>
      <c r="I4" s="622"/>
      <c r="J4" s="622" t="s">
        <v>262</v>
      </c>
      <c r="K4" s="622"/>
      <c r="L4" s="624"/>
      <c r="M4" s="577" t="s">
        <v>395</v>
      </c>
      <c r="N4" s="577"/>
      <c r="O4" s="578"/>
      <c r="P4" s="585" t="s">
        <v>396</v>
      </c>
      <c r="Q4" s="585"/>
      <c r="R4" s="586"/>
    </row>
    <row r="5" spans="2:19" ht="25.5" customHeight="1" thickBot="1" x14ac:dyDescent="0.35">
      <c r="B5" s="136"/>
      <c r="C5" s="136"/>
      <c r="D5" s="590" t="s">
        <v>59</v>
      </c>
      <c r="E5" s="591"/>
      <c r="F5" s="591" t="s">
        <v>61</v>
      </c>
      <c r="G5" s="591"/>
      <c r="H5" s="591" t="s">
        <v>83</v>
      </c>
      <c r="I5" s="591"/>
      <c r="J5" s="591"/>
      <c r="K5" s="591"/>
      <c r="L5" s="625"/>
      <c r="M5" s="579"/>
      <c r="N5" s="579"/>
      <c r="O5" s="580"/>
      <c r="P5" s="587"/>
      <c r="Q5" s="587"/>
      <c r="R5" s="588"/>
    </row>
    <row r="6" spans="2:19" ht="25.5" customHeight="1" x14ac:dyDescent="0.3">
      <c r="B6" s="136"/>
      <c r="C6" s="136"/>
      <c r="D6" s="592">
        <f>G60</f>
        <v>0</v>
      </c>
      <c r="E6" s="581"/>
      <c r="F6" s="581">
        <f>G65</f>
        <v>0</v>
      </c>
      <c r="G6" s="581"/>
      <c r="H6" s="581">
        <f>G70</f>
        <v>214.45023237500001</v>
      </c>
      <c r="I6" s="581"/>
      <c r="J6" s="581">
        <f>G71</f>
        <v>214.45023237500001</v>
      </c>
      <c r="K6" s="581"/>
      <c r="L6" s="582"/>
      <c r="M6" s="581">
        <f>'4. 기준연도 배출량 산정'!O7</f>
        <v>102.725278</v>
      </c>
      <c r="N6" s="581"/>
      <c r="O6" s="582"/>
      <c r="P6" s="581">
        <f>'4. 기준연도 배출량 산정'!Q7</f>
        <v>4.3063872000000005</v>
      </c>
      <c r="Q6" s="581"/>
      <c r="R6" s="582"/>
    </row>
    <row r="7" spans="2:19" ht="25.5" customHeight="1" thickBot="1" x14ac:dyDescent="0.35">
      <c r="B7" s="136"/>
      <c r="C7" s="136"/>
      <c r="D7" s="589">
        <f>SUM(D6:G6)</f>
        <v>0</v>
      </c>
      <c r="E7" s="583"/>
      <c r="F7" s="583"/>
      <c r="G7" s="583"/>
      <c r="H7" s="583"/>
      <c r="I7" s="583"/>
      <c r="J7" s="583"/>
      <c r="K7" s="583"/>
      <c r="L7" s="584"/>
      <c r="M7" s="583"/>
      <c r="N7" s="583"/>
      <c r="O7" s="584"/>
      <c r="P7" s="583"/>
      <c r="Q7" s="583"/>
      <c r="R7" s="584"/>
    </row>
    <row r="8" spans="2:19" ht="25.5" customHeight="1" x14ac:dyDescent="0.3">
      <c r="B8" s="136"/>
      <c r="C8" s="136"/>
      <c r="D8" s="136"/>
      <c r="E8" s="136"/>
      <c r="F8" s="138"/>
      <c r="G8" s="139"/>
      <c r="H8" s="139"/>
      <c r="I8" s="139"/>
      <c r="J8" s="139"/>
      <c r="K8" s="139"/>
      <c r="L8" s="139"/>
      <c r="M8" s="139"/>
      <c r="N8" s="139"/>
      <c r="O8" s="140"/>
      <c r="P8" s="136"/>
      <c r="Q8" s="136"/>
      <c r="R8" s="136"/>
      <c r="S8" s="136"/>
    </row>
    <row r="9" spans="2:19" s="141" customFormat="1" x14ac:dyDescent="0.3"/>
    <row r="10" spans="2:19" s="145" customFormat="1" ht="17.25" x14ac:dyDescent="0.3">
      <c r="B10" s="142" t="s">
        <v>270</v>
      </c>
      <c r="C10" s="142" t="s">
        <v>20</v>
      </c>
      <c r="D10" s="142" t="s">
        <v>51</v>
      </c>
      <c r="E10" s="142" t="s">
        <v>17</v>
      </c>
      <c r="F10" s="142" t="s">
        <v>0</v>
      </c>
      <c r="G10" s="142" t="s">
        <v>72</v>
      </c>
      <c r="H10" s="142" t="s">
        <v>81</v>
      </c>
      <c r="I10" s="141"/>
      <c r="J10" s="143" t="s">
        <v>269</v>
      </c>
      <c r="K10" s="144" t="s">
        <v>271</v>
      </c>
      <c r="L10" s="144" t="s">
        <v>272</v>
      </c>
      <c r="M10" s="144" t="s">
        <v>167</v>
      </c>
      <c r="N10" s="144" t="s">
        <v>273</v>
      </c>
      <c r="O10" s="144" t="s">
        <v>274</v>
      </c>
      <c r="P10" s="144" t="s">
        <v>275</v>
      </c>
      <c r="Q10" s="141"/>
    </row>
    <row r="11" spans="2:19" s="145" customFormat="1" hidden="1" x14ac:dyDescent="0.3">
      <c r="B11" s="146">
        <f>IF(C11="",20,1)</f>
        <v>20</v>
      </c>
      <c r="C11" s="147" t="str">
        <f>IF('3. 기준연도 활동자료 입력'!D8="","",'3. 기준연도 활동자료 입력'!D8)</f>
        <v/>
      </c>
      <c r="D11" s="148" t="str">
        <f>IF(C11="", "", '3. 기준연도 활동자료 입력'!E8)</f>
        <v/>
      </c>
      <c r="E11" s="148" t="str">
        <f>IF(C11="","",'3. 기준연도 활동자료 입력'!F8)</f>
        <v/>
      </c>
      <c r="F11" s="149" t="str">
        <f>IF(C11="","",'3. 기준연도 활동자료 입력'!H8)</f>
        <v/>
      </c>
      <c r="G11" s="149" t="str">
        <f>IF(G56=0,"",G56)</f>
        <v/>
      </c>
      <c r="H11" s="150" t="str">
        <f t="shared" ref="H11:H22" si="0">IF(G11="","",G11/$F$78)</f>
        <v/>
      </c>
      <c r="I11" s="141"/>
      <c r="J11" s="143">
        <v>20</v>
      </c>
      <c r="K11" s="144" t="s">
        <v>276</v>
      </c>
      <c r="L11" s="144" t="s">
        <v>276</v>
      </c>
      <c r="M11" s="144" t="s">
        <v>276</v>
      </c>
      <c r="N11" s="151" t="s">
        <v>276</v>
      </c>
      <c r="O11" s="151" t="s">
        <v>276</v>
      </c>
      <c r="P11" s="152" t="s">
        <v>276</v>
      </c>
      <c r="Q11" s="141"/>
    </row>
    <row r="12" spans="2:19" s="145" customFormat="1" hidden="1" x14ac:dyDescent="0.3">
      <c r="B12" s="146">
        <f>IF(C12="",21,2)</f>
        <v>21</v>
      </c>
      <c r="C12" s="147" t="str">
        <f>IF('3. 기준연도 활동자료 입력'!D9="","",'3. 기준연도 활동자료 입력'!D9)</f>
        <v/>
      </c>
      <c r="D12" s="148" t="str">
        <f>IF(C12="", "", '3. 기준연도 활동자료 입력'!E9)</f>
        <v/>
      </c>
      <c r="E12" s="148" t="str">
        <f>IF(C12="","",'3. 기준연도 활동자료 입력'!F9)</f>
        <v/>
      </c>
      <c r="F12" s="149" t="str">
        <f>IF(C12="","",'3. 기준연도 활동자료 입력'!H9)</f>
        <v/>
      </c>
      <c r="G12" s="149" t="str">
        <f>IF(G57=0,"",G57)</f>
        <v/>
      </c>
      <c r="H12" s="150" t="str">
        <f t="shared" si="0"/>
        <v/>
      </c>
      <c r="I12" s="141"/>
      <c r="J12" s="143">
        <v>21</v>
      </c>
      <c r="K12" s="144" t="s">
        <v>276</v>
      </c>
      <c r="L12" s="144" t="s">
        <v>276</v>
      </c>
      <c r="M12" s="144" t="s">
        <v>276</v>
      </c>
      <c r="N12" s="151" t="s">
        <v>276</v>
      </c>
      <c r="O12" s="151" t="s">
        <v>276</v>
      </c>
      <c r="P12" s="152" t="s">
        <v>276</v>
      </c>
      <c r="Q12" s="141"/>
    </row>
    <row r="13" spans="2:19" s="145" customFormat="1" hidden="1" x14ac:dyDescent="0.3">
      <c r="B13" s="146">
        <f>IF(C13="",22,3)</f>
        <v>22</v>
      </c>
      <c r="C13" s="147" t="str">
        <f>IF('3. 기준연도 활동자료 입력'!D10="","",'3. 기준연도 활동자료 입력'!D10)</f>
        <v/>
      </c>
      <c r="D13" s="148" t="str">
        <f>IF(C13="", "", '3. 기준연도 활동자료 입력'!E10)</f>
        <v/>
      </c>
      <c r="E13" s="148" t="str">
        <f>IF(C13="","",'3. 기준연도 활동자료 입력'!F10)</f>
        <v/>
      </c>
      <c r="F13" s="149" t="str">
        <f>IF(C13="","",'3. 기준연도 활동자료 입력'!H10)</f>
        <v/>
      </c>
      <c r="G13" s="149" t="str">
        <f>IF(G58=0,"",G58)</f>
        <v/>
      </c>
      <c r="H13" s="150" t="str">
        <f t="shared" si="0"/>
        <v/>
      </c>
      <c r="I13" s="141"/>
      <c r="J13" s="143">
        <v>22</v>
      </c>
      <c r="K13" s="144" t="s">
        <v>276</v>
      </c>
      <c r="L13" s="144" t="s">
        <v>276</v>
      </c>
      <c r="M13" s="144" t="s">
        <v>276</v>
      </c>
      <c r="N13" s="151" t="s">
        <v>276</v>
      </c>
      <c r="O13" s="151" t="s">
        <v>276</v>
      </c>
      <c r="P13" s="152" t="s">
        <v>276</v>
      </c>
      <c r="Q13" s="141"/>
    </row>
    <row r="14" spans="2:19" s="145" customFormat="1" hidden="1" x14ac:dyDescent="0.3">
      <c r="B14" s="146">
        <f>IF(C14="",23,4)</f>
        <v>23</v>
      </c>
      <c r="C14" s="147" t="str">
        <f>IF('3. 기준연도 활동자료 입력'!D11="","",'3. 기준연도 활동자료 입력'!D11)</f>
        <v/>
      </c>
      <c r="D14" s="148" t="str">
        <f>IF(C14="", "", '3. 기준연도 활동자료 입력'!E11)</f>
        <v/>
      </c>
      <c r="E14" s="148" t="str">
        <f>IF(C14="","",'3. 기준연도 활동자료 입력'!F11)</f>
        <v/>
      </c>
      <c r="F14" s="149" t="str">
        <f>IF(C14="","",'3. 기준연도 활동자료 입력'!H11)</f>
        <v/>
      </c>
      <c r="G14" s="149" t="str">
        <f>IF(G59=0,"",G59)</f>
        <v/>
      </c>
      <c r="H14" s="150" t="str">
        <f t="shared" si="0"/>
        <v/>
      </c>
      <c r="I14" s="141"/>
      <c r="J14" s="143">
        <v>23</v>
      </c>
      <c r="K14" s="144" t="s">
        <v>276</v>
      </c>
      <c r="L14" s="144" t="s">
        <v>276</v>
      </c>
      <c r="M14" s="144" t="s">
        <v>276</v>
      </c>
      <c r="N14" s="153" t="s">
        <v>276</v>
      </c>
      <c r="O14" s="153" t="s">
        <v>276</v>
      </c>
      <c r="P14" s="152" t="s">
        <v>276</v>
      </c>
      <c r="Q14" s="141"/>
    </row>
    <row r="15" spans="2:19" s="145" customFormat="1" hidden="1" x14ac:dyDescent="0.3">
      <c r="B15" s="146">
        <f>IF(C15="",24,5)</f>
        <v>24</v>
      </c>
      <c r="C15" s="147" t="str">
        <f>IF('3. 기준연도 활동자료 입력'!D12="","",'3. 기준연도 활동자료 입력'!D12)</f>
        <v/>
      </c>
      <c r="D15" s="148" t="str">
        <f>IF(C15="", "", '3. 기준연도 활동자료 입력'!E12)</f>
        <v/>
      </c>
      <c r="E15" s="148" t="str">
        <f>IF(C15="","",'3. 기준연도 활동자료 입력'!F12)</f>
        <v/>
      </c>
      <c r="F15" s="149" t="str">
        <f>IF(C15="","",'3. 기준연도 활동자료 입력'!H12)</f>
        <v/>
      </c>
      <c r="G15" s="149" t="str">
        <f>IF(G61=0,"",G61)</f>
        <v/>
      </c>
      <c r="H15" s="150" t="str">
        <f t="shared" si="0"/>
        <v/>
      </c>
      <c r="I15" s="141"/>
      <c r="J15" s="143">
        <v>24</v>
      </c>
      <c r="K15" s="144" t="s">
        <v>276</v>
      </c>
      <c r="L15" s="144" t="s">
        <v>276</v>
      </c>
      <c r="M15" s="144" t="s">
        <v>276</v>
      </c>
      <c r="N15" s="151" t="s">
        <v>276</v>
      </c>
      <c r="O15" s="151" t="s">
        <v>276</v>
      </c>
      <c r="P15" s="152" t="s">
        <v>276</v>
      </c>
      <c r="Q15" s="141"/>
    </row>
    <row r="16" spans="2:19" s="145" customFormat="1" hidden="1" x14ac:dyDescent="0.3">
      <c r="B16" s="146">
        <f>IF(C16="",25,6)</f>
        <v>25</v>
      </c>
      <c r="C16" s="147" t="str">
        <f>IF('3. 기준연도 활동자료 입력'!D13="","",'3. 기준연도 활동자료 입력'!D13)</f>
        <v/>
      </c>
      <c r="D16" s="148" t="str">
        <f>IF(C16="", "", '3. 기준연도 활동자료 입력'!E13)</f>
        <v/>
      </c>
      <c r="E16" s="148" t="str">
        <f>IF(C16="","",'3. 기준연도 활동자료 입력'!F13)</f>
        <v/>
      </c>
      <c r="F16" s="149" t="str">
        <f>IF(C16="","",'3. 기준연도 활동자료 입력'!H13)</f>
        <v/>
      </c>
      <c r="G16" s="149" t="str">
        <f>IF(G62=0,"",G62)</f>
        <v/>
      </c>
      <c r="H16" s="150" t="str">
        <f t="shared" si="0"/>
        <v/>
      </c>
      <c r="I16" s="141"/>
      <c r="J16" s="143">
        <v>25</v>
      </c>
      <c r="K16" s="144" t="s">
        <v>276</v>
      </c>
      <c r="L16" s="144" t="s">
        <v>276</v>
      </c>
      <c r="M16" s="144" t="s">
        <v>276</v>
      </c>
      <c r="N16" s="151" t="s">
        <v>276</v>
      </c>
      <c r="O16" s="151" t="s">
        <v>276</v>
      </c>
      <c r="P16" s="152" t="s">
        <v>276</v>
      </c>
      <c r="Q16" s="141"/>
    </row>
    <row r="17" spans="2:17" s="145" customFormat="1" hidden="1" x14ac:dyDescent="0.3">
      <c r="B17" s="146">
        <f>IF(C17="",26,7)</f>
        <v>26</v>
      </c>
      <c r="C17" s="147" t="str">
        <f>IF('3. 기준연도 활동자료 입력'!D14="","",'3. 기준연도 활동자료 입력'!D14)</f>
        <v/>
      </c>
      <c r="D17" s="148" t="str">
        <f>IF(C17="", "", '3. 기준연도 활동자료 입력'!E14)</f>
        <v/>
      </c>
      <c r="E17" s="148" t="str">
        <f>IF(C17="","",'3. 기준연도 활동자료 입력'!F14)</f>
        <v/>
      </c>
      <c r="F17" s="149" t="str">
        <f>IF(C17="","",'3. 기준연도 활동자료 입력'!H14)</f>
        <v/>
      </c>
      <c r="G17" s="149" t="str">
        <f>IF(G63=0,"",G63)</f>
        <v/>
      </c>
      <c r="H17" s="150" t="str">
        <f t="shared" si="0"/>
        <v/>
      </c>
      <c r="I17" s="141"/>
      <c r="J17" s="143">
        <v>26</v>
      </c>
      <c r="K17" s="144" t="s">
        <v>276</v>
      </c>
      <c r="L17" s="144" t="s">
        <v>276</v>
      </c>
      <c r="M17" s="144" t="s">
        <v>276</v>
      </c>
      <c r="N17" s="151" t="s">
        <v>276</v>
      </c>
      <c r="O17" s="151" t="s">
        <v>276</v>
      </c>
      <c r="P17" s="152" t="s">
        <v>276</v>
      </c>
      <c r="Q17" s="141"/>
    </row>
    <row r="18" spans="2:17" s="145" customFormat="1" hidden="1" x14ac:dyDescent="0.3">
      <c r="B18" s="146">
        <f>IF(C18="",27,8)</f>
        <v>27</v>
      </c>
      <c r="C18" s="147" t="str">
        <f>IF('3. 기준연도 활동자료 입력'!D15="","",'3. 기준연도 활동자료 입력'!D15)</f>
        <v/>
      </c>
      <c r="D18" s="148" t="str">
        <f>IF(C18="", "", '3. 기준연도 활동자료 입력'!E15)</f>
        <v/>
      </c>
      <c r="E18" s="148" t="str">
        <f>IF(C18="","",'3. 기준연도 활동자료 입력'!F15)</f>
        <v/>
      </c>
      <c r="F18" s="149" t="str">
        <f>IF(C18="","",'3. 기준연도 활동자료 입력'!H15)</f>
        <v/>
      </c>
      <c r="G18" s="149" t="str">
        <f>IF(G64=0,"",G64)</f>
        <v/>
      </c>
      <c r="H18" s="150" t="str">
        <f t="shared" si="0"/>
        <v/>
      </c>
      <c r="I18" s="141"/>
      <c r="J18" s="143">
        <v>27</v>
      </c>
      <c r="K18" s="144" t="s">
        <v>276</v>
      </c>
      <c r="L18" s="144" t="s">
        <v>276</v>
      </c>
      <c r="M18" s="144" t="s">
        <v>276</v>
      </c>
      <c r="N18" s="151" t="s">
        <v>276</v>
      </c>
      <c r="O18" s="151" t="s">
        <v>276</v>
      </c>
      <c r="P18" s="152" t="s">
        <v>276</v>
      </c>
      <c r="Q18" s="141"/>
    </row>
    <row r="19" spans="2:17" s="145" customFormat="1" x14ac:dyDescent="0.3">
      <c r="B19" s="146">
        <f>IF(C19="",28,9)</f>
        <v>9</v>
      </c>
      <c r="C19" s="147" t="str">
        <f>IF('3. 기준연도 활동자료 입력'!D16="","",'3. 기준연도 활동자료 입력'!D16)</f>
        <v>사업장 단위 전기사용시설</v>
      </c>
      <c r="D19" s="148" t="str">
        <f>IF(C19="", "", '3. 기준연도 활동자료 입력'!E16)</f>
        <v>전기(소비기준)</v>
      </c>
      <c r="E19" s="148" t="str">
        <f>IF(C19="","",'3. 기준연도 활동자료 입력'!F16)</f>
        <v>kWh</v>
      </c>
      <c r="F19" s="149">
        <f>IF(C19="","",'3. 기준연도 활동자료 입력'!H16)</f>
        <v>448581.99999999994</v>
      </c>
      <c r="G19" s="149">
        <f>IF(G66=0,"",G66)</f>
        <v>214.45023237500001</v>
      </c>
      <c r="H19" s="150">
        <f t="shared" si="0"/>
        <v>1</v>
      </c>
      <c r="I19" s="141"/>
      <c r="J19" s="143">
        <v>9</v>
      </c>
      <c r="K19" s="144" t="s">
        <v>419</v>
      </c>
      <c r="L19" s="144" t="s">
        <v>421</v>
      </c>
      <c r="M19" s="144" t="s">
        <v>424</v>
      </c>
      <c r="N19" s="151">
        <v>400943</v>
      </c>
      <c r="O19" s="151">
        <v>191.67581293750001</v>
      </c>
      <c r="P19" s="152">
        <v>1</v>
      </c>
      <c r="Q19" s="141"/>
    </row>
    <row r="20" spans="2:17" s="145" customFormat="1" hidden="1" x14ac:dyDescent="0.3">
      <c r="B20" s="146">
        <f>IF(C20="",29,10)</f>
        <v>29</v>
      </c>
      <c r="C20" s="147" t="str">
        <f>IF('3. 기준연도 활동자료 입력'!D17="","",'3. 기준연도 활동자료 입력'!D17)</f>
        <v/>
      </c>
      <c r="D20" s="148" t="str">
        <f>IF(C20="", "", '3. 기준연도 활동자료 입력'!E17)</f>
        <v/>
      </c>
      <c r="E20" s="148" t="str">
        <f>IF(C20="","",'3. 기준연도 활동자료 입력'!F17)</f>
        <v/>
      </c>
      <c r="F20" s="149" t="str">
        <f>IF(C20="","",'3. 기준연도 활동자료 입력'!H17)</f>
        <v/>
      </c>
      <c r="G20" s="149" t="str">
        <f>IF(G67=0,"",G67)</f>
        <v/>
      </c>
      <c r="H20" s="150" t="str">
        <f t="shared" si="0"/>
        <v/>
      </c>
      <c r="I20" s="141"/>
      <c r="J20" s="143">
        <v>29</v>
      </c>
      <c r="K20" s="144" t="s">
        <v>276</v>
      </c>
      <c r="L20" s="144" t="s">
        <v>276</v>
      </c>
      <c r="M20" s="144" t="s">
        <v>276</v>
      </c>
      <c r="N20" s="151" t="s">
        <v>276</v>
      </c>
      <c r="O20" s="151" t="s">
        <v>276</v>
      </c>
      <c r="P20" s="152" t="s">
        <v>276</v>
      </c>
      <c r="Q20" s="141"/>
    </row>
    <row r="21" spans="2:17" s="145" customFormat="1" hidden="1" x14ac:dyDescent="0.3">
      <c r="B21" s="146">
        <f>IF(C21="",30,11)</f>
        <v>30</v>
      </c>
      <c r="C21" s="147" t="str">
        <f>IF('3. 기준연도 활동자료 입력'!D18="","",'3. 기준연도 활동자료 입력'!D18)</f>
        <v/>
      </c>
      <c r="D21" s="148" t="str">
        <f>IF(C21="", "", '3. 기준연도 활동자료 입력'!E18)</f>
        <v/>
      </c>
      <c r="E21" s="148" t="str">
        <f>IF(C21="","",'3. 기준연도 활동자료 입력'!F18)</f>
        <v/>
      </c>
      <c r="F21" s="149" t="str">
        <f>IF(C21="","",'3. 기준연도 활동자료 입력'!H18)</f>
        <v/>
      </c>
      <c r="G21" s="149" t="str">
        <f>IF(G68=0,"",G68)</f>
        <v/>
      </c>
      <c r="H21" s="150" t="str">
        <f t="shared" si="0"/>
        <v/>
      </c>
      <c r="I21" s="141"/>
      <c r="J21" s="143">
        <v>30</v>
      </c>
      <c r="K21" s="144" t="s">
        <v>276</v>
      </c>
      <c r="L21" s="144" t="s">
        <v>276</v>
      </c>
      <c r="M21" s="144" t="s">
        <v>276</v>
      </c>
      <c r="N21" s="151" t="s">
        <v>276</v>
      </c>
      <c r="O21" s="151" t="s">
        <v>276</v>
      </c>
      <c r="P21" s="152" t="s">
        <v>276</v>
      </c>
      <c r="Q21" s="141"/>
    </row>
    <row r="22" spans="2:17" s="145" customFormat="1" hidden="1" x14ac:dyDescent="0.3">
      <c r="B22" s="146">
        <f>IF(C22="",31,12)</f>
        <v>31</v>
      </c>
      <c r="C22" s="147" t="str">
        <f>IF('3. 기준연도 활동자료 입력'!D19="","",'3. 기준연도 활동자료 입력'!D19)</f>
        <v/>
      </c>
      <c r="D22" s="148" t="str">
        <f>IF(C22="", "", '3. 기준연도 활동자료 입력'!E19)</f>
        <v/>
      </c>
      <c r="E22" s="148" t="str">
        <f>IF(C22="","",'3. 기준연도 활동자료 입력'!F19)</f>
        <v/>
      </c>
      <c r="F22" s="149" t="str">
        <f>IF(C22="","",'3. 기준연도 활동자료 입력'!H19)</f>
        <v/>
      </c>
      <c r="G22" s="149" t="str">
        <f>IF(G69=0,"",G69)</f>
        <v/>
      </c>
      <c r="H22" s="150" t="str">
        <f t="shared" si="0"/>
        <v/>
      </c>
      <c r="I22" s="141"/>
      <c r="J22" s="143">
        <v>31</v>
      </c>
      <c r="K22" s="144" t="s">
        <v>276</v>
      </c>
      <c r="L22" s="144" t="s">
        <v>276</v>
      </c>
      <c r="M22" s="144" t="s">
        <v>276</v>
      </c>
      <c r="N22" s="153" t="s">
        <v>276</v>
      </c>
      <c r="O22" s="153" t="s">
        <v>276</v>
      </c>
      <c r="P22" s="152" t="s">
        <v>276</v>
      </c>
      <c r="Q22" s="141"/>
    </row>
    <row r="23" spans="2:17" s="145" customFormat="1" x14ac:dyDescent="0.3">
      <c r="B23" s="154"/>
      <c r="C23" s="141"/>
      <c r="D23" s="141"/>
      <c r="E23" s="141"/>
      <c r="F23" s="141"/>
      <c r="G23" s="141"/>
      <c r="H23" s="141"/>
      <c r="I23" s="141"/>
      <c r="J23" s="143"/>
      <c r="K23" s="144"/>
      <c r="L23" s="144"/>
      <c r="M23" s="144"/>
      <c r="N23" s="151"/>
      <c r="O23" s="151"/>
      <c r="P23" s="152"/>
      <c r="Q23" s="141"/>
    </row>
    <row r="24" spans="2:17" x14ac:dyDescent="0.3">
      <c r="B24" s="154"/>
      <c r="C24" s="141"/>
      <c r="D24" s="141"/>
      <c r="E24" s="141"/>
      <c r="F24" s="141"/>
      <c r="G24" s="141"/>
      <c r="H24" s="141"/>
      <c r="I24" s="141"/>
      <c r="J24" s="155"/>
      <c r="K24" s="144"/>
      <c r="L24" s="144"/>
      <c r="M24" s="144"/>
      <c r="N24" s="151"/>
      <c r="O24" s="151"/>
      <c r="P24" s="152"/>
    </row>
    <row r="25" spans="2:17" x14ac:dyDescent="0.3">
      <c r="B25" s="154"/>
      <c r="C25" s="141"/>
      <c r="D25" s="141"/>
      <c r="E25" s="141"/>
      <c r="F25" s="141"/>
      <c r="G25" s="141"/>
      <c r="H25" s="141"/>
      <c r="I25" s="141"/>
      <c r="J25" s="155"/>
      <c r="K25" s="144"/>
      <c r="L25" s="144"/>
      <c r="M25" s="144"/>
      <c r="N25" s="151"/>
      <c r="O25" s="151"/>
      <c r="P25" s="152"/>
    </row>
    <row r="26" spans="2:17" x14ac:dyDescent="0.3">
      <c r="B26" s="154"/>
      <c r="C26" s="141"/>
      <c r="D26" s="141"/>
      <c r="E26" s="141"/>
      <c r="F26" s="141"/>
      <c r="G26" s="141"/>
      <c r="H26" s="141"/>
      <c r="I26" s="141"/>
      <c r="J26" s="155"/>
      <c r="K26" s="144"/>
      <c r="L26" s="144"/>
      <c r="M26" s="144"/>
      <c r="N26" s="151"/>
      <c r="O26" s="151"/>
      <c r="P26" s="152"/>
    </row>
    <row r="27" spans="2:17" x14ac:dyDescent="0.3">
      <c r="B27" s="154"/>
      <c r="C27" s="141"/>
      <c r="D27" s="141"/>
      <c r="E27" s="141"/>
      <c r="F27" s="141"/>
      <c r="G27" s="141"/>
      <c r="H27" s="141"/>
      <c r="I27" s="141"/>
      <c r="J27" s="155"/>
      <c r="K27" s="144"/>
      <c r="L27" s="144"/>
      <c r="M27" s="144"/>
      <c r="N27" s="151"/>
      <c r="O27" s="151"/>
      <c r="P27" s="152"/>
    </row>
    <row r="28" spans="2:17" x14ac:dyDescent="0.3">
      <c r="B28" s="154"/>
      <c r="C28" s="141"/>
      <c r="D28" s="141"/>
      <c r="E28" s="141"/>
      <c r="F28" s="141"/>
      <c r="G28" s="141"/>
      <c r="H28" s="141"/>
      <c r="I28" s="141"/>
      <c r="J28" s="155"/>
      <c r="K28" s="144"/>
      <c r="L28" s="144"/>
      <c r="M28" s="144"/>
      <c r="N28" s="153"/>
      <c r="O28" s="153"/>
      <c r="P28" s="152"/>
    </row>
    <row r="29" spans="2:17" x14ac:dyDescent="0.3">
      <c r="B29" s="154"/>
      <c r="C29" s="141"/>
      <c r="D29" s="141"/>
      <c r="E29" s="141"/>
      <c r="F29" s="141"/>
      <c r="G29" s="141"/>
      <c r="H29" s="141"/>
      <c r="I29" s="141"/>
      <c r="J29" s="155"/>
      <c r="K29" s="144"/>
      <c r="L29" s="144"/>
      <c r="M29" s="144"/>
      <c r="N29" s="153"/>
      <c r="O29" s="153"/>
      <c r="P29" s="152"/>
    </row>
    <row r="30" spans="2:17" x14ac:dyDescent="0.3">
      <c r="B30" s="154"/>
      <c r="C30" s="141"/>
      <c r="D30" s="141"/>
      <c r="E30" s="141"/>
      <c r="F30" s="141"/>
      <c r="G30" s="141"/>
      <c r="H30" s="141"/>
      <c r="I30" s="141"/>
      <c r="J30" s="155"/>
      <c r="K30" s="144"/>
      <c r="L30" s="144"/>
      <c r="M30" s="144"/>
      <c r="N30" s="153"/>
      <c r="O30" s="153"/>
      <c r="P30" s="152"/>
    </row>
    <row r="31" spans="2:17" x14ac:dyDescent="0.3">
      <c r="B31" s="141"/>
      <c r="C31" s="141"/>
      <c r="D31" s="141"/>
      <c r="E31" s="141"/>
      <c r="F31" s="141"/>
      <c r="G31" s="141"/>
      <c r="H31" s="141"/>
      <c r="I31" s="141"/>
      <c r="J31" s="155"/>
      <c r="K31" s="144"/>
      <c r="L31" s="144"/>
      <c r="M31" s="144"/>
      <c r="N31" s="153"/>
      <c r="O31" s="153"/>
      <c r="P31" s="152"/>
    </row>
    <row r="32" spans="2:17" x14ac:dyDescent="0.3">
      <c r="B32" s="141"/>
      <c r="C32" s="141"/>
      <c r="D32" s="141"/>
      <c r="E32" s="141"/>
      <c r="F32" s="141"/>
      <c r="G32" s="141"/>
      <c r="H32" s="141"/>
      <c r="I32" s="141"/>
      <c r="J32" s="155"/>
      <c r="K32" s="144"/>
      <c r="L32" s="144"/>
      <c r="M32" s="144"/>
      <c r="N32" s="153"/>
      <c r="O32" s="153"/>
      <c r="P32" s="152"/>
    </row>
    <row r="33" spans="2:16" x14ac:dyDescent="0.3">
      <c r="B33" s="141"/>
      <c r="C33" s="141"/>
      <c r="D33" s="141"/>
      <c r="E33" s="141"/>
      <c r="F33" s="141"/>
      <c r="G33" s="141"/>
      <c r="H33" s="141"/>
      <c r="I33" s="141"/>
      <c r="J33" s="155"/>
      <c r="K33" s="144"/>
      <c r="L33" s="144"/>
      <c r="M33" s="144"/>
      <c r="N33" s="153"/>
      <c r="O33" s="153"/>
      <c r="P33" s="152"/>
    </row>
    <row r="34" spans="2:16" x14ac:dyDescent="0.3">
      <c r="B34" s="141"/>
      <c r="C34" s="141"/>
      <c r="D34" s="141"/>
      <c r="E34" s="141"/>
      <c r="F34" s="141"/>
      <c r="G34" s="141"/>
      <c r="H34" s="141"/>
      <c r="I34" s="141"/>
      <c r="J34" s="155"/>
      <c r="K34" s="144"/>
      <c r="L34" s="144"/>
      <c r="M34" s="144"/>
      <c r="N34" s="153"/>
      <c r="O34" s="153"/>
      <c r="P34" s="152"/>
    </row>
    <row r="35" spans="2:16" x14ac:dyDescent="0.3">
      <c r="B35" s="141"/>
      <c r="C35" s="141"/>
      <c r="D35" s="141"/>
      <c r="E35" s="141"/>
      <c r="F35" s="141"/>
      <c r="G35" s="141"/>
      <c r="H35" s="141"/>
      <c r="I35" s="141"/>
      <c r="J35" s="155"/>
      <c r="K35" s="144"/>
      <c r="L35" s="144"/>
      <c r="M35" s="144"/>
      <c r="N35" s="153"/>
      <c r="O35" s="153"/>
      <c r="P35" s="152"/>
    </row>
    <row r="36" spans="2:16" x14ac:dyDescent="0.3">
      <c r="B36" s="141"/>
      <c r="C36" s="141"/>
      <c r="D36" s="141"/>
      <c r="E36" s="141"/>
      <c r="F36" s="141"/>
      <c r="G36" s="141"/>
      <c r="H36" s="141"/>
      <c r="I36" s="141"/>
      <c r="J36" s="155"/>
      <c r="K36" s="144"/>
      <c r="L36" s="144"/>
      <c r="M36" s="144"/>
      <c r="N36" s="153"/>
      <c r="O36" s="153"/>
      <c r="P36" s="152"/>
    </row>
    <row r="37" spans="2:16" x14ac:dyDescent="0.3">
      <c r="B37" s="141"/>
      <c r="C37" s="141"/>
      <c r="D37" s="141"/>
      <c r="E37" s="141"/>
      <c r="F37" s="141"/>
      <c r="G37" s="141"/>
      <c r="H37" s="141"/>
      <c r="I37" s="141"/>
      <c r="J37" s="155"/>
      <c r="K37" s="144"/>
      <c r="L37" s="144"/>
      <c r="M37" s="144"/>
      <c r="N37" s="153"/>
      <c r="O37" s="153"/>
      <c r="P37" s="152"/>
    </row>
    <row r="38" spans="2:16" x14ac:dyDescent="0.3">
      <c r="B38" s="141"/>
      <c r="C38" s="141"/>
      <c r="D38" s="141"/>
      <c r="E38" s="141"/>
      <c r="F38" s="141"/>
      <c r="G38" s="141"/>
      <c r="H38" s="141"/>
      <c r="I38" s="141"/>
      <c r="J38" s="155"/>
      <c r="K38" s="144"/>
      <c r="L38" s="144"/>
      <c r="M38" s="144"/>
      <c r="N38" s="153"/>
      <c r="O38" s="153"/>
      <c r="P38" s="152"/>
    </row>
    <row r="39" spans="2:16" x14ac:dyDescent="0.3">
      <c r="B39" s="141"/>
      <c r="C39" s="141"/>
      <c r="D39" s="141"/>
      <c r="E39" s="141"/>
      <c r="F39" s="141"/>
      <c r="G39" s="141"/>
      <c r="H39" s="141"/>
      <c r="I39" s="141"/>
      <c r="J39" s="155"/>
      <c r="K39" s="144"/>
      <c r="L39" s="144"/>
      <c r="M39" s="144"/>
      <c r="N39" s="153"/>
      <c r="O39" s="153"/>
      <c r="P39" s="152"/>
    </row>
    <row r="40" spans="2:16" x14ac:dyDescent="0.3">
      <c r="K40" s="141"/>
      <c r="L40" s="141"/>
      <c r="M40" s="141"/>
      <c r="N40" s="156"/>
      <c r="O40" s="156"/>
      <c r="P40" s="157"/>
    </row>
    <row r="41" spans="2:16" x14ac:dyDescent="0.3">
      <c r="K41" s="141"/>
      <c r="L41" s="141"/>
      <c r="M41" s="141"/>
      <c r="N41" s="156"/>
      <c r="O41" s="156"/>
      <c r="P41" s="157"/>
    </row>
    <row r="42" spans="2:16" x14ac:dyDescent="0.3">
      <c r="K42" s="141"/>
      <c r="L42" s="141"/>
      <c r="M42" s="141"/>
      <c r="N42" s="156"/>
      <c r="O42" s="156"/>
      <c r="P42" s="157"/>
    </row>
    <row r="43" spans="2:16" x14ac:dyDescent="0.3">
      <c r="K43" s="141"/>
      <c r="L43" s="141"/>
      <c r="M43" s="141"/>
      <c r="N43" s="156"/>
      <c r="O43" s="156"/>
      <c r="P43" s="157"/>
    </row>
    <row r="44" spans="2:16" x14ac:dyDescent="0.3">
      <c r="K44" s="141"/>
      <c r="L44" s="141"/>
      <c r="M44" s="141"/>
      <c r="N44" s="141"/>
      <c r="O44" s="141"/>
      <c r="P44" s="141"/>
    </row>
    <row r="45" spans="2:16" x14ac:dyDescent="0.3">
      <c r="K45" s="141"/>
      <c r="L45" s="141"/>
      <c r="M45" s="141"/>
      <c r="N45" s="141"/>
      <c r="O45" s="141"/>
      <c r="P45" s="141"/>
    </row>
    <row r="46" spans="2:16" x14ac:dyDescent="0.3">
      <c r="K46" s="141"/>
      <c r="L46" s="141"/>
      <c r="M46" s="141"/>
      <c r="N46" s="141"/>
      <c r="O46" s="141"/>
      <c r="P46" s="141"/>
    </row>
    <row r="47" spans="2:16" x14ac:dyDescent="0.3">
      <c r="K47" s="141"/>
      <c r="L47" s="141"/>
      <c r="M47" s="141"/>
      <c r="N47" s="141"/>
      <c r="O47" s="141"/>
      <c r="P47" s="141"/>
    </row>
    <row r="48" spans="2:16" x14ac:dyDescent="0.3">
      <c r="K48" s="141"/>
      <c r="L48" s="141"/>
      <c r="M48" s="141"/>
      <c r="N48" s="141"/>
      <c r="O48" s="141"/>
      <c r="P48" s="141"/>
    </row>
    <row r="49" spans="1:20" x14ac:dyDescent="0.3">
      <c r="K49" s="141"/>
      <c r="L49" s="141"/>
      <c r="M49" s="141"/>
      <c r="N49" s="141"/>
      <c r="O49" s="141"/>
      <c r="P49" s="141"/>
    </row>
    <row r="53" spans="1:20" ht="17.25" thickBot="1" x14ac:dyDescent="0.35"/>
    <row r="54" spans="1:20" ht="21" thickBot="1" x14ac:dyDescent="0.35">
      <c r="A54" s="158"/>
      <c r="B54" s="626" t="s">
        <v>66</v>
      </c>
      <c r="C54" s="627"/>
      <c r="D54" s="627"/>
      <c r="E54" s="627"/>
      <c r="F54" s="627"/>
      <c r="G54" s="627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8"/>
      <c r="T54" s="159"/>
    </row>
    <row r="55" spans="1:20" ht="17.25" thickBot="1" x14ac:dyDescent="0.35">
      <c r="A55" s="158"/>
      <c r="B55" s="638" t="s">
        <v>58</v>
      </c>
      <c r="C55" s="639"/>
      <c r="D55" s="632" t="s">
        <v>51</v>
      </c>
      <c r="E55" s="632"/>
      <c r="F55" s="633"/>
      <c r="G55" s="160" t="s">
        <v>65</v>
      </c>
      <c r="H55" s="161" t="s">
        <v>1</v>
      </c>
      <c r="I55" s="161" t="s">
        <v>3</v>
      </c>
      <c r="J55" s="161" t="s">
        <v>4</v>
      </c>
      <c r="K55" s="161" t="s">
        <v>5</v>
      </c>
      <c r="L55" s="161" t="s">
        <v>6</v>
      </c>
      <c r="M55" s="161" t="s">
        <v>7</v>
      </c>
      <c r="N55" s="161" t="s">
        <v>8</v>
      </c>
      <c r="O55" s="161" t="s">
        <v>9</v>
      </c>
      <c r="P55" s="161" t="s">
        <v>10</v>
      </c>
      <c r="Q55" s="161" t="s">
        <v>11</v>
      </c>
      <c r="R55" s="161" t="s">
        <v>12</v>
      </c>
      <c r="S55" s="162" t="s">
        <v>13</v>
      </c>
      <c r="T55" s="159"/>
    </row>
    <row r="56" spans="1:20" x14ac:dyDescent="0.3">
      <c r="A56" s="158"/>
      <c r="B56" s="609" t="s">
        <v>84</v>
      </c>
      <c r="C56" s="611" t="s">
        <v>59</v>
      </c>
      <c r="D56" s="613" t="str">
        <f>IF('3. 기준연도 활동자료 입력'!D8 = "", "", '3. 기준연도 활동자료 입력'!D8)</f>
        <v/>
      </c>
      <c r="E56" s="613"/>
      <c r="F56" s="614"/>
      <c r="G56" s="163">
        <f>SUM(H56:S56)</f>
        <v>0</v>
      </c>
      <c r="H56" s="164" t="str">
        <f>'4. 기준연도 배출량 산정'!H34</f>
        <v/>
      </c>
      <c r="I56" s="164" t="str">
        <f>'4. 기준연도 배출량 산정'!I34</f>
        <v/>
      </c>
      <c r="J56" s="164" t="str">
        <f>'4. 기준연도 배출량 산정'!J34</f>
        <v/>
      </c>
      <c r="K56" s="164" t="str">
        <f>'4. 기준연도 배출량 산정'!K34</f>
        <v/>
      </c>
      <c r="L56" s="164" t="str">
        <f>'4. 기준연도 배출량 산정'!L34</f>
        <v/>
      </c>
      <c r="M56" s="164" t="str">
        <f>'4. 기준연도 배출량 산정'!M34</f>
        <v/>
      </c>
      <c r="N56" s="164" t="str">
        <f>'4. 기준연도 배출량 산정'!N34</f>
        <v/>
      </c>
      <c r="O56" s="164" t="str">
        <f>'4. 기준연도 배출량 산정'!O34</f>
        <v/>
      </c>
      <c r="P56" s="164" t="str">
        <f>'4. 기준연도 배출량 산정'!P34</f>
        <v/>
      </c>
      <c r="Q56" s="164" t="str">
        <f>'4. 기준연도 배출량 산정'!Q34</f>
        <v/>
      </c>
      <c r="R56" s="164" t="str">
        <f>'4. 기준연도 배출량 산정'!R34</f>
        <v/>
      </c>
      <c r="S56" s="165" t="str">
        <f>'4. 기준연도 배출량 산정'!S34</f>
        <v/>
      </c>
      <c r="T56" s="159"/>
    </row>
    <row r="57" spans="1:20" x14ac:dyDescent="0.3">
      <c r="A57" s="158"/>
      <c r="B57" s="610"/>
      <c r="C57" s="612"/>
      <c r="D57" s="596" t="str">
        <f>IF('3. 기준연도 활동자료 입력'!D9 = "", "", '3. 기준연도 활동자료 입력'!D9)</f>
        <v/>
      </c>
      <c r="E57" s="596"/>
      <c r="F57" s="597"/>
      <c r="G57" s="166">
        <f>SUM(H57:S57)</f>
        <v>0</v>
      </c>
      <c r="H57" s="167" t="str">
        <f>'4. 기준연도 배출량 산정'!H38</f>
        <v/>
      </c>
      <c r="I57" s="167" t="str">
        <f>'4. 기준연도 배출량 산정'!I38</f>
        <v/>
      </c>
      <c r="J57" s="167" t="str">
        <f>'4. 기준연도 배출량 산정'!J38</f>
        <v/>
      </c>
      <c r="K57" s="167" t="str">
        <f>'4. 기준연도 배출량 산정'!K38</f>
        <v/>
      </c>
      <c r="L57" s="167" t="str">
        <f>'4. 기준연도 배출량 산정'!L38</f>
        <v/>
      </c>
      <c r="M57" s="167" t="str">
        <f>'4. 기준연도 배출량 산정'!M38</f>
        <v/>
      </c>
      <c r="N57" s="167" t="str">
        <f>'4. 기준연도 배출량 산정'!N38</f>
        <v/>
      </c>
      <c r="O57" s="167" t="str">
        <f>'4. 기준연도 배출량 산정'!O38</f>
        <v/>
      </c>
      <c r="P57" s="167" t="str">
        <f>'4. 기준연도 배출량 산정'!P38</f>
        <v/>
      </c>
      <c r="Q57" s="167" t="str">
        <f>'4. 기준연도 배출량 산정'!Q38</f>
        <v/>
      </c>
      <c r="R57" s="167" t="str">
        <f>'4. 기준연도 배출량 산정'!R38</f>
        <v/>
      </c>
      <c r="S57" s="168" t="str">
        <f>'4. 기준연도 배출량 산정'!S38</f>
        <v/>
      </c>
      <c r="T57" s="159"/>
    </row>
    <row r="58" spans="1:20" x14ac:dyDescent="0.3">
      <c r="A58" s="158"/>
      <c r="B58" s="610"/>
      <c r="C58" s="612"/>
      <c r="D58" s="634" t="str">
        <f>IF('3. 기준연도 활동자료 입력'!D10 = "", "", '3. 기준연도 활동자료 입력'!D10)</f>
        <v/>
      </c>
      <c r="E58" s="634"/>
      <c r="F58" s="635"/>
      <c r="G58" s="166">
        <f>SUM(H58:S58)</f>
        <v>0</v>
      </c>
      <c r="H58" s="170" t="str">
        <f>'4. 기준연도 배출량 산정'!H42</f>
        <v/>
      </c>
      <c r="I58" s="170" t="str">
        <f>'4. 기준연도 배출량 산정'!I42</f>
        <v/>
      </c>
      <c r="J58" s="170" t="str">
        <f>'4. 기준연도 배출량 산정'!J42</f>
        <v/>
      </c>
      <c r="K58" s="170" t="str">
        <f>'4. 기준연도 배출량 산정'!K42</f>
        <v/>
      </c>
      <c r="L58" s="170" t="str">
        <f>'4. 기준연도 배출량 산정'!L42</f>
        <v/>
      </c>
      <c r="M58" s="170" t="str">
        <f>'4. 기준연도 배출량 산정'!M42</f>
        <v/>
      </c>
      <c r="N58" s="170" t="str">
        <f>'4. 기준연도 배출량 산정'!N42</f>
        <v/>
      </c>
      <c r="O58" s="170" t="str">
        <f>'4. 기준연도 배출량 산정'!O42</f>
        <v/>
      </c>
      <c r="P58" s="170" t="str">
        <f>'4. 기준연도 배출량 산정'!P42</f>
        <v/>
      </c>
      <c r="Q58" s="170" t="str">
        <f>'4. 기준연도 배출량 산정'!Q42</f>
        <v/>
      </c>
      <c r="R58" s="170" t="str">
        <f>'4. 기준연도 배출량 산정'!R42</f>
        <v/>
      </c>
      <c r="S58" s="171" t="str">
        <f>'4. 기준연도 배출량 산정'!S42</f>
        <v/>
      </c>
      <c r="T58" s="159"/>
    </row>
    <row r="59" spans="1:20" x14ac:dyDescent="0.3">
      <c r="A59" s="158"/>
      <c r="B59" s="610"/>
      <c r="C59" s="612"/>
      <c r="D59" s="596" t="str">
        <f>IF('3. 기준연도 활동자료 입력'!D11 = "", "", '3. 기준연도 활동자료 입력'!D11)</f>
        <v/>
      </c>
      <c r="E59" s="596"/>
      <c r="F59" s="597"/>
      <c r="G59" s="166">
        <f>SUM(H59:S59)</f>
        <v>0</v>
      </c>
      <c r="H59" s="167" t="str">
        <f>'4. 기준연도 배출량 산정'!H46</f>
        <v/>
      </c>
      <c r="I59" s="167" t="str">
        <f>'4. 기준연도 배출량 산정'!I46</f>
        <v/>
      </c>
      <c r="J59" s="167" t="str">
        <f>'4. 기준연도 배출량 산정'!J46</f>
        <v/>
      </c>
      <c r="K59" s="167" t="str">
        <f>'4. 기준연도 배출량 산정'!K46</f>
        <v/>
      </c>
      <c r="L59" s="167" t="str">
        <f>'4. 기준연도 배출량 산정'!L46</f>
        <v/>
      </c>
      <c r="M59" s="167" t="str">
        <f>'4. 기준연도 배출량 산정'!M46</f>
        <v/>
      </c>
      <c r="N59" s="167" t="str">
        <f>'4. 기준연도 배출량 산정'!N46</f>
        <v/>
      </c>
      <c r="O59" s="167" t="str">
        <f>'4. 기준연도 배출량 산정'!O46</f>
        <v/>
      </c>
      <c r="P59" s="167" t="str">
        <f>'4. 기준연도 배출량 산정'!P46</f>
        <v/>
      </c>
      <c r="Q59" s="167" t="str">
        <f>'4. 기준연도 배출량 산정'!Q46</f>
        <v/>
      </c>
      <c r="R59" s="167" t="str">
        <f>'4. 기준연도 배출량 산정'!R46</f>
        <v/>
      </c>
      <c r="S59" s="168" t="str">
        <f>'4. 기준연도 배출량 산정'!S46</f>
        <v/>
      </c>
      <c r="T59" s="159"/>
    </row>
    <row r="60" spans="1:20" ht="17.25" thickBot="1" x14ac:dyDescent="0.35">
      <c r="A60" s="158"/>
      <c r="B60" s="615" t="s">
        <v>60</v>
      </c>
      <c r="C60" s="616"/>
      <c r="D60" s="616"/>
      <c r="E60" s="616"/>
      <c r="F60" s="617"/>
      <c r="G60" s="172">
        <f>SUM(G56:G59)</f>
        <v>0</v>
      </c>
      <c r="H60" s="173">
        <f>SUM(H56:H59)</f>
        <v>0</v>
      </c>
      <c r="I60" s="173">
        <f t="shared" ref="I60:S60" si="1">SUM(I56:I59)</f>
        <v>0</v>
      </c>
      <c r="J60" s="173">
        <f t="shared" si="1"/>
        <v>0</v>
      </c>
      <c r="K60" s="173">
        <f t="shared" si="1"/>
        <v>0</v>
      </c>
      <c r="L60" s="173">
        <f t="shared" si="1"/>
        <v>0</v>
      </c>
      <c r="M60" s="173">
        <f t="shared" si="1"/>
        <v>0</v>
      </c>
      <c r="N60" s="173">
        <f t="shared" si="1"/>
        <v>0</v>
      </c>
      <c r="O60" s="173">
        <f t="shared" si="1"/>
        <v>0</v>
      </c>
      <c r="P60" s="173">
        <f t="shared" si="1"/>
        <v>0</v>
      </c>
      <c r="Q60" s="173">
        <f t="shared" si="1"/>
        <v>0</v>
      </c>
      <c r="R60" s="173">
        <f t="shared" si="1"/>
        <v>0</v>
      </c>
      <c r="S60" s="174">
        <f t="shared" si="1"/>
        <v>0</v>
      </c>
      <c r="T60" s="159"/>
    </row>
    <row r="61" spans="1:20" x14ac:dyDescent="0.3">
      <c r="A61" s="158"/>
      <c r="B61" s="618" t="s">
        <v>84</v>
      </c>
      <c r="C61" s="619" t="s">
        <v>61</v>
      </c>
      <c r="D61" s="620" t="str">
        <f>IF('3. 기준연도 활동자료 입력'!D12 = "", "", '3. 기준연도 활동자료 입력'!D12)</f>
        <v/>
      </c>
      <c r="E61" s="620"/>
      <c r="F61" s="621"/>
      <c r="G61" s="175">
        <f>SUM(H61:S61)</f>
        <v>0</v>
      </c>
      <c r="H61" s="176" t="str">
        <f>'4. 기준연도 배출량 산정'!H50</f>
        <v/>
      </c>
      <c r="I61" s="176" t="str">
        <f>'4. 기준연도 배출량 산정'!I50</f>
        <v/>
      </c>
      <c r="J61" s="176" t="str">
        <f>'4. 기준연도 배출량 산정'!J50</f>
        <v/>
      </c>
      <c r="K61" s="176" t="str">
        <f>'4. 기준연도 배출량 산정'!K50</f>
        <v/>
      </c>
      <c r="L61" s="176" t="str">
        <f>'4. 기준연도 배출량 산정'!L50</f>
        <v/>
      </c>
      <c r="M61" s="176" t="str">
        <f>'4. 기준연도 배출량 산정'!M50</f>
        <v/>
      </c>
      <c r="N61" s="176" t="str">
        <f>'4. 기준연도 배출량 산정'!N50</f>
        <v/>
      </c>
      <c r="O61" s="176" t="str">
        <f>'4. 기준연도 배출량 산정'!O50</f>
        <v/>
      </c>
      <c r="P61" s="176" t="str">
        <f>'4. 기준연도 배출량 산정'!P50</f>
        <v/>
      </c>
      <c r="Q61" s="176" t="str">
        <f>'4. 기준연도 배출량 산정'!Q50</f>
        <v/>
      </c>
      <c r="R61" s="176" t="str">
        <f>'4. 기준연도 배출량 산정'!R50</f>
        <v/>
      </c>
      <c r="S61" s="177" t="str">
        <f>'4. 기준연도 배출량 산정'!S50</f>
        <v/>
      </c>
      <c r="T61" s="159"/>
    </row>
    <row r="62" spans="1:20" x14ac:dyDescent="0.3">
      <c r="A62" s="158"/>
      <c r="B62" s="610"/>
      <c r="C62" s="612"/>
      <c r="D62" s="596" t="str">
        <f>IF('3. 기준연도 활동자료 입력'!D13="", "", '3. 기준연도 활동자료 입력'!D13)</f>
        <v/>
      </c>
      <c r="E62" s="596"/>
      <c r="F62" s="597"/>
      <c r="G62" s="166">
        <f>SUM(H62:S62)</f>
        <v>0</v>
      </c>
      <c r="H62" s="170" t="str">
        <f>'4. 기준연도 배출량 산정'!H54</f>
        <v/>
      </c>
      <c r="I62" s="170" t="str">
        <f>'4. 기준연도 배출량 산정'!I54</f>
        <v/>
      </c>
      <c r="J62" s="170" t="str">
        <f>'4. 기준연도 배출량 산정'!J54</f>
        <v/>
      </c>
      <c r="K62" s="170" t="str">
        <f>'4. 기준연도 배출량 산정'!K54</f>
        <v/>
      </c>
      <c r="L62" s="170" t="str">
        <f>'4. 기준연도 배출량 산정'!L54</f>
        <v/>
      </c>
      <c r="M62" s="170" t="str">
        <f>'4. 기준연도 배출량 산정'!M54</f>
        <v/>
      </c>
      <c r="N62" s="170" t="str">
        <f>'4. 기준연도 배출량 산정'!N54</f>
        <v/>
      </c>
      <c r="O62" s="170" t="str">
        <f>'4. 기준연도 배출량 산정'!O54</f>
        <v/>
      </c>
      <c r="P62" s="170" t="str">
        <f>'4. 기준연도 배출량 산정'!P54</f>
        <v/>
      </c>
      <c r="Q62" s="170" t="str">
        <f>'4. 기준연도 배출량 산정'!Q54</f>
        <v/>
      </c>
      <c r="R62" s="170" t="str">
        <f>'4. 기준연도 배출량 산정'!R54</f>
        <v/>
      </c>
      <c r="S62" s="171" t="str">
        <f>'4. 기준연도 배출량 산정'!S54</f>
        <v/>
      </c>
      <c r="T62" s="159"/>
    </row>
    <row r="63" spans="1:20" x14ac:dyDescent="0.3">
      <c r="A63" s="158"/>
      <c r="B63" s="610"/>
      <c r="C63" s="612"/>
      <c r="D63" s="596" t="str">
        <f>IF('3. 기준연도 활동자료 입력'!D14="","",'3. 기준연도 활동자료 입력'!D14)</f>
        <v/>
      </c>
      <c r="E63" s="596"/>
      <c r="F63" s="597"/>
      <c r="G63" s="166">
        <f>SUM(H63:S63)</f>
        <v>0</v>
      </c>
      <c r="H63" s="170" t="str">
        <f>'4. 기준연도 배출량 산정'!H58</f>
        <v/>
      </c>
      <c r="I63" s="170" t="str">
        <f>'4. 기준연도 배출량 산정'!I58</f>
        <v/>
      </c>
      <c r="J63" s="170" t="str">
        <f>'4. 기준연도 배출량 산정'!J58</f>
        <v/>
      </c>
      <c r="K63" s="170" t="str">
        <f>'4. 기준연도 배출량 산정'!K58</f>
        <v/>
      </c>
      <c r="L63" s="170" t="str">
        <f>'4. 기준연도 배출량 산정'!L58</f>
        <v/>
      </c>
      <c r="M63" s="170" t="str">
        <f>'4. 기준연도 배출량 산정'!M58</f>
        <v/>
      </c>
      <c r="N63" s="170" t="str">
        <f>'4. 기준연도 배출량 산정'!N58</f>
        <v/>
      </c>
      <c r="O63" s="170" t="str">
        <f>'4. 기준연도 배출량 산정'!O58</f>
        <v/>
      </c>
      <c r="P63" s="170" t="str">
        <f>'4. 기준연도 배출량 산정'!P58</f>
        <v/>
      </c>
      <c r="Q63" s="170" t="str">
        <f>'4. 기준연도 배출량 산정'!Q58</f>
        <v/>
      </c>
      <c r="R63" s="170" t="str">
        <f>'4. 기준연도 배출량 산정'!R58</f>
        <v/>
      </c>
      <c r="S63" s="171" t="str">
        <f>'4. 기준연도 배출량 산정'!S58</f>
        <v/>
      </c>
      <c r="T63" s="159"/>
    </row>
    <row r="64" spans="1:20" x14ac:dyDescent="0.3">
      <c r="A64" s="158"/>
      <c r="B64" s="610"/>
      <c r="C64" s="612"/>
      <c r="D64" s="596" t="str">
        <f>IF('3. 기준연도 활동자료 입력'!D15="","",'3. 기준연도 활동자료 입력'!D15)</f>
        <v/>
      </c>
      <c r="E64" s="596"/>
      <c r="F64" s="597"/>
      <c r="G64" s="166">
        <f>SUM(H64:S64)</f>
        <v>0</v>
      </c>
      <c r="H64" s="170" t="str">
        <f>'4. 기준연도 배출량 산정'!H62</f>
        <v/>
      </c>
      <c r="I64" s="170" t="str">
        <f>'4. 기준연도 배출량 산정'!I62</f>
        <v/>
      </c>
      <c r="J64" s="170" t="str">
        <f>'4. 기준연도 배출량 산정'!J62</f>
        <v/>
      </c>
      <c r="K64" s="170" t="str">
        <f>'4. 기준연도 배출량 산정'!K62</f>
        <v/>
      </c>
      <c r="L64" s="170" t="str">
        <f>'4. 기준연도 배출량 산정'!L62</f>
        <v/>
      </c>
      <c r="M64" s="170" t="str">
        <f>'4. 기준연도 배출량 산정'!M62</f>
        <v/>
      </c>
      <c r="N64" s="170" t="str">
        <f>'4. 기준연도 배출량 산정'!N62</f>
        <v/>
      </c>
      <c r="O64" s="170" t="str">
        <f>'4. 기준연도 배출량 산정'!O62</f>
        <v/>
      </c>
      <c r="P64" s="170" t="str">
        <f>'4. 기준연도 배출량 산정'!P62</f>
        <v/>
      </c>
      <c r="Q64" s="170" t="str">
        <f>'4. 기준연도 배출량 산정'!Q62</f>
        <v/>
      </c>
      <c r="R64" s="170" t="str">
        <f>'4. 기준연도 배출량 산정'!R62</f>
        <v/>
      </c>
      <c r="S64" s="171" t="str">
        <f>'4. 기준연도 배출량 산정'!S62</f>
        <v/>
      </c>
      <c r="T64" s="159"/>
    </row>
    <row r="65" spans="1:20" ht="17.25" thickBot="1" x14ac:dyDescent="0.35">
      <c r="A65" s="158"/>
      <c r="B65" s="606" t="s">
        <v>62</v>
      </c>
      <c r="C65" s="607"/>
      <c r="D65" s="607"/>
      <c r="E65" s="607"/>
      <c r="F65" s="608"/>
      <c r="G65" s="178">
        <f>SUM(G61:G64)</f>
        <v>0</v>
      </c>
      <c r="H65" s="179">
        <f>SUM(H61:H64)</f>
        <v>0</v>
      </c>
      <c r="I65" s="179">
        <f t="shared" ref="I65:S65" si="2">SUM(I61:I64)</f>
        <v>0</v>
      </c>
      <c r="J65" s="179">
        <f t="shared" si="2"/>
        <v>0</v>
      </c>
      <c r="K65" s="179">
        <f t="shared" si="2"/>
        <v>0</v>
      </c>
      <c r="L65" s="179">
        <f t="shared" si="2"/>
        <v>0</v>
      </c>
      <c r="M65" s="179">
        <f t="shared" si="2"/>
        <v>0</v>
      </c>
      <c r="N65" s="179">
        <f t="shared" si="2"/>
        <v>0</v>
      </c>
      <c r="O65" s="179">
        <f t="shared" si="2"/>
        <v>0</v>
      </c>
      <c r="P65" s="179">
        <f t="shared" si="2"/>
        <v>0</v>
      </c>
      <c r="Q65" s="179">
        <f t="shared" si="2"/>
        <v>0</v>
      </c>
      <c r="R65" s="179">
        <f t="shared" si="2"/>
        <v>0</v>
      </c>
      <c r="S65" s="180">
        <f t="shared" si="2"/>
        <v>0</v>
      </c>
      <c r="T65" s="159"/>
    </row>
    <row r="66" spans="1:20" x14ac:dyDescent="0.3">
      <c r="A66" s="158"/>
      <c r="B66" s="609" t="s">
        <v>85</v>
      </c>
      <c r="C66" s="611" t="s">
        <v>83</v>
      </c>
      <c r="D66" s="613" t="str">
        <f>IF('3. 기준연도 활동자료 입력'!D16="","",'3. 기준연도 활동자료 입력'!D16)</f>
        <v>사업장 단위 전기사용시설</v>
      </c>
      <c r="E66" s="613"/>
      <c r="F66" s="614"/>
      <c r="G66" s="163">
        <f>SUM(H66:S66)</f>
        <v>214.45023237500001</v>
      </c>
      <c r="H66" s="164">
        <f>'4. 기준연도 배출량 산정'!H66</f>
        <v>17.870852697916671</v>
      </c>
      <c r="I66" s="164">
        <f>'4. 기준연도 배출량 산정'!I66</f>
        <v>17.870852697916671</v>
      </c>
      <c r="J66" s="164">
        <f>'4. 기준연도 배출량 산정'!J66</f>
        <v>17.870852697916671</v>
      </c>
      <c r="K66" s="164">
        <f>'4. 기준연도 배출량 산정'!K66</f>
        <v>17.870852697916671</v>
      </c>
      <c r="L66" s="164">
        <f>'4. 기준연도 배출량 산정'!L66</f>
        <v>17.870852697916671</v>
      </c>
      <c r="M66" s="164">
        <f>'4. 기준연도 배출량 산정'!M66</f>
        <v>17.870852697916671</v>
      </c>
      <c r="N66" s="164">
        <f>'4. 기준연도 배출량 산정'!N66</f>
        <v>17.870852697916671</v>
      </c>
      <c r="O66" s="164">
        <f>'4. 기준연도 배출량 산정'!O66</f>
        <v>17.870852697916671</v>
      </c>
      <c r="P66" s="164">
        <f>'4. 기준연도 배출량 산정'!P66</f>
        <v>17.870852697916671</v>
      </c>
      <c r="Q66" s="164">
        <f>'4. 기준연도 배출량 산정'!Q66</f>
        <v>17.870852697916671</v>
      </c>
      <c r="R66" s="164">
        <f>'4. 기준연도 배출량 산정'!R66</f>
        <v>17.870852697916671</v>
      </c>
      <c r="S66" s="165">
        <f>'4. 기준연도 배출량 산정'!S66</f>
        <v>17.870852697916671</v>
      </c>
      <c r="T66" s="159"/>
    </row>
    <row r="67" spans="1:20" x14ac:dyDescent="0.3">
      <c r="A67" s="158"/>
      <c r="B67" s="610"/>
      <c r="C67" s="612"/>
      <c r="D67" s="596" t="str">
        <f>IF('3. 기준연도 활동자료 입력'!D17="","",'3. 기준연도 활동자료 입력'!D17)</f>
        <v/>
      </c>
      <c r="E67" s="596"/>
      <c r="F67" s="597"/>
      <c r="G67" s="166">
        <f>SUM(H67:S67)</f>
        <v>0</v>
      </c>
      <c r="H67" s="167" t="str">
        <f>'4. 기준연도 배출량 산정'!H70</f>
        <v/>
      </c>
      <c r="I67" s="167" t="str">
        <f>'4. 기준연도 배출량 산정'!I70</f>
        <v/>
      </c>
      <c r="J67" s="167" t="str">
        <f>'4. 기준연도 배출량 산정'!J70</f>
        <v/>
      </c>
      <c r="K67" s="167" t="str">
        <f>'4. 기준연도 배출량 산정'!K70</f>
        <v/>
      </c>
      <c r="L67" s="167" t="str">
        <f>'4. 기준연도 배출량 산정'!L70</f>
        <v/>
      </c>
      <c r="M67" s="167" t="str">
        <f>'4. 기준연도 배출량 산정'!M70</f>
        <v/>
      </c>
      <c r="N67" s="167" t="str">
        <f>'4. 기준연도 배출량 산정'!N70</f>
        <v/>
      </c>
      <c r="O67" s="167" t="str">
        <f>'4. 기준연도 배출량 산정'!O70</f>
        <v/>
      </c>
      <c r="P67" s="167" t="str">
        <f>'4. 기준연도 배출량 산정'!P70</f>
        <v/>
      </c>
      <c r="Q67" s="167" t="str">
        <f>'4. 기준연도 배출량 산정'!Q70</f>
        <v/>
      </c>
      <c r="R67" s="167" t="str">
        <f>'4. 기준연도 배출량 산정'!R70</f>
        <v/>
      </c>
      <c r="S67" s="168" t="str">
        <f>'4. 기준연도 배출량 산정'!S70</f>
        <v/>
      </c>
      <c r="T67" s="159"/>
    </row>
    <row r="68" spans="1:20" x14ac:dyDescent="0.3">
      <c r="A68" s="158"/>
      <c r="B68" s="610"/>
      <c r="C68" s="612"/>
      <c r="D68" s="596" t="str">
        <f>IF('3. 기준연도 활동자료 입력'!D18="","",'3. 기준연도 활동자료 입력'!D18)</f>
        <v/>
      </c>
      <c r="E68" s="596"/>
      <c r="F68" s="597"/>
      <c r="G68" s="166">
        <f>SUM(H68:S68)</f>
        <v>0</v>
      </c>
      <c r="H68" s="167" t="str">
        <f>'4. 기준연도 배출량 산정'!H74</f>
        <v/>
      </c>
      <c r="I68" s="167" t="str">
        <f>'4. 기준연도 배출량 산정'!I74</f>
        <v/>
      </c>
      <c r="J68" s="167" t="str">
        <f>'4. 기준연도 배출량 산정'!J74</f>
        <v/>
      </c>
      <c r="K68" s="167" t="str">
        <f>'4. 기준연도 배출량 산정'!K74</f>
        <v/>
      </c>
      <c r="L68" s="167" t="str">
        <f>'4. 기준연도 배출량 산정'!L74</f>
        <v/>
      </c>
      <c r="M68" s="167" t="str">
        <f>'4. 기준연도 배출량 산정'!M74</f>
        <v/>
      </c>
      <c r="N68" s="167" t="str">
        <f>'4. 기준연도 배출량 산정'!N74</f>
        <v/>
      </c>
      <c r="O68" s="167" t="str">
        <f>'4. 기준연도 배출량 산정'!O74</f>
        <v/>
      </c>
      <c r="P68" s="167" t="str">
        <f>'4. 기준연도 배출량 산정'!P74</f>
        <v/>
      </c>
      <c r="Q68" s="167" t="str">
        <f>'4. 기준연도 배출량 산정'!Q74</f>
        <v/>
      </c>
      <c r="R68" s="167" t="str">
        <f>'4. 기준연도 배출량 산정'!R74</f>
        <v/>
      </c>
      <c r="S68" s="168" t="str">
        <f>'4. 기준연도 배출량 산정'!S74</f>
        <v/>
      </c>
      <c r="T68" s="159"/>
    </row>
    <row r="69" spans="1:20" x14ac:dyDescent="0.3">
      <c r="A69" s="158"/>
      <c r="B69" s="610"/>
      <c r="C69" s="612"/>
      <c r="D69" s="596" t="str">
        <f>IF('3. 기준연도 활동자료 입력'!D19="","",'3. 기준연도 활동자료 입력'!D19)</f>
        <v/>
      </c>
      <c r="E69" s="596"/>
      <c r="F69" s="597"/>
      <c r="G69" s="166">
        <f>SUM(H69:S69)</f>
        <v>0</v>
      </c>
      <c r="H69" s="167" t="str">
        <f>'4. 기준연도 배출량 산정'!H78</f>
        <v/>
      </c>
      <c r="I69" s="167" t="str">
        <f>'4. 기준연도 배출량 산정'!I78</f>
        <v/>
      </c>
      <c r="J69" s="167" t="str">
        <f>'4. 기준연도 배출량 산정'!J78</f>
        <v/>
      </c>
      <c r="K69" s="167" t="str">
        <f>'4. 기준연도 배출량 산정'!K78</f>
        <v/>
      </c>
      <c r="L69" s="167" t="str">
        <f>'4. 기준연도 배출량 산정'!L78</f>
        <v/>
      </c>
      <c r="M69" s="167" t="str">
        <f>'4. 기준연도 배출량 산정'!M78</f>
        <v/>
      </c>
      <c r="N69" s="167" t="str">
        <f>'4. 기준연도 배출량 산정'!N78</f>
        <v/>
      </c>
      <c r="O69" s="167" t="str">
        <f>'4. 기준연도 배출량 산정'!O78</f>
        <v/>
      </c>
      <c r="P69" s="167" t="str">
        <f>'4. 기준연도 배출량 산정'!P78</f>
        <v/>
      </c>
      <c r="Q69" s="167" t="str">
        <f>'4. 기준연도 배출량 산정'!Q78</f>
        <v/>
      </c>
      <c r="R69" s="167" t="str">
        <f>'4. 기준연도 배출량 산정'!R78</f>
        <v/>
      </c>
      <c r="S69" s="168" t="str">
        <f>'4. 기준연도 배출량 산정'!S78</f>
        <v/>
      </c>
      <c r="T69" s="159"/>
    </row>
    <row r="70" spans="1:20" ht="17.25" thickBot="1" x14ac:dyDescent="0.35">
      <c r="A70" s="158"/>
      <c r="B70" s="615" t="s">
        <v>63</v>
      </c>
      <c r="C70" s="616"/>
      <c r="D70" s="616"/>
      <c r="E70" s="616"/>
      <c r="F70" s="617"/>
      <c r="G70" s="172">
        <f>SUM(G66:G69)</f>
        <v>214.45023237500001</v>
      </c>
      <c r="H70" s="173">
        <f>SUM(H66:H69)</f>
        <v>17.870852697916671</v>
      </c>
      <c r="I70" s="173">
        <f t="shared" ref="I70:S70" si="3">SUM(I66:I69)</f>
        <v>17.870852697916671</v>
      </c>
      <c r="J70" s="173">
        <f t="shared" si="3"/>
        <v>17.870852697916671</v>
      </c>
      <c r="K70" s="173">
        <f t="shared" si="3"/>
        <v>17.870852697916671</v>
      </c>
      <c r="L70" s="173">
        <f t="shared" si="3"/>
        <v>17.870852697916671</v>
      </c>
      <c r="M70" s="173">
        <f t="shared" si="3"/>
        <v>17.870852697916671</v>
      </c>
      <c r="N70" s="173">
        <f t="shared" si="3"/>
        <v>17.870852697916671</v>
      </c>
      <c r="O70" s="173">
        <f t="shared" si="3"/>
        <v>17.870852697916671</v>
      </c>
      <c r="P70" s="173">
        <f t="shared" si="3"/>
        <v>17.870852697916671</v>
      </c>
      <c r="Q70" s="173">
        <f t="shared" si="3"/>
        <v>17.870852697916671</v>
      </c>
      <c r="R70" s="173">
        <f t="shared" si="3"/>
        <v>17.870852697916671</v>
      </c>
      <c r="S70" s="174">
        <f t="shared" si="3"/>
        <v>17.870852697916671</v>
      </c>
      <c r="T70" s="159"/>
    </row>
    <row r="71" spans="1:20" ht="17.25" thickBot="1" x14ac:dyDescent="0.35">
      <c r="A71" s="158"/>
      <c r="B71" s="636" t="s">
        <v>70</v>
      </c>
      <c r="C71" s="637"/>
      <c r="D71" s="637"/>
      <c r="E71" s="637"/>
      <c r="F71" s="637"/>
      <c r="G71" s="181">
        <f>SUM(G60,G65,G70)</f>
        <v>214.45023237500001</v>
      </c>
      <c r="H71" s="181">
        <f t="shared" ref="H71:S71" si="4">SUM(H60,H65,H70)</f>
        <v>17.870852697916671</v>
      </c>
      <c r="I71" s="181">
        <f t="shared" si="4"/>
        <v>17.870852697916671</v>
      </c>
      <c r="J71" s="181">
        <f t="shared" si="4"/>
        <v>17.870852697916671</v>
      </c>
      <c r="K71" s="181">
        <f t="shared" si="4"/>
        <v>17.870852697916671</v>
      </c>
      <c r="L71" s="181">
        <f t="shared" si="4"/>
        <v>17.870852697916671</v>
      </c>
      <c r="M71" s="181">
        <f t="shared" si="4"/>
        <v>17.870852697916671</v>
      </c>
      <c r="N71" s="181">
        <f t="shared" si="4"/>
        <v>17.870852697916671</v>
      </c>
      <c r="O71" s="181">
        <f t="shared" si="4"/>
        <v>17.870852697916671</v>
      </c>
      <c r="P71" s="181">
        <f t="shared" si="4"/>
        <v>17.870852697916671</v>
      </c>
      <c r="Q71" s="181">
        <f t="shared" si="4"/>
        <v>17.870852697916671</v>
      </c>
      <c r="R71" s="181">
        <f t="shared" si="4"/>
        <v>17.870852697916671</v>
      </c>
      <c r="S71" s="182">
        <f t="shared" si="4"/>
        <v>17.870852697916671</v>
      </c>
      <c r="T71" s="159"/>
    </row>
    <row r="72" spans="1:20" ht="17.25" thickBot="1" x14ac:dyDescent="0.35">
      <c r="B72" s="183"/>
      <c r="C72" s="183"/>
      <c r="D72" s="183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</row>
    <row r="73" spans="1:20" ht="21" thickBot="1" x14ac:dyDescent="0.35">
      <c r="A73" s="158"/>
      <c r="B73" s="629" t="s">
        <v>259</v>
      </c>
      <c r="C73" s="630"/>
      <c r="D73" s="630"/>
      <c r="E73" s="630"/>
      <c r="F73" s="630"/>
      <c r="G73" s="630"/>
      <c r="H73" s="630"/>
      <c r="I73" s="630"/>
      <c r="J73" s="630"/>
      <c r="K73" s="630"/>
      <c r="L73" s="630"/>
      <c r="M73" s="630"/>
      <c r="N73" s="630"/>
      <c r="O73" s="630"/>
      <c r="P73" s="630"/>
      <c r="Q73" s="630"/>
      <c r="R73" s="630"/>
      <c r="S73" s="631"/>
      <c r="T73" s="159"/>
    </row>
    <row r="74" spans="1:20" x14ac:dyDescent="0.3">
      <c r="A74" s="158"/>
      <c r="B74" s="598" t="s">
        <v>64</v>
      </c>
      <c r="C74" s="599"/>
      <c r="D74" s="599"/>
      <c r="E74" s="599" t="s">
        <v>67</v>
      </c>
      <c r="F74" s="600"/>
      <c r="G74" s="386" t="s">
        <v>2</v>
      </c>
      <c r="H74" s="387" t="s">
        <v>1</v>
      </c>
      <c r="I74" s="387" t="s">
        <v>3</v>
      </c>
      <c r="J74" s="387" t="s">
        <v>4</v>
      </c>
      <c r="K74" s="387" t="s">
        <v>5</v>
      </c>
      <c r="L74" s="387" t="s">
        <v>6</v>
      </c>
      <c r="M74" s="387" t="s">
        <v>7</v>
      </c>
      <c r="N74" s="387" t="s">
        <v>8</v>
      </c>
      <c r="O74" s="387" t="s">
        <v>9</v>
      </c>
      <c r="P74" s="387" t="s">
        <v>10</v>
      </c>
      <c r="Q74" s="387" t="s">
        <v>11</v>
      </c>
      <c r="R74" s="387" t="s">
        <v>12</v>
      </c>
      <c r="S74" s="388" t="s">
        <v>13</v>
      </c>
      <c r="T74" s="159"/>
    </row>
    <row r="75" spans="1:20" x14ac:dyDescent="0.3">
      <c r="A75" s="158"/>
      <c r="B75" s="603" t="s">
        <v>76</v>
      </c>
      <c r="C75" s="601" t="s">
        <v>68</v>
      </c>
      <c r="D75" s="601"/>
      <c r="E75" s="601" t="s">
        <v>400</v>
      </c>
      <c r="F75" s="602"/>
      <c r="G75" s="184">
        <f>SUM(H75:S75)</f>
        <v>4752</v>
      </c>
      <c r="H75" s="185">
        <f>'3. 기준연도 활동자료 입력'!I26</f>
        <v>396</v>
      </c>
      <c r="I75" s="185">
        <f>'3. 기준연도 활동자료 입력'!J26</f>
        <v>396</v>
      </c>
      <c r="J75" s="185">
        <f>'3. 기준연도 활동자료 입력'!K26</f>
        <v>396</v>
      </c>
      <c r="K75" s="185">
        <f>'3. 기준연도 활동자료 입력'!L26</f>
        <v>396</v>
      </c>
      <c r="L75" s="185">
        <f>'3. 기준연도 활동자료 입력'!M26</f>
        <v>396</v>
      </c>
      <c r="M75" s="185">
        <f>'3. 기준연도 활동자료 입력'!N26</f>
        <v>396</v>
      </c>
      <c r="N75" s="185">
        <f>'3. 기준연도 활동자료 입력'!O26</f>
        <v>396</v>
      </c>
      <c r="O75" s="185">
        <f>'3. 기준연도 활동자료 입력'!P26</f>
        <v>396</v>
      </c>
      <c r="P75" s="185">
        <f>'3. 기준연도 활동자료 입력'!Q26</f>
        <v>396</v>
      </c>
      <c r="Q75" s="185">
        <f>'3. 기준연도 활동자료 입력'!R26</f>
        <v>396</v>
      </c>
      <c r="R75" s="185">
        <f>'3. 기준연도 활동자료 입력'!S26</f>
        <v>396</v>
      </c>
      <c r="S75" s="186">
        <f>'3. 기준연도 활동자료 입력'!T26</f>
        <v>396</v>
      </c>
      <c r="T75" s="159"/>
    </row>
    <row r="76" spans="1:20" ht="17.25" thickBot="1" x14ac:dyDescent="0.35">
      <c r="A76" s="158"/>
      <c r="B76" s="604"/>
      <c r="C76" s="594" t="s">
        <v>69</v>
      </c>
      <c r="D76" s="594"/>
      <c r="E76" s="594" t="s">
        <v>258</v>
      </c>
      <c r="F76" s="595"/>
      <c r="G76" s="368">
        <f>IFERROR(AVERAGE(H76:S76),"")</f>
        <v>4.5128415903829981E-2</v>
      </c>
      <c r="H76" s="369">
        <f>IF(H75&gt;0, H71/H75, "")</f>
        <v>4.5128415903829981E-2</v>
      </c>
      <c r="I76" s="369">
        <f t="shared" ref="I76:S76" si="5">IF(I75&gt;0, I71/I75, "")</f>
        <v>4.5128415903829981E-2</v>
      </c>
      <c r="J76" s="369">
        <f t="shared" si="5"/>
        <v>4.5128415903829981E-2</v>
      </c>
      <c r="K76" s="369">
        <f t="shared" si="5"/>
        <v>4.5128415903829981E-2</v>
      </c>
      <c r="L76" s="369">
        <f t="shared" si="5"/>
        <v>4.5128415903829981E-2</v>
      </c>
      <c r="M76" s="369">
        <f t="shared" si="5"/>
        <v>4.5128415903829981E-2</v>
      </c>
      <c r="N76" s="369">
        <f t="shared" si="5"/>
        <v>4.5128415903829981E-2</v>
      </c>
      <c r="O76" s="369">
        <f t="shared" si="5"/>
        <v>4.5128415903829981E-2</v>
      </c>
      <c r="P76" s="369">
        <f t="shared" si="5"/>
        <v>4.5128415903829981E-2</v>
      </c>
      <c r="Q76" s="369">
        <f t="shared" si="5"/>
        <v>4.5128415903829981E-2</v>
      </c>
      <c r="R76" s="369">
        <f t="shared" si="5"/>
        <v>4.5128415903829981E-2</v>
      </c>
      <c r="S76" s="370">
        <f t="shared" si="5"/>
        <v>4.5128415903829981E-2</v>
      </c>
      <c r="T76" s="159"/>
    </row>
    <row r="77" spans="1:20" x14ac:dyDescent="0.3">
      <c r="B77" s="187"/>
      <c r="C77" s="187"/>
      <c r="D77" s="187"/>
      <c r="E77" s="187"/>
      <c r="F77" s="187"/>
      <c r="G77" s="187"/>
      <c r="H77" s="187"/>
      <c r="I77" s="187"/>
      <c r="J77" s="187"/>
      <c r="K77" s="187"/>
      <c r="L77" s="187"/>
      <c r="M77" s="187"/>
      <c r="N77" s="187"/>
      <c r="O77" s="187"/>
      <c r="P77" s="187"/>
      <c r="Q77" s="187"/>
      <c r="R77" s="187"/>
      <c r="S77" s="187"/>
    </row>
    <row r="78" spans="1:20" s="145" customFormat="1" x14ac:dyDescent="0.3">
      <c r="B78" s="593" t="s">
        <v>80</v>
      </c>
      <c r="C78" s="593"/>
      <c r="D78" s="593"/>
      <c r="E78" s="188">
        <f>SUM(F11:F22)</f>
        <v>448581.99999999994</v>
      </c>
      <c r="F78" s="188">
        <f>SUM(G11:G22)</f>
        <v>214.45023237500001</v>
      </c>
      <c r="G78" s="189">
        <f>IF(F78="","",F78/$F$78)</f>
        <v>1</v>
      </c>
    </row>
    <row r="79" spans="1:20" s="145" customFormat="1" x14ac:dyDescent="0.3"/>
    <row r="80" spans="1:20" s="145" customFormat="1" x14ac:dyDescent="0.3"/>
    <row r="81" spans="2:12" x14ac:dyDescent="0.3"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</row>
    <row r="82" spans="2:12" x14ac:dyDescent="0.3"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</row>
    <row r="83" spans="2:12" x14ac:dyDescent="0.3"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</row>
    <row r="84" spans="2:12" x14ac:dyDescent="0.3"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</row>
    <row r="85" spans="2:12" x14ac:dyDescent="0.3"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</row>
    <row r="86" spans="2:12" x14ac:dyDescent="0.3"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</row>
    <row r="87" spans="2:12" x14ac:dyDescent="0.3"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</row>
    <row r="88" spans="2:12" x14ac:dyDescent="0.3"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</row>
    <row r="89" spans="2:12" x14ac:dyDescent="0.3"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</row>
    <row r="90" spans="2:12" x14ac:dyDescent="0.3"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</row>
    <row r="91" spans="2:12" x14ac:dyDescent="0.3"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</row>
    <row r="92" spans="2:12" x14ac:dyDescent="0.3"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</row>
    <row r="93" spans="2:12" x14ac:dyDescent="0.3"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</row>
    <row r="94" spans="2:12" x14ac:dyDescent="0.3"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</row>
    <row r="95" spans="2:12" x14ac:dyDescent="0.3"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</row>
    <row r="96" spans="2:12" x14ac:dyDescent="0.3"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</row>
    <row r="97" spans="2:12" x14ac:dyDescent="0.3"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</row>
    <row r="98" spans="2:12" x14ac:dyDescent="0.3"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</row>
    <row r="99" spans="2:12" x14ac:dyDescent="0.3"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</row>
    <row r="100" spans="2:12" x14ac:dyDescent="0.3"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</row>
    <row r="101" spans="2:12" x14ac:dyDescent="0.3"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</row>
    <row r="102" spans="2:12" x14ac:dyDescent="0.3"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</row>
    <row r="103" spans="2:12" x14ac:dyDescent="0.3"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</row>
    <row r="104" spans="2:12" x14ac:dyDescent="0.3"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</row>
    <row r="105" spans="2:12" x14ac:dyDescent="0.3"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</row>
    <row r="106" spans="2:12" x14ac:dyDescent="0.3"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</row>
    <row r="107" spans="2:12" x14ac:dyDescent="0.3"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</row>
    <row r="108" spans="2:12" x14ac:dyDescent="0.3"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</row>
    <row r="109" spans="2:12" x14ac:dyDescent="0.3"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</row>
    <row r="110" spans="2:12" x14ac:dyDescent="0.3"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</row>
    <row r="111" spans="2:12" x14ac:dyDescent="0.3"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</row>
    <row r="112" spans="2:12" x14ac:dyDescent="0.3"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</row>
    <row r="113" spans="2:12" x14ac:dyDescent="0.3"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</row>
    <row r="114" spans="2:12" x14ac:dyDescent="0.3"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</row>
    <row r="115" spans="2:12" x14ac:dyDescent="0.3"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</row>
    <row r="116" spans="2:12" x14ac:dyDescent="0.3"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</row>
    <row r="117" spans="2:12" x14ac:dyDescent="0.3"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</row>
    <row r="118" spans="2:12" x14ac:dyDescent="0.3"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</row>
    <row r="119" spans="2:12" x14ac:dyDescent="0.3"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</row>
    <row r="120" spans="2:12" x14ac:dyDescent="0.3"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</row>
    <row r="121" spans="2:12" x14ac:dyDescent="0.3"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</row>
    <row r="122" spans="2:12" x14ac:dyDescent="0.3"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</row>
    <row r="123" spans="2:12" x14ac:dyDescent="0.3"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</row>
  </sheetData>
  <sheetProtection algorithmName="SHA-512" hashValue="K8cSY8vobIp6yTG7VrtZ5lUpaa4O8kVIovD7cGvG0mpf6CrKer3ocH3FUkUev6nwEIl7uTiG9U92f3p9HlxTNg==" saltValue="NUA9S42ZNP2SpL/1sbPnng==" spinCount="100000" sheet="1" objects="1" scenarios="1"/>
  <sortState ref="J19:P19">
    <sortCondition ref="J10:J22"/>
  </sortState>
  <mergeCells count="50">
    <mergeCell ref="B54:S54"/>
    <mergeCell ref="B73:S73"/>
    <mergeCell ref="D55:F55"/>
    <mergeCell ref="B56:B59"/>
    <mergeCell ref="C56:C59"/>
    <mergeCell ref="D56:F56"/>
    <mergeCell ref="D57:F57"/>
    <mergeCell ref="D58:F58"/>
    <mergeCell ref="B70:F70"/>
    <mergeCell ref="B71:F71"/>
    <mergeCell ref="B55:C55"/>
    <mergeCell ref="B2:S2"/>
    <mergeCell ref="B65:F65"/>
    <mergeCell ref="B66:B69"/>
    <mergeCell ref="C66:C69"/>
    <mergeCell ref="D66:F66"/>
    <mergeCell ref="D69:F69"/>
    <mergeCell ref="D59:F59"/>
    <mergeCell ref="B60:F60"/>
    <mergeCell ref="B61:B64"/>
    <mergeCell ref="C61:C64"/>
    <mergeCell ref="D61:F61"/>
    <mergeCell ref="D64:F64"/>
    <mergeCell ref="H4:I4"/>
    <mergeCell ref="D4:G4"/>
    <mergeCell ref="J4:L5"/>
    <mergeCell ref="J6:L7"/>
    <mergeCell ref="B78:D78"/>
    <mergeCell ref="E76:F76"/>
    <mergeCell ref="D62:F62"/>
    <mergeCell ref="D63:F63"/>
    <mergeCell ref="D67:F67"/>
    <mergeCell ref="D68:F68"/>
    <mergeCell ref="B74:D74"/>
    <mergeCell ref="E74:F74"/>
    <mergeCell ref="C75:D75"/>
    <mergeCell ref="C76:D76"/>
    <mergeCell ref="E75:F75"/>
    <mergeCell ref="B75:B76"/>
    <mergeCell ref="D7:G7"/>
    <mergeCell ref="D5:E5"/>
    <mergeCell ref="F5:G5"/>
    <mergeCell ref="H5:I5"/>
    <mergeCell ref="D6:E6"/>
    <mergeCell ref="F6:G6"/>
    <mergeCell ref="M4:O5"/>
    <mergeCell ref="M6:O7"/>
    <mergeCell ref="P4:R5"/>
    <mergeCell ref="P6:R7"/>
    <mergeCell ref="H6:I7"/>
  </mergeCells>
  <phoneticPr fontId="3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2:AE40"/>
  <sheetViews>
    <sheetView showGridLines="0" zoomScaleNormal="100" workbookViewId="0">
      <pane ySplit="5" topLeftCell="A15" activePane="bottomLeft" state="frozen"/>
      <selection pane="bottomLeft" activeCell="E21" sqref="E21"/>
    </sheetView>
  </sheetViews>
  <sheetFormatPr defaultColWidth="0" defaultRowHeight="16.5" x14ac:dyDescent="0.3"/>
  <cols>
    <col min="1" max="1" width="2.5" style="191" customWidth="1"/>
    <col min="2" max="3" width="2.75" style="191" customWidth="1"/>
    <col min="4" max="4" width="7.625" style="191" customWidth="1"/>
    <col min="5" max="5" width="15.125" style="191" bestFit="1" customWidth="1"/>
    <col min="6" max="7" width="12.375" style="191" bestFit="1" customWidth="1"/>
    <col min="8" max="13" width="15.625" style="191" customWidth="1"/>
    <col min="14" max="14" width="9.125" style="191" customWidth="1"/>
    <col min="15" max="17" width="11.625" style="191" customWidth="1"/>
    <col min="18" max="18" width="2.75" style="191" customWidth="1"/>
    <col min="19" max="19" width="9" style="191" hidden="1" customWidth="1"/>
    <col min="20" max="31" width="0" style="191" hidden="1" customWidth="1"/>
    <col min="32" max="16384" width="9" style="191" hidden="1"/>
  </cols>
  <sheetData>
    <row r="2" spans="2:19" ht="37.5" customHeight="1" x14ac:dyDescent="0.3">
      <c r="B2" s="641" t="s">
        <v>233</v>
      </c>
      <c r="C2" s="641"/>
      <c r="D2" s="641"/>
      <c r="E2" s="641"/>
      <c r="F2" s="641"/>
      <c r="G2" s="641"/>
      <c r="H2" s="641"/>
      <c r="I2" s="641"/>
      <c r="J2" s="641"/>
      <c r="K2" s="641"/>
      <c r="L2" s="641"/>
      <c r="M2" s="641"/>
      <c r="N2" s="641"/>
      <c r="O2" s="641"/>
      <c r="P2" s="641"/>
      <c r="Q2" s="641"/>
      <c r="R2" s="641"/>
      <c r="S2" s="641"/>
    </row>
    <row r="3" spans="2:19" ht="17.25" customHeight="1" x14ac:dyDescent="0.3">
      <c r="B3" s="277"/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</row>
    <row r="4" spans="2:19" ht="17.25" customHeight="1" x14ac:dyDescent="0.3">
      <c r="B4" s="665"/>
      <c r="C4" s="665"/>
      <c r="D4" s="665"/>
      <c r="E4" s="280" t="s">
        <v>337</v>
      </c>
      <c r="F4" s="277"/>
      <c r="G4" s="72"/>
      <c r="H4" s="169" t="s">
        <v>338</v>
      </c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</row>
    <row r="5" spans="2:19" ht="17.25" customHeight="1" x14ac:dyDescent="0.3">
      <c r="B5" s="207"/>
    </row>
    <row r="6" spans="2:19" x14ac:dyDescent="0.3">
      <c r="B6" s="240" t="s">
        <v>171</v>
      </c>
      <c r="P6" s="240"/>
    </row>
    <row r="7" spans="2:19" ht="5.0999999999999996" customHeight="1" x14ac:dyDescent="0.3">
      <c r="B7" s="240"/>
    </row>
    <row r="8" spans="2:19" x14ac:dyDescent="0.3">
      <c r="C8" s="666" t="s">
        <v>172</v>
      </c>
      <c r="D8" s="667"/>
      <c r="E8" s="667"/>
      <c r="F8" s="642" t="str">
        <f>'2. 사업장 일반현황'!C7&amp;""</f>
        <v>㈜삼화당피앤티</v>
      </c>
      <c r="G8" s="643"/>
      <c r="H8" s="645"/>
      <c r="I8" s="241" t="s">
        <v>173</v>
      </c>
      <c r="J8" s="250" t="str">
        <f>'2. 사업장 일반현황'!C8&amp;""</f>
        <v>이경수</v>
      </c>
    </row>
    <row r="9" spans="2:19" x14ac:dyDescent="0.3">
      <c r="C9" s="666" t="s">
        <v>174</v>
      </c>
      <c r="D9" s="667"/>
      <c r="E9" s="667"/>
      <c r="F9" s="642" t="str">
        <f>'2. 사업장 일반현황'!C12&amp;""</f>
        <v>경기도 남양주시 진건읍 진관산단로59번길 39</v>
      </c>
      <c r="G9" s="643"/>
      <c r="H9" s="643"/>
      <c r="I9" s="643"/>
      <c r="J9" s="645"/>
    </row>
    <row r="10" spans="2:19" x14ac:dyDescent="0.3">
      <c r="C10" s="668" t="s">
        <v>175</v>
      </c>
      <c r="D10" s="666" t="s">
        <v>176</v>
      </c>
      <c r="E10" s="670"/>
      <c r="F10" s="642" t="str">
        <f>'2. 사업장 일반현황'!C15&amp;""</f>
        <v>김기태</v>
      </c>
      <c r="G10" s="643"/>
      <c r="H10" s="643"/>
      <c r="I10" s="643"/>
      <c r="J10" s="645"/>
    </row>
    <row r="11" spans="2:19" x14ac:dyDescent="0.3">
      <c r="C11" s="669"/>
      <c r="D11" s="666" t="s">
        <v>177</v>
      </c>
      <c r="E11" s="670"/>
      <c r="F11" s="642" t="str">
        <f>'2. 사업장 일반현황'!C16&amp;""</f>
        <v>팀장</v>
      </c>
      <c r="G11" s="643"/>
      <c r="H11" s="643"/>
      <c r="I11" s="643"/>
      <c r="J11" s="645"/>
    </row>
    <row r="12" spans="2:19" x14ac:dyDescent="0.3">
      <c r="C12" s="669"/>
      <c r="D12" s="666" t="s">
        <v>178</v>
      </c>
      <c r="E12" s="670"/>
      <c r="F12" s="642" t="str">
        <f>'2. 사업장 일반현황'!C14&amp;""</f>
        <v>관리팀</v>
      </c>
      <c r="G12" s="643"/>
      <c r="H12" s="643"/>
      <c r="I12" s="643"/>
      <c r="J12" s="645"/>
    </row>
    <row r="13" spans="2:19" x14ac:dyDescent="0.3">
      <c r="C13" s="669"/>
      <c r="D13" s="666" t="s">
        <v>179</v>
      </c>
      <c r="E13" s="670"/>
      <c r="F13" s="642" t="str">
        <f>'2. 사업장 일반현황'!C17&amp;""</f>
        <v>02-464-3752</v>
      </c>
      <c r="G13" s="643"/>
      <c r="H13" s="644" t="str">
        <f>'2. 사업장 일반현황'!C18&amp;""</f>
        <v>010-4174-7437</v>
      </c>
      <c r="I13" s="643"/>
      <c r="J13" s="645"/>
    </row>
    <row r="14" spans="2:19" x14ac:dyDescent="0.3">
      <c r="C14" s="669"/>
      <c r="D14" s="666" t="s">
        <v>180</v>
      </c>
      <c r="E14" s="670"/>
      <c r="F14" s="642" t="str">
        <f>'2. 사업장 일반현황'!C19&amp;""</f>
        <v>ktkim@samhwadang.co.kr</v>
      </c>
      <c r="G14" s="643"/>
      <c r="H14" s="643"/>
      <c r="I14" s="643"/>
      <c r="J14" s="645"/>
    </row>
    <row r="16" spans="2:19" x14ac:dyDescent="0.3">
      <c r="B16" s="240" t="s">
        <v>181</v>
      </c>
    </row>
    <row r="17" spans="2:17" ht="5.0999999999999996" customHeight="1" x14ac:dyDescent="0.3">
      <c r="B17" s="240"/>
    </row>
    <row r="18" spans="2:17" x14ac:dyDescent="0.3">
      <c r="B18" s="240"/>
      <c r="C18" s="240" t="s">
        <v>182</v>
      </c>
      <c r="D18" s="240"/>
    </row>
    <row r="19" spans="2:17" ht="18" x14ac:dyDescent="0.3">
      <c r="C19" s="659" t="s">
        <v>183</v>
      </c>
      <c r="D19" s="660"/>
      <c r="E19" s="646" t="s">
        <v>184</v>
      </c>
      <c r="F19" s="647"/>
      <c r="G19" s="648"/>
      <c r="H19" s="652" t="s">
        <v>185</v>
      </c>
      <c r="I19" s="652"/>
      <c r="J19" s="652" t="s">
        <v>186</v>
      </c>
      <c r="K19" s="652"/>
      <c r="L19" s="652" t="s">
        <v>187</v>
      </c>
      <c r="M19" s="652"/>
      <c r="N19" s="652"/>
      <c r="O19" s="646" t="s">
        <v>188</v>
      </c>
      <c r="P19" s="647"/>
      <c r="Q19" s="648"/>
    </row>
    <row r="20" spans="2:17" x14ac:dyDescent="0.3">
      <c r="C20" s="661"/>
      <c r="D20" s="662"/>
      <c r="E20" s="242" t="s">
        <v>189</v>
      </c>
      <c r="F20" s="242" t="s">
        <v>190</v>
      </c>
      <c r="G20" s="242" t="s">
        <v>191</v>
      </c>
      <c r="H20" s="242" t="s">
        <v>192</v>
      </c>
      <c r="I20" s="242" t="s">
        <v>193</v>
      </c>
      <c r="J20" s="242" t="s">
        <v>194</v>
      </c>
      <c r="K20" s="242" t="s">
        <v>195</v>
      </c>
      <c r="L20" s="640" t="s">
        <v>196</v>
      </c>
      <c r="M20" s="640"/>
      <c r="N20" s="242" t="s">
        <v>197</v>
      </c>
      <c r="O20" s="242" t="s">
        <v>198</v>
      </c>
      <c r="P20" s="242" t="s">
        <v>199</v>
      </c>
      <c r="Q20" s="242" t="s">
        <v>200</v>
      </c>
    </row>
    <row r="21" spans="2:17" x14ac:dyDescent="0.3">
      <c r="C21" s="649" t="s">
        <v>201</v>
      </c>
      <c r="D21" s="650"/>
      <c r="E21" s="325"/>
      <c r="F21" s="325">
        <v>0</v>
      </c>
      <c r="G21" s="246">
        <f>IFERROR((E21-F21)/K21,"")</f>
        <v>0</v>
      </c>
      <c r="H21" s="247">
        <f>SUM(J$29:J$36)</f>
        <v>8.4700230000000012</v>
      </c>
      <c r="I21" s="247">
        <f>SUM(K$29:K$36)</f>
        <v>0</v>
      </c>
      <c r="J21" s="248" t="str">
        <f>IFERROR(K21/I21,"")</f>
        <v/>
      </c>
      <c r="K21" s="248">
        <f>SUM(M$29:M$36)</f>
        <v>7508361</v>
      </c>
      <c r="L21" s="663">
        <f>SUM(L$29:L$36)</f>
        <v>8.4700230000000012</v>
      </c>
      <c r="M21" s="663"/>
      <c r="N21" s="249">
        <f>IFERROR(L21/H21,"")</f>
        <v>1</v>
      </c>
      <c r="O21" s="247">
        <f>SUM(O29:O36)</f>
        <v>17.682097687500001</v>
      </c>
      <c r="P21" s="247">
        <f t="shared" ref="P21:Q21" si="0">SUM(P29:P36)</f>
        <v>0</v>
      </c>
      <c r="Q21" s="247">
        <f t="shared" si="0"/>
        <v>17.682097687500001</v>
      </c>
    </row>
    <row r="22" spans="2:17" ht="5.0999999999999996" customHeight="1" x14ac:dyDescent="0.3"/>
    <row r="23" spans="2:17" x14ac:dyDescent="0.3">
      <c r="C23" s="243" t="s">
        <v>202</v>
      </c>
    </row>
    <row r="24" spans="2:17" x14ac:dyDescent="0.3">
      <c r="C24" s="243" t="s">
        <v>203</v>
      </c>
    </row>
    <row r="26" spans="2:17" x14ac:dyDescent="0.3">
      <c r="C26" s="240" t="s">
        <v>204</v>
      </c>
      <c r="D26" s="240"/>
    </row>
    <row r="27" spans="2:17" ht="16.5" customHeight="1" x14ac:dyDescent="0.3">
      <c r="C27" s="653" t="s">
        <v>205</v>
      </c>
      <c r="D27" s="654"/>
      <c r="E27" s="655"/>
      <c r="F27" s="646" t="s">
        <v>206</v>
      </c>
      <c r="G27" s="648"/>
      <c r="H27" s="652" t="s">
        <v>207</v>
      </c>
      <c r="I27" s="652"/>
      <c r="J27" s="646" t="s">
        <v>208</v>
      </c>
      <c r="K27" s="648"/>
      <c r="L27" s="652" t="s">
        <v>209</v>
      </c>
      <c r="M27" s="652"/>
      <c r="N27" s="652"/>
      <c r="O27" s="646" t="s">
        <v>188</v>
      </c>
      <c r="P27" s="647"/>
      <c r="Q27" s="648"/>
    </row>
    <row r="28" spans="2:17" x14ac:dyDescent="0.3">
      <c r="C28" s="656"/>
      <c r="D28" s="657"/>
      <c r="E28" s="658"/>
      <c r="F28" s="242" t="s">
        <v>17</v>
      </c>
      <c r="G28" s="242" t="s">
        <v>210</v>
      </c>
      <c r="H28" s="242" t="s">
        <v>198</v>
      </c>
      <c r="I28" s="242" t="s">
        <v>199</v>
      </c>
      <c r="J28" s="242" t="s">
        <v>211</v>
      </c>
      <c r="K28" s="242" t="s">
        <v>212</v>
      </c>
      <c r="L28" s="242" t="s">
        <v>213</v>
      </c>
      <c r="M28" s="242" t="s">
        <v>195</v>
      </c>
      <c r="N28" s="242" t="s">
        <v>197</v>
      </c>
      <c r="O28" s="242" t="s">
        <v>198</v>
      </c>
      <c r="P28" s="242" t="s">
        <v>199</v>
      </c>
      <c r="Q28" s="242" t="s">
        <v>200</v>
      </c>
    </row>
    <row r="29" spans="2:17" ht="16.5" customHeight="1" x14ac:dyDescent="0.3">
      <c r="C29" s="649" t="s">
        <v>279</v>
      </c>
      <c r="D29" s="650"/>
      <c r="E29" s="651"/>
      <c r="F29" s="250" t="s">
        <v>18</v>
      </c>
      <c r="G29" s="329">
        <v>203</v>
      </c>
      <c r="H29" s="327">
        <v>36987</v>
      </c>
      <c r="I29" s="327"/>
      <c r="J29" s="251">
        <f>H29*Reference!$I$47/1000</f>
        <v>8.4700230000000012</v>
      </c>
      <c r="K29" s="251">
        <f>I29*Reference!$I$47/1000</f>
        <v>0</v>
      </c>
      <c r="L29" s="251">
        <f>J29-K29</f>
        <v>8.4700230000000012</v>
      </c>
      <c r="M29" s="248">
        <f t="shared" ref="M29:M36" si="1">(H29-I29)*G29</f>
        <v>7508361</v>
      </c>
      <c r="N29" s="249">
        <f>IFERROR(L29/J29,"")</f>
        <v>1</v>
      </c>
      <c r="O29" s="251">
        <f>(H29*Reference!D47/1000*Reference!B54)+(H29*Reference!E47/1000000*Reference!C54)+(H29*Reference!F47/1000000*Reference!D54)</f>
        <v>17.682097687500001</v>
      </c>
      <c r="P29" s="251">
        <f>(I29*Reference!D47/1000*Reference!B54)+(I29*Reference!E47/1000000*Reference!C54)+(I29*Reference!F47/1000000*Reference!D54)</f>
        <v>0</v>
      </c>
      <c r="Q29" s="251">
        <f>O29-P29</f>
        <v>17.682097687500001</v>
      </c>
    </row>
    <row r="30" spans="2:17" ht="16.5" customHeight="1" x14ac:dyDescent="0.3">
      <c r="C30" s="664" t="s">
        <v>285</v>
      </c>
      <c r="D30" s="664"/>
      <c r="E30" s="328"/>
      <c r="F30" s="250" t="str">
        <f>IF($E30="","",VLOOKUP($E30,Reference!$B$5:$C$30,2,0))</f>
        <v/>
      </c>
      <c r="G30" s="329"/>
      <c r="H30" s="327"/>
      <c r="I30" s="327"/>
      <c r="J30" s="251">
        <f>IFERROR(H30*VLOOKUP($E30,Reference!$B$28:$K$30,10,FALSE),0)/1000</f>
        <v>0</v>
      </c>
      <c r="K30" s="251">
        <f>IFERROR(I30*VLOOKUP($E30,Reference!$B$28:$K$30,10,FALSE),0)/1000</f>
        <v>0</v>
      </c>
      <c r="L30" s="251">
        <f>J30-K30</f>
        <v>0</v>
      </c>
      <c r="M30" s="248">
        <f t="shared" si="1"/>
        <v>0</v>
      </c>
      <c r="N30" s="249" t="str">
        <f t="shared" ref="N30:N36" si="2">IFERROR(L30/J30,"")</f>
        <v/>
      </c>
      <c r="O30" s="251">
        <f>IFERROR(((H30*VLOOKUP($E30,Reference!$B$28:$G$30,6,FALSE)*VLOOKUP($E30, Reference!$B$28:$J$30, 7,FALSE)*Reference!$B$54)+(H30*VLOOKUP($E30,Reference!$B$28:$G$30,6,FALSE)*VLOOKUP($E30, Reference!$B$28:$J$30, 8,FALSE)*Reference!$C$54)+(H30*VLOOKUP($E30,Reference!$B$28:$G$30,6,FALSE)*VLOOKUP($E30, Reference!$B$28:$J$30,9,FALSE)*Reference!$D$54))/1000000000,0)</f>
        <v>0</v>
      </c>
      <c r="P30" s="251">
        <f>IFERROR(((I30*VLOOKUP($E30,Reference!$B$28:$G$30,6,FALSE)*VLOOKUP($E30, Reference!$B$28:$J$30, 7,FALSE)*Reference!$B$54)+(I30*VLOOKUP($E30,Reference!$B$28:$G$30,6,FALSE)*VLOOKUP($E30, Reference!$B$28:$J$30, 8,FALSE)*Reference!$C$54)+(I30*VLOOKUP($E30,Reference!$B$28:$G$30,6,FALSE)*VLOOKUP($E30, Reference!$B$28:$J$30,9,FALSE)*Reference!$D$54))/1000000000,0)</f>
        <v>0</v>
      </c>
      <c r="Q30" s="251">
        <f t="shared" ref="Q30:Q36" si="3">O30-P30</f>
        <v>0</v>
      </c>
    </row>
    <row r="31" spans="2:17" ht="16.5" customHeight="1" x14ac:dyDescent="0.3">
      <c r="C31" s="640" t="s">
        <v>214</v>
      </c>
      <c r="D31" s="640"/>
      <c r="E31" s="326"/>
      <c r="F31" s="250" t="str">
        <f>IF($E31="","",VLOOKUP($E31,Reference!$B$5:$C$30,2,0))</f>
        <v/>
      </c>
      <c r="G31" s="329"/>
      <c r="H31" s="327"/>
      <c r="I31" s="327"/>
      <c r="J31" s="251">
        <f>IFERROR(H31*VLOOKUP($E31,Reference!$B$5:$K$27,10,FALSE),0)/1000</f>
        <v>0</v>
      </c>
      <c r="K31" s="251">
        <f>IFERROR(I31*VLOOKUP($E31,Reference!$B$5:$K$27,10,FALSE),0)/1000</f>
        <v>0</v>
      </c>
      <c r="L31" s="251">
        <f t="shared" ref="L31:L36" si="4">J31-K31</f>
        <v>0</v>
      </c>
      <c r="M31" s="248">
        <f t="shared" si="1"/>
        <v>0</v>
      </c>
      <c r="N31" s="249" t="str">
        <f t="shared" si="2"/>
        <v/>
      </c>
      <c r="O31" s="251">
        <f>IFERROR(((H31*VLOOKUP($E31,Reference!$B$5:$G$27,6,FALSE)*VLOOKUP($E31, Reference!$B$5:$J$27, 7,FALSE)*Reference!$B$54)+(H31*VLOOKUP($E31,Reference!$B$5:$G$27,6,FALSE)*VLOOKUP($E31, Reference!$B$5:$J$27, 8,FALSE)*Reference!$C$54)+(H31*VLOOKUP($E31,Reference!$B$5:$G$27,6,FALSE)*VLOOKUP($E31, Reference!$B$5:$J$27,9,FALSE)*Reference!$D$54))/1000000000,0)</f>
        <v>0</v>
      </c>
      <c r="P31" s="251">
        <f>IFERROR(((I31*VLOOKUP($E31,Reference!$B$5:$G$27,6,FALSE)*VLOOKUP($E31, Reference!$B$5:$J$27, 7,FALSE)*Reference!$B$54)+(I31*VLOOKUP($E31,Reference!$B$5:$G$27,6,FALSE)*VLOOKUP($E31, Reference!$B$5:$J$27, 8,FALSE)*Reference!$C$54)+(I31*VLOOKUP($E31,Reference!$B$5:$G$27,6,FALSE)*VLOOKUP($E31, Reference!$B$5:$J$27,9,FALSE)*Reference!$D$54))/1000000000,0)</f>
        <v>0</v>
      </c>
      <c r="Q31" s="251">
        <f t="shared" si="3"/>
        <v>0</v>
      </c>
    </row>
    <row r="32" spans="2:17" ht="16.5" customHeight="1" x14ac:dyDescent="0.3">
      <c r="C32" s="640" t="s">
        <v>214</v>
      </c>
      <c r="D32" s="640"/>
      <c r="E32" s="326"/>
      <c r="F32" s="250" t="str">
        <f>IF($E32="","",VLOOKUP($E32,Reference!$B$5:$C$30,2,0))</f>
        <v/>
      </c>
      <c r="G32" s="329"/>
      <c r="H32" s="327"/>
      <c r="I32" s="327"/>
      <c r="J32" s="251">
        <f>IFERROR(H32*VLOOKUP($E32,Reference!$B$5:$K$27,10,FALSE),0)/1000</f>
        <v>0</v>
      </c>
      <c r="K32" s="251">
        <f>IFERROR(I32*VLOOKUP($E32,Reference!$B$5:$K$27,10,FALSE),0)/1000</f>
        <v>0</v>
      </c>
      <c r="L32" s="251">
        <f t="shared" si="4"/>
        <v>0</v>
      </c>
      <c r="M32" s="248">
        <f t="shared" si="1"/>
        <v>0</v>
      </c>
      <c r="N32" s="249" t="str">
        <f t="shared" si="2"/>
        <v/>
      </c>
      <c r="O32" s="251">
        <f>IFERROR(((H32*VLOOKUP($E32,Reference!$B$5:$G$27,6,FALSE)*VLOOKUP($E32, Reference!$B$5:$J$27, 7,FALSE)*Reference!$B$54)+(H32*VLOOKUP($E32,Reference!$B$5:$G$27,6,FALSE)*VLOOKUP($E32, Reference!$B$5:$J$27, 8,FALSE)*Reference!$C$54)+(H32*VLOOKUP($E32,Reference!$B$5:$G$27,6,FALSE)*VLOOKUP($E32, Reference!$B$5:$J$27,9,FALSE)*Reference!$D$54))/1000000000,0)</f>
        <v>0</v>
      </c>
      <c r="P32" s="251">
        <f>IFERROR(((I32*VLOOKUP($E32,Reference!$B$5:$G$27,6,FALSE)*VLOOKUP($E32, Reference!$B$5:$J$27, 7,FALSE)*Reference!$B$54)+(I32*VLOOKUP($E32,Reference!$B$5:$G$27,6,FALSE)*VLOOKUP($E32, Reference!$B$5:$J$27, 8,FALSE)*Reference!$C$54)+(I32*VLOOKUP($E32,Reference!$B$5:$G$27,6,FALSE)*VLOOKUP($E32, Reference!$B$5:$J$27,9,FALSE)*Reference!$D$54))/1000000000,0)</f>
        <v>0</v>
      </c>
      <c r="Q32" s="251">
        <f t="shared" si="3"/>
        <v>0</v>
      </c>
    </row>
    <row r="33" spans="3:17" ht="16.5" customHeight="1" x14ac:dyDescent="0.3">
      <c r="C33" s="640" t="s">
        <v>214</v>
      </c>
      <c r="D33" s="640"/>
      <c r="E33" s="326"/>
      <c r="F33" s="250" t="str">
        <f>IF($E33="","",VLOOKUP($E33,Reference!$B$5:$C$30,2,0))</f>
        <v/>
      </c>
      <c r="G33" s="329"/>
      <c r="H33" s="327"/>
      <c r="I33" s="327"/>
      <c r="J33" s="251">
        <f>IFERROR(H33*VLOOKUP($E33,Reference!$B$5:$K$27,10,FALSE),0)/1000</f>
        <v>0</v>
      </c>
      <c r="K33" s="251">
        <f>IFERROR(I33*VLOOKUP($E33,Reference!$B$5:$K$27,10,FALSE),0)/1000</f>
        <v>0</v>
      </c>
      <c r="L33" s="251">
        <f t="shared" si="4"/>
        <v>0</v>
      </c>
      <c r="M33" s="248">
        <f t="shared" si="1"/>
        <v>0</v>
      </c>
      <c r="N33" s="249" t="str">
        <f t="shared" si="2"/>
        <v/>
      </c>
      <c r="O33" s="251">
        <f>IFERROR(((H33*VLOOKUP($E33,Reference!$B$5:$G$27,6,FALSE)*VLOOKUP($E33, Reference!$B$5:$J$27, 7,FALSE)*Reference!$B$54)+(H33*VLOOKUP($E33,Reference!$B$5:$G$27,6,FALSE)*VLOOKUP($E33, Reference!$B$5:$J$27, 8,FALSE)*Reference!$C$54)+(H33*VLOOKUP($E33,Reference!$B$5:$G$27,6,FALSE)*VLOOKUP($E33, Reference!$B$5:$J$27,9,FALSE)*Reference!$D$54))/1000000000,0)</f>
        <v>0</v>
      </c>
      <c r="P33" s="251">
        <f>IFERROR(((I33*VLOOKUP($E33,Reference!$B$5:$G$27,6,FALSE)*VLOOKUP($E33, Reference!$B$5:$J$27, 7,FALSE)*Reference!$B$54)+(I33*VLOOKUP($E33,Reference!$B$5:$G$27,6,FALSE)*VLOOKUP($E33, Reference!$B$5:$J$27, 8,FALSE)*Reference!$C$54)+(I33*VLOOKUP($E33,Reference!$B$5:$G$27,6,FALSE)*VLOOKUP($E33, Reference!$B$5:$J$27,9,FALSE)*Reference!$D$54))/1000000000,0)</f>
        <v>0</v>
      </c>
      <c r="Q33" s="251">
        <f t="shared" si="3"/>
        <v>0</v>
      </c>
    </row>
    <row r="34" spans="3:17" ht="16.5" customHeight="1" x14ac:dyDescent="0.3">
      <c r="C34" s="640" t="s">
        <v>214</v>
      </c>
      <c r="D34" s="640"/>
      <c r="E34" s="326"/>
      <c r="F34" s="250" t="str">
        <f>IF($E34="","",VLOOKUP($E34,Reference!$B$5:$C$30,2,0))</f>
        <v/>
      </c>
      <c r="G34" s="329"/>
      <c r="H34" s="327"/>
      <c r="I34" s="327"/>
      <c r="J34" s="251">
        <f>IFERROR(H34*VLOOKUP($E34,Reference!$B$5:$K$27,10,FALSE),0)/1000</f>
        <v>0</v>
      </c>
      <c r="K34" s="251">
        <f>IFERROR(I34*VLOOKUP($E34,Reference!$B$5:$K$27,10,FALSE),0)/1000</f>
        <v>0</v>
      </c>
      <c r="L34" s="251">
        <f t="shared" si="4"/>
        <v>0</v>
      </c>
      <c r="M34" s="248">
        <f t="shared" si="1"/>
        <v>0</v>
      </c>
      <c r="N34" s="249" t="str">
        <f t="shared" si="2"/>
        <v/>
      </c>
      <c r="O34" s="251">
        <f>IFERROR(((H34*VLOOKUP($E34,Reference!$B$5:$G$27,6,FALSE)*VLOOKUP($E34, Reference!$B$5:$J$27, 7,FALSE)*Reference!$B$54)+(H34*VLOOKUP($E34,Reference!$B$5:$G$27,6,FALSE)*VLOOKUP($E34, Reference!$B$5:$J$27, 8,FALSE)*Reference!$C$54)+(H34*VLOOKUP($E34,Reference!$B$5:$G$27,6,FALSE)*VLOOKUP($E34, Reference!$B$5:$J$27,9,FALSE)*Reference!$D$54))/1000000000,0)</f>
        <v>0</v>
      </c>
      <c r="P34" s="251">
        <f>IFERROR(((I34*VLOOKUP($E34,Reference!$B$5:$G$27,6,FALSE)*VLOOKUP($E34, Reference!$B$5:$J$27, 7,FALSE)*Reference!$B$54)+(I34*VLOOKUP($E34,Reference!$B$5:$G$27,6,FALSE)*VLOOKUP($E34, Reference!$B$5:$J$27, 8,FALSE)*Reference!$C$54)+(I34*VLOOKUP($E34,Reference!$B$5:$G$27,6,FALSE)*VLOOKUP($E34, Reference!$B$5:$J$27,9,FALSE)*Reference!$D$54))/1000000000,0)</f>
        <v>0</v>
      </c>
      <c r="Q34" s="251">
        <f t="shared" si="3"/>
        <v>0</v>
      </c>
    </row>
    <row r="35" spans="3:17" ht="16.5" customHeight="1" x14ac:dyDescent="0.3">
      <c r="C35" s="640" t="s">
        <v>214</v>
      </c>
      <c r="D35" s="640"/>
      <c r="E35" s="326"/>
      <c r="F35" s="250" t="str">
        <f>IF($E35="","",VLOOKUP($E35,Reference!$B$5:$C$30,2,0))</f>
        <v/>
      </c>
      <c r="G35" s="329"/>
      <c r="H35" s="327"/>
      <c r="I35" s="327"/>
      <c r="J35" s="251">
        <f>IFERROR(H35*VLOOKUP($E35,Reference!$B$5:$K$27,10,FALSE),0)/1000</f>
        <v>0</v>
      </c>
      <c r="K35" s="251">
        <f>IFERROR(I35*VLOOKUP($E35,Reference!$B$5:$K$27,10,FALSE),0)/1000</f>
        <v>0</v>
      </c>
      <c r="L35" s="251">
        <f t="shared" si="4"/>
        <v>0</v>
      </c>
      <c r="M35" s="248">
        <f t="shared" si="1"/>
        <v>0</v>
      </c>
      <c r="N35" s="249" t="str">
        <f t="shared" si="2"/>
        <v/>
      </c>
      <c r="O35" s="251">
        <f>IFERROR(((H35*VLOOKUP($E35,Reference!$B$5:$G$27,6,FALSE)*VLOOKUP($E35, Reference!$B$5:$J$27, 7,FALSE)*Reference!$B$54)+(H35*VLOOKUP($E35,Reference!$B$5:$G$27,6,FALSE)*VLOOKUP($E35, Reference!$B$5:$J$27, 8,FALSE)*Reference!$C$54)+(H35*VLOOKUP($E35,Reference!$B$5:$G$27,6,FALSE)*VLOOKUP($E35, Reference!$B$5:$J$27,9,FALSE)*Reference!$D$54))/1000000000,0)</f>
        <v>0</v>
      </c>
      <c r="P35" s="251">
        <f>IFERROR(((I35*VLOOKUP($E35,Reference!$B$5:$G$27,6,FALSE)*VLOOKUP($E35, Reference!$B$5:$J$27, 7,FALSE)*Reference!$B$54)+(I35*VLOOKUP($E35,Reference!$B$5:$G$27,6,FALSE)*VLOOKUP($E35, Reference!$B$5:$J$27, 8,FALSE)*Reference!$C$54)+(I35*VLOOKUP($E35,Reference!$B$5:$G$27,6,FALSE)*VLOOKUP($E35, Reference!$B$5:$J$27,9,FALSE)*Reference!$D$54))/1000000000,0)</f>
        <v>0</v>
      </c>
      <c r="Q35" s="251">
        <f t="shared" si="3"/>
        <v>0</v>
      </c>
    </row>
    <row r="36" spans="3:17" ht="16.5" customHeight="1" x14ac:dyDescent="0.3">
      <c r="C36" s="640" t="s">
        <v>214</v>
      </c>
      <c r="D36" s="640"/>
      <c r="E36" s="326"/>
      <c r="F36" s="250" t="str">
        <f>IF($E36="","",VLOOKUP($E36,Reference!$B$5:$C$30,2,0))</f>
        <v/>
      </c>
      <c r="G36" s="329"/>
      <c r="H36" s="327"/>
      <c r="I36" s="327"/>
      <c r="J36" s="251">
        <f>IFERROR(H36*VLOOKUP($E36,Reference!$B$5:$K$27,10,FALSE),0)/1000</f>
        <v>0</v>
      </c>
      <c r="K36" s="251">
        <f>IFERROR(I36*VLOOKUP($E36,Reference!$B$5:$K$27,10,FALSE),0)/1000</f>
        <v>0</v>
      </c>
      <c r="L36" s="251">
        <f t="shared" si="4"/>
        <v>0</v>
      </c>
      <c r="M36" s="248">
        <f t="shared" si="1"/>
        <v>0</v>
      </c>
      <c r="N36" s="249" t="str">
        <f t="shared" si="2"/>
        <v/>
      </c>
      <c r="O36" s="251">
        <f>IFERROR(((H36*VLOOKUP($E36,Reference!$B$5:$G$27,6,FALSE)*VLOOKUP($E36, Reference!$B$5:$J$27, 7,FALSE)*Reference!$B$54)+(H36*VLOOKUP($E36,Reference!$B$5:$G$27,6,FALSE)*VLOOKUP($E36, Reference!$B$5:$J$27, 8,FALSE)*Reference!$C$54)+(H36*VLOOKUP($E36,Reference!$B$5:$G$27,6,FALSE)*VLOOKUP($E36, Reference!$B$5:$J$27,9,FALSE)*Reference!$D$54))/1000000000,0)</f>
        <v>0</v>
      </c>
      <c r="P36" s="251">
        <f>IFERROR(((I36*VLOOKUP($E36,Reference!$B$5:$G$27,6,FALSE)*VLOOKUP($E36, Reference!$B$5:$J$27, 7,FALSE)*Reference!$B$54)+(I36*VLOOKUP($E36,Reference!$B$5:$G$27,6,FALSE)*VLOOKUP($E36, Reference!$B$5:$J$27, 8,FALSE)*Reference!$C$54)+(I36*VLOOKUP($E36,Reference!$B$5:$G$27,6,FALSE)*VLOOKUP($E36, Reference!$B$5:$J$27,9,FALSE)*Reference!$D$54))/1000000000,0)</f>
        <v>0</v>
      </c>
      <c r="Q36" s="251">
        <f t="shared" si="3"/>
        <v>0</v>
      </c>
    </row>
    <row r="37" spans="3:17" ht="5.0999999999999996" customHeight="1" x14ac:dyDescent="0.3"/>
    <row r="38" spans="3:17" x14ac:dyDescent="0.3">
      <c r="C38" s="243" t="s">
        <v>215</v>
      </c>
    </row>
    <row r="39" spans="3:17" x14ac:dyDescent="0.3">
      <c r="C39" s="243" t="s">
        <v>216</v>
      </c>
      <c r="P39" s="244"/>
    </row>
    <row r="40" spans="3:17" x14ac:dyDescent="0.3">
      <c r="C40" s="243" t="s">
        <v>232</v>
      </c>
    </row>
  </sheetData>
  <sheetProtection algorithmName="SHA-512" hashValue="rzbLGbM7ivoVTaGVu9RAUFv6JpTNJMmZDfiNj3v47gp6BEnmN8FqpWRO/O5trYjB/eNkKZX4JLKA4M/ZMTCdTg==" saltValue="LharYYddUZL/ez6HyGh9NQ==" spinCount="100000" sheet="1"/>
  <mergeCells count="41">
    <mergeCell ref="C30:D30"/>
    <mergeCell ref="B4:D4"/>
    <mergeCell ref="C8:E8"/>
    <mergeCell ref="F8:H8"/>
    <mergeCell ref="C9:E9"/>
    <mergeCell ref="F9:J9"/>
    <mergeCell ref="C10:C14"/>
    <mergeCell ref="D10:E10"/>
    <mergeCell ref="F10:J10"/>
    <mergeCell ref="D11:E11"/>
    <mergeCell ref="F11:J11"/>
    <mergeCell ref="D12:E12"/>
    <mergeCell ref="F12:J12"/>
    <mergeCell ref="D13:E13"/>
    <mergeCell ref="D14:E14"/>
    <mergeCell ref="F14:J14"/>
    <mergeCell ref="F27:G27"/>
    <mergeCell ref="H27:I27"/>
    <mergeCell ref="J27:K27"/>
    <mergeCell ref="L27:N27"/>
    <mergeCell ref="C19:D20"/>
    <mergeCell ref="E19:G19"/>
    <mergeCell ref="H19:I19"/>
    <mergeCell ref="J19:K19"/>
    <mergeCell ref="L21:M21"/>
    <mergeCell ref="C34:D34"/>
    <mergeCell ref="C35:D35"/>
    <mergeCell ref="C36:D36"/>
    <mergeCell ref="B2:S2"/>
    <mergeCell ref="F13:G13"/>
    <mergeCell ref="H13:J13"/>
    <mergeCell ref="O27:Q27"/>
    <mergeCell ref="C29:E29"/>
    <mergeCell ref="C31:D31"/>
    <mergeCell ref="C32:D32"/>
    <mergeCell ref="C33:D33"/>
    <mergeCell ref="L19:N19"/>
    <mergeCell ref="O19:Q19"/>
    <mergeCell ref="L20:M20"/>
    <mergeCell ref="C21:D21"/>
    <mergeCell ref="C27:E28"/>
  </mergeCells>
  <phoneticPr fontId="3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Reference!$B$28:$B$30</xm:f>
          </x14:formula1>
          <xm:sqref>E30</xm:sqref>
        </x14:dataValidation>
        <x14:dataValidation type="list" allowBlank="1" showInputMessage="1" showErrorMessage="1">
          <x14:formula1>
            <xm:f>Reference!$B$5:$B$27</xm:f>
          </x14:formula1>
          <xm:sqref>E31:E36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2:T42"/>
  <sheetViews>
    <sheetView zoomScaleNormal="100" workbookViewId="0">
      <pane ySplit="10" topLeftCell="A11" activePane="bottomLeft" state="frozen"/>
      <selection pane="bottomLeft" activeCell="P24" sqref="P24"/>
    </sheetView>
  </sheetViews>
  <sheetFormatPr defaultColWidth="9" defaultRowHeight="16.5" x14ac:dyDescent="0.3"/>
  <cols>
    <col min="1" max="1" width="2.5" style="134" customWidth="1"/>
    <col min="2" max="2" width="16.25" style="134" customWidth="1"/>
    <col min="3" max="3" width="10.375" style="134" bestFit="1" customWidth="1"/>
    <col min="4" max="4" width="20.5" style="134" bestFit="1" customWidth="1"/>
    <col min="5" max="17" width="12.625" style="134" customWidth="1"/>
    <col min="18" max="16384" width="9" style="134"/>
  </cols>
  <sheetData>
    <row r="2" spans="1:20" ht="37.5" customHeight="1" x14ac:dyDescent="0.3">
      <c r="B2" s="605" t="s">
        <v>234</v>
      </c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</row>
    <row r="3" spans="1:20" ht="17.25" x14ac:dyDescent="0.3">
      <c r="B3" s="255"/>
    </row>
    <row r="4" spans="1:20" x14ac:dyDescent="0.3">
      <c r="B4" s="256"/>
      <c r="C4" s="257" t="s">
        <v>44</v>
      </c>
      <c r="T4" s="135"/>
    </row>
    <row r="6" spans="1:20" ht="17.25" x14ac:dyDescent="0.3">
      <c r="B6" s="671" t="s">
        <v>78</v>
      </c>
      <c r="C6" s="671" t="s">
        <v>17</v>
      </c>
      <c r="D6" s="671"/>
      <c r="E6" s="671" t="s">
        <v>0</v>
      </c>
      <c r="F6" s="671"/>
      <c r="G6" s="671"/>
      <c r="H6" s="671"/>
      <c r="I6" s="671"/>
      <c r="J6" s="671"/>
      <c r="K6" s="671"/>
      <c r="L6" s="671"/>
      <c r="M6" s="671"/>
      <c r="N6" s="671"/>
      <c r="O6" s="671"/>
      <c r="P6" s="671"/>
      <c r="Q6" s="671"/>
    </row>
    <row r="7" spans="1:20" ht="17.25" x14ac:dyDescent="0.3">
      <c r="B7" s="671"/>
      <c r="C7" s="671"/>
      <c r="D7" s="671"/>
      <c r="E7" s="258" t="s">
        <v>2</v>
      </c>
      <c r="F7" s="258" t="s">
        <v>1</v>
      </c>
      <c r="G7" s="258" t="s">
        <v>3</v>
      </c>
      <c r="H7" s="258" t="s">
        <v>220</v>
      </c>
      <c r="I7" s="258" t="s">
        <v>221</v>
      </c>
      <c r="J7" s="258" t="s">
        <v>222</v>
      </c>
      <c r="K7" s="258" t="s">
        <v>223</v>
      </c>
      <c r="L7" s="258" t="s">
        <v>224</v>
      </c>
      <c r="M7" s="258" t="s">
        <v>225</v>
      </c>
      <c r="N7" s="258" t="s">
        <v>226</v>
      </c>
      <c r="O7" s="258" t="s">
        <v>227</v>
      </c>
      <c r="P7" s="258" t="s">
        <v>228</v>
      </c>
      <c r="Q7" s="258" t="s">
        <v>229</v>
      </c>
    </row>
    <row r="8" spans="1:20" x14ac:dyDescent="0.3">
      <c r="B8" s="672" t="s">
        <v>411</v>
      </c>
      <c r="C8" s="259" t="s">
        <v>230</v>
      </c>
      <c r="D8" s="259" t="str">
        <f>IF($B$8="프로판","m3",(IF($B$8="스팀","kg","")))</f>
        <v>m3</v>
      </c>
      <c r="E8" s="260">
        <f>SUM(F8:Q8)</f>
        <v>0</v>
      </c>
      <c r="F8" s="330"/>
      <c r="G8" s="330"/>
      <c r="H8" s="330"/>
      <c r="I8" s="330"/>
      <c r="J8" s="330"/>
      <c r="K8" s="330"/>
      <c r="L8" s="330"/>
      <c r="M8" s="330"/>
      <c r="N8" s="330"/>
      <c r="O8" s="331"/>
      <c r="P8" s="331"/>
      <c r="Q8" s="331"/>
    </row>
    <row r="9" spans="1:20" x14ac:dyDescent="0.3">
      <c r="B9" s="672"/>
      <c r="C9" s="259" t="s">
        <v>168</v>
      </c>
      <c r="D9" s="259" t="str">
        <f>IF($B$8="프로판","kg",(IF($B$8="스팀","MJ","")))</f>
        <v>kg</v>
      </c>
      <c r="E9" s="260">
        <f>SUM(F9:Q9)</f>
        <v>0</v>
      </c>
      <c r="F9" s="261">
        <f t="shared" ref="F9:Q9" si="0">IF($B$8="프로판", F8/$D$15*$F$15,(IF($B$8="스팀", F8*$C$38,"")))</f>
        <v>0</v>
      </c>
      <c r="G9" s="261">
        <f t="shared" si="0"/>
        <v>0</v>
      </c>
      <c r="H9" s="261">
        <f t="shared" si="0"/>
        <v>0</v>
      </c>
      <c r="I9" s="261">
        <f t="shared" si="0"/>
        <v>0</v>
      </c>
      <c r="J9" s="261">
        <f t="shared" si="0"/>
        <v>0</v>
      </c>
      <c r="K9" s="261">
        <f t="shared" si="0"/>
        <v>0</v>
      </c>
      <c r="L9" s="261">
        <f t="shared" si="0"/>
        <v>0</v>
      </c>
      <c r="M9" s="261">
        <f t="shared" si="0"/>
        <v>0</v>
      </c>
      <c r="N9" s="261">
        <f t="shared" si="0"/>
        <v>0</v>
      </c>
      <c r="O9" s="261">
        <f t="shared" si="0"/>
        <v>0</v>
      </c>
      <c r="P9" s="261">
        <f t="shared" si="0"/>
        <v>0</v>
      </c>
      <c r="Q9" s="261">
        <f t="shared" si="0"/>
        <v>0</v>
      </c>
    </row>
    <row r="11" spans="1:20" ht="17.25" thickBot="1" x14ac:dyDescent="0.35"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</row>
    <row r="12" spans="1:20" ht="25.5" thickTop="1" thickBot="1" x14ac:dyDescent="0.35">
      <c r="A12" s="158"/>
      <c r="B12" s="673" t="s">
        <v>330</v>
      </c>
      <c r="C12" s="674"/>
      <c r="D12" s="674"/>
      <c r="E12" s="674"/>
      <c r="F12" s="674"/>
      <c r="G12" s="675"/>
      <c r="H12" s="274"/>
      <c r="I12" s="272"/>
      <c r="J12" s="273"/>
      <c r="K12" s="273"/>
      <c r="L12" s="273"/>
      <c r="M12" s="273"/>
      <c r="N12" s="273"/>
      <c r="O12" s="273"/>
      <c r="P12" s="273"/>
      <c r="Q12" s="273"/>
    </row>
    <row r="13" spans="1:20" ht="17.25" thickTop="1" x14ac:dyDescent="0.3">
      <c r="B13" s="187" t="s">
        <v>79</v>
      </c>
      <c r="C13" s="187"/>
      <c r="D13" s="187"/>
      <c r="E13" s="187"/>
      <c r="F13" s="187"/>
      <c r="G13" s="187"/>
    </row>
    <row r="14" spans="1:20" ht="20.25" customHeight="1" x14ac:dyDescent="0.3">
      <c r="B14" s="258" t="s">
        <v>78</v>
      </c>
      <c r="C14" s="258" t="s">
        <v>17</v>
      </c>
      <c r="D14" s="262" t="s">
        <v>88</v>
      </c>
      <c r="E14" s="263" t="s">
        <v>170</v>
      </c>
      <c r="F14" s="680" t="s">
        <v>231</v>
      </c>
      <c r="G14" s="680"/>
    </row>
    <row r="15" spans="1:20" ht="18.75" customHeight="1" x14ac:dyDescent="0.3">
      <c r="B15" s="259" t="s">
        <v>74</v>
      </c>
      <c r="C15" s="259" t="s">
        <v>169</v>
      </c>
      <c r="D15" s="333">
        <v>0.4864</v>
      </c>
      <c r="E15" s="332" t="s">
        <v>425</v>
      </c>
      <c r="F15" s="681">
        <v>1.2093</v>
      </c>
      <c r="G15" s="681"/>
    </row>
    <row r="16" spans="1:20" ht="18.75" customHeight="1" x14ac:dyDescent="0.3">
      <c r="B16" s="264"/>
      <c r="C16" s="264"/>
      <c r="D16" s="265"/>
      <c r="E16" s="264"/>
      <c r="F16" s="266"/>
    </row>
    <row r="17" spans="2:17" ht="18.75" customHeight="1" x14ac:dyDescent="0.3">
      <c r="B17" s="264"/>
      <c r="C17" s="264"/>
      <c r="D17" s="265"/>
      <c r="E17" s="264"/>
      <c r="F17" s="266"/>
    </row>
    <row r="18" spans="2:17" ht="18.75" customHeight="1" x14ac:dyDescent="0.3">
      <c r="B18" s="264"/>
      <c r="C18" s="264"/>
      <c r="D18" s="265"/>
      <c r="E18" s="264"/>
      <c r="F18" s="266"/>
    </row>
    <row r="19" spans="2:17" x14ac:dyDescent="0.3">
      <c r="F19" s="267"/>
    </row>
    <row r="20" spans="2:17" ht="18.75" customHeight="1" x14ac:dyDescent="0.3">
      <c r="B20" s="264"/>
      <c r="C20" s="264"/>
      <c r="D20" s="265"/>
      <c r="E20" s="264"/>
      <c r="F20" s="266"/>
    </row>
    <row r="21" spans="2:17" ht="18.75" customHeight="1" x14ac:dyDescent="0.3">
      <c r="B21" s="264"/>
      <c r="C21" s="264"/>
      <c r="D21" s="265"/>
      <c r="E21" s="264"/>
      <c r="F21" s="266"/>
    </row>
    <row r="22" spans="2:17" x14ac:dyDescent="0.3">
      <c r="F22" s="267"/>
    </row>
    <row r="23" spans="2:17" ht="18.75" customHeight="1" x14ac:dyDescent="0.3">
      <c r="B23" s="264"/>
      <c r="C23" s="264"/>
      <c r="D23" s="265"/>
      <c r="E23" s="264"/>
      <c r="F23" s="266"/>
    </row>
    <row r="24" spans="2:17" ht="18.75" customHeight="1" x14ac:dyDescent="0.3">
      <c r="B24" s="264"/>
      <c r="C24" s="264"/>
      <c r="D24" s="265"/>
      <c r="E24" s="264"/>
      <c r="F24" s="266"/>
    </row>
    <row r="25" spans="2:17" x14ac:dyDescent="0.3">
      <c r="F25" s="267"/>
    </row>
    <row r="26" spans="2:17" ht="18.75" customHeight="1" x14ac:dyDescent="0.3">
      <c r="B26" s="264"/>
      <c r="C26" s="264"/>
      <c r="D26" s="265"/>
      <c r="E26" s="264"/>
      <c r="F26" s="266"/>
    </row>
    <row r="27" spans="2:17" ht="18.75" customHeight="1" x14ac:dyDescent="0.3">
      <c r="B27" s="264"/>
      <c r="C27" s="264"/>
      <c r="D27" s="265"/>
      <c r="E27" s="264"/>
      <c r="F27" s="266"/>
    </row>
    <row r="28" spans="2:17" ht="18.75" customHeight="1" x14ac:dyDescent="0.3">
      <c r="B28" s="264"/>
      <c r="C28" s="264"/>
      <c r="D28" s="265"/>
      <c r="E28" s="264"/>
      <c r="F28" s="266"/>
    </row>
    <row r="29" spans="2:17" ht="18.75" customHeight="1" x14ac:dyDescent="0.3">
      <c r="B29" s="264"/>
      <c r="C29" s="264"/>
      <c r="D29" s="265"/>
      <c r="E29" s="264"/>
      <c r="F29" s="266"/>
    </row>
    <row r="30" spans="2:17" x14ac:dyDescent="0.3">
      <c r="F30" s="267"/>
    </row>
    <row r="31" spans="2:17" x14ac:dyDescent="0.3">
      <c r="F31" s="267"/>
    </row>
    <row r="32" spans="2:17" x14ac:dyDescent="0.3">
      <c r="B32" s="271"/>
      <c r="C32" s="271"/>
      <c r="D32" s="271"/>
      <c r="E32" s="271"/>
      <c r="F32" s="275"/>
      <c r="G32" s="271"/>
      <c r="H32" s="271"/>
      <c r="I32" s="271"/>
      <c r="J32" s="271"/>
      <c r="K32" s="271"/>
      <c r="L32" s="271"/>
      <c r="M32" s="271"/>
      <c r="N32" s="271"/>
      <c r="O32" s="271"/>
      <c r="P32" s="271"/>
      <c r="Q32" s="271"/>
    </row>
    <row r="33" spans="1:17" ht="17.25" thickBot="1" x14ac:dyDescent="0.35">
      <c r="B33" s="271"/>
      <c r="C33" s="271"/>
      <c r="D33" s="271"/>
      <c r="E33" s="271"/>
      <c r="F33" s="275"/>
      <c r="G33" s="271"/>
      <c r="H33" s="271"/>
      <c r="I33" s="271"/>
      <c r="J33" s="271"/>
      <c r="K33" s="271"/>
      <c r="L33" s="271"/>
      <c r="M33" s="271"/>
      <c r="N33" s="271"/>
      <c r="O33" s="271"/>
      <c r="P33" s="271"/>
      <c r="Q33" s="271"/>
    </row>
    <row r="34" spans="1:17" ht="24.75" thickTop="1" x14ac:dyDescent="0.3">
      <c r="A34" s="158"/>
      <c r="B34" s="676" t="s">
        <v>53</v>
      </c>
      <c r="C34" s="677"/>
      <c r="D34" s="677"/>
      <c r="E34" s="677"/>
      <c r="F34" s="677"/>
      <c r="G34" s="678"/>
      <c r="H34" s="274"/>
      <c r="I34" s="272"/>
      <c r="J34" s="273"/>
      <c r="K34" s="273"/>
      <c r="L34" s="273"/>
      <c r="M34" s="273"/>
      <c r="N34" s="273"/>
      <c r="O34" s="273"/>
      <c r="P34" s="273"/>
      <c r="Q34" s="273"/>
    </row>
    <row r="35" spans="1:17" x14ac:dyDescent="0.3">
      <c r="B35" s="183" t="s">
        <v>151</v>
      </c>
      <c r="C35" s="183"/>
      <c r="D35" s="183"/>
      <c r="E35" s="183"/>
      <c r="F35" s="183"/>
      <c r="G35" s="183"/>
      <c r="H35" s="271"/>
      <c r="I35" s="271"/>
      <c r="J35" s="271"/>
      <c r="K35" s="264"/>
    </row>
    <row r="36" spans="1:17" ht="20.25" customHeight="1" x14ac:dyDescent="0.3">
      <c r="B36" s="671" t="s">
        <v>39</v>
      </c>
      <c r="C36" s="671" t="s">
        <v>52</v>
      </c>
      <c r="D36" s="671"/>
      <c r="E36" s="671" t="s">
        <v>77</v>
      </c>
      <c r="F36" s="671"/>
      <c r="G36" s="381" t="s">
        <v>403</v>
      </c>
      <c r="H36" s="381" t="s">
        <v>404</v>
      </c>
      <c r="I36" s="381" t="s">
        <v>405</v>
      </c>
      <c r="J36" s="382" t="s">
        <v>406</v>
      </c>
      <c r="K36" s="159"/>
    </row>
    <row r="37" spans="1:17" ht="19.5" customHeight="1" x14ac:dyDescent="0.3">
      <c r="B37" s="671"/>
      <c r="C37" s="682" t="s">
        <v>82</v>
      </c>
      <c r="D37" s="682"/>
      <c r="E37" s="258" t="s">
        <v>40</v>
      </c>
      <c r="F37" s="258" t="s">
        <v>41</v>
      </c>
      <c r="G37" s="383" t="s">
        <v>407</v>
      </c>
      <c r="H37" s="383" t="s">
        <v>408</v>
      </c>
      <c r="I37" s="383" t="s">
        <v>409</v>
      </c>
      <c r="J37" s="382" t="s">
        <v>410</v>
      </c>
      <c r="K37" s="159"/>
    </row>
    <row r="38" spans="1:17" ht="18.75" customHeight="1" x14ac:dyDescent="0.3">
      <c r="B38" s="259" t="s">
        <v>87</v>
      </c>
      <c r="C38" s="679">
        <f>F38*E38/1000</f>
        <v>2.8470239999999998</v>
      </c>
      <c r="D38" s="679"/>
      <c r="E38" s="268">
        <v>4.1867999999999999</v>
      </c>
      <c r="F38" s="332">
        <v>680</v>
      </c>
      <c r="G38" s="384">
        <v>73882</v>
      </c>
      <c r="H38" s="385">
        <v>0.94520000000000004</v>
      </c>
      <c r="I38" s="385">
        <v>0.12139999999999999</v>
      </c>
      <c r="J38" s="384">
        <v>73939</v>
      </c>
      <c r="K38" s="159"/>
    </row>
    <row r="39" spans="1:17" x14ac:dyDescent="0.3">
      <c r="B39" s="187"/>
      <c r="C39" s="187"/>
      <c r="D39" s="187"/>
      <c r="E39" s="380" t="s">
        <v>150</v>
      </c>
      <c r="F39" s="187"/>
      <c r="G39" s="187"/>
      <c r="H39" s="187"/>
      <c r="I39" s="187"/>
      <c r="J39" s="187"/>
    </row>
    <row r="40" spans="1:17" x14ac:dyDescent="0.3">
      <c r="E40" s="269"/>
      <c r="H40" s="270"/>
      <c r="K40" s="264"/>
    </row>
    <row r="42" spans="1:17" x14ac:dyDescent="0.3">
      <c r="D42" s="354"/>
    </row>
  </sheetData>
  <sheetProtection algorithmName="SHA-512" hashValue="mvrLJAZ2aHUJqeQrZCHRpwOanQHqF3Cv+DBy+t4RHxMf2jNFF7pyULa+y+ittqolX7BIdLQNchX1ae83GhOv/Q==" saltValue="NETWtwaM/0nrUh8Fj/YBkA==" spinCount="100000" sheet="1" objects="1" scenarios="1"/>
  <mergeCells count="14">
    <mergeCell ref="B12:G12"/>
    <mergeCell ref="B34:G34"/>
    <mergeCell ref="C38:D38"/>
    <mergeCell ref="F14:G14"/>
    <mergeCell ref="F15:G15"/>
    <mergeCell ref="E36:F36"/>
    <mergeCell ref="B36:B37"/>
    <mergeCell ref="C36:D36"/>
    <mergeCell ref="C37:D37"/>
    <mergeCell ref="B2:S2"/>
    <mergeCell ref="E6:Q6"/>
    <mergeCell ref="B6:B7"/>
    <mergeCell ref="C6:D7"/>
    <mergeCell ref="B8:B9"/>
  </mergeCells>
  <phoneticPr fontId="3" type="noConversion"/>
  <dataValidations count="1">
    <dataValidation type="list" allowBlank="1" showInputMessage="1" showErrorMessage="1" sqref="B8">
      <formula1>"프로판, 스팀"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57"/>
  <sheetViews>
    <sheetView topLeftCell="A13" zoomScale="115" zoomScaleNormal="115" workbookViewId="0">
      <pane xSplit="3" topLeftCell="D1" activePane="topRight" state="frozen"/>
      <selection pane="topRight" activeCell="K60" sqref="K60"/>
    </sheetView>
  </sheetViews>
  <sheetFormatPr defaultRowHeight="16.5" x14ac:dyDescent="0.3"/>
  <cols>
    <col min="1" max="1" width="3.125" style="22" customWidth="1"/>
    <col min="2" max="2" width="20.5" style="22" customWidth="1"/>
    <col min="3" max="3" width="8" style="22" bestFit="1" customWidth="1"/>
    <col min="4" max="4" width="18.5" style="22" bestFit="1" customWidth="1"/>
    <col min="5" max="5" width="19.875" style="22" bestFit="1" customWidth="1"/>
    <col min="6" max="6" width="20.5" style="22" bestFit="1" customWidth="1"/>
    <col min="7" max="7" width="14.25" style="22" bestFit="1" customWidth="1"/>
    <col min="8" max="8" width="17" style="22" customWidth="1"/>
    <col min="9" max="9" width="16.5" style="22" customWidth="1"/>
    <col min="10" max="10" width="18.125" style="22" customWidth="1"/>
    <col min="11" max="11" width="16.125" style="22" bestFit="1" customWidth="1"/>
    <col min="12" max="12" width="14.5" style="22" customWidth="1"/>
    <col min="13" max="13" width="13.25" style="22" customWidth="1"/>
    <col min="14" max="14" width="4.5" style="22" bestFit="1" customWidth="1"/>
    <col min="15" max="15" width="9" style="22"/>
    <col min="16" max="17" width="6" style="22" bestFit="1" customWidth="1"/>
    <col min="18" max="21" width="4.5" style="22" bestFit="1" customWidth="1"/>
    <col min="22" max="261" width="9" style="22"/>
    <col min="262" max="267" width="16.125" style="22" customWidth="1"/>
    <col min="268" max="517" width="9" style="22"/>
    <col min="518" max="523" width="16.125" style="22" customWidth="1"/>
    <col min="524" max="773" width="9" style="22"/>
    <col min="774" max="779" width="16.125" style="22" customWidth="1"/>
    <col min="780" max="1029" width="9" style="22"/>
    <col min="1030" max="1035" width="16.125" style="22" customWidth="1"/>
    <col min="1036" max="1285" width="9" style="22"/>
    <col min="1286" max="1291" width="16.125" style="22" customWidth="1"/>
    <col min="1292" max="1541" width="9" style="22"/>
    <col min="1542" max="1547" width="16.125" style="22" customWidth="1"/>
    <col min="1548" max="1797" width="9" style="22"/>
    <col min="1798" max="1803" width="16.125" style="22" customWidth="1"/>
    <col min="1804" max="2053" width="9" style="22"/>
    <col min="2054" max="2059" width="16.125" style="22" customWidth="1"/>
    <col min="2060" max="2309" width="9" style="22"/>
    <col min="2310" max="2315" width="16.125" style="22" customWidth="1"/>
    <col min="2316" max="2565" width="9" style="22"/>
    <col min="2566" max="2571" width="16.125" style="22" customWidth="1"/>
    <col min="2572" max="2821" width="9" style="22"/>
    <col min="2822" max="2827" width="16.125" style="22" customWidth="1"/>
    <col min="2828" max="3077" width="9" style="22"/>
    <col min="3078" max="3083" width="16.125" style="22" customWidth="1"/>
    <col min="3084" max="3333" width="9" style="22"/>
    <col min="3334" max="3339" width="16.125" style="22" customWidth="1"/>
    <col min="3340" max="3589" width="9" style="22"/>
    <col min="3590" max="3595" width="16.125" style="22" customWidth="1"/>
    <col min="3596" max="3845" width="9" style="22"/>
    <col min="3846" max="3851" width="16.125" style="22" customWidth="1"/>
    <col min="3852" max="4101" width="9" style="22"/>
    <col min="4102" max="4107" width="16.125" style="22" customWidth="1"/>
    <col min="4108" max="4357" width="9" style="22"/>
    <col min="4358" max="4363" width="16.125" style="22" customWidth="1"/>
    <col min="4364" max="4613" width="9" style="22"/>
    <col min="4614" max="4619" width="16.125" style="22" customWidth="1"/>
    <col min="4620" max="4869" width="9" style="22"/>
    <col min="4870" max="4875" width="16.125" style="22" customWidth="1"/>
    <col min="4876" max="5125" width="9" style="22"/>
    <col min="5126" max="5131" width="16.125" style="22" customWidth="1"/>
    <col min="5132" max="5381" width="9" style="22"/>
    <col min="5382" max="5387" width="16.125" style="22" customWidth="1"/>
    <col min="5388" max="5637" width="9" style="22"/>
    <col min="5638" max="5643" width="16.125" style="22" customWidth="1"/>
    <col min="5644" max="5893" width="9" style="22"/>
    <col min="5894" max="5899" width="16.125" style="22" customWidth="1"/>
    <col min="5900" max="6149" width="9" style="22"/>
    <col min="6150" max="6155" width="16.125" style="22" customWidth="1"/>
    <col min="6156" max="6405" width="9" style="22"/>
    <col min="6406" max="6411" width="16.125" style="22" customWidth="1"/>
    <col min="6412" max="6661" width="9" style="22"/>
    <col min="6662" max="6667" width="16.125" style="22" customWidth="1"/>
    <col min="6668" max="6917" width="9" style="22"/>
    <col min="6918" max="6923" width="16.125" style="22" customWidth="1"/>
    <col min="6924" max="7173" width="9" style="22"/>
    <col min="7174" max="7179" width="16.125" style="22" customWidth="1"/>
    <col min="7180" max="7429" width="9" style="22"/>
    <col min="7430" max="7435" width="16.125" style="22" customWidth="1"/>
    <col min="7436" max="7685" width="9" style="22"/>
    <col min="7686" max="7691" width="16.125" style="22" customWidth="1"/>
    <col min="7692" max="7941" width="9" style="22"/>
    <col min="7942" max="7947" width="16.125" style="22" customWidth="1"/>
    <col min="7948" max="8197" width="9" style="22"/>
    <col min="8198" max="8203" width="16.125" style="22" customWidth="1"/>
    <col min="8204" max="8453" width="9" style="22"/>
    <col min="8454" max="8459" width="16.125" style="22" customWidth="1"/>
    <col min="8460" max="8709" width="9" style="22"/>
    <col min="8710" max="8715" width="16.125" style="22" customWidth="1"/>
    <col min="8716" max="8965" width="9" style="22"/>
    <col min="8966" max="8971" width="16.125" style="22" customWidth="1"/>
    <col min="8972" max="9221" width="9" style="22"/>
    <col min="9222" max="9227" width="16.125" style="22" customWidth="1"/>
    <col min="9228" max="9477" width="9" style="22"/>
    <col min="9478" max="9483" width="16.125" style="22" customWidth="1"/>
    <col min="9484" max="9733" width="9" style="22"/>
    <col min="9734" max="9739" width="16.125" style="22" customWidth="1"/>
    <col min="9740" max="9989" width="9" style="22"/>
    <col min="9990" max="9995" width="16.125" style="22" customWidth="1"/>
    <col min="9996" max="10245" width="9" style="22"/>
    <col min="10246" max="10251" width="16.125" style="22" customWidth="1"/>
    <col min="10252" max="10501" width="9" style="22"/>
    <col min="10502" max="10507" width="16.125" style="22" customWidth="1"/>
    <col min="10508" max="10757" width="9" style="22"/>
    <col min="10758" max="10763" width="16.125" style="22" customWidth="1"/>
    <col min="10764" max="11013" width="9" style="22"/>
    <col min="11014" max="11019" width="16.125" style="22" customWidth="1"/>
    <col min="11020" max="11269" width="9" style="22"/>
    <col min="11270" max="11275" width="16.125" style="22" customWidth="1"/>
    <col min="11276" max="11525" width="9" style="22"/>
    <col min="11526" max="11531" width="16.125" style="22" customWidth="1"/>
    <col min="11532" max="11781" width="9" style="22"/>
    <col min="11782" max="11787" width="16.125" style="22" customWidth="1"/>
    <col min="11788" max="12037" width="9" style="22"/>
    <col min="12038" max="12043" width="16.125" style="22" customWidth="1"/>
    <col min="12044" max="12293" width="9" style="22"/>
    <col min="12294" max="12299" width="16.125" style="22" customWidth="1"/>
    <col min="12300" max="12549" width="9" style="22"/>
    <col min="12550" max="12555" width="16.125" style="22" customWidth="1"/>
    <col min="12556" max="12805" width="9" style="22"/>
    <col min="12806" max="12811" width="16.125" style="22" customWidth="1"/>
    <col min="12812" max="13061" width="9" style="22"/>
    <col min="13062" max="13067" width="16.125" style="22" customWidth="1"/>
    <col min="13068" max="13317" width="9" style="22"/>
    <col min="13318" max="13323" width="16.125" style="22" customWidth="1"/>
    <col min="13324" max="13573" width="9" style="22"/>
    <col min="13574" max="13579" width="16.125" style="22" customWidth="1"/>
    <col min="13580" max="13829" width="9" style="22"/>
    <col min="13830" max="13835" width="16.125" style="22" customWidth="1"/>
    <col min="13836" max="14085" width="9" style="22"/>
    <col min="14086" max="14091" width="16.125" style="22" customWidth="1"/>
    <col min="14092" max="14341" width="9" style="22"/>
    <col min="14342" max="14347" width="16.125" style="22" customWidth="1"/>
    <col min="14348" max="14597" width="9" style="22"/>
    <col min="14598" max="14603" width="16.125" style="22" customWidth="1"/>
    <col min="14604" max="14853" width="9" style="22"/>
    <col min="14854" max="14859" width="16.125" style="22" customWidth="1"/>
    <col min="14860" max="15109" width="9" style="22"/>
    <col min="15110" max="15115" width="16.125" style="22" customWidth="1"/>
    <col min="15116" max="15365" width="9" style="22"/>
    <col min="15366" max="15371" width="16.125" style="22" customWidth="1"/>
    <col min="15372" max="15621" width="9" style="22"/>
    <col min="15622" max="15627" width="16.125" style="22" customWidth="1"/>
    <col min="15628" max="15877" width="9" style="22"/>
    <col min="15878" max="15883" width="16.125" style="22" customWidth="1"/>
    <col min="15884" max="16133" width="9" style="22"/>
    <col min="16134" max="16139" width="16.125" style="22" customWidth="1"/>
    <col min="16140" max="16381" width="9" style="22"/>
    <col min="16382" max="16384" width="8.625" style="22" customWidth="1"/>
  </cols>
  <sheetData>
    <row r="1" spans="1:13" x14ac:dyDescent="0.3">
      <c r="B1" s="686" t="s">
        <v>402</v>
      </c>
      <c r="C1" s="686"/>
      <c r="D1" s="686"/>
      <c r="E1" s="686"/>
      <c r="F1" s="686"/>
      <c r="G1" s="686"/>
      <c r="H1" s="686"/>
      <c r="I1" s="686"/>
      <c r="J1" s="686"/>
      <c r="K1" s="686"/>
      <c r="L1" s="686"/>
    </row>
    <row r="2" spans="1:13" ht="17.25" thickBot="1" x14ac:dyDescent="0.35">
      <c r="B2" s="20" t="s">
        <v>90</v>
      </c>
      <c r="C2" s="21"/>
    </row>
    <row r="3" spans="1:13" ht="17.100000000000001" customHeight="1" x14ac:dyDescent="0.3">
      <c r="A3" s="700"/>
      <c r="B3" s="707" t="s">
        <v>91</v>
      </c>
      <c r="C3" s="709" t="s">
        <v>92</v>
      </c>
      <c r="D3" s="694" t="s">
        <v>93</v>
      </c>
      <c r="E3" s="695"/>
      <c r="F3" s="696" t="s">
        <v>334</v>
      </c>
      <c r="G3" s="698" t="s">
        <v>335</v>
      </c>
      <c r="H3" s="704" t="s">
        <v>54</v>
      </c>
      <c r="I3" s="705"/>
      <c r="J3" s="706"/>
      <c r="K3" s="684" t="s">
        <v>282</v>
      </c>
      <c r="L3" s="684" t="s">
        <v>401</v>
      </c>
    </row>
    <row r="4" spans="1:13" ht="24.75" thickBot="1" x14ac:dyDescent="0.35">
      <c r="A4" s="700"/>
      <c r="B4" s="708"/>
      <c r="C4" s="697"/>
      <c r="D4" s="23" t="s">
        <v>94</v>
      </c>
      <c r="E4" s="23" t="s">
        <v>95</v>
      </c>
      <c r="F4" s="697"/>
      <c r="G4" s="699"/>
      <c r="H4" s="62" t="s">
        <v>156</v>
      </c>
      <c r="I4" s="63" t="s">
        <v>157</v>
      </c>
      <c r="J4" s="64" t="s">
        <v>158</v>
      </c>
      <c r="K4" s="685"/>
      <c r="L4" s="685"/>
    </row>
    <row r="5" spans="1:13" ht="17.25" thickTop="1" x14ac:dyDescent="0.3">
      <c r="B5" s="24" t="s">
        <v>14</v>
      </c>
      <c r="C5" s="25" t="s">
        <v>99</v>
      </c>
      <c r="D5" s="26" t="s">
        <v>100</v>
      </c>
      <c r="E5" s="26" t="s">
        <v>281</v>
      </c>
      <c r="F5" s="371">
        <v>37.799999999999997</v>
      </c>
      <c r="G5" s="372">
        <v>35.299999999999997</v>
      </c>
      <c r="H5" s="228">
        <f>L5*44/12*1000</f>
        <v>73663.333333333343</v>
      </c>
      <c r="I5" s="229">
        <v>3</v>
      </c>
      <c r="J5" s="230">
        <v>0.6</v>
      </c>
      <c r="K5" s="231">
        <v>0.90200000000000002</v>
      </c>
      <c r="L5" s="378">
        <v>20.09</v>
      </c>
      <c r="M5" s="377"/>
    </row>
    <row r="6" spans="1:13" x14ac:dyDescent="0.3">
      <c r="B6" s="29" t="s">
        <v>134</v>
      </c>
      <c r="C6" s="30" t="s">
        <v>99</v>
      </c>
      <c r="D6" s="31" t="s">
        <v>100</v>
      </c>
      <c r="E6" s="31" t="s">
        <v>281</v>
      </c>
      <c r="F6" s="373">
        <v>32.4</v>
      </c>
      <c r="G6" s="374">
        <v>30.1</v>
      </c>
      <c r="H6" s="232">
        <f t="shared" ref="H6:H30" si="0">L6*44/12*1000</f>
        <v>72347.000000000015</v>
      </c>
      <c r="I6" s="233">
        <v>3</v>
      </c>
      <c r="J6" s="234">
        <v>0.6</v>
      </c>
      <c r="K6" s="235">
        <v>0.77500000000000002</v>
      </c>
      <c r="L6" s="378">
        <v>19.731000000000002</v>
      </c>
      <c r="M6" s="377"/>
    </row>
    <row r="7" spans="1:13" x14ac:dyDescent="0.3">
      <c r="B7" s="29" t="s">
        <v>137</v>
      </c>
      <c r="C7" s="30" t="s">
        <v>99</v>
      </c>
      <c r="D7" s="31" t="s">
        <v>100</v>
      </c>
      <c r="E7" s="31" t="s">
        <v>281</v>
      </c>
      <c r="F7" s="373">
        <v>36.6</v>
      </c>
      <c r="G7" s="374">
        <v>34.1</v>
      </c>
      <c r="H7" s="232">
        <f t="shared" si="0"/>
        <v>73062</v>
      </c>
      <c r="I7" s="233">
        <v>3</v>
      </c>
      <c r="J7" s="234">
        <v>0.6</v>
      </c>
      <c r="K7" s="235">
        <v>0.874</v>
      </c>
      <c r="L7" s="378">
        <v>19.925999999999998</v>
      </c>
      <c r="M7" s="377"/>
    </row>
    <row r="8" spans="1:13" x14ac:dyDescent="0.3">
      <c r="B8" s="29" t="s">
        <v>217</v>
      </c>
      <c r="C8" s="30" t="s">
        <v>99</v>
      </c>
      <c r="D8" s="31" t="s">
        <v>100</v>
      </c>
      <c r="E8" s="31" t="s">
        <v>281</v>
      </c>
      <c r="F8" s="373">
        <v>41.8</v>
      </c>
      <c r="G8" s="374">
        <v>39.299999999999997</v>
      </c>
      <c r="H8" s="232">
        <f t="shared" si="0"/>
        <v>77913</v>
      </c>
      <c r="I8" s="233">
        <v>3</v>
      </c>
      <c r="J8" s="234">
        <v>0.6</v>
      </c>
      <c r="K8" s="235">
        <v>0.998</v>
      </c>
      <c r="L8" s="378">
        <v>21.248999999999999</v>
      </c>
      <c r="M8" s="377"/>
    </row>
    <row r="9" spans="1:13" x14ac:dyDescent="0.3">
      <c r="B9" s="29" t="s">
        <v>104</v>
      </c>
      <c r="C9" s="30" t="s">
        <v>99</v>
      </c>
      <c r="D9" s="31" t="s">
        <v>100</v>
      </c>
      <c r="E9" s="31" t="s">
        <v>281</v>
      </c>
      <c r="F9" s="373">
        <v>39</v>
      </c>
      <c r="G9" s="374">
        <v>36.5</v>
      </c>
      <c r="H9" s="232">
        <f t="shared" si="0"/>
        <v>74946.666666666672</v>
      </c>
      <c r="I9" s="233">
        <v>3</v>
      </c>
      <c r="J9" s="234">
        <v>0.6</v>
      </c>
      <c r="K9" s="235">
        <v>0.93100000000000005</v>
      </c>
      <c r="L9" s="378">
        <v>20.440000000000001</v>
      </c>
      <c r="M9" s="377"/>
    </row>
    <row r="10" spans="1:13" x14ac:dyDescent="0.3">
      <c r="B10" s="29" t="s">
        <v>105</v>
      </c>
      <c r="C10" s="30" t="s">
        <v>99</v>
      </c>
      <c r="D10" s="31" t="s">
        <v>100</v>
      </c>
      <c r="E10" s="31" t="s">
        <v>281</v>
      </c>
      <c r="F10" s="373">
        <v>40.6</v>
      </c>
      <c r="G10" s="374">
        <v>38.1</v>
      </c>
      <c r="H10" s="232">
        <f t="shared" si="0"/>
        <v>76633.333333333328</v>
      </c>
      <c r="I10" s="233">
        <v>3</v>
      </c>
      <c r="J10" s="234">
        <v>0.6</v>
      </c>
      <c r="K10" s="235">
        <v>0.96899999999999997</v>
      </c>
      <c r="L10" s="378">
        <v>20.9</v>
      </c>
      <c r="M10" s="377"/>
    </row>
    <row r="11" spans="1:13" x14ac:dyDescent="0.3">
      <c r="B11" s="29" t="s">
        <v>110</v>
      </c>
      <c r="C11" s="30" t="s">
        <v>107</v>
      </c>
      <c r="D11" s="31" t="s">
        <v>108</v>
      </c>
      <c r="E11" s="31" t="s">
        <v>109</v>
      </c>
      <c r="F11" s="373">
        <v>50.2</v>
      </c>
      <c r="G11" s="374">
        <v>46.2</v>
      </c>
      <c r="H11" s="232">
        <f t="shared" si="0"/>
        <v>64643.333333333328</v>
      </c>
      <c r="I11" s="233">
        <v>1</v>
      </c>
      <c r="J11" s="234">
        <v>0.1</v>
      </c>
      <c r="K11" s="235">
        <v>1.2</v>
      </c>
      <c r="L11" s="378">
        <v>17.63</v>
      </c>
      <c r="M11" s="377"/>
    </row>
    <row r="12" spans="1:13" x14ac:dyDescent="0.3">
      <c r="B12" s="29" t="s">
        <v>111</v>
      </c>
      <c r="C12" s="30" t="s">
        <v>107</v>
      </c>
      <c r="D12" s="31" t="s">
        <v>108</v>
      </c>
      <c r="E12" s="31" t="s">
        <v>109</v>
      </c>
      <c r="F12" s="373">
        <v>49.3</v>
      </c>
      <c r="G12" s="374">
        <v>45.5</v>
      </c>
      <c r="H12" s="232">
        <f t="shared" si="0"/>
        <v>66344.666666666672</v>
      </c>
      <c r="I12" s="233">
        <v>1</v>
      </c>
      <c r="J12" s="234">
        <v>0.1</v>
      </c>
      <c r="K12" s="235">
        <v>1.179</v>
      </c>
      <c r="L12" s="378">
        <v>18.094000000000001</v>
      </c>
      <c r="M12" s="377"/>
    </row>
    <row r="13" spans="1:13" x14ac:dyDescent="0.3">
      <c r="B13" s="29" t="s">
        <v>118</v>
      </c>
      <c r="C13" s="30" t="s">
        <v>99</v>
      </c>
      <c r="D13" s="31" t="s">
        <v>100</v>
      </c>
      <c r="E13" s="31" t="s">
        <v>281</v>
      </c>
      <c r="F13" s="373">
        <v>32.200000000000003</v>
      </c>
      <c r="G13" s="374">
        <v>29.9</v>
      </c>
      <c r="H13" s="232">
        <f t="shared" si="0"/>
        <v>69970.999999999985</v>
      </c>
      <c r="I13" s="233">
        <v>3</v>
      </c>
      <c r="J13" s="234">
        <v>0.6</v>
      </c>
      <c r="K13" s="235">
        <v>0.77</v>
      </c>
      <c r="L13" s="378">
        <v>19.082999999999998</v>
      </c>
      <c r="M13" s="377"/>
    </row>
    <row r="14" spans="1:13" x14ac:dyDescent="0.3">
      <c r="B14" s="29" t="s">
        <v>119</v>
      </c>
      <c r="C14" s="30" t="s">
        <v>99</v>
      </c>
      <c r="D14" s="31" t="s">
        <v>100</v>
      </c>
      <c r="E14" s="31" t="s">
        <v>281</v>
      </c>
      <c r="F14" s="373">
        <v>32.799999999999997</v>
      </c>
      <c r="G14" s="374">
        <v>30.4</v>
      </c>
      <c r="H14" s="232">
        <f t="shared" si="0"/>
        <v>70136.000000000015</v>
      </c>
      <c r="I14" s="233">
        <v>3</v>
      </c>
      <c r="J14" s="234">
        <v>0.6</v>
      </c>
      <c r="K14" s="235">
        <v>0.78300000000000003</v>
      </c>
      <c r="L14" s="378">
        <v>19.128</v>
      </c>
      <c r="M14" s="377"/>
    </row>
    <row r="15" spans="1:13" x14ac:dyDescent="0.3">
      <c r="B15" s="29" t="s">
        <v>120</v>
      </c>
      <c r="C15" s="30" t="s">
        <v>99</v>
      </c>
      <c r="D15" s="31" t="s">
        <v>100</v>
      </c>
      <c r="E15" s="31" t="s">
        <v>281</v>
      </c>
      <c r="F15" s="373">
        <v>36.5</v>
      </c>
      <c r="G15" s="374">
        <v>34</v>
      </c>
      <c r="H15" s="232">
        <f t="shared" si="0"/>
        <v>73172</v>
      </c>
      <c r="I15" s="233">
        <v>3</v>
      </c>
      <c r="J15" s="234">
        <v>0.6</v>
      </c>
      <c r="K15" s="235">
        <v>0.872</v>
      </c>
      <c r="L15" s="378">
        <v>19.956</v>
      </c>
      <c r="M15" s="377"/>
    </row>
    <row r="16" spans="1:13" x14ac:dyDescent="0.3">
      <c r="B16" s="29" t="s">
        <v>121</v>
      </c>
      <c r="C16" s="30" t="s">
        <v>107</v>
      </c>
      <c r="D16" s="31" t="s">
        <v>108</v>
      </c>
      <c r="E16" s="31" t="s">
        <v>109</v>
      </c>
      <c r="F16" s="373">
        <v>41.4</v>
      </c>
      <c r="G16" s="374">
        <v>39</v>
      </c>
      <c r="H16" s="232">
        <f t="shared" si="0"/>
        <v>78734.333333333328</v>
      </c>
      <c r="I16" s="233">
        <v>3</v>
      </c>
      <c r="J16" s="234">
        <v>0.6</v>
      </c>
      <c r="K16" s="235">
        <v>0.98799999999999999</v>
      </c>
      <c r="L16" s="378">
        <v>21.472999999999999</v>
      </c>
      <c r="M16" s="377"/>
    </row>
    <row r="17" spans="2:14" x14ac:dyDescent="0.3">
      <c r="B17" s="29" t="s">
        <v>122</v>
      </c>
      <c r="C17" s="30" t="s">
        <v>99</v>
      </c>
      <c r="D17" s="31" t="s">
        <v>100</v>
      </c>
      <c r="E17" s="31" t="s">
        <v>281</v>
      </c>
      <c r="F17" s="373">
        <v>39.6</v>
      </c>
      <c r="G17" s="374">
        <v>37</v>
      </c>
      <c r="H17" s="232">
        <f t="shared" si="0"/>
        <v>72955.666666666657</v>
      </c>
      <c r="I17" s="233">
        <v>3</v>
      </c>
      <c r="J17" s="234">
        <v>0.6</v>
      </c>
      <c r="K17" s="235">
        <v>0.94499999999999995</v>
      </c>
      <c r="L17" s="378">
        <v>19.896999999999998</v>
      </c>
      <c r="M17" s="377"/>
    </row>
    <row r="18" spans="2:14" x14ac:dyDescent="0.3">
      <c r="B18" s="29" t="s">
        <v>123</v>
      </c>
      <c r="C18" s="30" t="s">
        <v>107</v>
      </c>
      <c r="D18" s="31" t="s">
        <v>108</v>
      </c>
      <c r="E18" s="31" t="s">
        <v>109</v>
      </c>
      <c r="F18" s="373">
        <v>34.9</v>
      </c>
      <c r="G18" s="374">
        <v>34.200000000000003</v>
      </c>
      <c r="H18" s="232">
        <f t="shared" si="0"/>
        <v>96037.333333333343</v>
      </c>
      <c r="I18" s="233">
        <v>3</v>
      </c>
      <c r="J18" s="234">
        <v>0.6</v>
      </c>
      <c r="K18" s="235">
        <v>0.83299999999999996</v>
      </c>
      <c r="L18" s="378">
        <v>26.192</v>
      </c>
      <c r="M18" s="377"/>
    </row>
    <row r="19" spans="2:14" x14ac:dyDescent="0.3">
      <c r="B19" s="29" t="s">
        <v>124</v>
      </c>
      <c r="C19" s="30" t="s">
        <v>99</v>
      </c>
      <c r="D19" s="31" t="s">
        <v>100</v>
      </c>
      <c r="E19" s="31" t="s">
        <v>281</v>
      </c>
      <c r="F19" s="373">
        <v>37.299999999999997</v>
      </c>
      <c r="G19" s="374">
        <v>34.799999999999997</v>
      </c>
      <c r="H19" s="232">
        <f t="shared" si="0"/>
        <v>73938.333333333328</v>
      </c>
      <c r="I19" s="233">
        <v>3</v>
      </c>
      <c r="J19" s="234">
        <v>0.6</v>
      </c>
      <c r="K19" s="235">
        <v>0.89</v>
      </c>
      <c r="L19" s="378">
        <v>20.164999999999999</v>
      </c>
      <c r="M19" s="377"/>
    </row>
    <row r="20" spans="2:14" x14ac:dyDescent="0.3">
      <c r="B20" s="29" t="s">
        <v>125</v>
      </c>
      <c r="C20" s="30" t="s">
        <v>99</v>
      </c>
      <c r="D20" s="31" t="s">
        <v>100</v>
      </c>
      <c r="E20" s="31" t="s">
        <v>281</v>
      </c>
      <c r="F20" s="373">
        <v>39.9</v>
      </c>
      <c r="G20" s="374">
        <v>37.700000000000003</v>
      </c>
      <c r="H20" s="232">
        <f t="shared" si="0"/>
        <v>80215.666666666657</v>
      </c>
      <c r="I20" s="233">
        <v>3</v>
      </c>
      <c r="J20" s="234">
        <v>0.6</v>
      </c>
      <c r="K20" s="235">
        <v>0.95299999999999996</v>
      </c>
      <c r="L20" s="378">
        <v>21.876999999999999</v>
      </c>
      <c r="M20" s="377"/>
    </row>
    <row r="21" spans="2:14" x14ac:dyDescent="0.3">
      <c r="B21" s="29" t="s">
        <v>112</v>
      </c>
      <c r="C21" s="30" t="s">
        <v>107</v>
      </c>
      <c r="D21" s="31" t="s">
        <v>108</v>
      </c>
      <c r="E21" s="31" t="s">
        <v>109</v>
      </c>
      <c r="F21" s="373">
        <v>19.7</v>
      </c>
      <c r="G21" s="374">
        <v>19.399999999999999</v>
      </c>
      <c r="H21" s="232">
        <f t="shared" si="0"/>
        <v>108918.33333333334</v>
      </c>
      <c r="I21" s="233">
        <v>10</v>
      </c>
      <c r="J21" s="234">
        <v>1.5</v>
      </c>
      <c r="K21" s="235">
        <v>0.47099999999999997</v>
      </c>
      <c r="L21" s="378">
        <v>29.704999999999998</v>
      </c>
      <c r="M21" s="377"/>
    </row>
    <row r="22" spans="2:14" x14ac:dyDescent="0.3">
      <c r="B22" s="29" t="s">
        <v>113</v>
      </c>
      <c r="C22" s="30" t="s">
        <v>107</v>
      </c>
      <c r="D22" s="31" t="s">
        <v>108</v>
      </c>
      <c r="E22" s="31" t="s">
        <v>109</v>
      </c>
      <c r="F22" s="373">
        <v>23</v>
      </c>
      <c r="G22" s="374">
        <v>22.3</v>
      </c>
      <c r="H22" s="232">
        <f t="shared" si="0"/>
        <v>100173.33333333333</v>
      </c>
      <c r="I22" s="233">
        <v>10</v>
      </c>
      <c r="J22" s="234">
        <v>1.5</v>
      </c>
      <c r="K22" s="235">
        <v>0.55000000000000004</v>
      </c>
      <c r="L22" s="378">
        <v>27.32</v>
      </c>
      <c r="M22" s="377"/>
    </row>
    <row r="23" spans="2:14" x14ac:dyDescent="0.3">
      <c r="B23" s="29" t="s">
        <v>114</v>
      </c>
      <c r="C23" s="30" t="s">
        <v>107</v>
      </c>
      <c r="D23" s="31" t="s">
        <v>108</v>
      </c>
      <c r="E23" s="31" t="s">
        <v>109</v>
      </c>
      <c r="F23" s="373">
        <v>25.8</v>
      </c>
      <c r="G23" s="374">
        <v>25.3</v>
      </c>
      <c r="H23" s="232">
        <f t="shared" si="0"/>
        <v>106296.66666666667</v>
      </c>
      <c r="I23" s="233">
        <v>10</v>
      </c>
      <c r="J23" s="234">
        <v>1.5</v>
      </c>
      <c r="K23" s="235">
        <v>0.61699999999999999</v>
      </c>
      <c r="L23" s="378">
        <v>28.99</v>
      </c>
      <c r="M23" s="377"/>
    </row>
    <row r="24" spans="2:14" x14ac:dyDescent="0.3">
      <c r="B24" s="29" t="s">
        <v>115</v>
      </c>
      <c r="C24" s="30" t="s">
        <v>107</v>
      </c>
      <c r="D24" s="31" t="s">
        <v>108</v>
      </c>
      <c r="E24" s="31" t="s">
        <v>109</v>
      </c>
      <c r="F24" s="373">
        <v>24.6</v>
      </c>
      <c r="G24" s="374">
        <v>23.3</v>
      </c>
      <c r="H24" s="232">
        <f t="shared" si="0"/>
        <v>95718.333333333343</v>
      </c>
      <c r="I24" s="233">
        <v>10</v>
      </c>
      <c r="J24" s="234">
        <v>1.5</v>
      </c>
      <c r="K24" s="235">
        <v>0.58599999999999997</v>
      </c>
      <c r="L24" s="378">
        <v>26.105</v>
      </c>
      <c r="M24" s="377"/>
    </row>
    <row r="25" spans="2:14" x14ac:dyDescent="0.3">
      <c r="B25" s="29" t="s">
        <v>219</v>
      </c>
      <c r="C25" s="30" t="s">
        <v>107</v>
      </c>
      <c r="D25" s="31" t="s">
        <v>108</v>
      </c>
      <c r="E25" s="31" t="s">
        <v>109</v>
      </c>
      <c r="F25" s="373">
        <v>29.4</v>
      </c>
      <c r="G25" s="374">
        <v>28.3</v>
      </c>
      <c r="H25" s="232">
        <f t="shared" si="0"/>
        <v>92946.333333333328</v>
      </c>
      <c r="I25" s="233">
        <v>10</v>
      </c>
      <c r="J25" s="234">
        <v>1.5</v>
      </c>
      <c r="K25" s="235">
        <v>0.70299999999999996</v>
      </c>
      <c r="L25" s="378">
        <v>25.349</v>
      </c>
      <c r="M25" s="377"/>
    </row>
    <row r="26" spans="2:14" x14ac:dyDescent="0.3">
      <c r="B26" s="29" t="s">
        <v>116</v>
      </c>
      <c r="C26" s="30" t="s">
        <v>107</v>
      </c>
      <c r="D26" s="31" t="s">
        <v>108</v>
      </c>
      <c r="E26" s="31" t="s">
        <v>109</v>
      </c>
      <c r="F26" s="373">
        <v>20.6</v>
      </c>
      <c r="G26" s="374">
        <v>19.100000000000001</v>
      </c>
      <c r="H26" s="232">
        <f t="shared" si="0"/>
        <v>98516</v>
      </c>
      <c r="I26" s="233">
        <v>10</v>
      </c>
      <c r="J26" s="234">
        <v>1.5</v>
      </c>
      <c r="K26" s="235">
        <v>0.49199999999999999</v>
      </c>
      <c r="L26" s="378">
        <v>26.867999999999999</v>
      </c>
      <c r="M26" s="377"/>
    </row>
    <row r="27" spans="2:14" x14ac:dyDescent="0.3">
      <c r="B27" s="29" t="s">
        <v>117</v>
      </c>
      <c r="C27" s="30" t="s">
        <v>107</v>
      </c>
      <c r="D27" s="31" t="s">
        <v>108</v>
      </c>
      <c r="E27" s="31" t="s">
        <v>109</v>
      </c>
      <c r="F27" s="373">
        <v>28.6</v>
      </c>
      <c r="G27" s="374">
        <v>28.5</v>
      </c>
      <c r="H27" s="232">
        <v>107000</v>
      </c>
      <c r="I27" s="233">
        <v>10</v>
      </c>
      <c r="J27" s="234">
        <v>1.5</v>
      </c>
      <c r="K27" s="235">
        <v>0.68400000000000005</v>
      </c>
      <c r="L27" s="378"/>
      <c r="M27" s="377"/>
    </row>
    <row r="28" spans="2:14" x14ac:dyDescent="0.3">
      <c r="B28" s="29" t="s">
        <v>159</v>
      </c>
      <c r="C28" s="30" t="s">
        <v>96</v>
      </c>
      <c r="D28" s="31" t="s">
        <v>97</v>
      </c>
      <c r="E28" s="31" t="s">
        <v>280</v>
      </c>
      <c r="F28" s="373">
        <v>42.7</v>
      </c>
      <c r="G28" s="374">
        <v>38.5</v>
      </c>
      <c r="H28" s="232">
        <f t="shared" si="0"/>
        <v>55865.333333333336</v>
      </c>
      <c r="I28" s="233">
        <v>1</v>
      </c>
      <c r="J28" s="234">
        <v>0.1</v>
      </c>
      <c r="K28" s="235">
        <v>1.0189999999999999</v>
      </c>
      <c r="L28" s="378">
        <v>15.236000000000001</v>
      </c>
      <c r="M28" s="377"/>
    </row>
    <row r="29" spans="2:14" x14ac:dyDescent="0.3">
      <c r="B29" s="29" t="s">
        <v>218</v>
      </c>
      <c r="C29" s="30" t="s">
        <v>96</v>
      </c>
      <c r="D29" s="31" t="s">
        <v>97</v>
      </c>
      <c r="E29" s="31" t="s">
        <v>280</v>
      </c>
      <c r="F29" s="373">
        <v>63.4</v>
      </c>
      <c r="G29" s="374">
        <v>58.3</v>
      </c>
      <c r="H29" s="232">
        <f t="shared" si="0"/>
        <v>63994.333333333336</v>
      </c>
      <c r="I29" s="233">
        <v>1</v>
      </c>
      <c r="J29" s="234">
        <v>0.1</v>
      </c>
      <c r="K29" s="235">
        <v>1.5149999999999999</v>
      </c>
      <c r="L29" s="378">
        <v>17.452999999999999</v>
      </c>
      <c r="M29" s="377"/>
    </row>
    <row r="30" spans="2:14" ht="17.25" thickBot="1" x14ac:dyDescent="0.35">
      <c r="B30" s="34" t="s">
        <v>106</v>
      </c>
      <c r="C30" s="35" t="s">
        <v>107</v>
      </c>
      <c r="D30" s="36" t="s">
        <v>108</v>
      </c>
      <c r="E30" s="36" t="s">
        <v>109</v>
      </c>
      <c r="F30" s="375">
        <v>54.7</v>
      </c>
      <c r="G30" s="376">
        <v>49.4</v>
      </c>
      <c r="H30" s="236">
        <f t="shared" si="0"/>
        <v>56030.333333333336</v>
      </c>
      <c r="I30" s="237">
        <v>1</v>
      </c>
      <c r="J30" s="238">
        <v>0.1</v>
      </c>
      <c r="K30" s="239">
        <v>1.3080000000000001</v>
      </c>
      <c r="L30" s="379">
        <v>15.281000000000001</v>
      </c>
      <c r="M30" s="377"/>
    </row>
    <row r="31" spans="2:14" x14ac:dyDescent="0.3">
      <c r="B31" s="701" t="s">
        <v>126</v>
      </c>
      <c r="C31" s="701"/>
      <c r="D31" s="701"/>
      <c r="E31" s="701"/>
      <c r="F31" s="701"/>
      <c r="G31" s="701"/>
      <c r="H31" s="702" t="s">
        <v>127</v>
      </c>
      <c r="I31" s="702"/>
      <c r="J31" s="702"/>
      <c r="K31" s="703"/>
      <c r="L31" s="703"/>
      <c r="M31" s="703"/>
      <c r="N31" s="703"/>
    </row>
    <row r="32" spans="2:14" x14ac:dyDescent="0.3">
      <c r="B32" s="683" t="s">
        <v>283</v>
      </c>
      <c r="C32" s="683"/>
      <c r="D32" s="683"/>
      <c r="E32" s="683"/>
      <c r="F32" s="359"/>
      <c r="G32" s="359"/>
    </row>
    <row r="33" spans="2:11" ht="17.25" thickBot="1" x14ac:dyDescent="0.35">
      <c r="B33" s="20" t="s">
        <v>128</v>
      </c>
      <c r="C33" s="21"/>
    </row>
    <row r="34" spans="2:11" x14ac:dyDescent="0.3">
      <c r="B34" s="690" t="s">
        <v>129</v>
      </c>
      <c r="C34" s="692" t="s">
        <v>92</v>
      </c>
      <c r="D34" s="694" t="s">
        <v>93</v>
      </c>
      <c r="E34" s="695"/>
      <c r="F34" s="696" t="s">
        <v>334</v>
      </c>
      <c r="G34" s="698" t="s">
        <v>335</v>
      </c>
      <c r="H34" s="687" t="s">
        <v>130</v>
      </c>
      <c r="I34" s="688"/>
      <c r="J34" s="689"/>
      <c r="K34" s="684" t="s">
        <v>282</v>
      </c>
    </row>
    <row r="35" spans="2:11" ht="17.25" thickBot="1" x14ac:dyDescent="0.35">
      <c r="B35" s="691"/>
      <c r="C35" s="693"/>
      <c r="D35" s="23" t="s">
        <v>94</v>
      </c>
      <c r="E35" s="23" t="s">
        <v>95</v>
      </c>
      <c r="F35" s="697"/>
      <c r="G35" s="699"/>
      <c r="H35" s="39" t="s">
        <v>131</v>
      </c>
      <c r="I35" s="40" t="s">
        <v>132</v>
      </c>
      <c r="J35" s="41" t="s">
        <v>133</v>
      </c>
      <c r="K35" s="685"/>
    </row>
    <row r="36" spans="2:11" ht="17.25" thickTop="1" x14ac:dyDescent="0.3">
      <c r="B36" s="24" t="s">
        <v>134</v>
      </c>
      <c r="C36" s="25" t="s">
        <v>99</v>
      </c>
      <c r="D36" s="26" t="s">
        <v>102</v>
      </c>
      <c r="E36" s="26" t="s">
        <v>103</v>
      </c>
      <c r="F36" s="27">
        <v>32.4</v>
      </c>
      <c r="G36" s="28">
        <v>30.1</v>
      </c>
      <c r="H36" s="42">
        <v>69300</v>
      </c>
      <c r="I36" s="43">
        <v>25</v>
      </c>
      <c r="J36" s="44">
        <v>8</v>
      </c>
      <c r="K36" s="360">
        <v>0.77500000000000002</v>
      </c>
    </row>
    <row r="37" spans="2:11" x14ac:dyDescent="0.3">
      <c r="B37" s="29" t="s">
        <v>14</v>
      </c>
      <c r="C37" s="30" t="s">
        <v>99</v>
      </c>
      <c r="D37" s="31" t="s">
        <v>100</v>
      </c>
      <c r="E37" s="31" t="s">
        <v>101</v>
      </c>
      <c r="F37" s="32">
        <v>37.799999999999997</v>
      </c>
      <c r="G37" s="33">
        <v>35.299999999999997</v>
      </c>
      <c r="H37" s="45">
        <v>74100</v>
      </c>
      <c r="I37" s="46">
        <v>3.9</v>
      </c>
      <c r="J37" s="47">
        <v>3.9</v>
      </c>
      <c r="K37" s="361">
        <v>0.90200000000000002</v>
      </c>
    </row>
    <row r="38" spans="2:11" x14ac:dyDescent="0.3">
      <c r="B38" s="29" t="s">
        <v>135</v>
      </c>
      <c r="C38" s="30" t="s">
        <v>136</v>
      </c>
      <c r="D38" s="31" t="s">
        <v>97</v>
      </c>
      <c r="E38" s="31" t="s">
        <v>101</v>
      </c>
      <c r="F38" s="32">
        <v>49.3</v>
      </c>
      <c r="G38" s="33">
        <v>45.5</v>
      </c>
      <c r="H38" s="45">
        <v>63100</v>
      </c>
      <c r="I38" s="46">
        <v>62</v>
      </c>
      <c r="J38" s="47">
        <v>0.2</v>
      </c>
      <c r="K38" s="361">
        <v>1.179</v>
      </c>
    </row>
    <row r="39" spans="2:11" x14ac:dyDescent="0.3">
      <c r="B39" s="29" t="s">
        <v>137</v>
      </c>
      <c r="C39" s="30" t="s">
        <v>99</v>
      </c>
      <c r="D39" s="31" t="s">
        <v>100</v>
      </c>
      <c r="E39" s="31" t="s">
        <v>101</v>
      </c>
      <c r="F39" s="32">
        <v>36.6</v>
      </c>
      <c r="G39" s="33">
        <v>34.1</v>
      </c>
      <c r="H39" s="45">
        <v>71900</v>
      </c>
      <c r="I39" s="46">
        <v>0</v>
      </c>
      <c r="J39" s="47">
        <v>0</v>
      </c>
      <c r="K39" s="361">
        <v>0.874</v>
      </c>
    </row>
    <row r="40" spans="2:11" x14ac:dyDescent="0.3">
      <c r="B40" s="29" t="s">
        <v>122</v>
      </c>
      <c r="C40" s="30" t="s">
        <v>99</v>
      </c>
      <c r="D40" s="31" t="s">
        <v>100</v>
      </c>
      <c r="E40" s="31" t="s">
        <v>138</v>
      </c>
      <c r="F40" s="32">
        <v>39.6</v>
      </c>
      <c r="G40" s="33">
        <v>37</v>
      </c>
      <c r="H40" s="45">
        <v>73300</v>
      </c>
      <c r="I40" s="46">
        <v>0</v>
      </c>
      <c r="J40" s="47">
        <v>0</v>
      </c>
      <c r="K40" s="361">
        <v>0.94499999999999995</v>
      </c>
    </row>
    <row r="41" spans="2:11" x14ac:dyDescent="0.3">
      <c r="B41" s="29" t="s">
        <v>139</v>
      </c>
      <c r="C41" s="30" t="s">
        <v>96</v>
      </c>
      <c r="D41" s="31" t="s">
        <v>97</v>
      </c>
      <c r="E41" s="31" t="s">
        <v>98</v>
      </c>
      <c r="F41" s="32">
        <v>43.1</v>
      </c>
      <c r="G41" s="33">
        <v>38.9</v>
      </c>
      <c r="H41" s="45">
        <v>56100</v>
      </c>
      <c r="I41" s="46">
        <v>92</v>
      </c>
      <c r="J41" s="47">
        <v>3</v>
      </c>
      <c r="K41" s="361">
        <v>1.0189999999999999</v>
      </c>
    </row>
    <row r="42" spans="2:11" ht="17.25" thickBot="1" x14ac:dyDescent="0.35">
      <c r="B42" s="34" t="s">
        <v>140</v>
      </c>
      <c r="C42" s="35" t="s">
        <v>96</v>
      </c>
      <c r="D42" s="36" t="s">
        <v>97</v>
      </c>
      <c r="E42" s="36" t="s">
        <v>98</v>
      </c>
      <c r="F42" s="37">
        <v>43.1</v>
      </c>
      <c r="G42" s="38">
        <v>38.9</v>
      </c>
      <c r="H42" s="48">
        <v>56100</v>
      </c>
      <c r="I42" s="49">
        <v>92</v>
      </c>
      <c r="J42" s="50">
        <v>3</v>
      </c>
      <c r="K42" s="362">
        <v>1.0189999999999999</v>
      </c>
    </row>
    <row r="43" spans="2:11" x14ac:dyDescent="0.3">
      <c r="B43" s="358" t="s">
        <v>141</v>
      </c>
      <c r="C43" s="51"/>
      <c r="D43" s="51"/>
      <c r="E43" s="52"/>
    </row>
    <row r="44" spans="2:11" x14ac:dyDescent="0.3">
      <c r="B44" s="683" t="s">
        <v>283</v>
      </c>
      <c r="C44" s="683"/>
      <c r="D44" s="683"/>
      <c r="E44" s="683"/>
    </row>
    <row r="45" spans="2:11" ht="17.25" thickBot="1" x14ac:dyDescent="0.35">
      <c r="B45" s="20" t="s">
        <v>142</v>
      </c>
    </row>
    <row r="46" spans="2:11" ht="24.75" thickBot="1" x14ac:dyDescent="0.35">
      <c r="B46" s="208" t="s">
        <v>143</v>
      </c>
      <c r="C46" s="53" t="s">
        <v>17</v>
      </c>
      <c r="D46" s="54" t="s">
        <v>144</v>
      </c>
      <c r="E46" s="54" t="s">
        <v>145</v>
      </c>
      <c r="F46" s="54" t="s">
        <v>146</v>
      </c>
      <c r="G46" s="218" t="s">
        <v>277</v>
      </c>
      <c r="H46" s="220" t="s">
        <v>278</v>
      </c>
      <c r="I46" s="219" t="s">
        <v>284</v>
      </c>
    </row>
    <row r="47" spans="2:11" ht="17.25" thickTop="1" x14ac:dyDescent="0.3">
      <c r="B47" s="209" t="s">
        <v>147</v>
      </c>
      <c r="C47" s="215" t="s">
        <v>18</v>
      </c>
      <c r="D47" s="210">
        <v>0.47470000000000001</v>
      </c>
      <c r="E47" s="210">
        <v>1.2500000000000001E-2</v>
      </c>
      <c r="F47" s="210">
        <v>0.01</v>
      </c>
      <c r="G47" s="216">
        <v>9.6</v>
      </c>
      <c r="H47" s="217">
        <v>9.6</v>
      </c>
      <c r="I47" s="227">
        <v>0.22900000000000001</v>
      </c>
    </row>
    <row r="48" spans="2:11" ht="17.25" thickBot="1" x14ac:dyDescent="0.35">
      <c r="B48" s="211" t="s">
        <v>149</v>
      </c>
      <c r="C48" s="212" t="s">
        <v>148</v>
      </c>
      <c r="D48" s="213">
        <f>'참고) 스팀_프로판 단위 변환'!G38</f>
        <v>73882</v>
      </c>
      <c r="E48" s="214">
        <f>'참고) 스팀_프로판 단위 변환'!H38</f>
        <v>0.94520000000000004</v>
      </c>
      <c r="F48" s="214">
        <f>'참고) 스팀_프로판 단위 변환'!I38</f>
        <v>0.12139999999999999</v>
      </c>
      <c r="G48" s="355">
        <f>'참고) 스팀_프로판 단위 변환'!C38</f>
        <v>2.8470239999999998</v>
      </c>
      <c r="H48" s="356"/>
      <c r="I48" s="357">
        <f>(G48*1000000)/'참고) 스팀_프로판 단위 변환'!E38/10^7</f>
        <v>6.8000000000000005E-2</v>
      </c>
    </row>
    <row r="49" spans="2:6" x14ac:dyDescent="0.3">
      <c r="B49" s="56" t="s">
        <v>150</v>
      </c>
      <c r="C49" s="55"/>
      <c r="D49" s="55"/>
      <c r="E49" s="55"/>
      <c r="F49" s="55"/>
    </row>
    <row r="50" spans="2:6" x14ac:dyDescent="0.3">
      <c r="B50" s="358" t="s">
        <v>151</v>
      </c>
      <c r="C50" s="57"/>
      <c r="D50" s="58"/>
      <c r="E50" s="58"/>
      <c r="F50" s="55"/>
    </row>
    <row r="51" spans="2:6" x14ac:dyDescent="0.3">
      <c r="B51" s="683" t="s">
        <v>283</v>
      </c>
      <c r="C51" s="683"/>
      <c r="D51" s="683"/>
      <c r="E51" s="683"/>
      <c r="F51" s="55"/>
    </row>
    <row r="52" spans="2:6" ht="17.25" thickBot="1" x14ac:dyDescent="0.35">
      <c r="B52" s="59" t="s">
        <v>152</v>
      </c>
      <c r="C52" s="55"/>
      <c r="D52" s="55"/>
      <c r="E52" s="55"/>
      <c r="F52" s="55"/>
    </row>
    <row r="53" spans="2:6" ht="17.25" thickBot="1" x14ac:dyDescent="0.35">
      <c r="B53" s="224" t="s">
        <v>131</v>
      </c>
      <c r="C53" s="225" t="s">
        <v>132</v>
      </c>
      <c r="D53" s="226" t="s">
        <v>133</v>
      </c>
      <c r="E53" s="60"/>
      <c r="F53" s="55"/>
    </row>
    <row r="54" spans="2:6" ht="18" thickTop="1" thickBot="1" x14ac:dyDescent="0.35">
      <c r="B54" s="221">
        <v>1</v>
      </c>
      <c r="C54" s="222">
        <v>21</v>
      </c>
      <c r="D54" s="223">
        <v>310</v>
      </c>
      <c r="E54" s="60"/>
      <c r="F54" s="55"/>
    </row>
    <row r="55" spans="2:6" x14ac:dyDescent="0.3">
      <c r="B55" s="56" t="s">
        <v>153</v>
      </c>
      <c r="C55" s="55"/>
      <c r="D55" s="55"/>
      <c r="E55" s="55"/>
      <c r="F55" s="55"/>
    </row>
    <row r="56" spans="2:6" ht="12.75" customHeight="1" x14ac:dyDescent="0.3">
      <c r="B56" s="55"/>
      <c r="C56" s="55"/>
      <c r="D56" s="55"/>
      <c r="E56" s="55"/>
      <c r="F56" s="55"/>
    </row>
    <row r="57" spans="2:6" x14ac:dyDescent="0.3">
      <c r="C57" s="61"/>
    </row>
  </sheetData>
  <sheetProtection algorithmName="SHA-512" hashValue="u6JJUgK/VbSeZz1eXbKjK9mKe4gj4WpyXmEvVaKAuWSmo9wQH2E/B5TsUVKHoL/GQTm4uPZPv89lcbyPjEbmQg==" saltValue="txehUbuseAHLz+Srgf1+bw==" spinCount="100000" sheet="1" objects="1" scenarios="1"/>
  <mergeCells count="23">
    <mergeCell ref="A3:A4"/>
    <mergeCell ref="K3:K4"/>
    <mergeCell ref="B31:G31"/>
    <mergeCell ref="H31:J31"/>
    <mergeCell ref="K31:N31"/>
    <mergeCell ref="H3:J3"/>
    <mergeCell ref="B3:B4"/>
    <mergeCell ref="C3:C4"/>
    <mergeCell ref="D3:E3"/>
    <mergeCell ref="F3:F4"/>
    <mergeCell ref="G3:G4"/>
    <mergeCell ref="B51:E51"/>
    <mergeCell ref="K34:K35"/>
    <mergeCell ref="L3:L4"/>
    <mergeCell ref="B1:L1"/>
    <mergeCell ref="B32:E32"/>
    <mergeCell ref="B44:E44"/>
    <mergeCell ref="H34:J34"/>
    <mergeCell ref="B34:B35"/>
    <mergeCell ref="C34:C35"/>
    <mergeCell ref="D34:E34"/>
    <mergeCell ref="F34:F35"/>
    <mergeCell ref="G34:G35"/>
  </mergeCells>
  <phoneticPr fontId="30" type="noConversion"/>
  <pageMargins left="0.75" right="0.75" top="1" bottom="1" header="0.5" footer="0.5"/>
  <pageSetup paperSize="9" scale="7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</vt:i4>
      </vt:variant>
    </vt:vector>
  </HeadingPairs>
  <TitlesOfParts>
    <vt:vector size="10" baseType="lpstr">
      <vt:lpstr>표지</vt:lpstr>
      <vt:lpstr>1. 작성요령 및 유의사항</vt:lpstr>
      <vt:lpstr>2. 사업장 일반현황</vt:lpstr>
      <vt:lpstr>3. 기준연도 활동자료 입력</vt:lpstr>
      <vt:lpstr>4. 기준연도 배출량 산정</vt:lpstr>
      <vt:lpstr>5. 배출량 총괄</vt:lpstr>
      <vt:lpstr>6. 에너지절감효과 산정</vt:lpstr>
      <vt:lpstr>참고) 스팀_프로판 단위 변환</vt:lpstr>
      <vt:lpstr>Reference</vt:lpstr>
      <vt:lpstr>표지!Print_Area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RCC_N_022</dc:creator>
  <cp:lastModifiedBy>SAMSUNG</cp:lastModifiedBy>
  <cp:lastPrinted>2019-02-08T07:12:37Z</cp:lastPrinted>
  <dcterms:created xsi:type="dcterms:W3CDTF">2017-01-06T05:15:29Z</dcterms:created>
  <dcterms:modified xsi:type="dcterms:W3CDTF">2025-11-28T11:15:06Z</dcterms:modified>
</cp:coreProperties>
</file>