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ippransome/"/>
    </mc:Choice>
  </mc:AlternateContent>
  <xr:revisionPtr revIDLastSave="0" documentId="13_ncr:1_{B3E87278-BA70-1A43-B7FB-B572121742BF}" xr6:coauthVersionLast="47" xr6:coauthVersionMax="47" xr10:uidLastSave="{00000000-0000-0000-0000-000000000000}"/>
  <bookViews>
    <workbookView xWindow="0" yWindow="500" windowWidth="28800" windowHeight="16420" xr2:uid="{54974EE9-DAD5-C648-82C8-736A104E407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45" i="1" l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7" i="1"/>
  <c r="Y638" i="1"/>
  <c r="Y639" i="1"/>
  <c r="Y640" i="1"/>
  <c r="Y641" i="1"/>
  <c r="Y2" i="1"/>
  <c r="E583" i="1"/>
  <c r="E399" i="1"/>
  <c r="E239" i="1"/>
  <c r="E59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2" i="1"/>
  <c r="E641" i="1"/>
  <c r="E621" i="1"/>
  <c r="E601" i="1"/>
  <c r="E581" i="1"/>
  <c r="E561" i="1"/>
  <c r="E541" i="1"/>
  <c r="E521" i="1"/>
  <c r="E501" i="1"/>
  <c r="E481" i="1"/>
  <c r="E461" i="1"/>
  <c r="E441" i="1"/>
  <c r="E421" i="1"/>
  <c r="E401" i="1"/>
  <c r="E381" i="1"/>
  <c r="E361" i="1"/>
  <c r="E341" i="1"/>
  <c r="E321" i="1"/>
  <c r="E301" i="1"/>
  <c r="E281" i="1"/>
  <c r="E261" i="1"/>
  <c r="E241" i="1"/>
  <c r="E221" i="1"/>
  <c r="E201" i="1"/>
  <c r="E181" i="1"/>
  <c r="E161" i="1"/>
  <c r="E141" i="1"/>
  <c r="E121" i="1"/>
  <c r="E101" i="1"/>
  <c r="E81" i="1"/>
  <c r="E61" i="1"/>
  <c r="E41" i="1"/>
  <c r="E640" i="1"/>
  <c r="E620" i="1"/>
  <c r="E600" i="1"/>
  <c r="E580" i="1"/>
  <c r="E560" i="1"/>
  <c r="E540" i="1"/>
  <c r="E520" i="1"/>
  <c r="E500" i="1"/>
  <c r="E480" i="1"/>
  <c r="E460" i="1"/>
  <c r="E440" i="1"/>
  <c r="E420" i="1"/>
  <c r="E400" i="1"/>
  <c r="E380" i="1"/>
  <c r="E360" i="1"/>
  <c r="E340" i="1"/>
  <c r="E320" i="1"/>
  <c r="E300" i="1"/>
  <c r="E280" i="1"/>
  <c r="E260" i="1"/>
  <c r="E240" i="1"/>
  <c r="E220" i="1"/>
  <c r="E200" i="1"/>
  <c r="E180" i="1"/>
  <c r="E160" i="1"/>
  <c r="E140" i="1"/>
  <c r="E120" i="1"/>
  <c r="E100" i="1"/>
  <c r="E80" i="1"/>
  <c r="E60" i="1"/>
  <c r="E40" i="1"/>
  <c r="E639" i="1"/>
  <c r="E619" i="1"/>
  <c r="E599" i="1"/>
  <c r="E579" i="1"/>
  <c r="E559" i="1"/>
  <c r="E539" i="1"/>
  <c r="E519" i="1"/>
  <c r="E499" i="1"/>
  <c r="E479" i="1"/>
  <c r="E459" i="1"/>
  <c r="E439" i="1"/>
  <c r="E419" i="1"/>
  <c r="E379" i="1"/>
  <c r="E359" i="1"/>
  <c r="E339" i="1"/>
  <c r="E319" i="1"/>
  <c r="E299" i="1"/>
  <c r="E279" i="1"/>
  <c r="E259" i="1"/>
  <c r="E219" i="1"/>
  <c r="E199" i="1"/>
  <c r="E179" i="1"/>
  <c r="E159" i="1"/>
  <c r="E139" i="1"/>
  <c r="E119" i="1"/>
  <c r="E99" i="1"/>
  <c r="E79" i="1"/>
  <c r="E39" i="1"/>
  <c r="E638" i="1"/>
  <c r="E618" i="1"/>
  <c r="E598" i="1"/>
  <c r="E578" i="1"/>
  <c r="E558" i="1"/>
  <c r="E538" i="1"/>
  <c r="E518" i="1"/>
  <c r="E498" i="1"/>
  <c r="E478" i="1"/>
  <c r="E458" i="1"/>
  <c r="E438" i="1"/>
  <c r="E418" i="1"/>
  <c r="E398" i="1"/>
  <c r="E378" i="1"/>
  <c r="E358" i="1"/>
  <c r="E338" i="1"/>
  <c r="E318" i="1"/>
  <c r="E298" i="1"/>
  <c r="E278" i="1"/>
  <c r="E258" i="1"/>
  <c r="E238" i="1"/>
  <c r="E218" i="1"/>
  <c r="E198" i="1"/>
  <c r="E178" i="1"/>
  <c r="E158" i="1"/>
  <c r="E138" i="1"/>
  <c r="E118" i="1"/>
  <c r="E98" i="1"/>
  <c r="E78" i="1"/>
  <c r="E58" i="1"/>
  <c r="E38" i="1"/>
  <c r="E637" i="1"/>
  <c r="E617" i="1"/>
  <c r="E597" i="1"/>
  <c r="E577" i="1"/>
  <c r="E557" i="1"/>
  <c r="E537" i="1"/>
  <c r="E517" i="1"/>
  <c r="E497" i="1"/>
  <c r="E477" i="1"/>
  <c r="E457" i="1"/>
  <c r="E437" i="1"/>
  <c r="E417" i="1"/>
  <c r="E397" i="1"/>
  <c r="E377" i="1"/>
  <c r="E357" i="1"/>
  <c r="E337" i="1"/>
  <c r="E317" i="1"/>
  <c r="E297" i="1"/>
  <c r="E277" i="1"/>
  <c r="E257" i="1"/>
  <c r="E237" i="1"/>
  <c r="E217" i="1"/>
  <c r="E197" i="1"/>
  <c r="E177" i="1"/>
  <c r="E157" i="1"/>
  <c r="E137" i="1"/>
  <c r="E117" i="1"/>
  <c r="E97" i="1"/>
  <c r="E77" i="1"/>
  <c r="E57" i="1"/>
  <c r="E37" i="1"/>
  <c r="E636" i="1"/>
  <c r="E616" i="1"/>
  <c r="E596" i="1"/>
  <c r="E576" i="1"/>
  <c r="E556" i="1"/>
  <c r="E536" i="1"/>
  <c r="E516" i="1"/>
  <c r="E496" i="1"/>
  <c r="E476" i="1"/>
  <c r="E456" i="1"/>
  <c r="E436" i="1"/>
  <c r="E416" i="1"/>
  <c r="E396" i="1"/>
  <c r="E376" i="1"/>
  <c r="E356" i="1"/>
  <c r="E336" i="1"/>
  <c r="E316" i="1"/>
  <c r="E296" i="1"/>
  <c r="E276" i="1"/>
  <c r="E256" i="1"/>
  <c r="E236" i="1"/>
  <c r="E216" i="1"/>
  <c r="E196" i="1"/>
  <c r="E176" i="1"/>
  <c r="E156" i="1"/>
  <c r="E136" i="1"/>
  <c r="E116" i="1"/>
  <c r="E96" i="1"/>
  <c r="E76" i="1"/>
  <c r="E56" i="1"/>
  <c r="E36" i="1"/>
  <c r="E635" i="1"/>
  <c r="E615" i="1"/>
  <c r="E595" i="1"/>
  <c r="E575" i="1"/>
  <c r="E555" i="1"/>
  <c r="E535" i="1"/>
  <c r="E515" i="1"/>
  <c r="E495" i="1"/>
  <c r="E475" i="1"/>
  <c r="E455" i="1"/>
  <c r="E435" i="1"/>
  <c r="E415" i="1"/>
  <c r="E395" i="1"/>
  <c r="E375" i="1"/>
  <c r="E355" i="1"/>
  <c r="E335" i="1"/>
  <c r="E315" i="1"/>
  <c r="E295" i="1"/>
  <c r="E275" i="1"/>
  <c r="E255" i="1"/>
  <c r="E235" i="1"/>
  <c r="E193" i="1"/>
  <c r="E192" i="1"/>
  <c r="E170" i="1"/>
  <c r="E171" i="1"/>
  <c r="E214" i="1"/>
  <c r="E234" i="1"/>
  <c r="E215" i="1"/>
  <c r="E195" i="1"/>
  <c r="E175" i="1"/>
  <c r="E155" i="1"/>
  <c r="E135" i="1"/>
  <c r="E115" i="1"/>
  <c r="E95" i="1"/>
  <c r="E75" i="1"/>
  <c r="E55" i="1"/>
  <c r="E35" i="1"/>
  <c r="E634" i="1"/>
  <c r="E614" i="1"/>
  <c r="E594" i="1"/>
  <c r="E574" i="1"/>
  <c r="E554" i="1"/>
  <c r="E534" i="1"/>
  <c r="E514" i="1"/>
  <c r="E494" i="1"/>
  <c r="E474" i="1"/>
  <c r="E454" i="1"/>
  <c r="E434" i="1"/>
  <c r="E414" i="1"/>
  <c r="E354" i="1"/>
  <c r="E374" i="1"/>
  <c r="E394" i="1"/>
  <c r="E334" i="1"/>
  <c r="E314" i="1"/>
  <c r="E294" i="1"/>
  <c r="E274" i="1"/>
  <c r="E254" i="1"/>
  <c r="E194" i="1"/>
  <c r="E174" i="1"/>
  <c r="E154" i="1"/>
  <c r="E134" i="1"/>
  <c r="E114" i="1"/>
  <c r="E94" i="1"/>
  <c r="E74" i="1"/>
  <c r="E54" i="1"/>
  <c r="E34" i="1"/>
  <c r="E633" i="1"/>
  <c r="E613" i="1"/>
  <c r="E593" i="1"/>
  <c r="E573" i="1"/>
  <c r="E553" i="1"/>
  <c r="E533" i="1"/>
  <c r="E513" i="1"/>
  <c r="E493" i="1"/>
  <c r="E473" i="1"/>
  <c r="E453" i="1"/>
  <c r="E433" i="1"/>
  <c r="E413" i="1"/>
  <c r="E393" i="1"/>
  <c r="E373" i="1"/>
  <c r="E353" i="1"/>
  <c r="E333" i="1"/>
  <c r="E313" i="1"/>
  <c r="E293" i="1"/>
  <c r="E273" i="1"/>
  <c r="E253" i="1"/>
  <c r="E233" i="1"/>
  <c r="E213" i="1"/>
  <c r="E173" i="1"/>
  <c r="E153" i="1"/>
  <c r="E133" i="1"/>
  <c r="E113" i="1"/>
  <c r="E93" i="1"/>
  <c r="E73" i="1"/>
  <c r="E53" i="1"/>
  <c r="E33" i="1"/>
  <c r="E632" i="1"/>
  <c r="E612" i="1"/>
  <c r="E592" i="1"/>
  <c r="E572" i="1"/>
  <c r="E552" i="1"/>
  <c r="E532" i="1"/>
  <c r="E512" i="1"/>
  <c r="E492" i="1"/>
  <c r="E472" i="1"/>
  <c r="E452" i="1"/>
  <c r="E432" i="1"/>
  <c r="E412" i="1"/>
  <c r="E392" i="1"/>
  <c r="E372" i="1"/>
  <c r="E352" i="1"/>
  <c r="E332" i="1"/>
  <c r="E312" i="1"/>
  <c r="E292" i="1"/>
  <c r="E272" i="1"/>
  <c r="E252" i="1"/>
  <c r="E232" i="1"/>
  <c r="E212" i="1"/>
  <c r="E172" i="1"/>
  <c r="E152" i="1"/>
  <c r="E132" i="1"/>
  <c r="E112" i="1"/>
  <c r="E92" i="1"/>
  <c r="E72" i="1"/>
  <c r="E52" i="1"/>
  <c r="E32" i="1"/>
  <c r="E631" i="1"/>
  <c r="E611" i="1"/>
  <c r="E591" i="1"/>
  <c r="E571" i="1"/>
  <c r="E551" i="1"/>
  <c r="E531" i="1"/>
  <c r="E511" i="1"/>
  <c r="E491" i="1"/>
  <c r="E471" i="1"/>
  <c r="E451" i="1"/>
  <c r="E431" i="1"/>
  <c r="E411" i="1"/>
  <c r="E391" i="1"/>
  <c r="E371" i="1"/>
  <c r="E351" i="1"/>
  <c r="E331" i="1"/>
  <c r="E311" i="1"/>
  <c r="E291" i="1"/>
  <c r="E271" i="1"/>
  <c r="E251" i="1"/>
  <c r="E231" i="1"/>
  <c r="E211" i="1"/>
  <c r="E191" i="1"/>
  <c r="E151" i="1"/>
  <c r="E131" i="1"/>
  <c r="E111" i="1"/>
  <c r="E91" i="1"/>
  <c r="E71" i="1"/>
  <c r="E51" i="1"/>
  <c r="E31" i="1"/>
  <c r="E630" i="1"/>
  <c r="E610" i="1"/>
  <c r="E590" i="1"/>
  <c r="E570" i="1"/>
  <c r="E550" i="1"/>
  <c r="E530" i="1"/>
  <c r="E510" i="1"/>
  <c r="E490" i="1"/>
  <c r="E470" i="1"/>
  <c r="E450" i="1"/>
  <c r="E430" i="1"/>
  <c r="E410" i="1"/>
  <c r="E390" i="1"/>
  <c r="E370" i="1"/>
  <c r="E350" i="1"/>
  <c r="E330" i="1"/>
  <c r="E310" i="1"/>
  <c r="E290" i="1"/>
  <c r="E270" i="1"/>
  <c r="E250" i="1"/>
  <c r="E230" i="1"/>
  <c r="E210" i="1"/>
  <c r="E190" i="1"/>
  <c r="E150" i="1"/>
  <c r="E130" i="1"/>
  <c r="E110" i="1"/>
  <c r="E90" i="1"/>
  <c r="E70" i="1"/>
  <c r="E50" i="1"/>
  <c r="E30" i="1"/>
  <c r="E629" i="1"/>
  <c r="E609" i="1"/>
  <c r="E589" i="1"/>
  <c r="E569" i="1"/>
  <c r="E549" i="1"/>
  <c r="E529" i="1"/>
  <c r="E509" i="1"/>
  <c r="E489" i="1"/>
  <c r="E469" i="1"/>
  <c r="E449" i="1"/>
  <c r="E429" i="1"/>
  <c r="E409" i="1"/>
  <c r="E389" i="1"/>
  <c r="E369" i="1"/>
  <c r="E349" i="1"/>
  <c r="E329" i="1"/>
  <c r="E309" i="1"/>
  <c r="E289" i="1"/>
  <c r="E269" i="1"/>
  <c r="E249" i="1"/>
  <c r="E229" i="1"/>
  <c r="E209" i="1"/>
  <c r="E189" i="1"/>
  <c r="E169" i="1"/>
  <c r="E149" i="1"/>
  <c r="E129" i="1"/>
  <c r="E109" i="1"/>
  <c r="E89" i="1"/>
  <c r="E69" i="1"/>
  <c r="E49" i="1"/>
  <c r="E29" i="1"/>
  <c r="E628" i="1"/>
  <c r="E608" i="1"/>
  <c r="E588" i="1"/>
  <c r="E568" i="1"/>
  <c r="E548" i="1"/>
  <c r="E528" i="1"/>
  <c r="E508" i="1"/>
  <c r="E488" i="1"/>
  <c r="E468" i="1"/>
  <c r="E448" i="1"/>
  <c r="E428" i="1"/>
  <c r="E408" i="1"/>
  <c r="E388" i="1"/>
  <c r="E368" i="1"/>
  <c r="E348" i="1"/>
  <c r="E328" i="1"/>
  <c r="E308" i="1"/>
  <c r="E288" i="1"/>
  <c r="E268" i="1"/>
  <c r="E248" i="1"/>
  <c r="E228" i="1"/>
  <c r="E208" i="1"/>
  <c r="E188" i="1"/>
  <c r="E168" i="1"/>
  <c r="E148" i="1"/>
  <c r="E128" i="1"/>
  <c r="E108" i="1"/>
  <c r="E88" i="1"/>
  <c r="E68" i="1"/>
  <c r="E48" i="1"/>
  <c r="E28" i="1"/>
  <c r="E627" i="1"/>
  <c r="E607" i="1"/>
  <c r="E587" i="1"/>
  <c r="E567" i="1"/>
  <c r="E547" i="1"/>
  <c r="E527" i="1"/>
  <c r="E507" i="1"/>
  <c r="E487" i="1"/>
  <c r="E467" i="1"/>
  <c r="E447" i="1"/>
  <c r="E427" i="1"/>
  <c r="E407" i="1"/>
  <c r="E387" i="1"/>
  <c r="E367" i="1"/>
  <c r="E347" i="1"/>
  <c r="E327" i="1"/>
  <c r="E307" i="1"/>
  <c r="E287" i="1"/>
  <c r="E267" i="1"/>
  <c r="E247" i="1"/>
  <c r="E227" i="1"/>
  <c r="E207" i="1"/>
  <c r="E187" i="1"/>
  <c r="E167" i="1"/>
  <c r="E147" i="1"/>
  <c r="E127" i="1"/>
  <c r="E107" i="1"/>
  <c r="E87" i="1"/>
  <c r="E67" i="1"/>
  <c r="E47" i="1"/>
  <c r="E27" i="1"/>
  <c r="E626" i="1"/>
  <c r="E606" i="1"/>
  <c r="E586" i="1"/>
  <c r="E566" i="1"/>
  <c r="E546" i="1"/>
  <c r="E526" i="1"/>
  <c r="E506" i="1"/>
  <c r="E486" i="1"/>
  <c r="E466" i="1"/>
  <c r="E446" i="1"/>
  <c r="E426" i="1"/>
  <c r="E406" i="1"/>
  <c r="E386" i="1"/>
  <c r="E366" i="1"/>
  <c r="E346" i="1"/>
  <c r="E326" i="1"/>
  <c r="E306" i="1"/>
  <c r="E286" i="1"/>
  <c r="E266" i="1"/>
  <c r="E246" i="1"/>
  <c r="E226" i="1"/>
  <c r="E206" i="1"/>
  <c r="E186" i="1"/>
  <c r="E166" i="1"/>
  <c r="E146" i="1"/>
  <c r="E126" i="1"/>
  <c r="E106" i="1"/>
  <c r="E86" i="1"/>
  <c r="E66" i="1"/>
  <c r="E46" i="1"/>
  <c r="E26" i="1"/>
  <c r="E625" i="1"/>
  <c r="E605" i="1"/>
  <c r="E585" i="1"/>
  <c r="E565" i="1"/>
  <c r="E545" i="1"/>
  <c r="E525" i="1"/>
  <c r="E505" i="1"/>
  <c r="E485" i="1"/>
  <c r="E465" i="1"/>
  <c r="E445" i="1"/>
  <c r="E425" i="1"/>
  <c r="E405" i="1"/>
  <c r="E385" i="1"/>
  <c r="E365" i="1"/>
  <c r="E345" i="1"/>
  <c r="E325" i="1"/>
  <c r="E305" i="1"/>
  <c r="E285" i="1"/>
  <c r="E245" i="1"/>
  <c r="E624" i="1"/>
  <c r="E604" i="1"/>
  <c r="E584" i="1"/>
  <c r="E564" i="1"/>
  <c r="E544" i="1"/>
  <c r="E524" i="1"/>
  <c r="E504" i="1"/>
  <c r="E484" i="1"/>
  <c r="E464" i="1"/>
  <c r="E444" i="1"/>
  <c r="E424" i="1"/>
  <c r="E404" i="1"/>
  <c r="E384" i="1"/>
  <c r="E364" i="1"/>
  <c r="E344" i="1"/>
  <c r="E324" i="1"/>
  <c r="E304" i="1"/>
  <c r="E284" i="1"/>
  <c r="E264" i="1"/>
  <c r="E244" i="1"/>
  <c r="E224" i="1"/>
  <c r="E204" i="1"/>
  <c r="E184" i="1"/>
  <c r="E164" i="1"/>
  <c r="E144" i="1"/>
  <c r="E124" i="1"/>
  <c r="E104" i="1"/>
  <c r="E84" i="1"/>
  <c r="E64" i="1"/>
  <c r="E44" i="1"/>
  <c r="E24" i="1"/>
  <c r="E265" i="1"/>
  <c r="E225" i="1"/>
  <c r="E205" i="1"/>
  <c r="E185" i="1"/>
  <c r="E165" i="1"/>
  <c r="E145" i="1"/>
  <c r="E125" i="1"/>
  <c r="E105" i="1"/>
  <c r="E85" i="1"/>
  <c r="E65" i="1"/>
  <c r="E45" i="1"/>
  <c r="E25" i="1"/>
  <c r="E623" i="1"/>
  <c r="E603" i="1"/>
  <c r="E563" i="1"/>
  <c r="E543" i="1"/>
  <c r="E523" i="1"/>
  <c r="E503" i="1"/>
  <c r="E483" i="1"/>
  <c r="E463" i="1"/>
  <c r="E443" i="1"/>
  <c r="E423" i="1"/>
  <c r="E403" i="1"/>
  <c r="E383" i="1"/>
  <c r="E363" i="1"/>
  <c r="E343" i="1"/>
  <c r="E323" i="1"/>
  <c r="E303" i="1"/>
  <c r="E283" i="1"/>
  <c r="E263" i="1"/>
  <c r="E243" i="1"/>
  <c r="E223" i="1"/>
  <c r="E203" i="1"/>
  <c r="E183" i="1"/>
  <c r="E163" i="1"/>
  <c r="E143" i="1"/>
  <c r="E123" i="1"/>
  <c r="E103" i="1"/>
  <c r="E83" i="1"/>
  <c r="E63" i="1"/>
  <c r="E43" i="1"/>
  <c r="E23" i="1"/>
  <c r="E622" i="1"/>
  <c r="E602" i="1"/>
  <c r="E582" i="1"/>
  <c r="E562" i="1"/>
  <c r="E542" i="1"/>
  <c r="E522" i="1"/>
  <c r="E502" i="1"/>
  <c r="E482" i="1"/>
  <c r="E462" i="1"/>
  <c r="E442" i="1"/>
  <c r="E422" i="1"/>
  <c r="E402" i="1"/>
  <c r="E382" i="1"/>
  <c r="E362" i="1"/>
  <c r="E342" i="1"/>
  <c r="E322" i="1"/>
  <c r="E302" i="1"/>
  <c r="E282" i="1"/>
  <c r="E262" i="1"/>
  <c r="E242" i="1"/>
  <c r="E222" i="1"/>
  <c r="E202" i="1"/>
  <c r="E182" i="1"/>
  <c r="E162" i="1"/>
  <c r="E142" i="1"/>
  <c r="E122" i="1"/>
  <c r="E102" i="1"/>
  <c r="E82" i="1"/>
  <c r="E62" i="1"/>
  <c r="E42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8" i="1"/>
  <c r="E9" i="1"/>
  <c r="E7" i="1"/>
  <c r="E6" i="1"/>
  <c r="E5" i="1"/>
  <c r="E4" i="1"/>
  <c r="E3" i="1"/>
  <c r="E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635" i="1"/>
  <c r="W636" i="1"/>
  <c r="W637" i="1"/>
  <c r="W638" i="1"/>
  <c r="W639" i="1"/>
  <c r="W640" i="1"/>
  <c r="W641" i="1"/>
  <c r="W2" i="1"/>
  <c r="O2" i="1"/>
  <c r="O11" i="1"/>
  <c r="O10" i="1"/>
  <c r="O9" i="1"/>
  <c r="O8" i="1"/>
  <c r="O7" i="1"/>
  <c r="O6" i="1"/>
  <c r="O5" i="1"/>
  <c r="O4" i="1"/>
  <c r="O3" i="1"/>
  <c r="Q641" i="1"/>
  <c r="G641" i="1"/>
  <c r="Q640" i="1"/>
  <c r="G640" i="1"/>
  <c r="Q639" i="1"/>
  <c r="G639" i="1"/>
  <c r="Q638" i="1"/>
  <c r="G638" i="1"/>
  <c r="Q637" i="1"/>
  <c r="G637" i="1"/>
  <c r="Q636" i="1"/>
  <c r="G636" i="1"/>
  <c r="Q635" i="1"/>
  <c r="G635" i="1"/>
  <c r="Q634" i="1"/>
  <c r="G634" i="1"/>
  <c r="Q633" i="1"/>
  <c r="G633" i="1"/>
  <c r="Q632" i="1"/>
  <c r="G632" i="1"/>
  <c r="Q631" i="1"/>
  <c r="G631" i="1"/>
  <c r="Q630" i="1"/>
  <c r="G630" i="1"/>
  <c r="Q629" i="1"/>
  <c r="G629" i="1"/>
  <c r="Q628" i="1"/>
  <c r="G628" i="1"/>
  <c r="Q627" i="1"/>
  <c r="G627" i="1"/>
  <c r="Q626" i="1"/>
  <c r="G626" i="1"/>
  <c r="Q625" i="1"/>
  <c r="G625" i="1"/>
  <c r="Q624" i="1"/>
  <c r="G624" i="1"/>
  <c r="Q623" i="1"/>
  <c r="G623" i="1"/>
  <c r="Q622" i="1"/>
  <c r="G622" i="1"/>
  <c r="Q621" i="1"/>
  <c r="G621" i="1"/>
  <c r="Q620" i="1"/>
  <c r="G620" i="1"/>
  <c r="Q619" i="1"/>
  <c r="G619" i="1"/>
  <c r="Q618" i="1"/>
  <c r="G618" i="1"/>
  <c r="Q617" i="1"/>
  <c r="G617" i="1"/>
  <c r="Q616" i="1"/>
  <c r="G616" i="1"/>
  <c r="Q615" i="1"/>
  <c r="G615" i="1"/>
  <c r="Q614" i="1"/>
  <c r="G614" i="1"/>
  <c r="Q613" i="1"/>
  <c r="G613" i="1"/>
  <c r="Q612" i="1"/>
  <c r="G612" i="1"/>
  <c r="Q611" i="1"/>
  <c r="G611" i="1"/>
  <c r="Q610" i="1"/>
  <c r="G610" i="1"/>
  <c r="Q609" i="1"/>
  <c r="G609" i="1"/>
  <c r="Q608" i="1"/>
  <c r="G608" i="1"/>
  <c r="Q607" i="1"/>
  <c r="G607" i="1"/>
  <c r="Q606" i="1"/>
  <c r="G606" i="1"/>
  <c r="Q605" i="1"/>
  <c r="G605" i="1"/>
  <c r="Q604" i="1"/>
  <c r="G604" i="1"/>
  <c r="Q603" i="1"/>
  <c r="G603" i="1"/>
  <c r="Q602" i="1"/>
  <c r="G602" i="1"/>
  <c r="R641" i="1"/>
  <c r="F641" i="1"/>
  <c r="R640" i="1"/>
  <c r="F640" i="1"/>
  <c r="R639" i="1"/>
  <c r="F639" i="1"/>
  <c r="R638" i="1"/>
  <c r="F638" i="1"/>
  <c r="R637" i="1"/>
  <c r="F637" i="1"/>
  <c r="R636" i="1"/>
  <c r="F636" i="1"/>
  <c r="R635" i="1"/>
  <c r="F635" i="1"/>
  <c r="R634" i="1"/>
  <c r="F634" i="1"/>
  <c r="R633" i="1"/>
  <c r="F633" i="1"/>
  <c r="R632" i="1"/>
  <c r="F632" i="1"/>
  <c r="R631" i="1"/>
  <c r="F631" i="1"/>
  <c r="R630" i="1"/>
  <c r="F630" i="1"/>
  <c r="R629" i="1"/>
  <c r="F629" i="1"/>
  <c r="R628" i="1"/>
  <c r="F628" i="1"/>
  <c r="R627" i="1"/>
  <c r="F627" i="1"/>
  <c r="R626" i="1"/>
  <c r="F626" i="1"/>
  <c r="R625" i="1"/>
  <c r="F625" i="1"/>
  <c r="R624" i="1"/>
  <c r="F624" i="1"/>
  <c r="R623" i="1"/>
  <c r="F623" i="1"/>
  <c r="R622" i="1"/>
  <c r="F622" i="1"/>
  <c r="G141" i="1"/>
  <c r="G381" i="1"/>
  <c r="Q601" i="1"/>
  <c r="G600" i="1"/>
  <c r="G601" i="1"/>
  <c r="Q600" i="1"/>
  <c r="Q599" i="1"/>
  <c r="G599" i="1"/>
  <c r="Q598" i="1"/>
  <c r="G598" i="1"/>
  <c r="Q597" i="1"/>
  <c r="G597" i="1"/>
  <c r="Q596" i="1"/>
  <c r="G596" i="1"/>
  <c r="Q595" i="1"/>
  <c r="G595" i="1"/>
  <c r="Q594" i="1"/>
  <c r="G594" i="1"/>
  <c r="Q593" i="1"/>
  <c r="G593" i="1"/>
  <c r="Q592" i="1"/>
  <c r="G592" i="1"/>
  <c r="Q591" i="1"/>
  <c r="G591" i="1"/>
  <c r="Q590" i="1"/>
  <c r="G590" i="1"/>
  <c r="Q589" i="1"/>
  <c r="G589" i="1"/>
  <c r="Q588" i="1"/>
  <c r="G588" i="1"/>
  <c r="Q587" i="1"/>
  <c r="G587" i="1"/>
  <c r="Q586" i="1"/>
  <c r="G586" i="1"/>
  <c r="Q585" i="1"/>
  <c r="G585" i="1"/>
  <c r="Q584" i="1"/>
  <c r="G584" i="1"/>
  <c r="Q583" i="1"/>
  <c r="G583" i="1"/>
  <c r="R582" i="1"/>
  <c r="R583" i="1"/>
  <c r="R584" i="1"/>
  <c r="R585" i="1"/>
  <c r="R586" i="1"/>
  <c r="Q582" i="1"/>
  <c r="G582" i="1"/>
  <c r="Q581" i="1"/>
  <c r="G581" i="1"/>
  <c r="Q580" i="1"/>
  <c r="G580" i="1"/>
  <c r="Q579" i="1"/>
  <c r="G579" i="1"/>
  <c r="Q578" i="1"/>
  <c r="G578" i="1"/>
  <c r="Q577" i="1"/>
  <c r="G577" i="1"/>
  <c r="Q576" i="1"/>
  <c r="G576" i="1"/>
  <c r="Q575" i="1"/>
  <c r="G575" i="1"/>
  <c r="Q574" i="1"/>
  <c r="G574" i="1"/>
  <c r="Q573" i="1"/>
  <c r="G573" i="1"/>
  <c r="Q572" i="1"/>
  <c r="G572" i="1"/>
  <c r="Q571" i="1"/>
  <c r="G571" i="1"/>
  <c r="Q570" i="1"/>
  <c r="G570" i="1"/>
  <c r="Q569" i="1"/>
  <c r="G569" i="1"/>
  <c r="Q568" i="1"/>
  <c r="G568" i="1"/>
  <c r="Q567" i="1"/>
  <c r="G567" i="1"/>
  <c r="Q566" i="1"/>
  <c r="G566" i="1"/>
  <c r="Q565" i="1"/>
  <c r="G565" i="1"/>
  <c r="Q564" i="1"/>
  <c r="G564" i="1"/>
  <c r="Q563" i="1"/>
  <c r="G563" i="1"/>
  <c r="Q562" i="1"/>
  <c r="G562" i="1"/>
  <c r="Q561" i="1"/>
  <c r="G561" i="1"/>
  <c r="Q560" i="1"/>
  <c r="G560" i="1"/>
  <c r="Q559" i="1"/>
  <c r="G559" i="1"/>
  <c r="Q558" i="1"/>
  <c r="G558" i="1"/>
  <c r="Q557" i="1"/>
  <c r="G557" i="1"/>
  <c r="Q556" i="1"/>
  <c r="G556" i="1"/>
  <c r="Q555" i="1"/>
  <c r="G555" i="1"/>
  <c r="Q554" i="1"/>
  <c r="G554" i="1"/>
  <c r="Q553" i="1"/>
  <c r="G553" i="1"/>
  <c r="Q552" i="1"/>
  <c r="G552" i="1"/>
  <c r="Q551" i="1"/>
  <c r="G551" i="1"/>
  <c r="Q550" i="1"/>
  <c r="G550" i="1"/>
  <c r="Q549" i="1"/>
  <c r="G549" i="1"/>
  <c r="Q548" i="1"/>
  <c r="G548" i="1"/>
  <c r="Q547" i="1"/>
  <c r="G547" i="1"/>
  <c r="Q546" i="1"/>
  <c r="G546" i="1"/>
  <c r="Q545" i="1"/>
  <c r="G545" i="1"/>
  <c r="Q544" i="1"/>
  <c r="G544" i="1"/>
  <c r="Q543" i="1"/>
  <c r="G543" i="1"/>
  <c r="Q542" i="1"/>
  <c r="G542" i="1"/>
  <c r="R602" i="1"/>
  <c r="R603" i="1"/>
  <c r="R604" i="1"/>
  <c r="R605" i="1"/>
  <c r="R606" i="1"/>
  <c r="R607" i="1"/>
  <c r="F602" i="1"/>
  <c r="F603" i="1"/>
  <c r="F604" i="1"/>
  <c r="F605" i="1"/>
  <c r="F606" i="1"/>
  <c r="F582" i="1"/>
  <c r="F583" i="1"/>
  <c r="F584" i="1"/>
  <c r="F585" i="1"/>
  <c r="F586" i="1"/>
  <c r="F562" i="1"/>
  <c r="F563" i="1"/>
  <c r="F564" i="1"/>
  <c r="F565" i="1"/>
  <c r="F566" i="1"/>
  <c r="R562" i="1"/>
  <c r="R563" i="1"/>
  <c r="R564" i="1"/>
  <c r="R565" i="1"/>
  <c r="R566" i="1"/>
  <c r="R542" i="1"/>
  <c r="R543" i="1"/>
  <c r="R544" i="1"/>
  <c r="R545" i="1"/>
  <c r="R546" i="1"/>
  <c r="F542" i="1"/>
  <c r="F543" i="1"/>
  <c r="F544" i="1"/>
  <c r="F545" i="1"/>
  <c r="F546" i="1"/>
  <c r="Q541" i="1"/>
  <c r="G541" i="1"/>
  <c r="Q540" i="1"/>
  <c r="G540" i="1"/>
  <c r="Q539" i="1"/>
  <c r="G539" i="1"/>
  <c r="Q538" i="1"/>
  <c r="G538" i="1"/>
  <c r="Q537" i="1"/>
  <c r="G537" i="1"/>
  <c r="Q536" i="1"/>
  <c r="G536" i="1"/>
  <c r="Q535" i="1"/>
  <c r="G535" i="1"/>
  <c r="Q534" i="1"/>
  <c r="G534" i="1"/>
  <c r="Q533" i="1"/>
  <c r="G533" i="1"/>
  <c r="Q532" i="1"/>
  <c r="G532" i="1"/>
  <c r="Q531" i="1"/>
  <c r="G531" i="1"/>
  <c r="Q530" i="1"/>
  <c r="G530" i="1"/>
  <c r="Q529" i="1"/>
  <c r="G529" i="1"/>
  <c r="Q528" i="1"/>
  <c r="G528" i="1"/>
  <c r="Q527" i="1"/>
  <c r="G527" i="1"/>
  <c r="Q526" i="1"/>
  <c r="G526" i="1"/>
  <c r="Q525" i="1"/>
  <c r="G525" i="1"/>
  <c r="G524" i="1"/>
  <c r="Q524" i="1"/>
  <c r="Q523" i="1"/>
  <c r="G523" i="1"/>
  <c r="Q522" i="1"/>
  <c r="G522" i="1"/>
  <c r="R522" i="1"/>
  <c r="R523" i="1"/>
  <c r="R524" i="1"/>
  <c r="R525" i="1"/>
  <c r="R526" i="1"/>
  <c r="F522" i="1"/>
  <c r="F523" i="1"/>
  <c r="F524" i="1"/>
  <c r="F525" i="1"/>
  <c r="F526" i="1"/>
  <c r="Q521" i="1"/>
  <c r="G521" i="1"/>
  <c r="Q520" i="1"/>
  <c r="G520" i="1"/>
  <c r="Q519" i="1"/>
  <c r="G519" i="1"/>
  <c r="Q518" i="1"/>
  <c r="G518" i="1"/>
  <c r="Q517" i="1"/>
  <c r="G517" i="1"/>
  <c r="Q516" i="1"/>
  <c r="G516" i="1"/>
  <c r="Q515" i="1"/>
  <c r="G515" i="1"/>
  <c r="Q514" i="1"/>
  <c r="G514" i="1"/>
  <c r="Q513" i="1"/>
  <c r="G513" i="1"/>
  <c r="Q512" i="1"/>
  <c r="G512" i="1"/>
  <c r="Q511" i="1"/>
  <c r="G511" i="1"/>
  <c r="Q510" i="1"/>
  <c r="G510" i="1"/>
  <c r="Q509" i="1"/>
  <c r="G509" i="1"/>
  <c r="Q508" i="1"/>
  <c r="G508" i="1"/>
  <c r="Q507" i="1"/>
  <c r="G507" i="1"/>
  <c r="Q506" i="1"/>
  <c r="G506" i="1"/>
  <c r="Q505" i="1"/>
  <c r="G505" i="1"/>
  <c r="Q504" i="1"/>
  <c r="G504" i="1"/>
  <c r="Q503" i="1"/>
  <c r="G503" i="1"/>
  <c r="Q502" i="1"/>
  <c r="G502" i="1"/>
  <c r="R502" i="1"/>
  <c r="R503" i="1"/>
  <c r="R504" i="1"/>
  <c r="R505" i="1"/>
  <c r="R506" i="1"/>
  <c r="F502" i="1"/>
  <c r="F503" i="1"/>
  <c r="F504" i="1"/>
  <c r="F505" i="1"/>
  <c r="F506" i="1"/>
  <c r="Q501" i="1"/>
  <c r="G501" i="1"/>
  <c r="Q500" i="1"/>
  <c r="G500" i="1"/>
  <c r="Q499" i="1"/>
  <c r="G499" i="1"/>
  <c r="Q498" i="1"/>
  <c r="G498" i="1"/>
  <c r="Q497" i="1"/>
  <c r="G497" i="1"/>
  <c r="Q496" i="1"/>
  <c r="G496" i="1"/>
  <c r="Q495" i="1"/>
  <c r="G495" i="1"/>
  <c r="Q494" i="1"/>
  <c r="G494" i="1"/>
  <c r="Q493" i="1"/>
  <c r="G493" i="1"/>
  <c r="Q492" i="1"/>
  <c r="G492" i="1"/>
  <c r="Q491" i="1"/>
  <c r="G491" i="1"/>
  <c r="Q490" i="1"/>
  <c r="G490" i="1"/>
  <c r="Q489" i="1"/>
  <c r="G489" i="1"/>
  <c r="Q488" i="1"/>
  <c r="G488" i="1"/>
  <c r="Q487" i="1"/>
  <c r="G487" i="1"/>
  <c r="Q486" i="1"/>
  <c r="G486" i="1"/>
  <c r="Q485" i="1"/>
  <c r="G485" i="1"/>
  <c r="Q484" i="1"/>
  <c r="G484" i="1"/>
  <c r="Q483" i="1"/>
  <c r="G483" i="1"/>
  <c r="Q482" i="1"/>
  <c r="G482" i="1"/>
  <c r="R482" i="1"/>
  <c r="R483" i="1"/>
  <c r="R484" i="1"/>
  <c r="R485" i="1"/>
  <c r="R486" i="1"/>
  <c r="F482" i="1"/>
  <c r="F483" i="1"/>
  <c r="F484" i="1"/>
  <c r="F485" i="1"/>
  <c r="F486" i="1"/>
  <c r="Q481" i="1"/>
  <c r="G481" i="1"/>
  <c r="Q480" i="1"/>
  <c r="G480" i="1"/>
  <c r="Q479" i="1"/>
  <c r="G479" i="1"/>
  <c r="Q478" i="1"/>
  <c r="G478" i="1"/>
  <c r="Q477" i="1"/>
  <c r="G477" i="1"/>
  <c r="Q476" i="1"/>
  <c r="G476" i="1"/>
  <c r="Q475" i="1"/>
  <c r="G475" i="1"/>
  <c r="Q474" i="1"/>
  <c r="G474" i="1"/>
  <c r="Q473" i="1"/>
  <c r="G473" i="1"/>
  <c r="Q472" i="1"/>
  <c r="G472" i="1"/>
  <c r="Q471" i="1"/>
  <c r="G471" i="1"/>
  <c r="Q470" i="1"/>
  <c r="G470" i="1"/>
  <c r="Q469" i="1"/>
  <c r="G469" i="1"/>
  <c r="Q468" i="1"/>
  <c r="G468" i="1"/>
  <c r="Q467" i="1"/>
  <c r="G467" i="1"/>
  <c r="Q466" i="1"/>
  <c r="G466" i="1"/>
  <c r="Q465" i="1"/>
  <c r="G465" i="1"/>
  <c r="Q464" i="1"/>
  <c r="G464" i="1"/>
  <c r="Q463" i="1"/>
  <c r="G463" i="1"/>
  <c r="Q462" i="1"/>
  <c r="G462" i="1"/>
  <c r="R462" i="1"/>
  <c r="R463" i="1"/>
  <c r="R464" i="1"/>
  <c r="R465" i="1"/>
  <c r="R466" i="1"/>
  <c r="F462" i="1"/>
  <c r="F463" i="1"/>
  <c r="F464" i="1"/>
  <c r="F465" i="1"/>
  <c r="F466" i="1"/>
  <c r="Q461" i="1"/>
  <c r="G460" i="1"/>
  <c r="Q460" i="1"/>
  <c r="G461" i="1"/>
  <c r="Q459" i="1"/>
  <c r="G459" i="1"/>
  <c r="Q458" i="1"/>
  <c r="G458" i="1"/>
  <c r="Q457" i="1"/>
  <c r="G457" i="1"/>
  <c r="Q456" i="1"/>
  <c r="G456" i="1"/>
  <c r="Q455" i="1"/>
  <c r="G455" i="1"/>
  <c r="Q454" i="1"/>
  <c r="G454" i="1"/>
  <c r="Q453" i="1"/>
  <c r="G453" i="1"/>
  <c r="Q452" i="1"/>
  <c r="G452" i="1"/>
  <c r="Q451" i="1"/>
  <c r="G451" i="1"/>
  <c r="Q450" i="1"/>
  <c r="G450" i="1"/>
  <c r="Q449" i="1"/>
  <c r="G449" i="1"/>
  <c r="Q448" i="1"/>
  <c r="G448" i="1"/>
  <c r="Q447" i="1"/>
  <c r="G447" i="1"/>
  <c r="Q446" i="1"/>
  <c r="G446" i="1"/>
  <c r="Q445" i="1"/>
  <c r="G445" i="1"/>
  <c r="Q444" i="1"/>
  <c r="G444" i="1"/>
  <c r="Q443" i="1"/>
  <c r="G443" i="1"/>
  <c r="Q442" i="1"/>
  <c r="G442" i="1"/>
  <c r="R442" i="1"/>
  <c r="R443" i="1"/>
  <c r="R444" i="1"/>
  <c r="R445" i="1"/>
  <c r="R446" i="1"/>
  <c r="F442" i="1"/>
  <c r="F443" i="1"/>
  <c r="F444" i="1"/>
  <c r="F445" i="1"/>
  <c r="F446" i="1"/>
  <c r="Q441" i="1"/>
  <c r="G441" i="1"/>
  <c r="Q440" i="1"/>
  <c r="G440" i="1"/>
  <c r="Q439" i="1"/>
  <c r="G439" i="1"/>
  <c r="Q438" i="1"/>
  <c r="G438" i="1"/>
  <c r="Q437" i="1"/>
  <c r="G437" i="1"/>
  <c r="Q436" i="1"/>
  <c r="G436" i="1"/>
  <c r="Q435" i="1"/>
  <c r="G435" i="1"/>
  <c r="Q434" i="1"/>
  <c r="G434" i="1"/>
  <c r="Q433" i="1"/>
  <c r="G433" i="1"/>
  <c r="Q432" i="1"/>
  <c r="G432" i="1"/>
  <c r="Q431" i="1"/>
  <c r="G431" i="1"/>
  <c r="Q430" i="1"/>
  <c r="G430" i="1"/>
  <c r="Q429" i="1"/>
  <c r="G429" i="1"/>
  <c r="Q428" i="1"/>
  <c r="G428" i="1"/>
  <c r="Q427" i="1"/>
  <c r="G427" i="1"/>
  <c r="Q426" i="1"/>
  <c r="G426" i="1"/>
  <c r="Q425" i="1"/>
  <c r="G425" i="1"/>
  <c r="Q424" i="1"/>
  <c r="G424" i="1"/>
  <c r="Q423" i="1"/>
  <c r="G423" i="1"/>
  <c r="Q422" i="1"/>
  <c r="G422" i="1"/>
  <c r="R422" i="1"/>
  <c r="R423" i="1"/>
  <c r="R424" i="1"/>
  <c r="R425" i="1"/>
  <c r="R426" i="1"/>
  <c r="F422" i="1"/>
  <c r="F423" i="1"/>
  <c r="F424" i="1"/>
  <c r="F425" i="1"/>
  <c r="F426" i="1"/>
  <c r="Q421" i="1"/>
  <c r="G421" i="1"/>
  <c r="Q420" i="1"/>
  <c r="G420" i="1"/>
  <c r="Q419" i="1"/>
  <c r="G419" i="1"/>
  <c r="Q418" i="1"/>
  <c r="G418" i="1"/>
  <c r="Q417" i="1"/>
  <c r="G417" i="1"/>
  <c r="Q416" i="1"/>
  <c r="G416" i="1"/>
  <c r="Q415" i="1"/>
  <c r="G415" i="1"/>
  <c r="Q414" i="1"/>
  <c r="G414" i="1"/>
  <c r="Q413" i="1"/>
  <c r="G413" i="1"/>
  <c r="Q412" i="1"/>
  <c r="G412" i="1"/>
  <c r="Q411" i="1"/>
  <c r="G411" i="1"/>
  <c r="Q410" i="1"/>
  <c r="G410" i="1"/>
  <c r="Q409" i="1"/>
  <c r="G409" i="1"/>
  <c r="Q408" i="1"/>
  <c r="G408" i="1"/>
  <c r="Q407" i="1"/>
  <c r="G407" i="1"/>
  <c r="Q406" i="1"/>
  <c r="G406" i="1"/>
  <c r="Q405" i="1"/>
  <c r="G405" i="1"/>
  <c r="Q404" i="1"/>
  <c r="G404" i="1"/>
  <c r="Q403" i="1"/>
  <c r="G403" i="1"/>
  <c r="Q402" i="1"/>
  <c r="G402" i="1"/>
  <c r="R402" i="1"/>
  <c r="R403" i="1"/>
  <c r="R404" i="1"/>
  <c r="R405" i="1"/>
  <c r="R406" i="1"/>
  <c r="F402" i="1"/>
  <c r="F403" i="1"/>
  <c r="F404" i="1"/>
  <c r="F405" i="1"/>
  <c r="F406" i="1"/>
  <c r="Q401" i="1"/>
  <c r="G401" i="1"/>
  <c r="Q400" i="1"/>
  <c r="G400" i="1"/>
  <c r="Q399" i="1"/>
  <c r="G399" i="1"/>
  <c r="Q398" i="1"/>
  <c r="G398" i="1"/>
  <c r="Q397" i="1"/>
  <c r="G397" i="1"/>
  <c r="Q396" i="1"/>
  <c r="G396" i="1"/>
  <c r="Q395" i="1"/>
  <c r="G395" i="1"/>
  <c r="Q394" i="1"/>
  <c r="G394" i="1"/>
  <c r="Q393" i="1"/>
  <c r="G393" i="1"/>
  <c r="Q392" i="1"/>
  <c r="G392" i="1"/>
  <c r="Q391" i="1"/>
  <c r="G391" i="1"/>
  <c r="Q390" i="1"/>
  <c r="G390" i="1"/>
  <c r="Q389" i="1"/>
  <c r="G389" i="1"/>
  <c r="Q388" i="1"/>
  <c r="G388" i="1"/>
  <c r="Q387" i="1"/>
  <c r="G387" i="1"/>
  <c r="Q386" i="1"/>
  <c r="G386" i="1"/>
  <c r="Q385" i="1"/>
  <c r="G385" i="1"/>
  <c r="Q384" i="1"/>
  <c r="G384" i="1"/>
  <c r="Q383" i="1"/>
  <c r="G383" i="1"/>
  <c r="Q382" i="1"/>
  <c r="G382" i="1"/>
  <c r="R382" i="1"/>
  <c r="R383" i="1"/>
  <c r="R384" i="1"/>
  <c r="R385" i="1"/>
  <c r="R386" i="1"/>
  <c r="F382" i="1"/>
  <c r="F383" i="1"/>
  <c r="F384" i="1"/>
  <c r="F385" i="1"/>
  <c r="F386" i="1"/>
  <c r="Q381" i="1"/>
  <c r="Q380" i="1"/>
  <c r="G380" i="1"/>
  <c r="Q379" i="1"/>
  <c r="G379" i="1"/>
  <c r="Q378" i="1"/>
  <c r="G378" i="1"/>
  <c r="Q377" i="1"/>
  <c r="G377" i="1"/>
  <c r="Q376" i="1"/>
  <c r="G376" i="1"/>
  <c r="Q375" i="1"/>
  <c r="G375" i="1"/>
  <c r="Q374" i="1"/>
  <c r="G374" i="1"/>
  <c r="Q373" i="1"/>
  <c r="G373" i="1"/>
  <c r="Q372" i="1"/>
  <c r="G372" i="1"/>
  <c r="Q371" i="1"/>
  <c r="G371" i="1"/>
  <c r="Q370" i="1"/>
  <c r="G370" i="1"/>
  <c r="Q369" i="1"/>
  <c r="G369" i="1"/>
  <c r="Q368" i="1"/>
  <c r="G368" i="1"/>
  <c r="Q367" i="1"/>
  <c r="G367" i="1"/>
  <c r="Q366" i="1"/>
  <c r="G366" i="1"/>
  <c r="Q365" i="1"/>
  <c r="G365" i="1"/>
  <c r="Q364" i="1"/>
  <c r="G364" i="1"/>
  <c r="Q363" i="1"/>
  <c r="G363" i="1"/>
  <c r="Q362" i="1"/>
  <c r="G362" i="1"/>
  <c r="R362" i="1"/>
  <c r="R363" i="1"/>
  <c r="R364" i="1"/>
  <c r="R365" i="1"/>
  <c r="R366" i="1"/>
  <c r="F362" i="1"/>
  <c r="F363" i="1"/>
  <c r="F364" i="1"/>
  <c r="F365" i="1"/>
  <c r="F366" i="1"/>
  <c r="Q361" i="1"/>
  <c r="G361" i="1"/>
  <c r="Q360" i="1"/>
  <c r="G360" i="1"/>
  <c r="Q359" i="1"/>
  <c r="G359" i="1"/>
  <c r="Q358" i="1"/>
  <c r="G358" i="1"/>
  <c r="Q357" i="1"/>
  <c r="G357" i="1"/>
  <c r="Q356" i="1"/>
  <c r="G356" i="1"/>
  <c r="Q355" i="1"/>
  <c r="G355" i="1"/>
  <c r="Q354" i="1"/>
  <c r="G354" i="1"/>
  <c r="Q353" i="1"/>
  <c r="G353" i="1"/>
  <c r="Q352" i="1"/>
  <c r="G352" i="1"/>
  <c r="Q351" i="1"/>
  <c r="G351" i="1"/>
  <c r="Q350" i="1"/>
  <c r="G350" i="1"/>
  <c r="Q349" i="1"/>
  <c r="G349" i="1"/>
  <c r="Q348" i="1"/>
  <c r="G348" i="1"/>
  <c r="Q347" i="1"/>
  <c r="G347" i="1"/>
  <c r="Q346" i="1"/>
  <c r="G346" i="1"/>
  <c r="Q345" i="1"/>
  <c r="G345" i="1"/>
  <c r="Q344" i="1"/>
  <c r="G344" i="1"/>
  <c r="Q343" i="1"/>
  <c r="G343" i="1"/>
  <c r="Q342" i="1"/>
  <c r="G342" i="1"/>
  <c r="R342" i="1"/>
  <c r="R343" i="1"/>
  <c r="R344" i="1"/>
  <c r="R345" i="1"/>
  <c r="R346" i="1"/>
  <c r="F342" i="1"/>
  <c r="F343" i="1"/>
  <c r="F344" i="1"/>
  <c r="F345" i="1"/>
  <c r="F346" i="1"/>
  <c r="G340" i="1"/>
  <c r="G341" i="1"/>
  <c r="Q341" i="1"/>
  <c r="Q340" i="1"/>
  <c r="Q339" i="1"/>
  <c r="G339" i="1"/>
  <c r="Q338" i="1"/>
  <c r="G338" i="1"/>
  <c r="Q337" i="1"/>
  <c r="G337" i="1"/>
  <c r="Q336" i="1"/>
  <c r="G336" i="1"/>
  <c r="Q335" i="1"/>
  <c r="G335" i="1"/>
  <c r="Q334" i="1"/>
  <c r="G334" i="1"/>
  <c r="Q333" i="1"/>
  <c r="G333" i="1"/>
  <c r="Q332" i="1"/>
  <c r="G332" i="1"/>
  <c r="G331" i="1"/>
  <c r="G330" i="1"/>
  <c r="G329" i="1"/>
  <c r="G328" i="1"/>
  <c r="Q330" i="1"/>
  <c r="Q329" i="1"/>
  <c r="Q328" i="1"/>
  <c r="Q327" i="1"/>
  <c r="G327" i="1"/>
  <c r="Q326" i="1"/>
  <c r="G326" i="1"/>
  <c r="Q325" i="1"/>
  <c r="G325" i="1"/>
  <c r="Q324" i="1"/>
  <c r="G324" i="1"/>
  <c r="Q323" i="1"/>
  <c r="G323" i="1"/>
  <c r="Q322" i="1"/>
  <c r="G322" i="1"/>
  <c r="F322" i="1"/>
  <c r="F323" i="1"/>
  <c r="F324" i="1"/>
  <c r="F325" i="1"/>
  <c r="F326" i="1"/>
  <c r="R322" i="1"/>
  <c r="R323" i="1"/>
  <c r="R324" i="1"/>
  <c r="R325" i="1"/>
  <c r="R326" i="1"/>
  <c r="Q307" i="1"/>
  <c r="G307" i="1"/>
  <c r="Q306" i="1"/>
  <c r="G306" i="1"/>
  <c r="Q305" i="1"/>
  <c r="G305" i="1"/>
  <c r="Q304" i="1"/>
  <c r="G304" i="1"/>
  <c r="Q303" i="1"/>
  <c r="G303" i="1"/>
  <c r="Q302" i="1"/>
  <c r="G302" i="1"/>
  <c r="R302" i="1"/>
  <c r="R303" i="1"/>
  <c r="R304" i="1"/>
  <c r="R305" i="1"/>
  <c r="R306" i="1"/>
  <c r="F302" i="1"/>
  <c r="F303" i="1"/>
  <c r="F304" i="1"/>
  <c r="F305" i="1"/>
  <c r="F306" i="1"/>
  <c r="Q287" i="1"/>
  <c r="G287" i="1"/>
  <c r="Q286" i="1"/>
  <c r="G286" i="1"/>
  <c r="Q285" i="1"/>
  <c r="G285" i="1"/>
  <c r="Q284" i="1"/>
  <c r="G284" i="1"/>
  <c r="Q283" i="1"/>
  <c r="G283" i="1"/>
  <c r="Q282" i="1"/>
  <c r="G282" i="1"/>
  <c r="R282" i="1"/>
  <c r="R283" i="1"/>
  <c r="R284" i="1"/>
  <c r="R285" i="1"/>
  <c r="R286" i="1"/>
  <c r="F282" i="1"/>
  <c r="F283" i="1"/>
  <c r="F284" i="1"/>
  <c r="F285" i="1"/>
  <c r="F286" i="1"/>
  <c r="Q267" i="1"/>
  <c r="G267" i="1"/>
  <c r="Q266" i="1"/>
  <c r="G266" i="1"/>
  <c r="Q265" i="1"/>
  <c r="G265" i="1"/>
  <c r="Q264" i="1"/>
  <c r="G264" i="1"/>
  <c r="Q263" i="1"/>
  <c r="G263" i="1"/>
  <c r="Q262" i="1"/>
  <c r="G262" i="1"/>
  <c r="F264" i="1"/>
  <c r="R262" i="1"/>
  <c r="R263" i="1"/>
  <c r="R264" i="1"/>
  <c r="R265" i="1"/>
  <c r="R266" i="1"/>
  <c r="F262" i="1"/>
  <c r="F263" i="1"/>
  <c r="F265" i="1"/>
  <c r="F266" i="1"/>
  <c r="Q247" i="1"/>
  <c r="G247" i="1"/>
  <c r="Q246" i="1"/>
  <c r="G246" i="1"/>
  <c r="Q245" i="1"/>
  <c r="G245" i="1"/>
  <c r="Q244" i="1"/>
  <c r="G244" i="1"/>
  <c r="Q243" i="1"/>
  <c r="G243" i="1"/>
  <c r="Q242" i="1"/>
  <c r="G242" i="1"/>
  <c r="R242" i="1"/>
  <c r="R243" i="1"/>
  <c r="R244" i="1"/>
  <c r="R245" i="1"/>
  <c r="R246" i="1"/>
  <c r="F242" i="1"/>
  <c r="F243" i="1"/>
  <c r="F244" i="1"/>
  <c r="F245" i="1"/>
  <c r="F246" i="1"/>
  <c r="Q227" i="1"/>
  <c r="G227" i="1"/>
  <c r="Q226" i="1"/>
  <c r="G226" i="1"/>
  <c r="Q225" i="1"/>
  <c r="G225" i="1"/>
  <c r="Q224" i="1"/>
  <c r="G224" i="1"/>
  <c r="Q223" i="1"/>
  <c r="G223" i="1"/>
  <c r="Q222" i="1"/>
  <c r="R222" i="1"/>
  <c r="R223" i="1"/>
  <c r="R224" i="1"/>
  <c r="R225" i="1"/>
  <c r="R226" i="1"/>
  <c r="F222" i="1"/>
  <c r="F223" i="1"/>
  <c r="F224" i="1"/>
  <c r="F225" i="1"/>
  <c r="F226" i="1"/>
  <c r="Q219" i="1"/>
  <c r="Q207" i="1"/>
  <c r="G207" i="1"/>
  <c r="Q206" i="1"/>
  <c r="G206" i="1"/>
  <c r="Q205" i="1"/>
  <c r="G205" i="1"/>
  <c r="Q204" i="1"/>
  <c r="G204" i="1"/>
  <c r="Q203" i="1"/>
  <c r="G203" i="1"/>
  <c r="Q202" i="1"/>
  <c r="G202" i="1"/>
  <c r="R202" i="1"/>
  <c r="R203" i="1"/>
  <c r="R204" i="1"/>
  <c r="R205" i="1"/>
  <c r="R206" i="1"/>
  <c r="F202" i="1"/>
  <c r="F203" i="1"/>
  <c r="F204" i="1"/>
  <c r="F205" i="1"/>
  <c r="F206" i="1"/>
  <c r="Q187" i="1"/>
  <c r="G187" i="1"/>
  <c r="Q186" i="1"/>
  <c r="G186" i="1"/>
  <c r="Q185" i="1"/>
  <c r="G185" i="1"/>
  <c r="Q184" i="1"/>
  <c r="G184" i="1"/>
  <c r="Q183" i="1"/>
  <c r="G183" i="1"/>
  <c r="Q182" i="1"/>
  <c r="G182" i="1"/>
  <c r="R182" i="1"/>
  <c r="R183" i="1"/>
  <c r="R184" i="1"/>
  <c r="R185" i="1"/>
  <c r="R186" i="1"/>
  <c r="F182" i="1"/>
  <c r="F183" i="1"/>
  <c r="F184" i="1"/>
  <c r="F185" i="1"/>
  <c r="F186" i="1"/>
  <c r="Q181" i="1"/>
  <c r="G167" i="1"/>
  <c r="Q167" i="1"/>
  <c r="Q166" i="1"/>
  <c r="G166" i="1"/>
  <c r="Q165" i="1"/>
  <c r="G165" i="1"/>
  <c r="Q164" i="1"/>
  <c r="G164" i="1"/>
  <c r="Q163" i="1"/>
  <c r="G163" i="1"/>
  <c r="Q162" i="1"/>
  <c r="G162" i="1"/>
  <c r="F163" i="1"/>
  <c r="F164" i="1"/>
  <c r="F165" i="1"/>
  <c r="F166" i="1"/>
  <c r="R163" i="1"/>
  <c r="R164" i="1"/>
  <c r="R165" i="1"/>
  <c r="R166" i="1"/>
  <c r="R162" i="1"/>
  <c r="F162" i="1"/>
  <c r="Q158" i="1"/>
  <c r="Q147" i="1"/>
  <c r="G147" i="1"/>
  <c r="Q146" i="1"/>
  <c r="G146" i="1"/>
  <c r="Q145" i="1"/>
  <c r="Q144" i="1"/>
  <c r="G144" i="1"/>
  <c r="Q143" i="1"/>
  <c r="G143" i="1"/>
  <c r="Q142" i="1"/>
  <c r="G142" i="1"/>
  <c r="R142" i="1"/>
  <c r="R143" i="1"/>
  <c r="R144" i="1"/>
  <c r="R145" i="1"/>
  <c r="R146" i="1"/>
  <c r="F142" i="1"/>
  <c r="F143" i="1"/>
  <c r="F144" i="1"/>
  <c r="F145" i="1"/>
  <c r="F146" i="1"/>
  <c r="Q136" i="1"/>
  <c r="Q128" i="1"/>
  <c r="Q127" i="1"/>
  <c r="G127" i="1"/>
  <c r="Q126" i="1"/>
  <c r="G126" i="1"/>
  <c r="Q125" i="1"/>
  <c r="G125" i="1"/>
  <c r="Q124" i="1"/>
  <c r="G124" i="1"/>
  <c r="Q123" i="1"/>
  <c r="G123" i="1"/>
  <c r="R123" i="1"/>
  <c r="R124" i="1"/>
  <c r="R125" i="1"/>
  <c r="R126" i="1"/>
  <c r="R127" i="1"/>
  <c r="R122" i="1"/>
  <c r="Q122" i="1"/>
  <c r="G122" i="1"/>
  <c r="F123" i="1"/>
  <c r="F124" i="1"/>
  <c r="F125" i="1"/>
  <c r="F126" i="1"/>
  <c r="F122" i="1"/>
  <c r="Q107" i="1"/>
  <c r="G108" i="1"/>
  <c r="Q106" i="1"/>
  <c r="G106" i="1"/>
  <c r="Q105" i="1"/>
  <c r="G105" i="1"/>
  <c r="Q104" i="1"/>
  <c r="G104" i="1"/>
  <c r="R103" i="1"/>
  <c r="R104" i="1"/>
  <c r="R105" i="1"/>
  <c r="R106" i="1"/>
  <c r="R107" i="1"/>
  <c r="Q103" i="1"/>
  <c r="G103" i="1"/>
  <c r="R102" i="1"/>
  <c r="Q102" i="1"/>
  <c r="G102" i="1"/>
  <c r="F102" i="1"/>
  <c r="F103" i="1"/>
  <c r="F104" i="1"/>
  <c r="F105" i="1"/>
  <c r="F106" i="1"/>
  <c r="Q87" i="1"/>
  <c r="G87" i="1"/>
  <c r="Q86" i="1"/>
  <c r="G86" i="1"/>
  <c r="Q85" i="1"/>
  <c r="Q83" i="1"/>
  <c r="G85" i="1"/>
  <c r="Q84" i="1"/>
  <c r="G84" i="1"/>
  <c r="G83" i="1"/>
  <c r="F83" i="1"/>
  <c r="F84" i="1"/>
  <c r="F85" i="1"/>
  <c r="F86" i="1"/>
  <c r="F82" i="1"/>
  <c r="R83" i="1"/>
  <c r="R84" i="1"/>
  <c r="R85" i="1"/>
  <c r="R86" i="1"/>
  <c r="R87" i="1"/>
  <c r="R82" i="1"/>
  <c r="Q82" i="1"/>
  <c r="G82" i="1"/>
  <c r="G81" i="1"/>
  <c r="Q67" i="1"/>
  <c r="G67" i="1"/>
  <c r="Q66" i="1"/>
  <c r="G66" i="1"/>
  <c r="Q65" i="1"/>
  <c r="G65" i="1"/>
  <c r="Q64" i="1"/>
  <c r="G64" i="1"/>
  <c r="Q63" i="1"/>
  <c r="G63" i="1"/>
  <c r="F63" i="1"/>
  <c r="F64" i="1"/>
  <c r="F65" i="1"/>
  <c r="F66" i="1"/>
  <c r="F62" i="1"/>
  <c r="R63" i="1"/>
  <c r="R64" i="1"/>
  <c r="R65" i="1"/>
  <c r="R66" i="1"/>
  <c r="R67" i="1"/>
  <c r="R62" i="1"/>
  <c r="Q62" i="1"/>
  <c r="G62" i="1"/>
  <c r="Q48" i="1"/>
  <c r="Q47" i="1"/>
  <c r="G47" i="1"/>
  <c r="Q46" i="1"/>
  <c r="G46" i="1"/>
  <c r="Q45" i="1"/>
  <c r="G45" i="1"/>
  <c r="Q44" i="1"/>
  <c r="G44" i="1"/>
  <c r="Q43" i="1"/>
  <c r="G43" i="1"/>
  <c r="R43" i="1"/>
  <c r="R44" i="1"/>
  <c r="R45" i="1"/>
  <c r="R46" i="1"/>
  <c r="R47" i="1"/>
  <c r="F43" i="1"/>
  <c r="F44" i="1"/>
  <c r="F45" i="1"/>
  <c r="F46" i="1"/>
  <c r="F47" i="1"/>
  <c r="F42" i="1"/>
  <c r="R42" i="1"/>
  <c r="Q42" i="1"/>
  <c r="G42" i="1"/>
  <c r="Q27" i="1"/>
  <c r="G27" i="1"/>
  <c r="Q26" i="1"/>
  <c r="G26" i="1"/>
  <c r="Q25" i="1"/>
  <c r="G25" i="1"/>
  <c r="Q24" i="1"/>
  <c r="G24" i="1"/>
  <c r="Q23" i="1"/>
  <c r="G23" i="1"/>
  <c r="F23" i="1"/>
  <c r="F24" i="1"/>
  <c r="F25" i="1"/>
  <c r="F26" i="1"/>
  <c r="F27" i="1"/>
  <c r="F22" i="1"/>
  <c r="R23" i="1"/>
  <c r="R24" i="1"/>
  <c r="R25" i="1"/>
  <c r="R26" i="1"/>
  <c r="R27" i="1"/>
  <c r="R22" i="1"/>
  <c r="Q22" i="1"/>
  <c r="G22" i="1"/>
  <c r="Q7" i="1"/>
  <c r="G7" i="1"/>
  <c r="Q6" i="1"/>
  <c r="G6" i="1"/>
  <c r="G5" i="1"/>
  <c r="Q5" i="1"/>
  <c r="G4" i="1"/>
  <c r="Q4" i="1"/>
  <c r="G3" i="1"/>
  <c r="Q3" i="1"/>
  <c r="G2" i="1"/>
  <c r="F2" i="1"/>
  <c r="F3" i="1"/>
  <c r="F4" i="1"/>
  <c r="F5" i="1"/>
  <c r="F6" i="1"/>
  <c r="F7" i="1"/>
  <c r="Q2" i="1"/>
  <c r="R2" i="1"/>
  <c r="R3" i="1"/>
  <c r="R4" i="1"/>
  <c r="R5" i="1"/>
  <c r="R6" i="1"/>
  <c r="R7" i="1"/>
  <c r="A543" i="1"/>
  <c r="A463" i="1"/>
  <c r="A443" i="1"/>
  <c r="A243" i="1"/>
  <c r="A202" i="1"/>
  <c r="A183" i="1"/>
  <c r="A103" i="1"/>
  <c r="A63" i="1"/>
  <c r="A64" i="1" s="1"/>
  <c r="A42" i="1"/>
  <c r="G321" i="1"/>
  <c r="Q321" i="1"/>
  <c r="G320" i="1"/>
  <c r="Q320" i="1"/>
  <c r="G319" i="1"/>
  <c r="G318" i="1"/>
  <c r="G317" i="1"/>
  <c r="Q317" i="1"/>
  <c r="G316" i="1"/>
  <c r="P316" i="1"/>
  <c r="G315" i="1"/>
  <c r="Q315" i="1"/>
  <c r="G314" i="1"/>
  <c r="Q314" i="1"/>
  <c r="G313" i="1"/>
  <c r="Q313" i="1"/>
  <c r="G312" i="1"/>
  <c r="Q312" i="1"/>
  <c r="G311" i="1"/>
  <c r="Q311" i="1"/>
  <c r="G310" i="1"/>
  <c r="Q310" i="1"/>
  <c r="G309" i="1"/>
  <c r="G308" i="1"/>
  <c r="Q308" i="1"/>
  <c r="G301" i="1"/>
  <c r="Q301" i="1"/>
  <c r="G300" i="1"/>
  <c r="Q300" i="1"/>
  <c r="G299" i="1"/>
  <c r="Q299" i="1"/>
  <c r="G298" i="1"/>
  <c r="Q298" i="1"/>
  <c r="G297" i="1"/>
  <c r="Q297" i="1"/>
  <c r="G296" i="1"/>
  <c r="Q296" i="1"/>
  <c r="G295" i="1"/>
  <c r="Q295" i="1"/>
  <c r="G294" i="1"/>
  <c r="Q294" i="1"/>
  <c r="G293" i="1"/>
  <c r="G292" i="1"/>
  <c r="Q292" i="1"/>
  <c r="G291" i="1"/>
  <c r="Q291" i="1"/>
  <c r="G290" i="1"/>
  <c r="G289" i="1"/>
  <c r="Q289" i="1"/>
  <c r="G288" i="1"/>
  <c r="Q288" i="1"/>
  <c r="G281" i="1"/>
  <c r="Q281" i="1"/>
  <c r="G280" i="1"/>
  <c r="Q280" i="1"/>
  <c r="G279" i="1"/>
  <c r="Q279" i="1"/>
  <c r="G278" i="1"/>
  <c r="Q278" i="1"/>
  <c r="G277" i="1"/>
  <c r="G276" i="1"/>
  <c r="G275" i="1"/>
  <c r="G274" i="1"/>
  <c r="Q274" i="1"/>
  <c r="G273" i="1"/>
  <c r="Q273" i="1"/>
  <c r="G272" i="1"/>
  <c r="Q272" i="1"/>
  <c r="G271" i="1"/>
  <c r="Q271" i="1"/>
  <c r="G270" i="1"/>
  <c r="Q270" i="1"/>
  <c r="G269" i="1"/>
  <c r="Q269" i="1"/>
  <c r="G268" i="1"/>
  <c r="G261" i="1"/>
  <c r="Q261" i="1"/>
  <c r="G260" i="1"/>
  <c r="Q260" i="1"/>
  <c r="G259" i="1"/>
  <c r="Q259" i="1"/>
  <c r="G258" i="1"/>
  <c r="Q258" i="1"/>
  <c r="G257" i="1"/>
  <c r="P257" i="1"/>
  <c r="G256" i="1"/>
  <c r="Q256" i="1"/>
  <c r="G255" i="1"/>
  <c r="Q255" i="1"/>
  <c r="G254" i="1"/>
  <c r="Q254" i="1"/>
  <c r="G253" i="1"/>
  <c r="Q253" i="1"/>
  <c r="G252" i="1"/>
  <c r="P252" i="1"/>
  <c r="G251" i="1"/>
  <c r="Q251" i="1"/>
  <c r="G250" i="1"/>
  <c r="Q250" i="1"/>
  <c r="G249" i="1"/>
  <c r="Q249" i="1"/>
  <c r="G248" i="1"/>
  <c r="G241" i="1"/>
  <c r="Q241" i="1"/>
  <c r="G240" i="1"/>
  <c r="Q240" i="1"/>
  <c r="G239" i="1"/>
  <c r="Q239" i="1"/>
  <c r="G238" i="1"/>
  <c r="Q238" i="1"/>
  <c r="G237" i="1"/>
  <c r="Q237" i="1"/>
  <c r="G236" i="1"/>
  <c r="Q236" i="1"/>
  <c r="P236" i="1"/>
  <c r="G235" i="1"/>
  <c r="Q235" i="1"/>
  <c r="G234" i="1"/>
  <c r="G233" i="1"/>
  <c r="Q233" i="1"/>
  <c r="G232" i="1"/>
  <c r="Q232" i="1"/>
  <c r="G231" i="1"/>
  <c r="Q231" i="1"/>
  <c r="G230" i="1"/>
  <c r="Q230" i="1"/>
  <c r="P230" i="1"/>
  <c r="G229" i="1"/>
  <c r="Q229" i="1"/>
  <c r="G228" i="1"/>
  <c r="Q228" i="1"/>
  <c r="P228" i="1"/>
  <c r="G221" i="1"/>
  <c r="Q221" i="1"/>
  <c r="G220" i="1"/>
  <c r="Q220" i="1"/>
  <c r="G219" i="1"/>
  <c r="G218" i="1"/>
  <c r="Q218" i="1"/>
  <c r="G217" i="1"/>
  <c r="Q217" i="1"/>
  <c r="G216" i="1"/>
  <c r="Q216" i="1"/>
  <c r="G215" i="1"/>
  <c r="Q215" i="1"/>
  <c r="G214" i="1"/>
  <c r="Q214" i="1"/>
  <c r="G213" i="1"/>
  <c r="Q213" i="1"/>
  <c r="P213" i="1"/>
  <c r="G212" i="1"/>
  <c r="G211" i="1"/>
  <c r="Q211" i="1"/>
  <c r="G210" i="1"/>
  <c r="Q210" i="1"/>
  <c r="G209" i="1"/>
  <c r="Q209" i="1"/>
  <c r="G208" i="1"/>
  <c r="G201" i="1"/>
  <c r="Q201" i="1"/>
  <c r="G200" i="1"/>
  <c r="Q200" i="1"/>
  <c r="G199" i="1"/>
  <c r="Q199" i="1"/>
  <c r="G198" i="1"/>
  <c r="Q198" i="1"/>
  <c r="P198" i="1"/>
  <c r="G197" i="1"/>
  <c r="Q197" i="1"/>
  <c r="G196" i="1"/>
  <c r="Q196" i="1"/>
  <c r="G195" i="1"/>
  <c r="G194" i="1"/>
  <c r="G193" i="1"/>
  <c r="G192" i="1"/>
  <c r="Q192" i="1"/>
  <c r="Q193" i="1" s="1"/>
  <c r="G191" i="1"/>
  <c r="G190" i="1"/>
  <c r="G189" i="1"/>
  <c r="G188" i="1"/>
  <c r="G181" i="1"/>
  <c r="Q180" i="1"/>
  <c r="G180" i="1"/>
  <c r="G179" i="1"/>
  <c r="G178" i="1"/>
  <c r="Q178" i="1"/>
  <c r="G177" i="1"/>
  <c r="Q177" i="1"/>
  <c r="G176" i="1"/>
  <c r="Q176" i="1"/>
  <c r="G175" i="1"/>
  <c r="G174" i="1"/>
  <c r="G173" i="1"/>
  <c r="G172" i="1"/>
  <c r="G171" i="1"/>
  <c r="G170" i="1"/>
  <c r="Q170" i="1"/>
  <c r="G169" i="1"/>
  <c r="Q169" i="1"/>
  <c r="G168" i="1"/>
  <c r="Q168" i="1"/>
  <c r="G161" i="1"/>
  <c r="Q161" i="1"/>
  <c r="G160" i="1"/>
  <c r="Q160" i="1"/>
  <c r="G159" i="1"/>
  <c r="Q159" i="1"/>
  <c r="G158" i="1"/>
  <c r="G157" i="1"/>
  <c r="G156" i="1"/>
  <c r="Q156" i="1"/>
  <c r="G155" i="1"/>
  <c r="Q155" i="1"/>
  <c r="G154" i="1"/>
  <c r="Q154" i="1"/>
  <c r="G153" i="1"/>
  <c r="G152" i="1"/>
  <c r="G151" i="1"/>
  <c r="G150" i="1"/>
  <c r="G149" i="1"/>
  <c r="G148" i="1"/>
  <c r="G140" i="1"/>
  <c r="Q140" i="1"/>
  <c r="G139" i="1"/>
  <c r="G138" i="1"/>
  <c r="G137" i="1"/>
  <c r="Q137" i="1"/>
  <c r="G136" i="1"/>
  <c r="G135" i="1"/>
  <c r="G134" i="1"/>
  <c r="F132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7" i="1"/>
  <c r="F128" i="1"/>
  <c r="F129" i="1"/>
  <c r="F130" i="1"/>
  <c r="F131" i="1"/>
  <c r="F133" i="1"/>
  <c r="F134" i="1"/>
  <c r="F135" i="1"/>
  <c r="F136" i="1"/>
  <c r="F137" i="1"/>
  <c r="F138" i="1"/>
  <c r="F139" i="1"/>
  <c r="F140" i="1"/>
  <c r="F141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8" i="1"/>
  <c r="A589" i="1"/>
  <c r="A549" i="1"/>
  <c r="A529" i="1"/>
  <c r="A369" i="1"/>
  <c r="A329" i="1"/>
  <c r="A209" i="1"/>
  <c r="A129" i="1"/>
  <c r="A263" i="1" l="1"/>
  <c r="A229" i="1" l="1"/>
  <c r="A561" i="1"/>
  <c r="A81" i="1"/>
  <c r="A449" i="1"/>
  <c r="A264" i="1"/>
  <c r="A265" i="1" s="1"/>
  <c r="A266" i="1" s="1"/>
  <c r="A267" i="1" s="1"/>
  <c r="A450" i="1"/>
  <c r="A451" i="1" s="1"/>
  <c r="A452" i="1" s="1"/>
  <c r="A453" i="1" s="1"/>
  <c r="A454" i="1" s="1"/>
  <c r="A455" i="1" s="1"/>
  <c r="A456" i="1" s="1"/>
  <c r="A457" i="1" s="1"/>
  <c r="A458" i="1" s="1"/>
  <c r="A459" i="1" s="1"/>
  <c r="A349" i="1"/>
  <c r="A223" i="1"/>
  <c r="A184" i="1"/>
  <c r="A185" i="1" s="1"/>
  <c r="A186" i="1" s="1"/>
  <c r="A187" i="1" s="1"/>
  <c r="A521" i="1"/>
  <c r="A49" i="1"/>
  <c r="A509" i="1"/>
  <c r="A141" i="1"/>
  <c r="A541" i="1"/>
  <c r="A429" i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530" i="1"/>
  <c r="A531" i="1" s="1"/>
  <c r="A532" i="1" s="1"/>
  <c r="A533" i="1" s="1"/>
  <c r="A534" i="1" s="1"/>
  <c r="A535" i="1" s="1"/>
  <c r="A536" i="1" s="1"/>
  <c r="A537" i="1" s="1"/>
  <c r="A538" i="1" s="1"/>
  <c r="A539" i="1" s="1"/>
  <c r="A303" i="1"/>
  <c r="A483" i="1"/>
  <c r="A484" i="1" s="1"/>
  <c r="A485" i="1" s="1"/>
  <c r="A486" i="1" s="1"/>
  <c r="A487" i="1" s="1"/>
  <c r="A569" i="1"/>
  <c r="A203" i="1"/>
  <c r="A323" i="1"/>
  <c r="A21" i="1"/>
  <c r="A104" i="1"/>
  <c r="A105" i="1" s="1"/>
  <c r="A106" i="1" s="1"/>
  <c r="A107" i="1" s="1"/>
  <c r="A109" i="1"/>
  <c r="A550" i="1"/>
  <c r="A551" i="1" s="1"/>
  <c r="A552" i="1" s="1"/>
  <c r="A553" i="1" s="1"/>
  <c r="A554" i="1" s="1"/>
  <c r="A555" i="1" s="1"/>
  <c r="A556" i="1" s="1"/>
  <c r="A557" i="1" s="1"/>
  <c r="A123" i="1"/>
  <c r="A124" i="1" s="1"/>
  <c r="A125" i="1" s="1"/>
  <c r="A370" i="1"/>
  <c r="A371" i="1" s="1"/>
  <c r="A372" i="1" s="1"/>
  <c r="A373" i="1" s="1"/>
  <c r="A161" i="1"/>
  <c r="A44" i="1"/>
  <c r="A45" i="1" s="1"/>
  <c r="A46" i="1" s="1"/>
  <c r="A47" i="1" s="1"/>
  <c r="A43" i="1"/>
  <c r="A61" i="1"/>
  <c r="A330" i="1"/>
  <c r="A331" i="1" s="1"/>
  <c r="A332" i="1" s="1"/>
  <c r="A333" i="1" s="1"/>
  <c r="A334" i="1" s="1"/>
  <c r="A335" i="1" s="1"/>
  <c r="A336" i="1" s="1"/>
  <c r="A337" i="1" s="1"/>
  <c r="A338" i="1" s="1"/>
  <c r="A339" i="1" s="1"/>
  <c r="A83" i="1"/>
  <c r="A131" i="1"/>
  <c r="A132" i="1" s="1"/>
  <c r="A133" i="1" s="1"/>
  <c r="A134" i="1" s="1"/>
  <c r="A135" i="1" s="1"/>
  <c r="A136" i="1" s="1"/>
  <c r="A137" i="1" s="1"/>
  <c r="A138" i="1" s="1"/>
  <c r="A139" i="1" s="1"/>
  <c r="A603" i="1"/>
  <c r="A423" i="1"/>
  <c r="A489" i="1"/>
  <c r="A169" i="1"/>
  <c r="A181" i="1"/>
  <c r="A363" i="1"/>
  <c r="A321" i="1"/>
  <c r="A350" i="1"/>
  <c r="A623" i="1"/>
  <c r="A364" i="1"/>
  <c r="A365" i="1" s="1"/>
  <c r="A366" i="1" s="1"/>
  <c r="A367" i="1" s="1"/>
  <c r="A130" i="1"/>
  <c r="A381" i="1"/>
  <c r="A629" i="1"/>
  <c r="A69" i="1"/>
  <c r="A70" i="1" s="1"/>
  <c r="A201" i="1"/>
  <c r="A143" i="1"/>
  <c r="A65" i="1"/>
  <c r="A66" i="1" s="1"/>
  <c r="A67" i="1" s="1"/>
  <c r="A289" i="1"/>
  <c r="A641" i="1"/>
  <c r="A501" i="1"/>
  <c r="A444" i="1"/>
  <c r="A445" i="1" s="1"/>
  <c r="A446" i="1" s="1"/>
  <c r="A447" i="1" s="1"/>
  <c r="A281" i="1"/>
  <c r="A309" i="1"/>
  <c r="A149" i="1"/>
  <c r="A121" i="1"/>
  <c r="A481" i="1"/>
  <c r="A590" i="1"/>
  <c r="A591" i="1" s="1"/>
  <c r="A592" i="1" s="1"/>
  <c r="A593" i="1" s="1"/>
  <c r="A594" i="1" s="1"/>
  <c r="A595" i="1" s="1"/>
  <c r="A596" i="1" s="1"/>
  <c r="A597" i="1" s="1"/>
  <c r="A598" i="1" s="1"/>
  <c r="A101" i="1"/>
  <c r="A624" i="1"/>
  <c r="A625" i="1" s="1"/>
  <c r="A626" i="1" s="1"/>
  <c r="A469" i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523" i="1"/>
  <c r="A524" i="1" s="1"/>
  <c r="A525" i="1" s="1"/>
  <c r="A341" i="1"/>
  <c r="A544" i="1"/>
  <c r="A545" i="1" s="1"/>
  <c r="A546" i="1" s="1"/>
  <c r="A547" i="1" s="1"/>
  <c r="A50" i="1"/>
  <c r="A51" i="1" s="1"/>
  <c r="A52" i="1" s="1"/>
  <c r="A53" i="1" s="1"/>
  <c r="A54" i="1" s="1"/>
  <c r="A55" i="1" s="1"/>
  <c r="A56" i="1" s="1"/>
  <c r="A57" i="1" s="1"/>
  <c r="A58" i="1" s="1"/>
  <c r="A59" i="1" s="1"/>
  <c r="A290" i="1"/>
  <c r="A291" i="1" s="1"/>
  <c r="A292" i="1" s="1"/>
  <c r="A293" i="1" s="1"/>
  <c r="A294" i="1" s="1"/>
  <c r="A295" i="1" s="1"/>
  <c r="A296" i="1" s="1"/>
  <c r="A601" i="1"/>
  <c r="A170" i="1"/>
  <c r="A171" i="1" s="1"/>
  <c r="A172" i="1" s="1"/>
  <c r="A210" i="1"/>
  <c r="A211" i="1" s="1"/>
  <c r="A212" i="1" s="1"/>
  <c r="A213" i="1" s="1"/>
  <c r="A214" i="1" s="1"/>
  <c r="A215" i="1" s="1"/>
  <c r="A216" i="1" s="1"/>
  <c r="A217" i="1" s="1"/>
  <c r="A218" i="1" s="1"/>
  <c r="A219" i="1" s="1"/>
  <c r="A244" i="1"/>
  <c r="A245" i="1" s="1"/>
  <c r="A246" i="1" s="1"/>
  <c r="A247" i="1" s="1"/>
  <c r="A609" i="1"/>
  <c r="A610" i="1" s="1"/>
  <c r="A464" i="1"/>
  <c r="A465" i="1" s="1"/>
  <c r="A581" i="1"/>
  <c r="A89" i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221" i="1"/>
  <c r="A627" i="1"/>
  <c r="A255" i="1"/>
  <c r="A256" i="1" s="1"/>
  <c r="A257" i="1" s="1"/>
  <c r="A258" i="1" s="1"/>
  <c r="A259" i="1" s="1"/>
  <c r="A261" i="1"/>
  <c r="A9" i="1"/>
  <c r="A383" i="1"/>
  <c r="A301" i="1"/>
  <c r="A249" i="1"/>
  <c r="A250" i="1" s="1"/>
  <c r="A251" i="1" s="1"/>
  <c r="A252" i="1" s="1"/>
  <c r="A253" i="1" s="1"/>
  <c r="A254" i="1" s="1"/>
  <c r="A84" i="1"/>
  <c r="A441" i="1"/>
  <c r="A461" i="1"/>
  <c r="A570" i="1"/>
  <c r="A571" i="1" s="1"/>
  <c r="A572" i="1" s="1"/>
  <c r="A573" i="1" s="1"/>
  <c r="A204" i="1"/>
  <c r="A205" i="1" s="1"/>
  <c r="A206" i="1" s="1"/>
  <c r="A207" i="1" s="1"/>
  <c r="A283" i="1"/>
  <c r="A284" i="1" s="1"/>
  <c r="A285" i="1" s="1"/>
  <c r="A286" i="1" s="1"/>
  <c r="A287" i="1" s="1"/>
  <c r="A85" i="1"/>
  <c r="A526" i="1"/>
  <c r="A527" i="1" s="1"/>
  <c r="A583" i="1"/>
  <c r="A29" i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3" i="1"/>
  <c r="A404" i="1" s="1"/>
  <c r="A405" i="1" s="1"/>
  <c r="A406" i="1" s="1"/>
  <c r="A407" i="1" s="1"/>
  <c r="A490" i="1"/>
  <c r="A491" i="1" s="1"/>
  <c r="A492" i="1" s="1"/>
  <c r="A493" i="1" s="1"/>
  <c r="A494" i="1" s="1"/>
  <c r="A495" i="1" s="1"/>
  <c r="A496" i="1" s="1"/>
  <c r="A497" i="1" s="1"/>
  <c r="A498" i="1" s="1"/>
  <c r="A499" i="1" s="1"/>
  <c r="A584" i="1"/>
  <c r="A585" i="1" s="1"/>
  <c r="A586" i="1" s="1"/>
  <c r="A587" i="1" s="1"/>
  <c r="A110" i="1"/>
  <c r="A111" i="1" s="1"/>
  <c r="A112" i="1" s="1"/>
  <c r="A113" i="1" s="1"/>
  <c r="A114" i="1" s="1"/>
  <c r="A115" i="1" s="1"/>
  <c r="A116" i="1" s="1"/>
  <c r="A117" i="1" s="1"/>
  <c r="A118" i="1" s="1"/>
  <c r="A119" i="1" s="1"/>
  <c r="A324" i="1"/>
  <c r="A325" i="1" s="1"/>
  <c r="A326" i="1" s="1"/>
  <c r="A327" i="1" s="1"/>
  <c r="A189" i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126" i="1"/>
  <c r="A127" i="1" s="1"/>
  <c r="A269" i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466" i="1"/>
  <c r="A467" i="1" s="1"/>
  <c r="A351" i="1"/>
  <c r="A163" i="1"/>
  <c r="A164" i="1" s="1"/>
  <c r="A165" i="1" s="1"/>
  <c r="A166" i="1" s="1"/>
  <c r="A167" i="1" s="1"/>
  <c r="A513" i="1"/>
  <c r="A510" i="1"/>
  <c r="A511" i="1" s="1"/>
  <c r="A512" i="1" s="1"/>
  <c r="A514" i="1"/>
  <c r="A515" i="1"/>
  <c r="A516" i="1" s="1"/>
  <c r="A517" i="1" s="1"/>
  <c r="A518" i="1" s="1"/>
  <c r="A519" i="1" s="1"/>
  <c r="A144" i="1"/>
  <c r="A145" i="1" s="1"/>
  <c r="A146" i="1"/>
  <c r="A147" i="1" s="1"/>
  <c r="A224" i="1"/>
  <c r="A225" i="1" s="1"/>
  <c r="A226" i="1" s="1"/>
  <c r="A227" i="1" s="1"/>
  <c r="A604" i="1"/>
  <c r="A605" i="1" s="1"/>
  <c r="A606" i="1" s="1"/>
  <c r="A607" i="1" s="1"/>
  <c r="A558" i="1"/>
  <c r="A559" i="1" s="1"/>
  <c r="A304" i="1"/>
  <c r="A305" i="1"/>
  <c r="A306" i="1" s="1"/>
  <c r="A307" i="1" s="1"/>
  <c r="A384" i="1"/>
  <c r="A385" i="1"/>
  <c r="A386" i="1" s="1"/>
  <c r="A387" i="1" s="1"/>
  <c r="A10" i="1"/>
  <c r="A11" i="1" s="1"/>
  <c r="A12" i="1" s="1"/>
  <c r="A13" i="1" s="1"/>
  <c r="A14" i="1" s="1"/>
  <c r="A15" i="1" s="1"/>
  <c r="A16" i="1" s="1"/>
  <c r="A17" i="1" s="1"/>
  <c r="A18" i="1" s="1"/>
  <c r="A19" i="1" s="1"/>
  <c r="A230" i="1"/>
  <c r="A231" i="1" s="1"/>
  <c r="A232" i="1" s="1"/>
  <c r="A233" i="1" s="1"/>
  <c r="A234" i="1" s="1"/>
  <c r="A235" i="1" s="1"/>
  <c r="A236" i="1" s="1"/>
  <c r="A237" i="1" s="1"/>
  <c r="A238" i="1" s="1"/>
  <c r="A239" i="1" s="1"/>
  <c r="A297" i="1"/>
  <c r="A298" i="1" s="1"/>
  <c r="A299" i="1" s="1"/>
  <c r="A574" i="1"/>
  <c r="A575" i="1"/>
  <c r="A576" i="1"/>
  <c r="A577" i="1" s="1"/>
  <c r="A578" i="1" s="1"/>
  <c r="A579" i="1" s="1"/>
  <c r="A599" i="1"/>
  <c r="A611" i="1"/>
  <c r="A612" i="1" s="1"/>
  <c r="A613" i="1" s="1"/>
  <c r="A614" i="1" s="1"/>
  <c r="A615" i="1" s="1"/>
  <c r="A616" i="1" s="1"/>
  <c r="A617" i="1" s="1"/>
  <c r="A618" i="1" s="1"/>
  <c r="A619" i="1" s="1"/>
  <c r="A621" i="1"/>
  <c r="A86" i="1"/>
  <c r="A87" i="1" s="1"/>
  <c r="A353" i="1"/>
  <c r="A354" i="1" s="1"/>
  <c r="A355" i="1" s="1"/>
  <c r="A356" i="1" s="1"/>
  <c r="A357" i="1" s="1"/>
  <c r="A358" i="1" s="1"/>
  <c r="A359" i="1" s="1"/>
  <c r="A241" i="1"/>
  <c r="A352" i="1"/>
  <c r="A173" i="1"/>
  <c r="A174" i="1" s="1"/>
  <c r="A175" i="1" s="1"/>
  <c r="A176" i="1" s="1"/>
  <c r="A361" i="1"/>
  <c r="A374" i="1"/>
  <c r="A375" i="1" s="1"/>
  <c r="A376" i="1" s="1"/>
  <c r="A377" i="1" s="1"/>
  <c r="A378" i="1" s="1"/>
  <c r="A379" i="1" s="1"/>
  <c r="A566" i="1"/>
  <c r="A567" i="1" s="1"/>
  <c r="A563" i="1"/>
  <c r="A564" i="1" s="1"/>
  <c r="A565" i="1" s="1"/>
  <c r="A630" i="1"/>
  <c r="A631" i="1"/>
  <c r="A632" i="1" s="1"/>
  <c r="A633" i="1" s="1"/>
  <c r="A634" i="1" s="1"/>
  <c r="A635" i="1" s="1"/>
  <c r="A636" i="1" s="1"/>
  <c r="A637" i="1" s="1"/>
  <c r="A638" i="1" s="1"/>
  <c r="A639" i="1" s="1"/>
  <c r="A177" i="1"/>
  <c r="A178" i="1" s="1"/>
  <c r="A179" i="1" s="1"/>
  <c r="A421" i="1"/>
  <c r="A409" i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150" i="1"/>
  <c r="A151" i="1" s="1"/>
  <c r="A152" i="1" s="1"/>
  <c r="A153" i="1" s="1"/>
  <c r="A154" i="1" s="1"/>
  <c r="A155" i="1" s="1"/>
  <c r="A156" i="1" s="1"/>
  <c r="A157" i="1" s="1"/>
  <c r="A158" i="1" s="1"/>
  <c r="A159" i="1" s="1"/>
  <c r="A71" i="1"/>
  <c r="A72" i="1" s="1"/>
  <c r="A73" i="1" s="1"/>
  <c r="A74" i="1" s="1"/>
  <c r="A75" i="1" s="1"/>
  <c r="A76" i="1" s="1"/>
  <c r="A77" i="1" s="1"/>
  <c r="A78" i="1" s="1"/>
  <c r="A79" i="1" s="1"/>
  <c r="A310" i="1"/>
  <c r="A311" i="1" s="1"/>
  <c r="A312" i="1" s="1"/>
  <c r="A313" i="1" s="1"/>
  <c r="A314" i="1" s="1"/>
  <c r="A315" i="1" s="1"/>
  <c r="A316" i="1" s="1"/>
  <c r="A317" i="1" s="1"/>
  <c r="A318" i="1" s="1"/>
  <c r="A319" i="1" s="1"/>
  <c r="A401" i="1"/>
  <c r="A389" i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343" i="1"/>
  <c r="A344" i="1" s="1"/>
  <c r="A345" i="1" s="1"/>
  <c r="A346" i="1" s="1"/>
  <c r="A347" i="1" s="1"/>
  <c r="A424" i="1"/>
  <c r="A425" i="1" s="1"/>
  <c r="A426" i="1" s="1"/>
  <c r="A427" i="1" s="1"/>
  <c r="A503" i="1"/>
  <c r="A504" i="1" s="1"/>
  <c r="A505" i="1" s="1"/>
  <c r="A506" i="1" s="1"/>
  <c r="A507" i="1" s="1"/>
</calcChain>
</file>

<file path=xl/sharedStrings.xml><?xml version="1.0" encoding="utf-8"?>
<sst xmlns="http://schemas.openxmlformats.org/spreadsheetml/2006/main" count="3866" uniqueCount="64">
  <si>
    <t>ATPG</t>
  </si>
  <si>
    <t>No</t>
  </si>
  <si>
    <t>Yes</t>
  </si>
  <si>
    <t>Redzone</t>
  </si>
  <si>
    <t>Winpercent</t>
  </si>
  <si>
    <t>APA</t>
  </si>
  <si>
    <t>APPG</t>
  </si>
  <si>
    <t>AvgMV</t>
  </si>
  <si>
    <t>DRTP2</t>
  </si>
  <si>
    <t>DRTP1</t>
  </si>
  <si>
    <t>DPAT</t>
  </si>
  <si>
    <t>Turnovers</t>
  </si>
  <si>
    <t>Turnoversag</t>
  </si>
  <si>
    <t>Thirddownconversion</t>
  </si>
  <si>
    <t>NO</t>
  </si>
  <si>
    <t>Avgpassyds</t>
  </si>
  <si>
    <t>Arizona Cardinals</t>
  </si>
  <si>
    <t>Atalanta Falcons</t>
  </si>
  <si>
    <t>Baltimore Ravens</t>
  </si>
  <si>
    <t>Buffalo Bills</t>
  </si>
  <si>
    <t>Carolina Panthers</t>
  </si>
  <si>
    <t>Chicago Bears</t>
  </si>
  <si>
    <t>Cincinnati Benals</t>
  </si>
  <si>
    <t>Cleveland Browns</t>
  </si>
  <si>
    <t>Dallas Cowboys</t>
  </si>
  <si>
    <t>Denver Broncos</t>
  </si>
  <si>
    <t>Detroit Lions</t>
  </si>
  <si>
    <t>Green Bay Packers</t>
  </si>
  <si>
    <t>Houston Texans</t>
  </si>
  <si>
    <t>Indianapolis Colts</t>
  </si>
  <si>
    <t>Jacksonville Jaguars</t>
  </si>
  <si>
    <t>Kansas City Cheifs</t>
  </si>
  <si>
    <t>Oakland Raiders</t>
  </si>
  <si>
    <t>Las Vegas Raiders</t>
  </si>
  <si>
    <t>San Diego Chargers</t>
  </si>
  <si>
    <t>Los Angeles Chargers</t>
  </si>
  <si>
    <t>St. Louis Rams</t>
  </si>
  <si>
    <t>Los Angeles Rams</t>
  </si>
  <si>
    <t>Miami Dolphins</t>
  </si>
  <si>
    <t>Minnesota Vikings</t>
  </si>
  <si>
    <t>New England Patriots</t>
  </si>
  <si>
    <t>New Orleans Saints</t>
  </si>
  <si>
    <t>New York Giants</t>
  </si>
  <si>
    <t>New York Jets</t>
  </si>
  <si>
    <t>Philadelphia Eagles</t>
  </si>
  <si>
    <t>Pittsburgh Steelers</t>
  </si>
  <si>
    <t>San Francisco 49ers</t>
  </si>
  <si>
    <t>Seattle Seahawks</t>
  </si>
  <si>
    <t>Tampa Bay Buccaneers</t>
  </si>
  <si>
    <t>Tennessee Titans</t>
  </si>
  <si>
    <t>Washington Commanders</t>
  </si>
  <si>
    <t>Year</t>
  </si>
  <si>
    <t>Probowl</t>
  </si>
  <si>
    <t>NetTurnovers</t>
  </si>
  <si>
    <t>Code</t>
  </si>
  <si>
    <t>Dplayoffs</t>
  </si>
  <si>
    <t>DRTP3</t>
  </si>
  <si>
    <t>TeamName</t>
  </si>
  <si>
    <t>DP2</t>
  </si>
  <si>
    <t>DP1</t>
  </si>
  <si>
    <t>DP3</t>
  </si>
  <si>
    <t>Playoffs</t>
  </si>
  <si>
    <t>Nominalrev</t>
  </si>
  <si>
    <t>RealRev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</si>
</sst>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00"/>
    <numFmt numFmtId="165" formatCode="0.0000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0" fontId="2" fillId="0" borderId="0" xfId="0" applyFont="1" applyAlignment="1">
      <alignment horizontal="center"/>
    </xf>
    <xf numFmtId="165" fontId="0" fillId="0" borderId="0" xfId="0" applyNumberFormat="1" applyAlignment="1">
      <alignment horizontal="right"/>
    </xf>
    <xf numFmtId="164" fontId="0" fillId="0" borderId="0" xfId="1" applyNumberFormat="1" applyFont="1" applyAlignment="1">
      <alignment horizontal="right"/>
    </xf>
    <xf numFmtId="2" fontId="0" fillId="0" borderId="0" xfId="2" applyNumberFormat="1" applyFont="1" applyAlignment="1">
      <alignment horizontal="right"/>
    </xf>
    <xf numFmtId="164" fontId="0" fillId="0" borderId="0" xfId="2" applyNumberFormat="1" applyFont="1" applyAlignment="1">
      <alignment horizontal="right"/>
    </xf>
    <xf numFmtId="2" fontId="0" fillId="0" borderId="0" xfId="0" applyNumberFormat="1" applyAlignment="1">
      <alignment horizontal="center"/>
    </xf>
    <xf numFmtId="2" fontId="0" fillId="0" borderId="0" xfId="0" applyNumberFormat="1"/>
    <xf numFmtId="1" fontId="0" fillId="0" borderId="0" xfId="0" applyNumberFormat="1" applyAlignment="1">
      <alignment horizontal="center"/>
    </xf>
    <xf numFmtId="1" fontId="0" fillId="0" borderId="0" xfId="0" applyNumberFormat="1"/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43" fontId="0" fillId="0" borderId="0" xfId="1" applyFont="1"/>
    <xf numFmtId="43" fontId="0" fillId="0" borderId="0" xfId="1" applyFont="1" applyAlignment="1">
      <alignment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2A301-5F96-B84F-87E2-72047A89B9E8}">
  <dimension ref="A1:Z838"/>
  <sheetViews>
    <sheetView tabSelected="1" topLeftCell="A168" zoomScale="150" zoomScaleNormal="150" workbookViewId="0">
      <selection activeCell="E180" sqref="E180"/>
    </sheetView>
  </sheetViews>
  <sheetFormatPr baseColWidth="10" defaultColWidth="11" defaultRowHeight="16" x14ac:dyDescent="0.2"/>
  <cols>
    <col min="1" max="1" width="11" style="12"/>
    <col min="2" max="2" width="22.6640625" style="1" bestFit="1" customWidth="1"/>
    <col min="3" max="3" width="22.6640625" style="1" customWidth="1"/>
    <col min="4" max="5" width="25.83203125" style="15" bestFit="1" customWidth="1"/>
    <col min="6" max="6" width="12.33203125" style="10" customWidth="1"/>
    <col min="7" max="7" width="15.6640625" style="5" customWidth="1"/>
    <col min="10" max="13" width="15.6640625" style="2" customWidth="1"/>
    <col min="14" max="14" width="10.83203125" style="2"/>
    <col min="15" max="15" width="18.6640625" style="8" customWidth="1"/>
    <col min="16" max="16" width="10.83203125" style="7"/>
    <col min="17" max="17" width="10.83203125" style="6"/>
    <col min="18" max="18" width="11" style="10"/>
    <col min="19" max="20" width="10.83203125" style="13"/>
    <col min="21" max="22" width="11" style="10"/>
    <col min="23" max="23" width="13.33203125" style="10" customWidth="1"/>
    <col min="24" max="25" width="16.83203125" style="9" customWidth="1"/>
    <col min="26" max="26" width="10.83203125" style="14"/>
  </cols>
  <sheetData>
    <row r="1" spans="1:26" x14ac:dyDescent="0.2">
      <c r="A1" s="11" t="s">
        <v>51</v>
      </c>
      <c r="B1" s="1" t="s">
        <v>57</v>
      </c>
      <c r="C1" s="1" t="s">
        <v>54</v>
      </c>
      <c r="D1" s="15" t="s">
        <v>62</v>
      </c>
      <c r="E1" s="15" t="s">
        <v>63</v>
      </c>
      <c r="F1" s="9" t="s">
        <v>0</v>
      </c>
      <c r="G1" s="5" t="s">
        <v>15</v>
      </c>
      <c r="H1" s="1" t="s">
        <v>9</v>
      </c>
      <c r="I1" s="1" t="s">
        <v>59</v>
      </c>
      <c r="J1" s="1" t="s">
        <v>8</v>
      </c>
      <c r="K1" s="1" t="s">
        <v>58</v>
      </c>
      <c r="L1" s="1" t="s">
        <v>56</v>
      </c>
      <c r="M1" s="1" t="s">
        <v>60</v>
      </c>
      <c r="N1" s="1" t="s">
        <v>10</v>
      </c>
      <c r="O1" s="8" t="s">
        <v>13</v>
      </c>
      <c r="P1" s="7" t="s">
        <v>3</v>
      </c>
      <c r="Q1" s="3" t="s">
        <v>4</v>
      </c>
      <c r="R1" s="9" t="s">
        <v>7</v>
      </c>
      <c r="S1" s="13" t="s">
        <v>6</v>
      </c>
      <c r="T1" s="13" t="s">
        <v>5</v>
      </c>
      <c r="U1" s="9" t="s">
        <v>11</v>
      </c>
      <c r="V1" s="9" t="s">
        <v>12</v>
      </c>
      <c r="W1" s="9" t="s">
        <v>53</v>
      </c>
      <c r="X1" s="9" t="s">
        <v>55</v>
      </c>
      <c r="Y1" s="9" t="s">
        <v>61</v>
      </c>
      <c r="Z1" s="14" t="s">
        <v>52</v>
      </c>
    </row>
    <row r="2" spans="1:26" x14ac:dyDescent="0.2">
      <c r="A2" s="12">
        <v>2002</v>
      </c>
      <c r="B2" s="1" t="s">
        <v>16</v>
      </c>
      <c r="C2" s="1">
        <v>1</v>
      </c>
      <c r="D2" s="15">
        <v>126000000</v>
      </c>
      <c r="E2" s="15">
        <f>(292.7/179.9)*126000000</f>
        <v>205003891.05058366</v>
      </c>
      <c r="F2" s="10">
        <f t="shared" ref="F2:F65" si="0">S2+T2</f>
        <v>42.5</v>
      </c>
      <c r="G2" s="5">
        <f>2740/16</f>
        <v>171.25</v>
      </c>
      <c r="H2" s="1" t="s">
        <v>1</v>
      </c>
      <c r="I2" s="1">
        <f t="shared" ref="I2:I65" si="1">IF(H2="No",0,1)</f>
        <v>0</v>
      </c>
      <c r="J2" s="1" t="s">
        <v>1</v>
      </c>
      <c r="K2" s="1">
        <f t="shared" ref="K2:K65" si="2">IF(J2="No",0,1)</f>
        <v>0</v>
      </c>
      <c r="L2" s="1" t="s">
        <v>1</v>
      </c>
      <c r="M2" s="1">
        <f t="shared" ref="M2:M65" si="3">IF(L2="No",0,1)</f>
        <v>0</v>
      </c>
      <c r="N2" s="1" t="s">
        <v>1</v>
      </c>
      <c r="O2" s="8">
        <f>0.43</f>
        <v>0.43</v>
      </c>
      <c r="P2" s="7">
        <v>0.55000000000000004</v>
      </c>
      <c r="Q2" s="3">
        <f>5/16</f>
        <v>0.3125</v>
      </c>
      <c r="R2" s="10">
        <f t="shared" ref="R2:R65" si="4">S2-T2</f>
        <v>-9.7000000000000028</v>
      </c>
      <c r="S2" s="13">
        <v>16.399999999999999</v>
      </c>
      <c r="T2" s="13">
        <v>26.1</v>
      </c>
      <c r="U2" s="10">
        <v>25</v>
      </c>
      <c r="V2" s="10">
        <v>35</v>
      </c>
      <c r="W2" s="10">
        <f t="shared" ref="W2:W65" si="5">U2-V2</f>
        <v>-10</v>
      </c>
      <c r="X2" s="9" t="s">
        <v>1</v>
      </c>
      <c r="Y2" s="11">
        <f t="shared" ref="Y2:Y65" si="6">IF(X2="No",0,1)</f>
        <v>0</v>
      </c>
      <c r="Z2" s="14">
        <v>0</v>
      </c>
    </row>
    <row r="3" spans="1:26" x14ac:dyDescent="0.2">
      <c r="A3" s="12">
        <v>2003</v>
      </c>
      <c r="B3" s="1" t="s">
        <v>16</v>
      </c>
      <c r="C3" s="1">
        <v>1</v>
      </c>
      <c r="D3" s="15">
        <v>131000000</v>
      </c>
      <c r="E3" s="15">
        <f>(292.7/184)*131000000</f>
        <v>208389673.91304347</v>
      </c>
      <c r="F3" s="10">
        <f t="shared" si="0"/>
        <v>42.4</v>
      </c>
      <c r="G3" s="5">
        <f>2959/16</f>
        <v>184.9375</v>
      </c>
      <c r="H3" s="1" t="s">
        <v>1</v>
      </c>
      <c r="I3" s="1">
        <f t="shared" si="1"/>
        <v>0</v>
      </c>
      <c r="J3" s="1" t="s">
        <v>1</v>
      </c>
      <c r="K3" s="1">
        <f t="shared" si="2"/>
        <v>0</v>
      </c>
      <c r="L3" s="1" t="s">
        <v>1</v>
      </c>
      <c r="M3" s="1">
        <f t="shared" si="3"/>
        <v>0</v>
      </c>
      <c r="N3" s="1" t="s">
        <v>1</v>
      </c>
      <c r="O3" s="8">
        <f>0.374</f>
        <v>0.374</v>
      </c>
      <c r="P3" s="7">
        <v>0.41899999999999998</v>
      </c>
      <c r="Q3" s="3">
        <f>4/12</f>
        <v>0.33333333333333331</v>
      </c>
      <c r="R3" s="10">
        <f t="shared" si="4"/>
        <v>-14.200000000000001</v>
      </c>
      <c r="S3" s="13">
        <v>14.1</v>
      </c>
      <c r="T3" s="13">
        <v>28.3</v>
      </c>
      <c r="U3" s="10">
        <v>23</v>
      </c>
      <c r="V3" s="10">
        <v>36</v>
      </c>
      <c r="W3" s="10">
        <f t="shared" si="5"/>
        <v>-13</v>
      </c>
      <c r="X3" s="9" t="s">
        <v>1</v>
      </c>
      <c r="Y3" s="11">
        <f t="shared" si="6"/>
        <v>0</v>
      </c>
      <c r="Z3" s="14">
        <v>1</v>
      </c>
    </row>
    <row r="4" spans="1:26" x14ac:dyDescent="0.2">
      <c r="A4" s="12">
        <v>2004</v>
      </c>
      <c r="B4" s="1" t="s">
        <v>16</v>
      </c>
      <c r="C4" s="1">
        <v>1</v>
      </c>
      <c r="D4" s="15">
        <v>153000000</v>
      </c>
      <c r="E4" s="15">
        <f>(292.7/188.9)*153000000</f>
        <v>237073054.52620432</v>
      </c>
      <c r="F4" s="10">
        <f t="shared" si="0"/>
        <v>37.900000000000006</v>
      </c>
      <c r="G4" s="5">
        <f>2882/16</f>
        <v>180.125</v>
      </c>
      <c r="H4" s="1" t="s">
        <v>1</v>
      </c>
      <c r="I4" s="1">
        <f t="shared" si="1"/>
        <v>0</v>
      </c>
      <c r="J4" s="1" t="s">
        <v>1</v>
      </c>
      <c r="K4" s="1">
        <f t="shared" si="2"/>
        <v>0</v>
      </c>
      <c r="L4" s="1" t="s">
        <v>1</v>
      </c>
      <c r="M4" s="1">
        <f t="shared" si="3"/>
        <v>0</v>
      </c>
      <c r="N4" s="1" t="s">
        <v>1</v>
      </c>
      <c r="O4" s="8">
        <f>0.349</f>
        <v>0.34899999999999998</v>
      </c>
      <c r="P4" s="7">
        <v>0.48599999999999999</v>
      </c>
      <c r="Q4" s="3">
        <f>6/16</f>
        <v>0.375</v>
      </c>
      <c r="R4" s="10">
        <f t="shared" si="4"/>
        <v>-2.3000000000000007</v>
      </c>
      <c r="S4" s="13">
        <v>17.8</v>
      </c>
      <c r="T4" s="13">
        <v>20.100000000000001</v>
      </c>
      <c r="U4" s="10">
        <v>30</v>
      </c>
      <c r="V4" s="10">
        <v>29</v>
      </c>
      <c r="W4" s="10">
        <f t="shared" si="5"/>
        <v>1</v>
      </c>
      <c r="X4" s="9" t="s">
        <v>1</v>
      </c>
      <c r="Y4" s="11">
        <f t="shared" si="6"/>
        <v>0</v>
      </c>
      <c r="Z4" s="14">
        <v>1</v>
      </c>
    </row>
    <row r="5" spans="1:26" x14ac:dyDescent="0.2">
      <c r="A5" s="12">
        <v>2005</v>
      </c>
      <c r="B5" s="1" t="s">
        <v>16</v>
      </c>
      <c r="C5" s="1">
        <v>1</v>
      </c>
      <c r="D5" s="15">
        <v>158000000</v>
      </c>
      <c r="E5" s="15">
        <f>(292.7/195.3)*158000000</f>
        <v>236797747.05581152</v>
      </c>
      <c r="F5" s="10">
        <f t="shared" si="0"/>
        <v>43.599999999999994</v>
      </c>
      <c r="G5" s="5">
        <f>4437/16</f>
        <v>277.3125</v>
      </c>
      <c r="H5" s="1" t="s">
        <v>1</v>
      </c>
      <c r="I5" s="1">
        <f t="shared" si="1"/>
        <v>0</v>
      </c>
      <c r="J5" s="1" t="s">
        <v>1</v>
      </c>
      <c r="K5" s="1">
        <f t="shared" si="2"/>
        <v>0</v>
      </c>
      <c r="L5" s="1" t="s">
        <v>1</v>
      </c>
      <c r="M5" s="1">
        <f t="shared" si="3"/>
        <v>0</v>
      </c>
      <c r="N5" s="1" t="s">
        <v>1</v>
      </c>
      <c r="O5" s="8">
        <f>0.381</f>
        <v>0.38100000000000001</v>
      </c>
      <c r="P5" s="7">
        <v>0.28299999999999997</v>
      </c>
      <c r="Q5" s="3">
        <f>5/16</f>
        <v>0.3125</v>
      </c>
      <c r="R5" s="10">
        <f t="shared" si="4"/>
        <v>-4.8000000000000007</v>
      </c>
      <c r="S5" s="13">
        <v>19.399999999999999</v>
      </c>
      <c r="T5" s="13">
        <v>24.2</v>
      </c>
      <c r="U5" s="10">
        <v>26</v>
      </c>
      <c r="V5" s="10">
        <v>37</v>
      </c>
      <c r="W5" s="10">
        <f t="shared" si="5"/>
        <v>-11</v>
      </c>
      <c r="X5" s="9" t="s">
        <v>1</v>
      </c>
      <c r="Y5" s="11">
        <f t="shared" si="6"/>
        <v>0</v>
      </c>
      <c r="Z5" s="14">
        <v>2</v>
      </c>
    </row>
    <row r="6" spans="1:26" x14ac:dyDescent="0.2">
      <c r="A6" s="12">
        <v>2006</v>
      </c>
      <c r="B6" s="1" t="s">
        <v>16</v>
      </c>
      <c r="C6" s="1">
        <v>1</v>
      </c>
      <c r="D6" s="15">
        <v>189000000</v>
      </c>
      <c r="E6" s="15">
        <f>(292.7/201.6)*189000000</f>
        <v>274406250</v>
      </c>
      <c r="F6" s="10">
        <f t="shared" si="0"/>
        <v>43.900000000000006</v>
      </c>
      <c r="G6" s="5">
        <f>3662/16</f>
        <v>228.875</v>
      </c>
      <c r="H6" s="1" t="s">
        <v>1</v>
      </c>
      <c r="I6" s="1">
        <f t="shared" si="1"/>
        <v>0</v>
      </c>
      <c r="J6" s="1" t="s">
        <v>1</v>
      </c>
      <c r="K6" s="1">
        <f t="shared" si="2"/>
        <v>0</v>
      </c>
      <c r="L6" s="1" t="s">
        <v>1</v>
      </c>
      <c r="M6" s="1">
        <f t="shared" si="3"/>
        <v>0</v>
      </c>
      <c r="N6" s="1" t="s">
        <v>1</v>
      </c>
      <c r="O6" s="8">
        <f>0.392</f>
        <v>0.39200000000000002</v>
      </c>
      <c r="P6" s="7">
        <v>0.46300000000000002</v>
      </c>
      <c r="Q6" s="3">
        <f>5/16</f>
        <v>0.3125</v>
      </c>
      <c r="R6" s="10">
        <f t="shared" si="4"/>
        <v>-4.6999999999999993</v>
      </c>
      <c r="S6" s="13">
        <v>19.600000000000001</v>
      </c>
      <c r="T6" s="13">
        <v>24.3</v>
      </c>
      <c r="U6" s="10">
        <v>33</v>
      </c>
      <c r="V6" s="10">
        <v>30</v>
      </c>
      <c r="W6" s="10">
        <f t="shared" si="5"/>
        <v>3</v>
      </c>
      <c r="X6" s="9" t="s">
        <v>1</v>
      </c>
      <c r="Y6" s="11">
        <f t="shared" si="6"/>
        <v>0</v>
      </c>
      <c r="Z6" s="14">
        <v>2</v>
      </c>
    </row>
    <row r="7" spans="1:26" x14ac:dyDescent="0.2">
      <c r="A7" s="12">
        <v>2007</v>
      </c>
      <c r="B7" s="1" t="s">
        <v>16</v>
      </c>
      <c r="C7" s="1">
        <v>1</v>
      </c>
      <c r="D7" s="15">
        <v>203000000</v>
      </c>
      <c r="E7" s="15">
        <f>(292.7/207.3)*203000000</f>
        <v>286628557.64592373</v>
      </c>
      <c r="F7" s="10">
        <f t="shared" si="0"/>
        <v>50.2</v>
      </c>
      <c r="G7" s="5">
        <f>4065/16</f>
        <v>254.0625</v>
      </c>
      <c r="H7" s="1" t="s">
        <v>1</v>
      </c>
      <c r="I7" s="1">
        <f t="shared" si="1"/>
        <v>0</v>
      </c>
      <c r="J7" s="1" t="s">
        <v>1</v>
      </c>
      <c r="K7" s="1">
        <f t="shared" si="2"/>
        <v>0</v>
      </c>
      <c r="L7" s="1" t="s">
        <v>1</v>
      </c>
      <c r="M7" s="1">
        <f t="shared" si="3"/>
        <v>0</v>
      </c>
      <c r="N7" s="1" t="s">
        <v>1</v>
      </c>
      <c r="O7" s="8">
        <f>0.369</f>
        <v>0.36899999999999999</v>
      </c>
      <c r="P7" s="7">
        <v>0.68</v>
      </c>
      <c r="Q7" s="3">
        <f>8/16</f>
        <v>0.5</v>
      </c>
      <c r="R7" s="10">
        <f t="shared" si="4"/>
        <v>0.40000000000000213</v>
      </c>
      <c r="S7" s="13">
        <v>25.3</v>
      </c>
      <c r="T7" s="13">
        <v>24.9</v>
      </c>
      <c r="U7" s="10">
        <v>29</v>
      </c>
      <c r="V7" s="10">
        <v>36</v>
      </c>
      <c r="W7" s="10">
        <f t="shared" si="5"/>
        <v>-7</v>
      </c>
      <c r="X7" s="9" t="s">
        <v>1</v>
      </c>
      <c r="Y7" s="11">
        <f t="shared" si="6"/>
        <v>0</v>
      </c>
      <c r="Z7" s="14">
        <v>2</v>
      </c>
    </row>
    <row r="8" spans="1:26" x14ac:dyDescent="0.2">
      <c r="A8" s="12">
        <v>2008</v>
      </c>
      <c r="B8" s="1" t="s">
        <v>16</v>
      </c>
      <c r="C8" s="1">
        <v>1</v>
      </c>
      <c r="D8" s="15">
        <v>223000000</v>
      </c>
      <c r="E8" s="15">
        <f>(292.7/215.3)*223000000</f>
        <v>303168137.48258245</v>
      </c>
      <c r="F8" s="10">
        <f t="shared" si="0"/>
        <v>53.3</v>
      </c>
      <c r="G8" s="5">
        <v>304.69</v>
      </c>
      <c r="H8" s="1" t="s">
        <v>1</v>
      </c>
      <c r="I8" s="1">
        <f t="shared" si="1"/>
        <v>0</v>
      </c>
      <c r="J8" s="1" t="s">
        <v>1</v>
      </c>
      <c r="K8" s="1">
        <f t="shared" si="2"/>
        <v>0</v>
      </c>
      <c r="L8" s="1" t="s">
        <v>1</v>
      </c>
      <c r="M8" s="1">
        <f t="shared" si="3"/>
        <v>0</v>
      </c>
      <c r="N8" s="1" t="s">
        <v>1</v>
      </c>
      <c r="O8" s="8">
        <f>0.419</f>
        <v>0.41899999999999998</v>
      </c>
      <c r="P8" s="7">
        <v>0.58499999999999996</v>
      </c>
      <c r="Q8" s="3">
        <v>0.5625</v>
      </c>
      <c r="R8" s="10">
        <f t="shared" si="4"/>
        <v>9.9999999999997868E-2</v>
      </c>
      <c r="S8" s="13">
        <v>26.7</v>
      </c>
      <c r="T8" s="13">
        <v>26.6</v>
      </c>
      <c r="U8" s="10">
        <v>30</v>
      </c>
      <c r="V8" s="10">
        <v>30</v>
      </c>
      <c r="W8" s="10">
        <f t="shared" si="5"/>
        <v>0</v>
      </c>
      <c r="X8" s="9" t="s">
        <v>2</v>
      </c>
      <c r="Y8" s="11">
        <f t="shared" si="6"/>
        <v>1</v>
      </c>
      <c r="Z8" s="14">
        <v>5</v>
      </c>
    </row>
    <row r="9" spans="1:26" x14ac:dyDescent="0.2">
      <c r="A9" s="12">
        <f t="shared" ref="A9:A19" si="7">A8+1</f>
        <v>2009</v>
      </c>
      <c r="B9" s="1" t="s">
        <v>16</v>
      </c>
      <c r="C9" s="1">
        <v>1</v>
      </c>
      <c r="D9" s="15">
        <v>236000000</v>
      </c>
      <c r="E9" s="15">
        <f>(292.7/214.5)*236000000</f>
        <v>322038228.43822843</v>
      </c>
      <c r="F9" s="10">
        <f t="shared" si="0"/>
        <v>43.7</v>
      </c>
      <c r="G9" s="5">
        <v>251</v>
      </c>
      <c r="H9" s="1" t="s">
        <v>2</v>
      </c>
      <c r="I9" s="1">
        <f t="shared" si="1"/>
        <v>1</v>
      </c>
      <c r="J9" s="1" t="s">
        <v>1</v>
      </c>
      <c r="K9" s="1">
        <f t="shared" si="2"/>
        <v>0</v>
      </c>
      <c r="L9" s="1" t="s">
        <v>2</v>
      </c>
      <c r="M9" s="1">
        <f t="shared" si="3"/>
        <v>1</v>
      </c>
      <c r="N9" s="1" t="s">
        <v>1</v>
      </c>
      <c r="O9" s="8">
        <f>0.363</f>
        <v>0.36299999999999999</v>
      </c>
      <c r="P9" s="7">
        <v>0.70399999999999996</v>
      </c>
      <c r="Q9" s="3">
        <v>0.625</v>
      </c>
      <c r="R9" s="10">
        <f t="shared" si="4"/>
        <v>3.0999999999999979</v>
      </c>
      <c r="S9" s="13">
        <v>23.4</v>
      </c>
      <c r="T9" s="13">
        <v>20.3</v>
      </c>
      <c r="U9" s="10">
        <v>29</v>
      </c>
      <c r="V9" s="10">
        <v>36</v>
      </c>
      <c r="W9" s="10">
        <f t="shared" si="5"/>
        <v>-7</v>
      </c>
      <c r="X9" s="9" t="s">
        <v>2</v>
      </c>
      <c r="Y9" s="11">
        <f t="shared" si="6"/>
        <v>1</v>
      </c>
      <c r="Z9" s="14">
        <v>5</v>
      </c>
    </row>
    <row r="10" spans="1:26" x14ac:dyDescent="0.2">
      <c r="A10" s="12">
        <f t="shared" si="7"/>
        <v>2010</v>
      </c>
      <c r="B10" s="1" t="s">
        <v>16</v>
      </c>
      <c r="C10" s="1">
        <v>1</v>
      </c>
      <c r="D10" s="15">
        <v>240000000</v>
      </c>
      <c r="E10" s="15">
        <f>(292.7/218.1)*240000000</f>
        <v>322090784.04401654</v>
      </c>
      <c r="F10" s="10">
        <f t="shared" si="0"/>
        <v>45.2</v>
      </c>
      <c r="G10" s="5">
        <v>182.56</v>
      </c>
      <c r="H10" s="1" t="s">
        <v>2</v>
      </c>
      <c r="I10" s="1">
        <f t="shared" si="1"/>
        <v>1</v>
      </c>
      <c r="J10" s="1" t="s">
        <v>1</v>
      </c>
      <c r="K10" s="1">
        <f t="shared" si="2"/>
        <v>0</v>
      </c>
      <c r="L10" s="1" t="s">
        <v>2</v>
      </c>
      <c r="M10" s="1">
        <f t="shared" si="3"/>
        <v>1</v>
      </c>
      <c r="N10" s="1" t="s">
        <v>1</v>
      </c>
      <c r="O10" s="8">
        <f>0.278</f>
        <v>0.27800000000000002</v>
      </c>
      <c r="P10" s="7">
        <v>0.432</v>
      </c>
      <c r="Q10" s="3">
        <v>0.3125</v>
      </c>
      <c r="R10" s="10">
        <f t="shared" si="4"/>
        <v>-9</v>
      </c>
      <c r="S10" s="13">
        <v>18.100000000000001</v>
      </c>
      <c r="T10" s="13">
        <v>27.1</v>
      </c>
      <c r="U10" s="10">
        <v>30</v>
      </c>
      <c r="V10" s="10">
        <v>35</v>
      </c>
      <c r="W10" s="10">
        <f t="shared" si="5"/>
        <v>-5</v>
      </c>
      <c r="X10" s="9" t="s">
        <v>1</v>
      </c>
      <c r="Y10" s="11">
        <f t="shared" si="6"/>
        <v>0</v>
      </c>
      <c r="Z10" s="14">
        <v>3</v>
      </c>
    </row>
    <row r="11" spans="1:26" x14ac:dyDescent="0.2">
      <c r="A11" s="12">
        <f t="shared" si="7"/>
        <v>2011</v>
      </c>
      <c r="B11" s="1" t="s">
        <v>16</v>
      </c>
      <c r="C11" s="1">
        <v>1</v>
      </c>
      <c r="D11" s="15">
        <v>246000000</v>
      </c>
      <c r="E11" s="15">
        <f>(292.7/224.9)*246000000</f>
        <v>320160960.42685634</v>
      </c>
      <c r="F11" s="10">
        <f t="shared" si="0"/>
        <v>41.3</v>
      </c>
      <c r="G11" s="5">
        <v>222.94</v>
      </c>
      <c r="H11" s="1" t="s">
        <v>2</v>
      </c>
      <c r="I11" s="1">
        <f t="shared" si="1"/>
        <v>1</v>
      </c>
      <c r="J11" s="1" t="s">
        <v>1</v>
      </c>
      <c r="K11" s="1">
        <f t="shared" si="2"/>
        <v>0</v>
      </c>
      <c r="L11" s="1" t="s">
        <v>2</v>
      </c>
      <c r="M11" s="1">
        <f t="shared" si="3"/>
        <v>1</v>
      </c>
      <c r="N11" s="1" t="s">
        <v>1</v>
      </c>
      <c r="O11" s="8">
        <f>0.322</f>
        <v>0.32200000000000001</v>
      </c>
      <c r="P11" s="7">
        <v>0.51100000000000001</v>
      </c>
      <c r="Q11" s="3">
        <v>0.5</v>
      </c>
      <c r="R11" s="10">
        <f t="shared" si="4"/>
        <v>-2.3000000000000007</v>
      </c>
      <c r="S11" s="13">
        <v>19.5</v>
      </c>
      <c r="T11" s="13">
        <v>21.8</v>
      </c>
      <c r="U11" s="10">
        <v>19</v>
      </c>
      <c r="V11" s="10">
        <v>32</v>
      </c>
      <c r="W11" s="10">
        <f t="shared" si="5"/>
        <v>-13</v>
      </c>
      <c r="X11" s="9" t="s">
        <v>1</v>
      </c>
      <c r="Y11" s="11">
        <f t="shared" si="6"/>
        <v>0</v>
      </c>
      <c r="Z11" s="14">
        <v>3</v>
      </c>
    </row>
    <row r="12" spans="1:26" x14ac:dyDescent="0.2">
      <c r="A12" s="12">
        <f t="shared" si="7"/>
        <v>2012</v>
      </c>
      <c r="B12" s="1" t="s">
        <v>16</v>
      </c>
      <c r="C12" s="1">
        <v>1</v>
      </c>
      <c r="D12" s="15">
        <v>253000000</v>
      </c>
      <c r="E12" s="15">
        <f>(292.7/229.6)*253000000</f>
        <v>322530923.3449477</v>
      </c>
      <c r="F12" s="10">
        <f t="shared" si="0"/>
        <v>37.9</v>
      </c>
      <c r="G12" s="5">
        <v>187.81</v>
      </c>
      <c r="H12" s="1" t="s">
        <v>2</v>
      </c>
      <c r="I12" s="1">
        <f t="shared" si="1"/>
        <v>1</v>
      </c>
      <c r="J12" s="1" t="s">
        <v>1</v>
      </c>
      <c r="K12" s="1">
        <f t="shared" si="2"/>
        <v>0</v>
      </c>
      <c r="L12" s="1" t="s">
        <v>2</v>
      </c>
      <c r="M12" s="1">
        <f t="shared" si="3"/>
        <v>1</v>
      </c>
      <c r="N12" s="1" t="s">
        <v>1</v>
      </c>
      <c r="O12" s="8">
        <v>0.252</v>
      </c>
      <c r="P12" s="7">
        <v>0.4</v>
      </c>
      <c r="Q12" s="3">
        <v>0.3125</v>
      </c>
      <c r="R12" s="10">
        <f t="shared" si="4"/>
        <v>-6.7000000000000011</v>
      </c>
      <c r="S12" s="13">
        <v>15.6</v>
      </c>
      <c r="T12" s="13">
        <v>22.3</v>
      </c>
      <c r="U12" s="10">
        <v>33</v>
      </c>
      <c r="V12" s="10">
        <v>34</v>
      </c>
      <c r="W12" s="10">
        <f t="shared" si="5"/>
        <v>-1</v>
      </c>
      <c r="X12" s="9" t="s">
        <v>1</v>
      </c>
      <c r="Y12" s="11">
        <f t="shared" si="6"/>
        <v>0</v>
      </c>
      <c r="Z12" s="14">
        <v>3</v>
      </c>
    </row>
    <row r="13" spans="1:26" x14ac:dyDescent="0.2">
      <c r="A13" s="12">
        <f t="shared" si="7"/>
        <v>2013</v>
      </c>
      <c r="B13" s="1" t="s">
        <v>16</v>
      </c>
      <c r="C13" s="1">
        <v>1</v>
      </c>
      <c r="D13" s="15">
        <v>266000000</v>
      </c>
      <c r="E13" s="15">
        <f>(292.7/233)*266000000</f>
        <v>334155364.80686694</v>
      </c>
      <c r="F13" s="10">
        <f t="shared" si="0"/>
        <v>44</v>
      </c>
      <c r="G13" s="5">
        <v>250.13</v>
      </c>
      <c r="H13" s="1" t="s">
        <v>2</v>
      </c>
      <c r="I13" s="1">
        <f t="shared" si="1"/>
        <v>1</v>
      </c>
      <c r="J13" s="1" t="s">
        <v>1</v>
      </c>
      <c r="K13" s="1">
        <f t="shared" si="2"/>
        <v>0</v>
      </c>
      <c r="L13" s="1" t="s">
        <v>2</v>
      </c>
      <c r="M13" s="1">
        <f t="shared" si="3"/>
        <v>1</v>
      </c>
      <c r="N13" s="1" t="s">
        <v>1</v>
      </c>
      <c r="O13" s="8">
        <v>0.35199999999999998</v>
      </c>
      <c r="P13" s="7">
        <v>0.52</v>
      </c>
      <c r="Q13" s="3">
        <v>0.625</v>
      </c>
      <c r="R13" s="10">
        <f t="shared" si="4"/>
        <v>3.3999999999999986</v>
      </c>
      <c r="S13" s="13">
        <v>23.7</v>
      </c>
      <c r="T13" s="13">
        <v>20.3</v>
      </c>
      <c r="U13" s="10">
        <v>30</v>
      </c>
      <c r="V13" s="10">
        <v>31</v>
      </c>
      <c r="W13" s="10">
        <f t="shared" si="5"/>
        <v>-1</v>
      </c>
      <c r="X13" s="9" t="s">
        <v>1</v>
      </c>
      <c r="Y13" s="11">
        <f t="shared" si="6"/>
        <v>0</v>
      </c>
      <c r="Z13" s="14">
        <v>4</v>
      </c>
    </row>
    <row r="14" spans="1:26" x14ac:dyDescent="0.2">
      <c r="A14" s="12">
        <f t="shared" si="7"/>
        <v>2014</v>
      </c>
      <c r="B14" s="1" t="s">
        <v>16</v>
      </c>
      <c r="C14" s="1">
        <v>1</v>
      </c>
      <c r="D14" s="15">
        <v>308000000</v>
      </c>
      <c r="E14" s="15">
        <f>(292.7/236.7)*308000000</f>
        <v>380868610.05492181</v>
      </c>
      <c r="F14" s="10">
        <f t="shared" si="0"/>
        <v>38.099999999999994</v>
      </c>
      <c r="G14" s="5">
        <v>238</v>
      </c>
      <c r="H14" s="1" t="s">
        <v>2</v>
      </c>
      <c r="I14" s="1">
        <f t="shared" si="1"/>
        <v>1</v>
      </c>
      <c r="J14" s="1" t="s">
        <v>1</v>
      </c>
      <c r="K14" s="1">
        <f t="shared" si="2"/>
        <v>0</v>
      </c>
      <c r="L14" s="1" t="s">
        <v>2</v>
      </c>
      <c r="M14" s="1">
        <f t="shared" si="3"/>
        <v>1</v>
      </c>
      <c r="N14" s="1" t="s">
        <v>1</v>
      </c>
      <c r="O14" s="8">
        <v>0.40200000000000002</v>
      </c>
      <c r="P14" s="7">
        <v>0.42099999999999999</v>
      </c>
      <c r="Q14" s="3">
        <v>0.6875</v>
      </c>
      <c r="R14" s="10">
        <f t="shared" si="4"/>
        <v>0.69999999999999929</v>
      </c>
      <c r="S14" s="13">
        <v>19.399999999999999</v>
      </c>
      <c r="T14" s="13">
        <v>18.7</v>
      </c>
      <c r="U14" s="10">
        <v>25</v>
      </c>
      <c r="V14" s="10">
        <v>17</v>
      </c>
      <c r="W14" s="10">
        <f t="shared" si="5"/>
        <v>8</v>
      </c>
      <c r="X14" s="9" t="s">
        <v>2</v>
      </c>
      <c r="Y14" s="11">
        <f t="shared" si="6"/>
        <v>1</v>
      </c>
      <c r="Z14" s="14">
        <v>4</v>
      </c>
    </row>
    <row r="15" spans="1:26" x14ac:dyDescent="0.2">
      <c r="A15" s="12">
        <f t="shared" si="7"/>
        <v>2015</v>
      </c>
      <c r="B15" s="1" t="s">
        <v>16</v>
      </c>
      <c r="C15" s="1">
        <v>1</v>
      </c>
      <c r="D15" s="15">
        <v>348000000</v>
      </c>
      <c r="E15" s="15">
        <f>(292.7/237)*348000000</f>
        <v>429787341.77215189</v>
      </c>
      <c r="F15" s="10">
        <f t="shared" si="0"/>
        <v>50.2</v>
      </c>
      <c r="G15" s="5">
        <v>288.5</v>
      </c>
      <c r="H15" s="1" t="s">
        <v>2</v>
      </c>
      <c r="I15" s="1">
        <f t="shared" si="1"/>
        <v>1</v>
      </c>
      <c r="J15" s="1" t="s">
        <v>1</v>
      </c>
      <c r="K15" s="1">
        <f t="shared" si="2"/>
        <v>0</v>
      </c>
      <c r="L15" s="1" t="s">
        <v>2</v>
      </c>
      <c r="M15" s="1">
        <f t="shared" si="3"/>
        <v>1</v>
      </c>
      <c r="N15" s="1" t="s">
        <v>2</v>
      </c>
      <c r="O15" s="8">
        <v>0.47</v>
      </c>
      <c r="P15" s="7">
        <v>0.60299999999999998</v>
      </c>
      <c r="Q15" s="3">
        <v>0.8125</v>
      </c>
      <c r="R15" s="10">
        <f t="shared" si="4"/>
        <v>11</v>
      </c>
      <c r="S15" s="13">
        <v>30.6</v>
      </c>
      <c r="T15" s="13">
        <v>19.600000000000001</v>
      </c>
      <c r="U15" s="10">
        <v>33</v>
      </c>
      <c r="V15" s="10">
        <v>24</v>
      </c>
      <c r="W15" s="10">
        <f t="shared" si="5"/>
        <v>9</v>
      </c>
      <c r="X15" s="9" t="s">
        <v>2</v>
      </c>
      <c r="Y15" s="11">
        <f t="shared" si="6"/>
        <v>1</v>
      </c>
      <c r="Z15" s="14">
        <v>7</v>
      </c>
    </row>
    <row r="16" spans="1:26" x14ac:dyDescent="0.2">
      <c r="A16" s="12">
        <f t="shared" si="7"/>
        <v>2016</v>
      </c>
      <c r="B16" s="1" t="s">
        <v>16</v>
      </c>
      <c r="C16" s="1">
        <v>1</v>
      </c>
      <c r="D16" s="15">
        <v>370000000</v>
      </c>
      <c r="E16" s="15">
        <f>(292.7/240)*370000000</f>
        <v>451245833.33333331</v>
      </c>
      <c r="F16" s="10">
        <f t="shared" si="0"/>
        <v>48.7</v>
      </c>
      <c r="G16" s="5">
        <v>258.5</v>
      </c>
      <c r="H16" s="1" t="s">
        <v>2</v>
      </c>
      <c r="I16" s="1">
        <f t="shared" si="1"/>
        <v>1</v>
      </c>
      <c r="J16" s="1" t="s">
        <v>1</v>
      </c>
      <c r="K16" s="1">
        <f t="shared" si="2"/>
        <v>0</v>
      </c>
      <c r="L16" s="1" t="s">
        <v>2</v>
      </c>
      <c r="M16" s="1">
        <f t="shared" si="3"/>
        <v>1</v>
      </c>
      <c r="N16" s="1" t="s">
        <v>2</v>
      </c>
      <c r="O16" s="8">
        <v>0.40699999999999997</v>
      </c>
      <c r="P16" s="7">
        <v>0.64800000000000002</v>
      </c>
      <c r="Q16" s="3">
        <v>0.4375</v>
      </c>
      <c r="R16" s="10">
        <f t="shared" si="4"/>
        <v>3.5</v>
      </c>
      <c r="S16" s="13">
        <v>26.1</v>
      </c>
      <c r="T16" s="13">
        <v>22.6</v>
      </c>
      <c r="U16" s="10">
        <v>28</v>
      </c>
      <c r="V16" s="10">
        <v>28</v>
      </c>
      <c r="W16" s="10">
        <f t="shared" si="5"/>
        <v>0</v>
      </c>
      <c r="X16" s="9" t="s">
        <v>1</v>
      </c>
      <c r="Y16" s="11">
        <f t="shared" si="6"/>
        <v>0</v>
      </c>
      <c r="Z16" s="14">
        <v>3</v>
      </c>
    </row>
    <row r="17" spans="1:26" x14ac:dyDescent="0.2">
      <c r="A17" s="12">
        <f t="shared" si="7"/>
        <v>2017</v>
      </c>
      <c r="B17" s="1" t="s">
        <v>16</v>
      </c>
      <c r="C17" s="1">
        <v>1</v>
      </c>
      <c r="D17" s="15">
        <v>380000000</v>
      </c>
      <c r="E17" s="15">
        <f>(292.7/245.1)*380000000</f>
        <v>453798449.61240309</v>
      </c>
      <c r="F17" s="10">
        <f t="shared" si="0"/>
        <v>41</v>
      </c>
      <c r="G17" s="5">
        <v>227.5</v>
      </c>
      <c r="H17" s="1" t="s">
        <v>2</v>
      </c>
      <c r="I17" s="1">
        <f t="shared" si="1"/>
        <v>1</v>
      </c>
      <c r="J17" s="1" t="s">
        <v>1</v>
      </c>
      <c r="K17" s="1">
        <f t="shared" si="2"/>
        <v>0</v>
      </c>
      <c r="L17" s="1" t="s">
        <v>2</v>
      </c>
      <c r="M17" s="1">
        <f t="shared" si="3"/>
        <v>1</v>
      </c>
      <c r="N17" s="1" t="s">
        <v>2</v>
      </c>
      <c r="O17" s="8">
        <v>0.35199999999999998</v>
      </c>
      <c r="P17" s="7">
        <v>0.41699999999999998</v>
      </c>
      <c r="Q17" s="3">
        <v>0.5</v>
      </c>
      <c r="R17" s="10">
        <f t="shared" si="4"/>
        <v>-4.2000000000000028</v>
      </c>
      <c r="S17" s="13">
        <v>18.399999999999999</v>
      </c>
      <c r="T17" s="13">
        <v>22.6</v>
      </c>
      <c r="U17" s="10">
        <v>21</v>
      </c>
      <c r="V17" s="10">
        <v>25</v>
      </c>
      <c r="W17" s="10">
        <f t="shared" si="5"/>
        <v>-4</v>
      </c>
      <c r="X17" s="9" t="s">
        <v>1</v>
      </c>
      <c r="Y17" s="11">
        <f t="shared" si="6"/>
        <v>0</v>
      </c>
      <c r="Z17" s="14">
        <v>4</v>
      </c>
    </row>
    <row r="18" spans="1:26" x14ac:dyDescent="0.2">
      <c r="A18" s="12">
        <f t="shared" si="7"/>
        <v>2018</v>
      </c>
      <c r="B18" s="1" t="s">
        <v>16</v>
      </c>
      <c r="C18" s="1">
        <v>1</v>
      </c>
      <c r="D18" s="15">
        <v>400000000</v>
      </c>
      <c r="E18" s="15">
        <f>(292.7/251.1)*400000000</f>
        <v>466268418.95659101</v>
      </c>
      <c r="F18" s="10">
        <f t="shared" si="0"/>
        <v>40.700000000000003</v>
      </c>
      <c r="G18" s="5">
        <v>157.69</v>
      </c>
      <c r="H18" s="1" t="s">
        <v>1</v>
      </c>
      <c r="I18" s="1">
        <f t="shared" si="1"/>
        <v>0</v>
      </c>
      <c r="J18" s="1" t="s">
        <v>2</v>
      </c>
      <c r="K18" s="1">
        <f t="shared" si="2"/>
        <v>1</v>
      </c>
      <c r="L18" s="1" t="s">
        <v>2</v>
      </c>
      <c r="M18" s="1">
        <f t="shared" si="3"/>
        <v>1</v>
      </c>
      <c r="N18" s="1" t="s">
        <v>2</v>
      </c>
      <c r="O18" s="8">
        <v>0.29099999999999998</v>
      </c>
      <c r="P18" s="7">
        <v>0.64300000000000002</v>
      </c>
      <c r="Q18" s="3">
        <v>0.1875</v>
      </c>
      <c r="R18" s="10">
        <f t="shared" si="4"/>
        <v>-12.500000000000002</v>
      </c>
      <c r="S18" s="13">
        <v>14.1</v>
      </c>
      <c r="T18" s="13">
        <v>26.6</v>
      </c>
      <c r="U18" s="10">
        <v>16</v>
      </c>
      <c r="V18" s="10">
        <v>28</v>
      </c>
      <c r="W18" s="10">
        <f t="shared" si="5"/>
        <v>-12</v>
      </c>
      <c r="X18" s="9" t="s">
        <v>1</v>
      </c>
      <c r="Y18" s="11">
        <f t="shared" si="6"/>
        <v>0</v>
      </c>
      <c r="Z18" s="14">
        <v>1</v>
      </c>
    </row>
    <row r="19" spans="1:26" x14ac:dyDescent="0.2">
      <c r="A19" s="12">
        <f t="shared" si="7"/>
        <v>2019</v>
      </c>
      <c r="B19" s="1" t="s">
        <v>16</v>
      </c>
      <c r="C19" s="1">
        <v>1</v>
      </c>
      <c r="D19" s="15">
        <v>422000000</v>
      </c>
      <c r="E19" s="15">
        <f>(292.7/255.7)*422000000</f>
        <v>483063746.57802117</v>
      </c>
      <c r="F19" s="10">
        <f t="shared" si="0"/>
        <v>50.2</v>
      </c>
      <c r="G19" s="5">
        <v>217.31</v>
      </c>
      <c r="H19" s="1" t="s">
        <v>1</v>
      </c>
      <c r="I19" s="1">
        <f t="shared" si="1"/>
        <v>0</v>
      </c>
      <c r="J19" s="1" t="s">
        <v>2</v>
      </c>
      <c r="K19" s="1">
        <f t="shared" si="2"/>
        <v>1</v>
      </c>
      <c r="L19" s="1" t="s">
        <v>2</v>
      </c>
      <c r="M19" s="1">
        <f t="shared" si="3"/>
        <v>1</v>
      </c>
      <c r="N19" s="1" t="s">
        <v>2</v>
      </c>
      <c r="O19" s="8">
        <v>0.36</v>
      </c>
      <c r="P19" s="7">
        <v>0.45300000000000001</v>
      </c>
      <c r="Q19" s="3">
        <v>0.3125</v>
      </c>
      <c r="R19" s="10">
        <f t="shared" si="4"/>
        <v>-5</v>
      </c>
      <c r="S19" s="13">
        <v>22.6</v>
      </c>
      <c r="T19" s="13">
        <v>27.6</v>
      </c>
      <c r="U19" s="10">
        <v>17</v>
      </c>
      <c r="V19" s="10">
        <v>18</v>
      </c>
      <c r="W19" s="10">
        <f t="shared" si="5"/>
        <v>-1</v>
      </c>
      <c r="X19" s="9" t="s">
        <v>1</v>
      </c>
      <c r="Y19" s="11">
        <f t="shared" si="6"/>
        <v>0</v>
      </c>
      <c r="Z19" s="14">
        <v>2</v>
      </c>
    </row>
    <row r="20" spans="1:26" x14ac:dyDescent="0.2">
      <c r="A20" s="12">
        <v>2021</v>
      </c>
      <c r="B20" s="1" t="s">
        <v>16</v>
      </c>
      <c r="C20" s="1">
        <v>1</v>
      </c>
      <c r="D20" s="15">
        <v>467000000</v>
      </c>
      <c r="E20" s="15">
        <f>(292.7/271)*467000000</f>
        <v>504394464.9446494</v>
      </c>
      <c r="F20" s="10">
        <f t="shared" si="0"/>
        <v>47.9</v>
      </c>
      <c r="G20" s="5">
        <v>251.53</v>
      </c>
      <c r="H20" s="1" t="s">
        <v>1</v>
      </c>
      <c r="I20" s="1">
        <f t="shared" si="1"/>
        <v>0</v>
      </c>
      <c r="J20" s="1" t="s">
        <v>2</v>
      </c>
      <c r="K20" s="1">
        <f t="shared" si="2"/>
        <v>1</v>
      </c>
      <c r="L20" s="1" t="s">
        <v>2</v>
      </c>
      <c r="M20" s="1">
        <f t="shared" si="3"/>
        <v>1</v>
      </c>
      <c r="N20" s="1" t="s">
        <v>2</v>
      </c>
      <c r="O20" s="8">
        <v>0.45200000000000001</v>
      </c>
      <c r="P20" s="7">
        <v>0.6</v>
      </c>
      <c r="Q20" s="3">
        <v>0.64710000000000001</v>
      </c>
      <c r="R20" s="10">
        <f t="shared" si="4"/>
        <v>4.8999999999999986</v>
      </c>
      <c r="S20" s="13">
        <v>26.4</v>
      </c>
      <c r="T20" s="13">
        <v>21.5</v>
      </c>
      <c r="U20" s="10">
        <v>27</v>
      </c>
      <c r="V20" s="10">
        <v>14</v>
      </c>
      <c r="W20" s="10">
        <f t="shared" si="5"/>
        <v>13</v>
      </c>
      <c r="X20" s="9" t="s">
        <v>2</v>
      </c>
      <c r="Y20" s="11">
        <f t="shared" si="6"/>
        <v>1</v>
      </c>
      <c r="Z20" s="14">
        <v>5</v>
      </c>
    </row>
    <row r="21" spans="1:26" x14ac:dyDescent="0.2">
      <c r="A21" s="12">
        <f>A20+1</f>
        <v>2022</v>
      </c>
      <c r="B21" s="1" t="s">
        <v>16</v>
      </c>
      <c r="C21" s="1">
        <v>1</v>
      </c>
      <c r="D21" s="15">
        <v>500000000</v>
      </c>
      <c r="E21" s="15">
        <f>(292.7/292.7)*500000000</f>
        <v>500000000</v>
      </c>
      <c r="F21" s="10">
        <f t="shared" si="0"/>
        <v>46.4</v>
      </c>
      <c r="G21" s="5">
        <v>213.29</v>
      </c>
      <c r="H21" s="1" t="s">
        <v>1</v>
      </c>
      <c r="I21" s="1">
        <f t="shared" si="1"/>
        <v>0</v>
      </c>
      <c r="J21" s="1" t="s">
        <v>2</v>
      </c>
      <c r="K21" s="1">
        <f t="shared" si="2"/>
        <v>1</v>
      </c>
      <c r="L21" s="1" t="s">
        <v>2</v>
      </c>
      <c r="M21" s="1">
        <f t="shared" si="3"/>
        <v>1</v>
      </c>
      <c r="N21" s="1" t="s">
        <v>2</v>
      </c>
      <c r="O21" s="8">
        <v>0.35199999999999998</v>
      </c>
      <c r="P21" s="7">
        <v>0.56799999999999995</v>
      </c>
      <c r="Q21" s="3">
        <v>0.23530000000000001</v>
      </c>
      <c r="R21" s="10">
        <f t="shared" si="4"/>
        <v>-6.3999999999999986</v>
      </c>
      <c r="S21" s="13">
        <v>20</v>
      </c>
      <c r="T21" s="13">
        <v>26.4</v>
      </c>
      <c r="U21" s="10">
        <v>20</v>
      </c>
      <c r="V21" s="10">
        <v>25</v>
      </c>
      <c r="W21" s="10">
        <f t="shared" si="5"/>
        <v>-5</v>
      </c>
      <c r="X21" s="9" t="s">
        <v>1</v>
      </c>
      <c r="Y21" s="11">
        <f t="shared" si="6"/>
        <v>0</v>
      </c>
      <c r="Z21" s="14">
        <v>1</v>
      </c>
    </row>
    <row r="22" spans="1:26" x14ac:dyDescent="0.2">
      <c r="A22" s="12">
        <v>2002</v>
      </c>
      <c r="B22" s="1" t="s">
        <v>17</v>
      </c>
      <c r="C22" s="1">
        <v>2</v>
      </c>
      <c r="D22" s="15">
        <v>133000000</v>
      </c>
      <c r="E22" s="15">
        <f>(292.7/179.9)*133000000</f>
        <v>216392996.10894942</v>
      </c>
      <c r="F22" s="10">
        <f t="shared" si="0"/>
        <v>44.7</v>
      </c>
      <c r="G22" s="5">
        <f>3167/16</f>
        <v>197.9375</v>
      </c>
      <c r="H22" s="1" t="s">
        <v>1</v>
      </c>
      <c r="I22" s="1">
        <f t="shared" si="1"/>
        <v>0</v>
      </c>
      <c r="J22" s="1" t="s">
        <v>1</v>
      </c>
      <c r="K22" s="1">
        <f t="shared" si="2"/>
        <v>0</v>
      </c>
      <c r="L22" s="1" t="s">
        <v>1</v>
      </c>
      <c r="M22" s="1">
        <f t="shared" si="3"/>
        <v>0</v>
      </c>
      <c r="N22" s="1" t="s">
        <v>1</v>
      </c>
      <c r="O22" s="8">
        <v>0.41899999999999998</v>
      </c>
      <c r="P22" s="7">
        <v>0.46700000000000003</v>
      </c>
      <c r="Q22" s="6">
        <f>9.5/16</f>
        <v>0.59375</v>
      </c>
      <c r="R22" s="10">
        <f t="shared" si="4"/>
        <v>5.5</v>
      </c>
      <c r="S22" s="13">
        <v>25.1</v>
      </c>
      <c r="T22" s="13">
        <v>19.600000000000001</v>
      </c>
      <c r="U22" s="10">
        <v>39</v>
      </c>
      <c r="V22" s="10">
        <v>27</v>
      </c>
      <c r="W22" s="10">
        <f t="shared" si="5"/>
        <v>12</v>
      </c>
      <c r="X22" s="9" t="s">
        <v>2</v>
      </c>
      <c r="Y22" s="11">
        <f t="shared" si="6"/>
        <v>1</v>
      </c>
      <c r="Z22" s="14">
        <v>2</v>
      </c>
    </row>
    <row r="23" spans="1:26" x14ac:dyDescent="0.2">
      <c r="A23" s="12">
        <v>2003</v>
      </c>
      <c r="B23" s="1" t="s">
        <v>17</v>
      </c>
      <c r="C23" s="1">
        <v>2</v>
      </c>
      <c r="D23" s="15">
        <v>144000000</v>
      </c>
      <c r="E23" s="15">
        <f>(292.7/184)*144000000</f>
        <v>229069565.21739128</v>
      </c>
      <c r="F23" s="10">
        <f t="shared" si="0"/>
        <v>45.099999999999994</v>
      </c>
      <c r="G23" s="5">
        <f>2408/16</f>
        <v>150.5</v>
      </c>
      <c r="H23" s="1" t="s">
        <v>1</v>
      </c>
      <c r="I23" s="1">
        <f t="shared" si="1"/>
        <v>0</v>
      </c>
      <c r="J23" s="1" t="s">
        <v>1</v>
      </c>
      <c r="K23" s="1">
        <f t="shared" si="2"/>
        <v>0</v>
      </c>
      <c r="L23" s="1" t="s">
        <v>1</v>
      </c>
      <c r="M23" s="1">
        <f t="shared" si="3"/>
        <v>0</v>
      </c>
      <c r="N23" s="1" t="s">
        <v>1</v>
      </c>
      <c r="O23" s="8">
        <v>0.29899999999999999</v>
      </c>
      <c r="P23" s="7">
        <v>0.52200000000000002</v>
      </c>
      <c r="Q23" s="6">
        <f>5/16</f>
        <v>0.3125</v>
      </c>
      <c r="R23" s="10">
        <f t="shared" si="4"/>
        <v>-7.6999999999999993</v>
      </c>
      <c r="S23" s="13">
        <v>18.7</v>
      </c>
      <c r="T23" s="13">
        <v>26.4</v>
      </c>
      <c r="U23" s="10">
        <v>31</v>
      </c>
      <c r="V23" s="10">
        <v>31</v>
      </c>
      <c r="W23" s="10">
        <f t="shared" si="5"/>
        <v>0</v>
      </c>
      <c r="X23" s="9" t="s">
        <v>1</v>
      </c>
      <c r="Y23" s="11">
        <f t="shared" si="6"/>
        <v>0</v>
      </c>
      <c r="Z23" s="14">
        <v>2</v>
      </c>
    </row>
    <row r="24" spans="1:26" x14ac:dyDescent="0.2">
      <c r="A24" s="12">
        <v>2004</v>
      </c>
      <c r="B24" s="1" t="s">
        <v>17</v>
      </c>
      <c r="C24" s="1">
        <v>2</v>
      </c>
      <c r="D24" s="15">
        <v>168000000</v>
      </c>
      <c r="E24" s="15">
        <f>(292.7/188.9)*168000000</f>
        <v>260315510.85230279</v>
      </c>
      <c r="F24" s="10">
        <f t="shared" si="0"/>
        <v>42.400000000000006</v>
      </c>
      <c r="G24" s="5">
        <f>2412/16</f>
        <v>150.75</v>
      </c>
      <c r="H24" s="1" t="s">
        <v>1</v>
      </c>
      <c r="I24" s="1">
        <f t="shared" si="1"/>
        <v>0</v>
      </c>
      <c r="J24" s="1" t="s">
        <v>1</v>
      </c>
      <c r="K24" s="1">
        <f t="shared" si="2"/>
        <v>0</v>
      </c>
      <c r="L24" s="1" t="s">
        <v>1</v>
      </c>
      <c r="M24" s="1">
        <f t="shared" si="3"/>
        <v>0</v>
      </c>
      <c r="N24" s="1" t="s">
        <v>1</v>
      </c>
      <c r="O24" s="8">
        <v>0.36299999999999999</v>
      </c>
      <c r="P24" s="7">
        <v>0.52900000000000003</v>
      </c>
      <c r="Q24" s="6">
        <f>11/16</f>
        <v>0.6875</v>
      </c>
      <c r="R24" s="10">
        <f t="shared" si="4"/>
        <v>0.19999999999999929</v>
      </c>
      <c r="S24" s="13">
        <v>21.3</v>
      </c>
      <c r="T24" s="13">
        <v>21.1</v>
      </c>
      <c r="U24" s="10">
        <v>32</v>
      </c>
      <c r="V24" s="10">
        <v>30</v>
      </c>
      <c r="W24" s="10">
        <f t="shared" si="5"/>
        <v>2</v>
      </c>
      <c r="X24" s="9" t="s">
        <v>2</v>
      </c>
      <c r="Y24" s="11">
        <f t="shared" si="6"/>
        <v>1</v>
      </c>
      <c r="Z24" s="14">
        <v>5</v>
      </c>
    </row>
    <row r="25" spans="1:26" x14ac:dyDescent="0.2">
      <c r="A25" s="12">
        <v>2005</v>
      </c>
      <c r="B25" s="1" t="s">
        <v>17</v>
      </c>
      <c r="C25" s="1">
        <v>2</v>
      </c>
      <c r="D25" s="15">
        <v>170000000</v>
      </c>
      <c r="E25" s="15">
        <f>(292.7/195.3)*170000000</f>
        <v>254782386.07270861</v>
      </c>
      <c r="F25" s="10">
        <f t="shared" si="0"/>
        <v>43.2</v>
      </c>
      <c r="G25" s="5">
        <f>2679/16</f>
        <v>167.4375</v>
      </c>
      <c r="H25" s="1" t="s">
        <v>1</v>
      </c>
      <c r="I25" s="1">
        <f t="shared" si="1"/>
        <v>0</v>
      </c>
      <c r="J25" s="1" t="s">
        <v>1</v>
      </c>
      <c r="K25" s="1">
        <f t="shared" si="2"/>
        <v>0</v>
      </c>
      <c r="L25" s="1" t="s">
        <v>1</v>
      </c>
      <c r="M25" s="1">
        <f t="shared" si="3"/>
        <v>0</v>
      </c>
      <c r="N25" s="1" t="s">
        <v>1</v>
      </c>
      <c r="O25" s="8">
        <v>0.42899999999999999</v>
      </c>
      <c r="P25" s="7">
        <v>0.57399999999999995</v>
      </c>
      <c r="Q25" s="6">
        <f>8/16</f>
        <v>0.5</v>
      </c>
      <c r="R25" s="10">
        <f t="shared" si="4"/>
        <v>0.59999999999999787</v>
      </c>
      <c r="S25" s="13">
        <v>21.9</v>
      </c>
      <c r="T25" s="13">
        <v>21.3</v>
      </c>
      <c r="U25" s="10">
        <v>29</v>
      </c>
      <c r="V25" s="10">
        <v>29</v>
      </c>
      <c r="W25" s="10">
        <f t="shared" si="5"/>
        <v>0</v>
      </c>
      <c r="X25" s="9" t="s">
        <v>1</v>
      </c>
      <c r="Y25" s="11">
        <f t="shared" si="6"/>
        <v>0</v>
      </c>
      <c r="Z25" s="14">
        <v>6</v>
      </c>
    </row>
    <row r="26" spans="1:26" x14ac:dyDescent="0.2">
      <c r="A26" s="12">
        <v>2006</v>
      </c>
      <c r="B26" s="1" t="s">
        <v>17</v>
      </c>
      <c r="C26" s="1">
        <v>2</v>
      </c>
      <c r="D26" s="15">
        <v>185000000</v>
      </c>
      <c r="E26" s="15">
        <f>(292.7/201.6)*185000000</f>
        <v>268598710.31746036</v>
      </c>
      <c r="F26" s="10">
        <f t="shared" si="0"/>
        <v>38.799999999999997</v>
      </c>
      <c r="G26" s="5">
        <f>2371/16</f>
        <v>148.1875</v>
      </c>
      <c r="H26" s="1" t="s">
        <v>1</v>
      </c>
      <c r="I26" s="1">
        <f t="shared" si="1"/>
        <v>0</v>
      </c>
      <c r="J26" s="1" t="s">
        <v>1</v>
      </c>
      <c r="K26" s="1">
        <f t="shared" si="2"/>
        <v>0</v>
      </c>
      <c r="L26" s="1" t="s">
        <v>1</v>
      </c>
      <c r="M26" s="1">
        <f t="shared" si="3"/>
        <v>0</v>
      </c>
      <c r="N26" s="1" t="s">
        <v>1</v>
      </c>
      <c r="O26" s="8">
        <v>0.35899999999999999</v>
      </c>
      <c r="P26" s="7">
        <v>0.42599999999999999</v>
      </c>
      <c r="Q26" s="6">
        <f>7/16</f>
        <v>0.4375</v>
      </c>
      <c r="R26" s="10">
        <f t="shared" si="4"/>
        <v>-2.1999999999999993</v>
      </c>
      <c r="S26" s="13">
        <v>18.3</v>
      </c>
      <c r="T26" s="13">
        <v>20.5</v>
      </c>
      <c r="U26" s="10">
        <v>26</v>
      </c>
      <c r="V26" s="10">
        <v>20</v>
      </c>
      <c r="W26" s="10">
        <f t="shared" si="5"/>
        <v>6</v>
      </c>
      <c r="X26" s="9" t="s">
        <v>1</v>
      </c>
      <c r="Y26" s="11">
        <f t="shared" si="6"/>
        <v>0</v>
      </c>
      <c r="Z26" s="14">
        <v>2</v>
      </c>
    </row>
    <row r="27" spans="1:26" x14ac:dyDescent="0.2">
      <c r="A27" s="12">
        <v>2007</v>
      </c>
      <c r="B27" s="1" t="s">
        <v>17</v>
      </c>
      <c r="C27" s="1">
        <v>2</v>
      </c>
      <c r="D27" s="15">
        <v>203000000</v>
      </c>
      <c r="E27" s="15">
        <f>(292.7/207.3)*203000000</f>
        <v>286628557.64592373</v>
      </c>
      <c r="F27" s="10">
        <f t="shared" si="0"/>
        <v>42.099999999999994</v>
      </c>
      <c r="G27" s="5">
        <f>3293/16</f>
        <v>205.8125</v>
      </c>
      <c r="H27" s="1" t="s">
        <v>1</v>
      </c>
      <c r="I27" s="1">
        <f t="shared" si="1"/>
        <v>0</v>
      </c>
      <c r="J27" s="1" t="s">
        <v>1</v>
      </c>
      <c r="K27" s="1">
        <f t="shared" si="2"/>
        <v>0</v>
      </c>
      <c r="L27" s="1" t="s">
        <v>1</v>
      </c>
      <c r="M27" s="1">
        <f t="shared" si="3"/>
        <v>0</v>
      </c>
      <c r="N27" s="1" t="s">
        <v>1</v>
      </c>
      <c r="O27" s="8">
        <v>0.36299999999999999</v>
      </c>
      <c r="P27" s="7">
        <v>0.39500000000000002</v>
      </c>
      <c r="Q27" s="6">
        <f>4/16</f>
        <v>0.25</v>
      </c>
      <c r="R27" s="10">
        <f t="shared" si="4"/>
        <v>-9.6999999999999993</v>
      </c>
      <c r="S27" s="13">
        <v>16.2</v>
      </c>
      <c r="T27" s="13">
        <v>25.9</v>
      </c>
      <c r="U27" s="10">
        <v>28</v>
      </c>
      <c r="V27" s="10">
        <v>24</v>
      </c>
      <c r="W27" s="10">
        <f t="shared" si="5"/>
        <v>4</v>
      </c>
      <c r="X27" s="9" t="s">
        <v>1</v>
      </c>
      <c r="Y27" s="11">
        <f t="shared" si="6"/>
        <v>0</v>
      </c>
      <c r="Z27" s="14">
        <v>0</v>
      </c>
    </row>
    <row r="28" spans="1:26" x14ac:dyDescent="0.2">
      <c r="A28" s="12">
        <v>2008</v>
      </c>
      <c r="B28" s="1" t="s">
        <v>17</v>
      </c>
      <c r="C28" s="1">
        <v>2</v>
      </c>
      <c r="D28" s="15">
        <v>214000000</v>
      </c>
      <c r="E28" s="15">
        <f>(292.7/215.3)*214000000</f>
        <v>290932652.11333025</v>
      </c>
      <c r="F28" s="10">
        <f t="shared" si="0"/>
        <v>44.7</v>
      </c>
      <c r="G28" s="5">
        <v>208.5</v>
      </c>
      <c r="H28" s="1" t="s">
        <v>1</v>
      </c>
      <c r="I28" s="1">
        <f t="shared" si="1"/>
        <v>0</v>
      </c>
      <c r="J28" s="1" t="s">
        <v>1</v>
      </c>
      <c r="K28" s="1">
        <f t="shared" si="2"/>
        <v>0</v>
      </c>
      <c r="L28" s="1" t="s">
        <v>1</v>
      </c>
      <c r="M28" s="1">
        <f t="shared" si="3"/>
        <v>0</v>
      </c>
      <c r="N28" s="1" t="s">
        <v>1</v>
      </c>
      <c r="O28" s="8">
        <v>0.434</v>
      </c>
      <c r="P28" s="7">
        <v>0.55400000000000005</v>
      </c>
      <c r="Q28" s="3">
        <v>0.6875</v>
      </c>
      <c r="R28" s="10">
        <f t="shared" si="4"/>
        <v>4.0999999999999979</v>
      </c>
      <c r="S28" s="13">
        <v>24.4</v>
      </c>
      <c r="T28" s="13">
        <v>20.3</v>
      </c>
      <c r="U28" s="10">
        <v>18</v>
      </c>
      <c r="V28" s="10">
        <v>21</v>
      </c>
      <c r="W28" s="10">
        <f t="shared" si="5"/>
        <v>-3</v>
      </c>
      <c r="X28" s="9" t="s">
        <v>2</v>
      </c>
      <c r="Y28" s="11">
        <f t="shared" si="6"/>
        <v>1</v>
      </c>
      <c r="Z28" s="14">
        <v>2</v>
      </c>
    </row>
    <row r="29" spans="1:26" x14ac:dyDescent="0.2">
      <c r="A29" s="12">
        <f t="shared" ref="A29:A39" si="8">A28+1</f>
        <v>2009</v>
      </c>
      <c r="B29" s="1" t="s">
        <v>17</v>
      </c>
      <c r="C29" s="1">
        <v>2</v>
      </c>
      <c r="D29" s="15">
        <v>231000000</v>
      </c>
      <c r="E29" s="15">
        <f>(292.7/214.5)*231000000</f>
        <v>315215384.61538458</v>
      </c>
      <c r="F29" s="10">
        <f t="shared" si="0"/>
        <v>43</v>
      </c>
      <c r="G29" s="5">
        <v>223.19</v>
      </c>
      <c r="H29" s="1" t="s">
        <v>2</v>
      </c>
      <c r="I29" s="1">
        <f t="shared" si="1"/>
        <v>1</v>
      </c>
      <c r="J29" s="1" t="s">
        <v>1</v>
      </c>
      <c r="K29" s="1">
        <f t="shared" si="2"/>
        <v>0</v>
      </c>
      <c r="L29" s="1" t="s">
        <v>2</v>
      </c>
      <c r="M29" s="1">
        <f t="shared" si="3"/>
        <v>1</v>
      </c>
      <c r="N29" s="1" t="s">
        <v>1</v>
      </c>
      <c r="O29" s="8">
        <v>0.42099999999999999</v>
      </c>
      <c r="P29" s="7">
        <v>0.51800000000000002</v>
      </c>
      <c r="Q29" s="3">
        <v>0.5625</v>
      </c>
      <c r="R29" s="10">
        <f t="shared" si="4"/>
        <v>2.3999999999999986</v>
      </c>
      <c r="S29" s="13">
        <v>22.7</v>
      </c>
      <c r="T29" s="13">
        <v>20.3</v>
      </c>
      <c r="U29" s="10">
        <v>28</v>
      </c>
      <c r="V29" s="10">
        <v>25</v>
      </c>
      <c r="W29" s="10">
        <f t="shared" si="5"/>
        <v>3</v>
      </c>
      <c r="X29" s="9" t="s">
        <v>1</v>
      </c>
      <c r="Y29" s="11">
        <f t="shared" si="6"/>
        <v>0</v>
      </c>
      <c r="Z29" s="14">
        <v>1</v>
      </c>
    </row>
    <row r="30" spans="1:26" x14ac:dyDescent="0.2">
      <c r="A30" s="12">
        <f t="shared" si="8"/>
        <v>2010</v>
      </c>
      <c r="B30" s="1" t="s">
        <v>17</v>
      </c>
      <c r="C30" s="1">
        <v>2</v>
      </c>
      <c r="D30" s="15">
        <v>233000000</v>
      </c>
      <c r="E30" s="15">
        <f>(292.7/218.1)*233000000</f>
        <v>312696469.50939935</v>
      </c>
      <c r="F30" s="10">
        <f t="shared" si="0"/>
        <v>43.9</v>
      </c>
      <c r="G30" s="5">
        <v>222.94</v>
      </c>
      <c r="H30" s="1" t="s">
        <v>2</v>
      </c>
      <c r="I30" s="1">
        <f t="shared" si="1"/>
        <v>1</v>
      </c>
      <c r="J30" s="1" t="s">
        <v>1</v>
      </c>
      <c r="K30" s="1">
        <f t="shared" si="2"/>
        <v>0</v>
      </c>
      <c r="L30" s="1" t="s">
        <v>2</v>
      </c>
      <c r="M30" s="1">
        <f t="shared" si="3"/>
        <v>1</v>
      </c>
      <c r="N30" s="1" t="s">
        <v>1</v>
      </c>
      <c r="O30" s="8">
        <v>0.46700000000000003</v>
      </c>
      <c r="P30" s="7">
        <v>0.60299999999999998</v>
      </c>
      <c r="Q30" s="3">
        <v>0.8125</v>
      </c>
      <c r="R30" s="10">
        <f t="shared" si="4"/>
        <v>7.8999999999999986</v>
      </c>
      <c r="S30" s="13">
        <v>25.9</v>
      </c>
      <c r="T30" s="13">
        <v>18</v>
      </c>
      <c r="U30" s="10">
        <v>31</v>
      </c>
      <c r="V30" s="10">
        <v>17</v>
      </c>
      <c r="W30" s="10">
        <f t="shared" si="5"/>
        <v>14</v>
      </c>
      <c r="X30" s="9" t="s">
        <v>2</v>
      </c>
      <c r="Y30" s="11">
        <f t="shared" si="6"/>
        <v>1</v>
      </c>
      <c r="Z30" s="14">
        <v>9</v>
      </c>
    </row>
    <row r="31" spans="1:26" x14ac:dyDescent="0.2">
      <c r="A31" s="12">
        <f t="shared" si="8"/>
        <v>2011</v>
      </c>
      <c r="B31" s="1" t="s">
        <v>17</v>
      </c>
      <c r="C31" s="1">
        <v>2</v>
      </c>
      <c r="D31" s="15">
        <v>239000000</v>
      </c>
      <c r="E31" s="15">
        <f>(292.7/224.9)*239000000</f>
        <v>311050689.19519782</v>
      </c>
      <c r="F31" s="10">
        <f t="shared" si="0"/>
        <v>47</v>
      </c>
      <c r="G31" s="5">
        <v>262</v>
      </c>
      <c r="H31" s="1" t="s">
        <v>2</v>
      </c>
      <c r="I31" s="1">
        <f t="shared" si="1"/>
        <v>1</v>
      </c>
      <c r="J31" s="1" t="s">
        <v>1</v>
      </c>
      <c r="K31" s="1">
        <f t="shared" si="2"/>
        <v>0</v>
      </c>
      <c r="L31" s="1" t="s">
        <v>2</v>
      </c>
      <c r="M31" s="1">
        <f t="shared" si="3"/>
        <v>1</v>
      </c>
      <c r="N31" s="1" t="s">
        <v>1</v>
      </c>
      <c r="O31" s="8">
        <v>0.442</v>
      </c>
      <c r="P31" s="7">
        <v>0.52500000000000002</v>
      </c>
      <c r="Q31" s="3">
        <v>0.625</v>
      </c>
      <c r="R31" s="10">
        <f t="shared" si="4"/>
        <v>3.2000000000000028</v>
      </c>
      <c r="S31" s="13">
        <v>25.1</v>
      </c>
      <c r="T31" s="13">
        <v>21.9</v>
      </c>
      <c r="U31" s="10">
        <v>29</v>
      </c>
      <c r="V31" s="10">
        <v>21</v>
      </c>
      <c r="W31" s="10">
        <f t="shared" si="5"/>
        <v>8</v>
      </c>
      <c r="X31" s="9" t="s">
        <v>2</v>
      </c>
      <c r="Y31" s="11">
        <f t="shared" si="6"/>
        <v>1</v>
      </c>
      <c r="Z31" s="14">
        <v>2</v>
      </c>
    </row>
    <row r="32" spans="1:26" x14ac:dyDescent="0.2">
      <c r="A32" s="12">
        <f t="shared" si="8"/>
        <v>2012</v>
      </c>
      <c r="B32" s="1" t="s">
        <v>17</v>
      </c>
      <c r="C32" s="1">
        <v>2</v>
      </c>
      <c r="D32" s="15">
        <v>252000000</v>
      </c>
      <c r="E32" s="15">
        <f>(292.7/229.6)*252000000</f>
        <v>321256097.56097555</v>
      </c>
      <c r="F32" s="10">
        <f t="shared" si="0"/>
        <v>44.9</v>
      </c>
      <c r="G32" s="5">
        <v>281.81</v>
      </c>
      <c r="H32" s="1" t="s">
        <v>2</v>
      </c>
      <c r="I32" s="1">
        <f t="shared" si="1"/>
        <v>1</v>
      </c>
      <c r="J32" s="1" t="s">
        <v>1</v>
      </c>
      <c r="K32" s="1">
        <f t="shared" si="2"/>
        <v>0</v>
      </c>
      <c r="L32" s="1" t="s">
        <v>2</v>
      </c>
      <c r="M32" s="1">
        <f t="shared" si="3"/>
        <v>1</v>
      </c>
      <c r="N32" s="1" t="s">
        <v>1</v>
      </c>
      <c r="O32" s="8">
        <v>0.45100000000000001</v>
      </c>
      <c r="P32" s="7">
        <v>0.58699999999999997</v>
      </c>
      <c r="Q32" s="3">
        <v>0.8125</v>
      </c>
      <c r="R32" s="10">
        <f t="shared" si="4"/>
        <v>7.5</v>
      </c>
      <c r="S32" s="13">
        <v>26.2</v>
      </c>
      <c r="T32" s="13">
        <v>18.7</v>
      </c>
      <c r="U32" s="10">
        <v>31</v>
      </c>
      <c r="V32" s="10">
        <v>18</v>
      </c>
      <c r="W32" s="10">
        <f t="shared" si="5"/>
        <v>13</v>
      </c>
      <c r="X32" s="9" t="s">
        <v>2</v>
      </c>
      <c r="Y32" s="11">
        <f t="shared" si="6"/>
        <v>1</v>
      </c>
      <c r="Z32" s="14">
        <v>5</v>
      </c>
    </row>
    <row r="33" spans="1:26" x14ac:dyDescent="0.2">
      <c r="A33" s="12">
        <f t="shared" si="8"/>
        <v>2013</v>
      </c>
      <c r="B33" s="1" t="s">
        <v>17</v>
      </c>
      <c r="C33" s="1">
        <v>2</v>
      </c>
      <c r="D33" s="15">
        <v>264000000</v>
      </c>
      <c r="E33" s="15">
        <f>(292.7/233)*264000000</f>
        <v>331642918.45493561</v>
      </c>
      <c r="F33" s="10">
        <f t="shared" si="0"/>
        <v>49.8</v>
      </c>
      <c r="G33" s="5">
        <v>265.19</v>
      </c>
      <c r="H33" s="1" t="s">
        <v>2</v>
      </c>
      <c r="I33" s="1">
        <f t="shared" si="1"/>
        <v>1</v>
      </c>
      <c r="J33" s="1" t="s">
        <v>1</v>
      </c>
      <c r="K33" s="1">
        <f t="shared" si="2"/>
        <v>0</v>
      </c>
      <c r="L33" s="1" t="s">
        <v>2</v>
      </c>
      <c r="M33" s="1">
        <f t="shared" si="3"/>
        <v>1</v>
      </c>
      <c r="N33" s="1" t="s">
        <v>1</v>
      </c>
      <c r="O33" s="8">
        <v>0.43</v>
      </c>
      <c r="P33" s="7">
        <v>0.51900000000000002</v>
      </c>
      <c r="Q33" s="3">
        <v>0.25</v>
      </c>
      <c r="R33" s="10">
        <f t="shared" si="4"/>
        <v>-5.5999999999999979</v>
      </c>
      <c r="S33" s="13">
        <v>22.1</v>
      </c>
      <c r="T33" s="13">
        <v>27.7</v>
      </c>
      <c r="U33" s="10">
        <v>21</v>
      </c>
      <c r="V33" s="10">
        <v>28</v>
      </c>
      <c r="W33" s="10">
        <f t="shared" si="5"/>
        <v>-7</v>
      </c>
      <c r="X33" s="9" t="s">
        <v>1</v>
      </c>
      <c r="Y33" s="11">
        <f t="shared" si="6"/>
        <v>0</v>
      </c>
      <c r="Z33" s="14">
        <v>1</v>
      </c>
    </row>
    <row r="34" spans="1:26" x14ac:dyDescent="0.2">
      <c r="A34" s="12">
        <f t="shared" si="8"/>
        <v>2014</v>
      </c>
      <c r="B34" s="1" t="s">
        <v>17</v>
      </c>
      <c r="C34" s="1">
        <v>2</v>
      </c>
      <c r="D34" s="15">
        <v>303000000</v>
      </c>
      <c r="E34" s="15">
        <f>(292.7/236.7)*303000000</f>
        <v>374685678.07351077</v>
      </c>
      <c r="F34" s="10">
        <f t="shared" si="0"/>
        <v>49.900000000000006</v>
      </c>
      <c r="G34" s="5">
        <v>284.56</v>
      </c>
      <c r="H34" s="1" t="s">
        <v>2</v>
      </c>
      <c r="I34" s="1">
        <f t="shared" si="1"/>
        <v>1</v>
      </c>
      <c r="J34" s="1" t="s">
        <v>1</v>
      </c>
      <c r="K34" s="1">
        <f t="shared" si="2"/>
        <v>0</v>
      </c>
      <c r="L34" s="1" t="s">
        <v>2</v>
      </c>
      <c r="M34" s="1">
        <f t="shared" si="3"/>
        <v>1</v>
      </c>
      <c r="N34" s="1" t="s">
        <v>1</v>
      </c>
      <c r="O34" s="8">
        <v>0.443</v>
      </c>
      <c r="P34" s="7">
        <v>0.61399999999999999</v>
      </c>
      <c r="Q34" s="3">
        <v>0.375</v>
      </c>
      <c r="R34" s="10">
        <f t="shared" si="4"/>
        <v>-2.3000000000000007</v>
      </c>
      <c r="S34" s="13">
        <v>23.8</v>
      </c>
      <c r="T34" s="13">
        <v>26.1</v>
      </c>
      <c r="U34" s="10">
        <v>28</v>
      </c>
      <c r="V34" s="10">
        <v>23</v>
      </c>
      <c r="W34" s="10">
        <f t="shared" si="5"/>
        <v>5</v>
      </c>
      <c r="X34" s="9" t="s">
        <v>1</v>
      </c>
      <c r="Y34" s="11">
        <f t="shared" si="6"/>
        <v>0</v>
      </c>
      <c r="Z34" s="14">
        <v>3</v>
      </c>
    </row>
    <row r="35" spans="1:26" x14ac:dyDescent="0.2">
      <c r="A35" s="12">
        <f t="shared" si="8"/>
        <v>2015</v>
      </c>
      <c r="B35" s="1" t="s">
        <v>17</v>
      </c>
      <c r="C35" s="1">
        <v>2</v>
      </c>
      <c r="D35" s="15">
        <v>336000000</v>
      </c>
      <c r="E35" s="15">
        <f>(292.7/237)*336000000</f>
        <v>414967088.60759491</v>
      </c>
      <c r="F35" s="10">
        <f t="shared" si="0"/>
        <v>42.8</v>
      </c>
      <c r="G35" s="5">
        <v>242.63</v>
      </c>
      <c r="H35" s="1" t="s">
        <v>2</v>
      </c>
      <c r="I35" s="1">
        <f t="shared" si="1"/>
        <v>1</v>
      </c>
      <c r="J35" s="1" t="s">
        <v>1</v>
      </c>
      <c r="K35" s="1">
        <f t="shared" si="2"/>
        <v>0</v>
      </c>
      <c r="L35" s="1" t="s">
        <v>2</v>
      </c>
      <c r="M35" s="1">
        <f t="shared" si="3"/>
        <v>1</v>
      </c>
      <c r="N35" s="1" t="s">
        <v>2</v>
      </c>
      <c r="O35" s="8">
        <v>0.47099999999999997</v>
      </c>
      <c r="P35" s="7">
        <v>0.54700000000000004</v>
      </c>
      <c r="Q35" s="3">
        <v>0.5</v>
      </c>
      <c r="R35" s="10">
        <f t="shared" si="4"/>
        <v>-0.40000000000000213</v>
      </c>
      <c r="S35" s="13">
        <v>21.2</v>
      </c>
      <c r="T35" s="13">
        <v>21.6</v>
      </c>
      <c r="U35" s="10">
        <v>23</v>
      </c>
      <c r="V35" s="10">
        <v>30</v>
      </c>
      <c r="W35" s="10">
        <f t="shared" si="5"/>
        <v>-7</v>
      </c>
      <c r="X35" s="9" t="s">
        <v>1</v>
      </c>
      <c r="Y35" s="11">
        <f t="shared" si="6"/>
        <v>0</v>
      </c>
      <c r="Z35" s="14">
        <v>4</v>
      </c>
    </row>
    <row r="36" spans="1:26" x14ac:dyDescent="0.2">
      <c r="A36" s="12">
        <f t="shared" si="8"/>
        <v>2016</v>
      </c>
      <c r="B36" s="1" t="s">
        <v>17</v>
      </c>
      <c r="C36" s="1">
        <v>2</v>
      </c>
      <c r="D36" s="15">
        <v>367000000</v>
      </c>
      <c r="E36" s="15">
        <f>(292.7/240)*367000000</f>
        <v>447587083.33333331</v>
      </c>
      <c r="F36" s="10">
        <f t="shared" si="0"/>
        <v>59.199999999999996</v>
      </c>
      <c r="G36" s="5">
        <v>295.31</v>
      </c>
      <c r="H36" s="1" t="s">
        <v>2</v>
      </c>
      <c r="I36" s="1">
        <f t="shared" si="1"/>
        <v>1</v>
      </c>
      <c r="J36" s="1" t="s">
        <v>1</v>
      </c>
      <c r="K36" s="1">
        <f t="shared" si="2"/>
        <v>0</v>
      </c>
      <c r="L36" s="1" t="s">
        <v>2</v>
      </c>
      <c r="M36" s="1">
        <f t="shared" si="3"/>
        <v>1</v>
      </c>
      <c r="N36" s="1" t="s">
        <v>2</v>
      </c>
      <c r="O36" s="8">
        <v>0.42099999999999999</v>
      </c>
      <c r="P36" s="7">
        <v>0.61899999999999999</v>
      </c>
      <c r="Q36" s="3">
        <v>0.6875</v>
      </c>
      <c r="R36" s="10">
        <f t="shared" si="4"/>
        <v>8.3999999999999986</v>
      </c>
      <c r="S36" s="13">
        <v>33.799999999999997</v>
      </c>
      <c r="T36" s="13">
        <v>25.4</v>
      </c>
      <c r="U36" s="10">
        <v>22</v>
      </c>
      <c r="V36" s="10">
        <v>11</v>
      </c>
      <c r="W36" s="10">
        <f t="shared" si="5"/>
        <v>11</v>
      </c>
      <c r="X36" s="9" t="s">
        <v>2</v>
      </c>
      <c r="Y36" s="11">
        <f t="shared" si="6"/>
        <v>1</v>
      </c>
      <c r="Z36" s="14">
        <v>6</v>
      </c>
    </row>
    <row r="37" spans="1:26" x14ac:dyDescent="0.2">
      <c r="A37" s="12">
        <f t="shared" si="8"/>
        <v>2017</v>
      </c>
      <c r="B37" s="1" t="s">
        <v>17</v>
      </c>
      <c r="C37" s="1">
        <v>2</v>
      </c>
      <c r="D37" s="15">
        <v>451000000</v>
      </c>
      <c r="E37" s="15">
        <f>(292.7/245.1)*451000000</f>
        <v>538587107.30314159</v>
      </c>
      <c r="F37" s="10">
        <f t="shared" si="0"/>
        <v>41.8</v>
      </c>
      <c r="G37" s="5">
        <v>249.38</v>
      </c>
      <c r="H37" s="1" t="s">
        <v>2</v>
      </c>
      <c r="I37" s="1">
        <f t="shared" si="1"/>
        <v>1</v>
      </c>
      <c r="J37" s="1" t="s">
        <v>1</v>
      </c>
      <c r="K37" s="1">
        <f t="shared" si="2"/>
        <v>0</v>
      </c>
      <c r="L37" s="1" t="s">
        <v>2</v>
      </c>
      <c r="M37" s="1">
        <f t="shared" si="3"/>
        <v>1</v>
      </c>
      <c r="N37" s="1" t="s">
        <v>2</v>
      </c>
      <c r="O37" s="8">
        <v>0.44700000000000001</v>
      </c>
      <c r="P37" s="7">
        <v>0.5</v>
      </c>
      <c r="Q37" s="3">
        <v>0.625</v>
      </c>
      <c r="R37" s="10">
        <f t="shared" si="4"/>
        <v>2.4000000000000021</v>
      </c>
      <c r="S37" s="13">
        <v>22.1</v>
      </c>
      <c r="T37" s="13">
        <v>19.7</v>
      </c>
      <c r="U37" s="10">
        <v>16</v>
      </c>
      <c r="V37" s="10">
        <v>18</v>
      </c>
      <c r="W37" s="10">
        <f t="shared" si="5"/>
        <v>-2</v>
      </c>
      <c r="X37" s="9" t="s">
        <v>2</v>
      </c>
      <c r="Y37" s="11">
        <f t="shared" si="6"/>
        <v>1</v>
      </c>
      <c r="Z37" s="14">
        <v>4</v>
      </c>
    </row>
    <row r="38" spans="1:26" x14ac:dyDescent="0.2">
      <c r="A38" s="12">
        <f t="shared" si="8"/>
        <v>2018</v>
      </c>
      <c r="B38" s="1" t="s">
        <v>17</v>
      </c>
      <c r="C38" s="1">
        <v>2</v>
      </c>
      <c r="D38" s="15">
        <v>458000000</v>
      </c>
      <c r="E38" s="15">
        <f>(292.7/251.1)*458000000</f>
        <v>533877339.7052967</v>
      </c>
      <c r="F38" s="10">
        <f t="shared" si="0"/>
        <v>52.3</v>
      </c>
      <c r="G38" s="5">
        <v>290.81</v>
      </c>
      <c r="H38" s="1" t="s">
        <v>1</v>
      </c>
      <c r="I38" s="1">
        <f t="shared" si="1"/>
        <v>0</v>
      </c>
      <c r="J38" s="1" t="s">
        <v>2</v>
      </c>
      <c r="K38" s="1">
        <f t="shared" si="2"/>
        <v>1</v>
      </c>
      <c r="L38" s="1" t="s">
        <v>2</v>
      </c>
      <c r="M38" s="1">
        <f t="shared" si="3"/>
        <v>1</v>
      </c>
      <c r="N38" s="1" t="s">
        <v>2</v>
      </c>
      <c r="O38" s="8">
        <v>0.45300000000000001</v>
      </c>
      <c r="P38" s="7">
        <v>0.64</v>
      </c>
      <c r="Q38" s="3">
        <v>0.4375</v>
      </c>
      <c r="R38" s="10">
        <f t="shared" si="4"/>
        <v>-0.5</v>
      </c>
      <c r="S38" s="13">
        <v>25.9</v>
      </c>
      <c r="T38" s="13">
        <v>26.4</v>
      </c>
      <c r="U38" s="10">
        <v>19</v>
      </c>
      <c r="V38" s="10">
        <v>18</v>
      </c>
      <c r="W38" s="10">
        <f t="shared" si="5"/>
        <v>1</v>
      </c>
      <c r="X38" s="9" t="s">
        <v>1</v>
      </c>
      <c r="Y38" s="11">
        <f t="shared" si="6"/>
        <v>0</v>
      </c>
      <c r="Z38" s="14">
        <v>4</v>
      </c>
    </row>
    <row r="39" spans="1:26" x14ac:dyDescent="0.2">
      <c r="A39" s="12">
        <f t="shared" si="8"/>
        <v>2019</v>
      </c>
      <c r="B39" s="1" t="s">
        <v>17</v>
      </c>
      <c r="C39" s="1">
        <v>2</v>
      </c>
      <c r="D39" s="15">
        <v>467000000</v>
      </c>
      <c r="E39" s="15">
        <f>(292.7/255.7)*467000000</f>
        <v>534575283.53539306</v>
      </c>
      <c r="F39" s="10">
        <f t="shared" si="0"/>
        <v>48.7</v>
      </c>
      <c r="G39" s="5">
        <v>294.63</v>
      </c>
      <c r="H39" s="1" t="s">
        <v>1</v>
      </c>
      <c r="I39" s="1">
        <f t="shared" si="1"/>
        <v>0</v>
      </c>
      <c r="J39" s="1" t="s">
        <v>2</v>
      </c>
      <c r="K39" s="1">
        <f t="shared" si="2"/>
        <v>1</v>
      </c>
      <c r="L39" s="1" t="s">
        <v>2</v>
      </c>
      <c r="M39" s="1">
        <f t="shared" si="3"/>
        <v>1</v>
      </c>
      <c r="N39" s="1" t="s">
        <v>2</v>
      </c>
      <c r="O39" s="8">
        <v>0.42</v>
      </c>
      <c r="P39" s="7">
        <v>0.51700000000000002</v>
      </c>
      <c r="Q39" s="3">
        <v>0.4375</v>
      </c>
      <c r="R39" s="10">
        <f t="shared" si="4"/>
        <v>-1.0999999999999979</v>
      </c>
      <c r="S39" s="13">
        <v>23.8</v>
      </c>
      <c r="T39" s="13">
        <v>24.9</v>
      </c>
      <c r="U39" s="10">
        <v>20</v>
      </c>
      <c r="V39" s="10">
        <v>25</v>
      </c>
      <c r="W39" s="10">
        <f t="shared" si="5"/>
        <v>-5</v>
      </c>
      <c r="X39" s="9" t="s">
        <v>1</v>
      </c>
      <c r="Y39" s="11">
        <f t="shared" si="6"/>
        <v>0</v>
      </c>
      <c r="Z39" s="14">
        <v>3</v>
      </c>
    </row>
    <row r="40" spans="1:26" x14ac:dyDescent="0.2">
      <c r="A40" s="12">
        <v>2021</v>
      </c>
      <c r="B40" s="1" t="s">
        <v>17</v>
      </c>
      <c r="C40" s="1">
        <v>2</v>
      </c>
      <c r="D40" s="15">
        <v>506000000</v>
      </c>
      <c r="E40" s="15">
        <f>(292.7/271)*506000000</f>
        <v>546517343.17343163</v>
      </c>
      <c r="F40" s="10">
        <f t="shared" si="0"/>
        <v>45.4</v>
      </c>
      <c r="G40" s="5">
        <v>232.06</v>
      </c>
      <c r="H40" s="1" t="s">
        <v>1</v>
      </c>
      <c r="I40" s="1">
        <f t="shared" si="1"/>
        <v>0</v>
      </c>
      <c r="J40" s="1" t="s">
        <v>2</v>
      </c>
      <c r="K40" s="1">
        <f t="shared" si="2"/>
        <v>1</v>
      </c>
      <c r="L40" s="1" t="s">
        <v>2</v>
      </c>
      <c r="M40" s="1">
        <f t="shared" si="3"/>
        <v>1</v>
      </c>
      <c r="N40" s="1" t="s">
        <v>2</v>
      </c>
      <c r="O40" s="8">
        <v>0.38900000000000001</v>
      </c>
      <c r="P40" s="7">
        <v>0.53700000000000003</v>
      </c>
      <c r="Q40" s="3">
        <v>0.4118</v>
      </c>
      <c r="R40" s="10">
        <f t="shared" si="4"/>
        <v>-8.6000000000000014</v>
      </c>
      <c r="S40" s="13">
        <v>18.399999999999999</v>
      </c>
      <c r="T40" s="13">
        <v>27</v>
      </c>
      <c r="U40" s="10">
        <v>20</v>
      </c>
      <c r="V40" s="10">
        <v>26</v>
      </c>
      <c r="W40" s="10">
        <f t="shared" si="5"/>
        <v>-6</v>
      </c>
      <c r="X40" s="9" t="s">
        <v>1</v>
      </c>
      <c r="Y40" s="11">
        <f t="shared" si="6"/>
        <v>0</v>
      </c>
      <c r="Z40" s="14">
        <v>2</v>
      </c>
    </row>
    <row r="41" spans="1:26" x14ac:dyDescent="0.2">
      <c r="A41" s="12">
        <v>2022</v>
      </c>
      <c r="B41" s="1" t="s">
        <v>17</v>
      </c>
      <c r="C41" s="1">
        <v>2</v>
      </c>
      <c r="D41" s="15">
        <v>544000000</v>
      </c>
      <c r="E41" s="15">
        <f>(292.7/292.7)*544000000</f>
        <v>544000000</v>
      </c>
      <c r="F41" s="10">
        <f t="shared" si="0"/>
        <v>44.2</v>
      </c>
      <c r="G41" s="5">
        <v>168.69</v>
      </c>
      <c r="H41" s="1" t="s">
        <v>1</v>
      </c>
      <c r="I41" s="1">
        <f t="shared" si="1"/>
        <v>0</v>
      </c>
      <c r="J41" s="1" t="s">
        <v>2</v>
      </c>
      <c r="K41" s="1">
        <f t="shared" si="2"/>
        <v>1</v>
      </c>
      <c r="L41" s="1" t="s">
        <v>2</v>
      </c>
      <c r="M41" s="1">
        <f t="shared" si="3"/>
        <v>1</v>
      </c>
      <c r="N41" s="1" t="s">
        <v>2</v>
      </c>
      <c r="O41" s="8">
        <v>0.41799999999999998</v>
      </c>
      <c r="P41" s="7">
        <v>0.55600000000000005</v>
      </c>
      <c r="Q41" s="3">
        <v>0.4118</v>
      </c>
      <c r="R41" s="10">
        <f t="shared" si="4"/>
        <v>-1.1999999999999993</v>
      </c>
      <c r="S41" s="13">
        <v>21.5</v>
      </c>
      <c r="T41" s="13">
        <v>22.7</v>
      </c>
      <c r="U41" s="10">
        <v>17</v>
      </c>
      <c r="V41" s="10">
        <v>21</v>
      </c>
      <c r="W41" s="10">
        <f t="shared" si="5"/>
        <v>-4</v>
      </c>
      <c r="X41" s="9" t="s">
        <v>1</v>
      </c>
      <c r="Y41" s="11">
        <f t="shared" si="6"/>
        <v>0</v>
      </c>
      <c r="Z41" s="14">
        <v>1</v>
      </c>
    </row>
    <row r="42" spans="1:26" x14ac:dyDescent="0.2">
      <c r="A42" s="12">
        <f>2002</f>
        <v>2002</v>
      </c>
      <c r="B42" s="1" t="s">
        <v>18</v>
      </c>
      <c r="C42" s="1">
        <v>3</v>
      </c>
      <c r="D42" s="15">
        <v>155000000</v>
      </c>
      <c r="E42" s="15">
        <f>(292.7/179.9)*155000000</f>
        <v>252187326.29238465</v>
      </c>
      <c r="F42" s="10">
        <f t="shared" si="0"/>
        <v>41.900000000000006</v>
      </c>
      <c r="G42" s="5">
        <f>2847/16</f>
        <v>177.9375</v>
      </c>
      <c r="H42" s="1" t="s">
        <v>1</v>
      </c>
      <c r="I42" s="1">
        <f t="shared" si="1"/>
        <v>0</v>
      </c>
      <c r="J42" s="1" t="s">
        <v>1</v>
      </c>
      <c r="K42" s="1">
        <f t="shared" si="2"/>
        <v>0</v>
      </c>
      <c r="L42" s="1" t="s">
        <v>1</v>
      </c>
      <c r="M42" s="1">
        <f t="shared" si="3"/>
        <v>0</v>
      </c>
      <c r="N42" s="1" t="s">
        <v>1</v>
      </c>
      <c r="O42" s="8">
        <v>0.377</v>
      </c>
      <c r="P42" s="7">
        <v>0.5</v>
      </c>
      <c r="Q42" s="3">
        <f>7/16</f>
        <v>0.4375</v>
      </c>
      <c r="R42" s="10">
        <f t="shared" si="4"/>
        <v>-2.3000000000000007</v>
      </c>
      <c r="S42" s="13">
        <v>19.8</v>
      </c>
      <c r="T42" s="13">
        <v>22.1</v>
      </c>
      <c r="U42" s="10">
        <v>31</v>
      </c>
      <c r="V42" s="10">
        <v>32</v>
      </c>
      <c r="W42" s="10">
        <f t="shared" si="5"/>
        <v>-1</v>
      </c>
      <c r="X42" s="9" t="s">
        <v>1</v>
      </c>
      <c r="Y42" s="11">
        <f t="shared" si="6"/>
        <v>0</v>
      </c>
      <c r="Z42" s="14">
        <v>3</v>
      </c>
    </row>
    <row r="43" spans="1:26" x14ac:dyDescent="0.2">
      <c r="A43" s="12">
        <f>A42+1</f>
        <v>2003</v>
      </c>
      <c r="B43" s="1" t="s">
        <v>18</v>
      </c>
      <c r="C43" s="1">
        <v>3</v>
      </c>
      <c r="D43" s="15">
        <v>172000000</v>
      </c>
      <c r="E43" s="15">
        <f>(292.7/184)*172000000</f>
        <v>273610869.56521738</v>
      </c>
      <c r="F43" s="10">
        <f t="shared" si="0"/>
        <v>42</v>
      </c>
      <c r="G43" s="5">
        <f>2255/16</f>
        <v>140.9375</v>
      </c>
      <c r="H43" s="1" t="s">
        <v>1</v>
      </c>
      <c r="I43" s="1">
        <f t="shared" si="1"/>
        <v>0</v>
      </c>
      <c r="J43" s="1" t="s">
        <v>1</v>
      </c>
      <c r="K43" s="1">
        <f t="shared" si="2"/>
        <v>0</v>
      </c>
      <c r="L43" s="1" t="s">
        <v>1</v>
      </c>
      <c r="M43" s="1">
        <f t="shared" si="3"/>
        <v>0</v>
      </c>
      <c r="N43" s="1" t="s">
        <v>1</v>
      </c>
      <c r="O43" s="8">
        <v>0.31900000000000001</v>
      </c>
      <c r="P43" s="7">
        <v>0.42</v>
      </c>
      <c r="Q43" s="3">
        <f>10/16</f>
        <v>0.625</v>
      </c>
      <c r="R43" s="10">
        <f t="shared" si="4"/>
        <v>6.7999999999999972</v>
      </c>
      <c r="S43" s="13">
        <v>24.4</v>
      </c>
      <c r="T43" s="13">
        <v>17.600000000000001</v>
      </c>
      <c r="U43" s="10">
        <v>41</v>
      </c>
      <c r="V43" s="10">
        <v>38</v>
      </c>
      <c r="W43" s="10">
        <f t="shared" si="5"/>
        <v>3</v>
      </c>
      <c r="X43" s="9" t="s">
        <v>2</v>
      </c>
      <c r="Y43" s="11">
        <f t="shared" si="6"/>
        <v>1</v>
      </c>
      <c r="Z43" s="14">
        <v>8</v>
      </c>
    </row>
    <row r="44" spans="1:26" x14ac:dyDescent="0.2">
      <c r="A44" s="12">
        <f>A43+1</f>
        <v>2004</v>
      </c>
      <c r="B44" s="1" t="s">
        <v>18</v>
      </c>
      <c r="C44" s="1">
        <v>3</v>
      </c>
      <c r="D44" s="15">
        <v>192000000</v>
      </c>
      <c r="E44" s="15">
        <f>(292.7/188.9)*192000000</f>
        <v>297503440.9740603</v>
      </c>
      <c r="F44" s="10">
        <f t="shared" si="0"/>
        <v>36.6</v>
      </c>
      <c r="G44" s="5">
        <f>2312/16</f>
        <v>144.5</v>
      </c>
      <c r="H44" s="1" t="s">
        <v>1</v>
      </c>
      <c r="I44" s="1">
        <f t="shared" si="1"/>
        <v>0</v>
      </c>
      <c r="J44" s="1" t="s">
        <v>1</v>
      </c>
      <c r="K44" s="1">
        <f t="shared" si="2"/>
        <v>0</v>
      </c>
      <c r="L44" s="1" t="s">
        <v>1</v>
      </c>
      <c r="M44" s="1">
        <f t="shared" si="3"/>
        <v>0</v>
      </c>
      <c r="N44" s="1" t="s">
        <v>1</v>
      </c>
      <c r="O44" s="8">
        <v>0.35099999999999998</v>
      </c>
      <c r="P44" s="7">
        <v>0.5</v>
      </c>
      <c r="Q44" s="3">
        <f>9/16</f>
        <v>0.5625</v>
      </c>
      <c r="R44" s="10">
        <f t="shared" si="4"/>
        <v>3</v>
      </c>
      <c r="S44" s="13">
        <v>19.8</v>
      </c>
      <c r="T44" s="13">
        <v>16.8</v>
      </c>
      <c r="U44" s="10">
        <v>34</v>
      </c>
      <c r="V44" s="10">
        <v>23</v>
      </c>
      <c r="W44" s="10">
        <f t="shared" si="5"/>
        <v>11</v>
      </c>
      <c r="X44" s="9" t="s">
        <v>1</v>
      </c>
      <c r="Y44" s="11">
        <f t="shared" si="6"/>
        <v>0</v>
      </c>
      <c r="Z44" s="14">
        <v>5</v>
      </c>
    </row>
    <row r="45" spans="1:26" x14ac:dyDescent="0.2">
      <c r="A45" s="12">
        <f>A44+1</f>
        <v>2005</v>
      </c>
      <c r="B45" s="1" t="s">
        <v>18</v>
      </c>
      <c r="C45" s="1">
        <v>3</v>
      </c>
      <c r="D45" s="15">
        <v>201000000</v>
      </c>
      <c r="E45" s="15">
        <f>(292.7/195.3)*201000000</f>
        <v>301242703.5330261</v>
      </c>
      <c r="F45" s="10">
        <f t="shared" si="0"/>
        <v>35.299999999999997</v>
      </c>
      <c r="G45" s="5">
        <f>3088/16</f>
        <v>193</v>
      </c>
      <c r="H45" s="1" t="s">
        <v>1</v>
      </c>
      <c r="I45" s="1">
        <f t="shared" si="1"/>
        <v>0</v>
      </c>
      <c r="J45" s="1" t="s">
        <v>1</v>
      </c>
      <c r="K45" s="1">
        <f t="shared" si="2"/>
        <v>0</v>
      </c>
      <c r="L45" s="1" t="s">
        <v>1</v>
      </c>
      <c r="M45" s="1">
        <f t="shared" si="3"/>
        <v>0</v>
      </c>
      <c r="N45" s="1" t="s">
        <v>1</v>
      </c>
      <c r="O45" s="8">
        <v>0.39100000000000001</v>
      </c>
      <c r="P45" s="7">
        <v>0.38100000000000001</v>
      </c>
      <c r="Q45" s="3">
        <f>6/16</f>
        <v>0.375</v>
      </c>
      <c r="R45" s="10">
        <f t="shared" si="4"/>
        <v>-2.0999999999999979</v>
      </c>
      <c r="S45" s="13">
        <v>16.600000000000001</v>
      </c>
      <c r="T45" s="13">
        <v>18.7</v>
      </c>
      <c r="U45" s="10">
        <v>26</v>
      </c>
      <c r="V45" s="10">
        <v>36</v>
      </c>
      <c r="W45" s="10">
        <f t="shared" si="5"/>
        <v>-10</v>
      </c>
      <c r="X45" s="9" t="s">
        <v>1</v>
      </c>
      <c r="Y45" s="11">
        <f t="shared" si="6"/>
        <v>0</v>
      </c>
      <c r="Z45" s="14">
        <v>1</v>
      </c>
    </row>
    <row r="46" spans="1:26" x14ac:dyDescent="0.2">
      <c r="A46" s="12">
        <f>A45+1</f>
        <v>2006</v>
      </c>
      <c r="B46" s="1" t="s">
        <v>18</v>
      </c>
      <c r="C46" s="1">
        <v>3</v>
      </c>
      <c r="D46" s="15">
        <v>205000000</v>
      </c>
      <c r="E46" s="15">
        <f>(292.7/201.6)*205000000</f>
        <v>297636408.73015875</v>
      </c>
      <c r="F46" s="10">
        <f t="shared" si="0"/>
        <v>34.700000000000003</v>
      </c>
      <c r="G46" s="5">
        <f>3435/16</f>
        <v>214.6875</v>
      </c>
      <c r="H46" s="1" t="s">
        <v>1</v>
      </c>
      <c r="I46" s="1">
        <f t="shared" si="1"/>
        <v>0</v>
      </c>
      <c r="J46" s="1" t="s">
        <v>1</v>
      </c>
      <c r="K46" s="1">
        <f t="shared" si="2"/>
        <v>0</v>
      </c>
      <c r="L46" s="1" t="s">
        <v>1</v>
      </c>
      <c r="M46" s="1">
        <f t="shared" si="3"/>
        <v>0</v>
      </c>
      <c r="N46" s="1" t="s">
        <v>1</v>
      </c>
      <c r="O46" s="8">
        <v>0.41199999999999998</v>
      </c>
      <c r="P46" s="7">
        <v>0.42299999999999999</v>
      </c>
      <c r="Q46" s="3">
        <f>13/16</f>
        <v>0.8125</v>
      </c>
      <c r="R46" s="10">
        <f t="shared" si="4"/>
        <v>9.5000000000000018</v>
      </c>
      <c r="S46" s="13">
        <v>22.1</v>
      </c>
      <c r="T46" s="13">
        <v>12.6</v>
      </c>
      <c r="U46" s="10">
        <v>40</v>
      </c>
      <c r="V46" s="10">
        <v>23</v>
      </c>
      <c r="W46" s="10">
        <f t="shared" si="5"/>
        <v>17</v>
      </c>
      <c r="X46" s="9" t="s">
        <v>2</v>
      </c>
      <c r="Y46" s="11">
        <f t="shared" si="6"/>
        <v>1</v>
      </c>
      <c r="Z46" s="14">
        <v>6</v>
      </c>
    </row>
    <row r="47" spans="1:26" x14ac:dyDescent="0.2">
      <c r="A47" s="12">
        <f>A46+1</f>
        <v>2007</v>
      </c>
      <c r="B47" s="1" t="s">
        <v>18</v>
      </c>
      <c r="C47" s="1">
        <v>3</v>
      </c>
      <c r="D47" s="15">
        <v>226000000</v>
      </c>
      <c r="E47" s="15">
        <f>(292.7/207.3)*226000000</f>
        <v>319103714.42354071</v>
      </c>
      <c r="F47" s="10">
        <f t="shared" si="0"/>
        <v>41.2</v>
      </c>
      <c r="G47" s="5">
        <f>3035/16</f>
        <v>189.6875</v>
      </c>
      <c r="H47" s="1" t="s">
        <v>1</v>
      </c>
      <c r="I47" s="1">
        <f t="shared" si="1"/>
        <v>0</v>
      </c>
      <c r="J47" s="1" t="s">
        <v>1</v>
      </c>
      <c r="K47" s="1">
        <f t="shared" si="2"/>
        <v>0</v>
      </c>
      <c r="L47" s="1" t="s">
        <v>1</v>
      </c>
      <c r="M47" s="1">
        <f t="shared" si="3"/>
        <v>0</v>
      </c>
      <c r="N47" s="1" t="s">
        <v>1</v>
      </c>
      <c r="O47" s="8">
        <v>0.38500000000000001</v>
      </c>
      <c r="P47" s="7">
        <v>0.42199999999999999</v>
      </c>
      <c r="Q47" s="3">
        <f>5/11</f>
        <v>0.45454545454545453</v>
      </c>
      <c r="R47" s="10">
        <f t="shared" si="4"/>
        <v>-6.8000000000000007</v>
      </c>
      <c r="S47" s="13">
        <v>17.2</v>
      </c>
      <c r="T47" s="13">
        <v>24</v>
      </c>
      <c r="U47" s="10">
        <v>23</v>
      </c>
      <c r="V47" s="10">
        <v>40</v>
      </c>
      <c r="W47" s="10">
        <f t="shared" si="5"/>
        <v>-17</v>
      </c>
      <c r="X47" s="9" t="s">
        <v>1</v>
      </c>
      <c r="Y47" s="11">
        <f t="shared" si="6"/>
        <v>0</v>
      </c>
      <c r="Z47" s="14">
        <v>4</v>
      </c>
    </row>
    <row r="48" spans="1:26" x14ac:dyDescent="0.2">
      <c r="A48" s="12">
        <v>2008</v>
      </c>
      <c r="B48" s="1" t="s">
        <v>18</v>
      </c>
      <c r="C48" s="1">
        <v>3</v>
      </c>
      <c r="D48" s="15">
        <v>240000000</v>
      </c>
      <c r="E48" s="15">
        <f>(292.7/215.3)*240000000</f>
        <v>326279609.84672552</v>
      </c>
      <c r="F48" s="10">
        <f t="shared" si="0"/>
        <v>39.400000000000006</v>
      </c>
      <c r="G48" s="5">
        <v>175.5</v>
      </c>
      <c r="H48" s="1" t="s">
        <v>1</v>
      </c>
      <c r="I48" s="1">
        <f t="shared" si="1"/>
        <v>0</v>
      </c>
      <c r="J48" s="1" t="s">
        <v>1</v>
      </c>
      <c r="K48" s="1">
        <f t="shared" si="2"/>
        <v>0</v>
      </c>
      <c r="L48" s="1" t="s">
        <v>1</v>
      </c>
      <c r="M48" s="1">
        <f t="shared" si="3"/>
        <v>0</v>
      </c>
      <c r="N48" s="1" t="s">
        <v>1</v>
      </c>
      <c r="O48" s="8">
        <v>0.40899999999999997</v>
      </c>
      <c r="P48" s="7">
        <v>0.47099999999999997</v>
      </c>
      <c r="Q48" s="3">
        <f>11/16</f>
        <v>0.6875</v>
      </c>
      <c r="R48" s="10">
        <f t="shared" si="4"/>
        <v>8.8000000000000007</v>
      </c>
      <c r="S48" s="13">
        <v>24.1</v>
      </c>
      <c r="T48" s="13">
        <v>15.3</v>
      </c>
      <c r="U48" s="10">
        <v>34</v>
      </c>
      <c r="V48" s="10">
        <v>21</v>
      </c>
      <c r="W48" s="10">
        <f t="shared" si="5"/>
        <v>13</v>
      </c>
      <c r="X48" s="9" t="s">
        <v>2</v>
      </c>
      <c r="Y48" s="11">
        <f t="shared" si="6"/>
        <v>1</v>
      </c>
      <c r="Z48" s="14">
        <v>5</v>
      </c>
    </row>
    <row r="49" spans="1:26" x14ac:dyDescent="0.2">
      <c r="A49" s="12">
        <f t="shared" ref="A49:A59" si="9">A48+1</f>
        <v>2009</v>
      </c>
      <c r="B49" s="1" t="s">
        <v>18</v>
      </c>
      <c r="C49" s="1">
        <v>3</v>
      </c>
      <c r="D49" s="15">
        <v>255000000</v>
      </c>
      <c r="E49" s="15">
        <f>(292.7/214.5)*255000000</f>
        <v>347965034.96503496</v>
      </c>
      <c r="F49" s="10">
        <f t="shared" si="0"/>
        <v>40.700000000000003</v>
      </c>
      <c r="G49" s="5">
        <v>213.69</v>
      </c>
      <c r="H49" s="1" t="s">
        <v>2</v>
      </c>
      <c r="I49" s="1">
        <f t="shared" si="1"/>
        <v>1</v>
      </c>
      <c r="J49" s="1" t="s">
        <v>1</v>
      </c>
      <c r="K49" s="1">
        <f t="shared" si="2"/>
        <v>0</v>
      </c>
      <c r="L49" s="1" t="s">
        <v>2</v>
      </c>
      <c r="M49" s="1">
        <f t="shared" si="3"/>
        <v>1</v>
      </c>
      <c r="N49" s="1" t="s">
        <v>1</v>
      </c>
      <c r="O49" s="8">
        <v>0.41599999999999998</v>
      </c>
      <c r="P49" s="7">
        <v>0.52600000000000002</v>
      </c>
      <c r="Q49" s="3">
        <v>0.5625</v>
      </c>
      <c r="R49" s="10">
        <f t="shared" si="4"/>
        <v>8.0999999999999979</v>
      </c>
      <c r="S49" s="13">
        <v>24.4</v>
      </c>
      <c r="T49" s="13">
        <v>16.3</v>
      </c>
      <c r="U49" s="10">
        <v>32</v>
      </c>
      <c r="V49" s="10">
        <v>22</v>
      </c>
      <c r="W49" s="10">
        <f t="shared" si="5"/>
        <v>10</v>
      </c>
      <c r="X49" s="9" t="s">
        <v>2</v>
      </c>
      <c r="Y49" s="11">
        <f t="shared" si="6"/>
        <v>1</v>
      </c>
      <c r="Z49" s="14">
        <v>5</v>
      </c>
    </row>
    <row r="50" spans="1:26" x14ac:dyDescent="0.2">
      <c r="A50" s="12">
        <f t="shared" si="9"/>
        <v>2010</v>
      </c>
      <c r="B50" s="1" t="s">
        <v>18</v>
      </c>
      <c r="C50" s="1">
        <v>3</v>
      </c>
      <c r="D50" s="15">
        <v>262000000</v>
      </c>
      <c r="E50" s="15">
        <f>(292.7/218.1)*262000000</f>
        <v>351615772.58138472</v>
      </c>
      <c r="F50" s="10">
        <f t="shared" si="0"/>
        <v>39.200000000000003</v>
      </c>
      <c r="G50" s="5">
        <v>208.44</v>
      </c>
      <c r="H50" s="1" t="s">
        <v>2</v>
      </c>
      <c r="I50" s="1">
        <f t="shared" si="1"/>
        <v>1</v>
      </c>
      <c r="J50" s="1" t="s">
        <v>1</v>
      </c>
      <c r="K50" s="1">
        <f t="shared" si="2"/>
        <v>0</v>
      </c>
      <c r="L50" s="1" t="s">
        <v>2</v>
      </c>
      <c r="M50" s="1">
        <f t="shared" si="3"/>
        <v>1</v>
      </c>
      <c r="N50" s="1" t="s">
        <v>1</v>
      </c>
      <c r="O50" s="8">
        <v>0.39</v>
      </c>
      <c r="P50" s="7">
        <v>0.49</v>
      </c>
      <c r="Q50" s="3">
        <v>0.75</v>
      </c>
      <c r="R50" s="10">
        <f t="shared" si="4"/>
        <v>5.4000000000000021</v>
      </c>
      <c r="S50" s="13">
        <v>22.3</v>
      </c>
      <c r="T50" s="13">
        <v>16.899999999999999</v>
      </c>
      <c r="U50" s="10">
        <v>27</v>
      </c>
      <c r="V50" s="10">
        <v>20</v>
      </c>
      <c r="W50" s="10">
        <f t="shared" si="5"/>
        <v>7</v>
      </c>
      <c r="X50" s="9" t="s">
        <v>2</v>
      </c>
      <c r="Y50" s="11">
        <f t="shared" si="6"/>
        <v>1</v>
      </c>
      <c r="Z50" s="14">
        <v>5</v>
      </c>
    </row>
    <row r="51" spans="1:26" x14ac:dyDescent="0.2">
      <c r="A51" s="12">
        <f t="shared" si="9"/>
        <v>2011</v>
      </c>
      <c r="B51" s="1" t="s">
        <v>18</v>
      </c>
      <c r="C51" s="1">
        <v>3</v>
      </c>
      <c r="D51" s="15">
        <v>279000000</v>
      </c>
      <c r="E51" s="15">
        <f>(292.7/224.9)*279000000</f>
        <v>363109381.94753224</v>
      </c>
      <c r="F51" s="10">
        <f t="shared" si="0"/>
        <v>40.200000000000003</v>
      </c>
      <c r="G51" s="5">
        <v>213.94</v>
      </c>
      <c r="H51" s="1" t="s">
        <v>2</v>
      </c>
      <c r="I51" s="1">
        <f t="shared" si="1"/>
        <v>1</v>
      </c>
      <c r="J51" s="1" t="s">
        <v>1</v>
      </c>
      <c r="K51" s="1">
        <f t="shared" si="2"/>
        <v>0</v>
      </c>
      <c r="L51" s="1" t="s">
        <v>2</v>
      </c>
      <c r="M51" s="1">
        <f t="shared" si="3"/>
        <v>1</v>
      </c>
      <c r="N51" s="1" t="s">
        <v>1</v>
      </c>
      <c r="O51" s="8">
        <v>0.42399999999999999</v>
      </c>
      <c r="P51" s="7">
        <v>0.51</v>
      </c>
      <c r="Q51" s="3">
        <v>0.75</v>
      </c>
      <c r="R51" s="10">
        <f t="shared" si="4"/>
        <v>7</v>
      </c>
      <c r="S51" s="13">
        <v>23.6</v>
      </c>
      <c r="T51" s="13">
        <v>16.600000000000001</v>
      </c>
      <c r="U51" s="10">
        <v>26</v>
      </c>
      <c r="V51" s="10">
        <v>24</v>
      </c>
      <c r="W51" s="10">
        <f t="shared" si="5"/>
        <v>2</v>
      </c>
      <c r="X51" s="9" t="s">
        <v>2</v>
      </c>
      <c r="Y51" s="11">
        <f t="shared" si="6"/>
        <v>1</v>
      </c>
      <c r="Z51" s="14">
        <v>8</v>
      </c>
    </row>
    <row r="52" spans="1:26" x14ac:dyDescent="0.2">
      <c r="A52" s="12">
        <f t="shared" si="9"/>
        <v>2012</v>
      </c>
      <c r="B52" s="1" t="s">
        <v>18</v>
      </c>
      <c r="C52" s="1">
        <v>3</v>
      </c>
      <c r="D52" s="15">
        <v>292000000</v>
      </c>
      <c r="E52" s="15">
        <f>(292.7/229.6)*292000000</f>
        <v>372249128.9198606</v>
      </c>
      <c r="F52" s="10">
        <f t="shared" si="0"/>
        <v>46.4</v>
      </c>
      <c r="G52" s="5">
        <v>233.69</v>
      </c>
      <c r="H52" s="1" t="s">
        <v>2</v>
      </c>
      <c r="I52" s="1">
        <f t="shared" si="1"/>
        <v>1</v>
      </c>
      <c r="J52" s="1" t="s">
        <v>1</v>
      </c>
      <c r="K52" s="1">
        <f t="shared" si="2"/>
        <v>0</v>
      </c>
      <c r="L52" s="1" t="s">
        <v>2</v>
      </c>
      <c r="M52" s="1">
        <f t="shared" si="3"/>
        <v>1</v>
      </c>
      <c r="N52" s="1" t="s">
        <v>1</v>
      </c>
      <c r="O52" s="8">
        <v>0.36899999999999999</v>
      </c>
      <c r="P52" s="7">
        <v>0.57099999999999995</v>
      </c>
      <c r="Q52" s="3">
        <v>0.625</v>
      </c>
      <c r="R52" s="10">
        <f t="shared" si="4"/>
        <v>3.3999999999999986</v>
      </c>
      <c r="S52" s="13">
        <v>24.9</v>
      </c>
      <c r="T52" s="13">
        <v>21.5</v>
      </c>
      <c r="U52" s="10">
        <v>25</v>
      </c>
      <c r="V52" s="10">
        <v>14</v>
      </c>
      <c r="W52" s="10">
        <f t="shared" si="5"/>
        <v>11</v>
      </c>
      <c r="X52" s="9" t="s">
        <v>2</v>
      </c>
      <c r="Y52" s="11">
        <f t="shared" si="6"/>
        <v>1</v>
      </c>
      <c r="Z52" s="14">
        <v>7</v>
      </c>
    </row>
    <row r="53" spans="1:26" x14ac:dyDescent="0.2">
      <c r="A53" s="12">
        <f t="shared" si="9"/>
        <v>2013</v>
      </c>
      <c r="B53" s="1" t="s">
        <v>18</v>
      </c>
      <c r="C53" s="1">
        <v>3</v>
      </c>
      <c r="D53" s="15">
        <v>304000000</v>
      </c>
      <c r="E53" s="15">
        <f>(292.7/233)*304000000</f>
        <v>381891845.49356222</v>
      </c>
      <c r="F53" s="10">
        <f t="shared" si="0"/>
        <v>42</v>
      </c>
      <c r="G53" s="5">
        <v>224.38</v>
      </c>
      <c r="H53" s="1" t="s">
        <v>2</v>
      </c>
      <c r="I53" s="1">
        <f t="shared" si="1"/>
        <v>1</v>
      </c>
      <c r="J53" s="1" t="s">
        <v>1</v>
      </c>
      <c r="K53" s="1">
        <f t="shared" si="2"/>
        <v>0</v>
      </c>
      <c r="L53" s="1" t="s">
        <v>2</v>
      </c>
      <c r="M53" s="1">
        <f t="shared" si="3"/>
        <v>1</v>
      </c>
      <c r="N53" s="1" t="s">
        <v>1</v>
      </c>
      <c r="O53" s="8">
        <v>0.36399999999999999</v>
      </c>
      <c r="P53" s="7">
        <v>0.46200000000000002</v>
      </c>
      <c r="Q53" s="3">
        <v>0.5</v>
      </c>
      <c r="R53" s="10">
        <f t="shared" si="4"/>
        <v>-2</v>
      </c>
      <c r="S53" s="13">
        <v>20</v>
      </c>
      <c r="T53" s="13">
        <v>22</v>
      </c>
      <c r="U53" s="10">
        <v>24</v>
      </c>
      <c r="V53" s="10">
        <v>29</v>
      </c>
      <c r="W53" s="10">
        <f t="shared" si="5"/>
        <v>-5</v>
      </c>
      <c r="X53" s="9" t="s">
        <v>1</v>
      </c>
      <c r="Y53" s="11">
        <f t="shared" si="6"/>
        <v>0</v>
      </c>
      <c r="Z53" s="14">
        <v>4</v>
      </c>
    </row>
    <row r="54" spans="1:26" x14ac:dyDescent="0.2">
      <c r="A54" s="12">
        <f t="shared" si="9"/>
        <v>2014</v>
      </c>
      <c r="B54" s="1" t="s">
        <v>18</v>
      </c>
      <c r="C54" s="1">
        <v>3</v>
      </c>
      <c r="D54" s="15">
        <v>345000000</v>
      </c>
      <c r="E54" s="15">
        <f>(292.7/236.7)*345000000</f>
        <v>426622306.71736372</v>
      </c>
      <c r="F54" s="10">
        <f t="shared" si="0"/>
        <v>44.5</v>
      </c>
      <c r="G54" s="5">
        <v>238.69</v>
      </c>
      <c r="H54" s="1" t="s">
        <v>2</v>
      </c>
      <c r="I54" s="1">
        <f t="shared" si="1"/>
        <v>1</v>
      </c>
      <c r="J54" s="1" t="s">
        <v>1</v>
      </c>
      <c r="K54" s="1">
        <f t="shared" si="2"/>
        <v>0</v>
      </c>
      <c r="L54" s="1" t="s">
        <v>2</v>
      </c>
      <c r="M54" s="1">
        <f t="shared" si="3"/>
        <v>1</v>
      </c>
      <c r="N54" s="1" t="s">
        <v>1</v>
      </c>
      <c r="O54" s="8">
        <v>0.41</v>
      </c>
      <c r="P54" s="7">
        <v>0.52400000000000002</v>
      </c>
      <c r="Q54" s="3">
        <v>0.625</v>
      </c>
      <c r="R54" s="10">
        <f t="shared" si="4"/>
        <v>6.7000000000000028</v>
      </c>
      <c r="S54" s="13">
        <v>25.6</v>
      </c>
      <c r="T54" s="13">
        <v>18.899999999999999</v>
      </c>
      <c r="U54" s="10">
        <v>22</v>
      </c>
      <c r="V54" s="10">
        <v>20</v>
      </c>
      <c r="W54" s="10">
        <f t="shared" si="5"/>
        <v>2</v>
      </c>
      <c r="X54" s="9" t="s">
        <v>2</v>
      </c>
      <c r="Y54" s="11">
        <f t="shared" si="6"/>
        <v>1</v>
      </c>
      <c r="Z54" s="14">
        <v>4</v>
      </c>
    </row>
    <row r="55" spans="1:26" x14ac:dyDescent="0.2">
      <c r="A55" s="12">
        <f t="shared" si="9"/>
        <v>2015</v>
      </c>
      <c r="B55" s="1" t="s">
        <v>18</v>
      </c>
      <c r="C55" s="1">
        <v>3</v>
      </c>
      <c r="D55" s="15">
        <v>378000000</v>
      </c>
      <c r="E55" s="15">
        <f>(292.7/237)*378000000</f>
        <v>466837974.68354428</v>
      </c>
      <c r="F55" s="10">
        <f t="shared" si="0"/>
        <v>45.6</v>
      </c>
      <c r="G55" s="5">
        <v>266.38</v>
      </c>
      <c r="H55" s="1" t="s">
        <v>2</v>
      </c>
      <c r="I55" s="1">
        <f t="shared" si="1"/>
        <v>1</v>
      </c>
      <c r="J55" s="1" t="s">
        <v>1</v>
      </c>
      <c r="K55" s="1">
        <f t="shared" si="2"/>
        <v>0</v>
      </c>
      <c r="L55" s="1" t="s">
        <v>2</v>
      </c>
      <c r="M55" s="1">
        <f t="shared" si="3"/>
        <v>1</v>
      </c>
      <c r="N55" s="1" t="s">
        <v>2</v>
      </c>
      <c r="O55" s="8">
        <v>0.376</v>
      </c>
      <c r="P55" s="7">
        <v>0.48899999999999999</v>
      </c>
      <c r="Q55" s="3">
        <v>0.3125</v>
      </c>
      <c r="R55" s="10">
        <f t="shared" si="4"/>
        <v>-4.6000000000000014</v>
      </c>
      <c r="S55" s="13">
        <v>20.5</v>
      </c>
      <c r="T55" s="13">
        <v>25.1</v>
      </c>
      <c r="U55" s="10">
        <v>14</v>
      </c>
      <c r="V55" s="10">
        <v>28</v>
      </c>
      <c r="W55" s="10">
        <f t="shared" si="5"/>
        <v>-14</v>
      </c>
      <c r="X55" s="9" t="s">
        <v>1</v>
      </c>
      <c r="Y55" s="11">
        <f t="shared" si="6"/>
        <v>0</v>
      </c>
      <c r="Z55" s="14">
        <v>4</v>
      </c>
    </row>
    <row r="56" spans="1:26" x14ac:dyDescent="0.2">
      <c r="A56" s="12">
        <f t="shared" si="9"/>
        <v>2016</v>
      </c>
      <c r="B56" s="1" t="s">
        <v>18</v>
      </c>
      <c r="C56" s="1">
        <v>3</v>
      </c>
      <c r="D56" s="15">
        <v>403000000</v>
      </c>
      <c r="E56" s="15">
        <f>(292.7/240)*403000000</f>
        <v>491492083.33333331</v>
      </c>
      <c r="F56" s="10">
        <f t="shared" si="0"/>
        <v>41.5</v>
      </c>
      <c r="G56" s="5">
        <v>256.25</v>
      </c>
      <c r="H56" s="1" t="s">
        <v>2</v>
      </c>
      <c r="I56" s="1">
        <f t="shared" si="1"/>
        <v>1</v>
      </c>
      <c r="J56" s="1" t="s">
        <v>1</v>
      </c>
      <c r="K56" s="1">
        <f t="shared" si="2"/>
        <v>0</v>
      </c>
      <c r="L56" s="1" t="s">
        <v>2</v>
      </c>
      <c r="M56" s="1">
        <f t="shared" si="3"/>
        <v>1</v>
      </c>
      <c r="N56" s="1" t="s">
        <v>2</v>
      </c>
      <c r="O56" s="8">
        <v>0.36899999999999999</v>
      </c>
      <c r="P56" s="7">
        <v>0.52200000000000002</v>
      </c>
      <c r="Q56" s="3">
        <v>0.5</v>
      </c>
      <c r="R56" s="10">
        <f t="shared" si="4"/>
        <v>1.2999999999999972</v>
      </c>
      <c r="S56" s="13">
        <v>21.4</v>
      </c>
      <c r="T56" s="13">
        <v>20.100000000000001</v>
      </c>
      <c r="U56" s="10">
        <v>28</v>
      </c>
      <c r="V56" s="10">
        <v>23</v>
      </c>
      <c r="W56" s="10">
        <f t="shared" si="5"/>
        <v>5</v>
      </c>
      <c r="X56" s="9" t="s">
        <v>1</v>
      </c>
      <c r="Y56" s="11">
        <f t="shared" si="6"/>
        <v>0</v>
      </c>
      <c r="Z56" s="14">
        <v>7</v>
      </c>
    </row>
    <row r="57" spans="1:26" x14ac:dyDescent="0.2">
      <c r="A57" s="12">
        <f t="shared" si="9"/>
        <v>2017</v>
      </c>
      <c r="B57" s="1" t="s">
        <v>18</v>
      </c>
      <c r="C57" s="1">
        <v>3</v>
      </c>
      <c r="D57" s="15">
        <v>417000000</v>
      </c>
      <c r="E57" s="15">
        <f>(292.7/245.1)*417000000</f>
        <v>497984088.12729496</v>
      </c>
      <c r="F57" s="10">
        <f t="shared" si="0"/>
        <v>43.599999999999994</v>
      </c>
      <c r="G57" s="5">
        <v>189.38</v>
      </c>
      <c r="H57" s="1" t="s">
        <v>2</v>
      </c>
      <c r="I57" s="1">
        <f t="shared" si="1"/>
        <v>1</v>
      </c>
      <c r="J57" s="1" t="s">
        <v>1</v>
      </c>
      <c r="K57" s="1">
        <f t="shared" si="2"/>
        <v>0</v>
      </c>
      <c r="L57" s="1" t="s">
        <v>2</v>
      </c>
      <c r="M57" s="1">
        <f t="shared" si="3"/>
        <v>1</v>
      </c>
      <c r="N57" s="1" t="s">
        <v>2</v>
      </c>
      <c r="O57" s="8">
        <v>0.34100000000000003</v>
      </c>
      <c r="P57" s="7">
        <v>0.57699999999999996</v>
      </c>
      <c r="Q57" s="3">
        <v>0.5625</v>
      </c>
      <c r="R57" s="10">
        <f t="shared" si="4"/>
        <v>5.8000000000000007</v>
      </c>
      <c r="S57" s="13">
        <v>24.7</v>
      </c>
      <c r="T57" s="13">
        <v>18.899999999999999</v>
      </c>
      <c r="U57" s="10">
        <v>34</v>
      </c>
      <c r="V57" s="10">
        <v>17</v>
      </c>
      <c r="W57" s="10">
        <f t="shared" si="5"/>
        <v>17</v>
      </c>
      <c r="X57" s="9" t="s">
        <v>1</v>
      </c>
      <c r="Y57" s="11">
        <f t="shared" si="6"/>
        <v>0</v>
      </c>
      <c r="Z57" s="14">
        <v>3</v>
      </c>
    </row>
    <row r="58" spans="1:26" x14ac:dyDescent="0.2">
      <c r="A58" s="12">
        <f t="shared" si="9"/>
        <v>2018</v>
      </c>
      <c r="B58" s="1" t="s">
        <v>18</v>
      </c>
      <c r="C58" s="1">
        <v>3</v>
      </c>
      <c r="D58" s="15">
        <v>438000000</v>
      </c>
      <c r="E58" s="15">
        <f>(292.7/251.1)*438000000</f>
        <v>510563918.75746715</v>
      </c>
      <c r="F58" s="10">
        <f t="shared" si="0"/>
        <v>42.2</v>
      </c>
      <c r="G58" s="5">
        <v>222.38</v>
      </c>
      <c r="H58" s="1" t="s">
        <v>1</v>
      </c>
      <c r="I58" s="1">
        <f t="shared" si="1"/>
        <v>0</v>
      </c>
      <c r="J58" s="1" t="s">
        <v>2</v>
      </c>
      <c r="K58" s="1">
        <f t="shared" si="2"/>
        <v>1</v>
      </c>
      <c r="L58" s="1" t="s">
        <v>2</v>
      </c>
      <c r="M58" s="1">
        <f t="shared" si="3"/>
        <v>1</v>
      </c>
      <c r="N58" s="1" t="s">
        <v>2</v>
      </c>
      <c r="O58" s="8">
        <v>0.45</v>
      </c>
      <c r="P58" s="7">
        <v>0.55900000000000005</v>
      </c>
      <c r="Q58" s="3">
        <v>0.625</v>
      </c>
      <c r="R58" s="10">
        <f t="shared" si="4"/>
        <v>6.4000000000000021</v>
      </c>
      <c r="S58" s="13">
        <v>24.3</v>
      </c>
      <c r="T58" s="13">
        <v>17.899999999999999</v>
      </c>
      <c r="U58" s="10">
        <v>17</v>
      </c>
      <c r="V58" s="10">
        <v>20</v>
      </c>
      <c r="W58" s="10">
        <f t="shared" si="5"/>
        <v>-3</v>
      </c>
      <c r="X58" s="9" t="s">
        <v>2</v>
      </c>
      <c r="Y58" s="11">
        <f t="shared" si="6"/>
        <v>1</v>
      </c>
      <c r="Z58" s="14">
        <v>4</v>
      </c>
    </row>
    <row r="59" spans="1:26" x14ac:dyDescent="0.2">
      <c r="A59" s="12">
        <f t="shared" si="9"/>
        <v>2019</v>
      </c>
      <c r="B59" s="1" t="s">
        <v>18</v>
      </c>
      <c r="C59" s="1">
        <v>3</v>
      </c>
      <c r="D59" s="15">
        <v>460000000</v>
      </c>
      <c r="E59" s="15">
        <f>(292.7/255.7)*460000000</f>
        <v>526562377.78646857</v>
      </c>
      <c r="F59" s="10">
        <f t="shared" si="0"/>
        <v>50.800000000000004</v>
      </c>
      <c r="G59" s="5">
        <v>201.56</v>
      </c>
      <c r="H59" s="1" t="s">
        <v>1</v>
      </c>
      <c r="I59" s="1">
        <f t="shared" si="1"/>
        <v>0</v>
      </c>
      <c r="J59" s="1" t="s">
        <v>2</v>
      </c>
      <c r="K59" s="1">
        <f t="shared" si="2"/>
        <v>1</v>
      </c>
      <c r="L59" s="1" t="s">
        <v>2</v>
      </c>
      <c r="M59" s="1">
        <f t="shared" si="3"/>
        <v>1</v>
      </c>
      <c r="N59" s="1" t="s">
        <v>2</v>
      </c>
      <c r="O59" s="8">
        <v>0.47099999999999997</v>
      </c>
      <c r="P59" s="7">
        <v>0.67200000000000004</v>
      </c>
      <c r="Q59" s="3">
        <v>0.875</v>
      </c>
      <c r="R59" s="10">
        <f t="shared" si="4"/>
        <v>15.600000000000001</v>
      </c>
      <c r="S59" s="13">
        <v>33.200000000000003</v>
      </c>
      <c r="T59" s="13">
        <v>17.600000000000001</v>
      </c>
      <c r="U59" s="10">
        <v>25</v>
      </c>
      <c r="V59" s="10">
        <v>15</v>
      </c>
      <c r="W59" s="10">
        <f t="shared" si="5"/>
        <v>10</v>
      </c>
      <c r="X59" s="9" t="s">
        <v>2</v>
      </c>
      <c r="Y59" s="11">
        <f t="shared" si="6"/>
        <v>1</v>
      </c>
      <c r="Z59" s="14">
        <v>12</v>
      </c>
    </row>
    <row r="60" spans="1:26" x14ac:dyDescent="0.2">
      <c r="A60" s="12">
        <v>2021</v>
      </c>
      <c r="B60" s="1" t="s">
        <v>18</v>
      </c>
      <c r="C60" s="1">
        <v>3</v>
      </c>
      <c r="D60" s="15">
        <v>512000000</v>
      </c>
      <c r="E60" s="15">
        <f>(292.7/271)*512000000</f>
        <v>552997785.97785974</v>
      </c>
      <c r="F60" s="10">
        <f t="shared" si="0"/>
        <v>45.900000000000006</v>
      </c>
      <c r="G60" s="5">
        <v>233</v>
      </c>
      <c r="H60" s="1" t="s">
        <v>1</v>
      </c>
      <c r="I60" s="1">
        <f t="shared" si="1"/>
        <v>0</v>
      </c>
      <c r="J60" s="1" t="s">
        <v>2</v>
      </c>
      <c r="K60" s="1">
        <f t="shared" si="2"/>
        <v>1</v>
      </c>
      <c r="L60" s="1" t="s">
        <v>2</v>
      </c>
      <c r="M60" s="1">
        <f t="shared" si="3"/>
        <v>1</v>
      </c>
      <c r="N60" s="1" t="s">
        <v>2</v>
      </c>
      <c r="O60" s="8">
        <v>0.36399999999999999</v>
      </c>
      <c r="P60" s="7">
        <v>0.61799999999999999</v>
      </c>
      <c r="Q60" s="3">
        <v>0.47060000000000002</v>
      </c>
      <c r="R60" s="10">
        <f t="shared" si="4"/>
        <v>-0.30000000000000071</v>
      </c>
      <c r="S60" s="13">
        <v>22.8</v>
      </c>
      <c r="T60" s="13">
        <v>23.1</v>
      </c>
      <c r="U60" s="10">
        <v>15</v>
      </c>
      <c r="V60" s="10">
        <v>26</v>
      </c>
      <c r="W60" s="10">
        <f t="shared" si="5"/>
        <v>-11</v>
      </c>
      <c r="X60" s="9" t="s">
        <v>1</v>
      </c>
      <c r="Y60" s="11">
        <f t="shared" si="6"/>
        <v>0</v>
      </c>
      <c r="Z60" s="14">
        <v>5</v>
      </c>
    </row>
    <row r="61" spans="1:26" x14ac:dyDescent="0.2">
      <c r="A61" s="12">
        <f>A60+1</f>
        <v>2022</v>
      </c>
      <c r="B61" s="1" t="s">
        <v>18</v>
      </c>
      <c r="C61" s="1">
        <v>3</v>
      </c>
      <c r="D61" s="15">
        <v>544000000</v>
      </c>
      <c r="E61" s="15">
        <f>(292.7/292.7)*544000000</f>
        <v>544000000</v>
      </c>
      <c r="F61" s="10">
        <f t="shared" si="0"/>
        <v>39.1</v>
      </c>
      <c r="G61" s="5">
        <v>178.82</v>
      </c>
      <c r="H61" s="1" t="s">
        <v>1</v>
      </c>
      <c r="I61" s="1">
        <f t="shared" si="1"/>
        <v>0</v>
      </c>
      <c r="J61" s="1" t="s">
        <v>2</v>
      </c>
      <c r="K61" s="1">
        <f t="shared" si="2"/>
        <v>1</v>
      </c>
      <c r="L61" s="1" t="s">
        <v>2</v>
      </c>
      <c r="M61" s="1">
        <f t="shared" si="3"/>
        <v>1</v>
      </c>
      <c r="N61" s="1" t="s">
        <v>2</v>
      </c>
      <c r="O61" s="8">
        <v>0.41699999999999998</v>
      </c>
      <c r="P61" s="7">
        <v>0.45800000000000002</v>
      </c>
      <c r="Q61" s="3">
        <v>0.58819999999999995</v>
      </c>
      <c r="R61" s="10">
        <f t="shared" si="4"/>
        <v>2.1000000000000014</v>
      </c>
      <c r="S61" s="13">
        <v>20.6</v>
      </c>
      <c r="T61" s="13">
        <v>18.5</v>
      </c>
      <c r="U61" s="10">
        <v>25</v>
      </c>
      <c r="V61" s="10">
        <v>21</v>
      </c>
      <c r="W61" s="10">
        <f t="shared" si="5"/>
        <v>4</v>
      </c>
      <c r="X61" s="9" t="s">
        <v>2</v>
      </c>
      <c r="Y61" s="11">
        <f t="shared" si="6"/>
        <v>1</v>
      </c>
      <c r="Z61" s="14">
        <v>6</v>
      </c>
    </row>
    <row r="62" spans="1:26" x14ac:dyDescent="0.2">
      <c r="A62" s="12">
        <v>2002</v>
      </c>
      <c r="B62" s="1" t="s">
        <v>19</v>
      </c>
      <c r="C62" s="1">
        <v>4</v>
      </c>
      <c r="D62" s="15">
        <v>141000000</v>
      </c>
      <c r="E62" s="15">
        <f>(292.7/179.9)*141000000</f>
        <v>229409116.17565313</v>
      </c>
      <c r="F62" s="10">
        <f t="shared" si="0"/>
        <v>48.5</v>
      </c>
      <c r="G62" s="5">
        <f>3995/16</f>
        <v>249.6875</v>
      </c>
      <c r="H62" s="1" t="s">
        <v>1</v>
      </c>
      <c r="I62" s="1">
        <f t="shared" si="1"/>
        <v>0</v>
      </c>
      <c r="J62" s="1" t="s">
        <v>1</v>
      </c>
      <c r="K62" s="1">
        <f t="shared" si="2"/>
        <v>0</v>
      </c>
      <c r="L62" s="1" t="s">
        <v>1</v>
      </c>
      <c r="M62" s="1">
        <f t="shared" si="3"/>
        <v>0</v>
      </c>
      <c r="N62" s="1" t="s">
        <v>1</v>
      </c>
      <c r="O62" s="8">
        <v>0.42499999999999999</v>
      </c>
      <c r="P62" s="7">
        <v>0.53400000000000003</v>
      </c>
      <c r="Q62" s="3">
        <f>8/16</f>
        <v>0.5</v>
      </c>
      <c r="R62" s="10">
        <f t="shared" si="4"/>
        <v>-1.1000000000000014</v>
      </c>
      <c r="S62" s="13">
        <v>23.7</v>
      </c>
      <c r="T62" s="13">
        <v>24.8</v>
      </c>
      <c r="U62" s="10">
        <v>19</v>
      </c>
      <c r="V62" s="10">
        <v>31</v>
      </c>
      <c r="W62" s="10">
        <f t="shared" si="5"/>
        <v>-12</v>
      </c>
      <c r="X62" s="9" t="s">
        <v>1</v>
      </c>
      <c r="Y62" s="11">
        <f t="shared" si="6"/>
        <v>0</v>
      </c>
      <c r="Z62" s="14">
        <v>4</v>
      </c>
    </row>
    <row r="63" spans="1:26" x14ac:dyDescent="0.2">
      <c r="A63" s="12">
        <f>A62+1</f>
        <v>2003</v>
      </c>
      <c r="B63" s="1" t="s">
        <v>19</v>
      </c>
      <c r="C63" s="1">
        <v>4</v>
      </c>
      <c r="D63" s="15">
        <v>152000000</v>
      </c>
      <c r="E63" s="15">
        <f>(292.7/184)*152000000</f>
        <v>241795652.17391303</v>
      </c>
      <c r="F63" s="10">
        <f t="shared" si="0"/>
        <v>32.599999999999994</v>
      </c>
      <c r="G63" s="5">
        <f>2684/16</f>
        <v>167.75</v>
      </c>
      <c r="H63" s="1" t="s">
        <v>1</v>
      </c>
      <c r="I63" s="1">
        <f t="shared" si="1"/>
        <v>0</v>
      </c>
      <c r="J63" s="1" t="s">
        <v>1</v>
      </c>
      <c r="K63" s="1">
        <f t="shared" si="2"/>
        <v>0</v>
      </c>
      <c r="L63" s="1" t="s">
        <v>1</v>
      </c>
      <c r="M63" s="1">
        <f t="shared" si="3"/>
        <v>0</v>
      </c>
      <c r="N63" s="1" t="s">
        <v>1</v>
      </c>
      <c r="O63" s="8">
        <v>0.316</v>
      </c>
      <c r="P63" s="7">
        <v>0.52</v>
      </c>
      <c r="Q63" s="3">
        <f>6/16</f>
        <v>0.375</v>
      </c>
      <c r="R63" s="10">
        <f t="shared" si="4"/>
        <v>-2.1999999999999993</v>
      </c>
      <c r="S63" s="13">
        <v>15.2</v>
      </c>
      <c r="T63" s="13">
        <v>17.399999999999999</v>
      </c>
      <c r="U63" s="10">
        <v>8</v>
      </c>
      <c r="V63" s="10">
        <v>17</v>
      </c>
      <c r="W63" s="10">
        <f t="shared" si="5"/>
        <v>-9</v>
      </c>
      <c r="X63" s="9" t="s">
        <v>1</v>
      </c>
      <c r="Y63" s="11">
        <f t="shared" si="6"/>
        <v>0</v>
      </c>
      <c r="Z63" s="14">
        <v>2</v>
      </c>
    </row>
    <row r="64" spans="1:26" x14ac:dyDescent="0.2">
      <c r="A64" s="12">
        <f>A63+1</f>
        <v>2004</v>
      </c>
      <c r="B64" s="1" t="s">
        <v>19</v>
      </c>
      <c r="C64" s="1">
        <v>4</v>
      </c>
      <c r="D64" s="15">
        <v>173000000</v>
      </c>
      <c r="E64" s="15">
        <f>(292.7/188.9)*173000000</f>
        <v>268062996.2943356</v>
      </c>
      <c r="F64" s="10">
        <f t="shared" si="0"/>
        <v>42.5</v>
      </c>
      <c r="G64" s="5">
        <f>2817/16</f>
        <v>176.0625</v>
      </c>
      <c r="H64" s="1" t="s">
        <v>1</v>
      </c>
      <c r="I64" s="1">
        <f t="shared" si="1"/>
        <v>0</v>
      </c>
      <c r="J64" s="1" t="s">
        <v>1</v>
      </c>
      <c r="K64" s="1">
        <f t="shared" si="2"/>
        <v>0</v>
      </c>
      <c r="L64" s="1" t="s">
        <v>1</v>
      </c>
      <c r="M64" s="1">
        <f t="shared" si="3"/>
        <v>0</v>
      </c>
      <c r="N64" s="1" t="s">
        <v>1</v>
      </c>
      <c r="O64" s="8">
        <v>0.35799999999999998</v>
      </c>
      <c r="P64" s="7">
        <v>0.45900000000000002</v>
      </c>
      <c r="Q64" s="3">
        <f>9/16</f>
        <v>0.5625</v>
      </c>
      <c r="R64" s="10">
        <f t="shared" si="4"/>
        <v>6.8999999999999986</v>
      </c>
      <c r="S64" s="13">
        <v>24.7</v>
      </c>
      <c r="T64" s="13">
        <v>17.8</v>
      </c>
      <c r="U64" s="10">
        <v>39</v>
      </c>
      <c r="V64" s="10">
        <v>29</v>
      </c>
      <c r="W64" s="10">
        <f t="shared" si="5"/>
        <v>10</v>
      </c>
      <c r="X64" s="9" t="s">
        <v>1</v>
      </c>
      <c r="Y64" s="11">
        <f t="shared" si="6"/>
        <v>0</v>
      </c>
      <c r="Z64" s="14">
        <v>4</v>
      </c>
    </row>
    <row r="65" spans="1:26" x14ac:dyDescent="0.2">
      <c r="A65" s="12">
        <f>A64+1</f>
        <v>2005</v>
      </c>
      <c r="B65" s="1" t="s">
        <v>19</v>
      </c>
      <c r="C65" s="1">
        <v>4</v>
      </c>
      <c r="D65" s="15">
        <v>176000000</v>
      </c>
      <c r="E65" s="15">
        <f>(292.7/195.3)*176000000</f>
        <v>263774705.58115715</v>
      </c>
      <c r="F65" s="10">
        <f t="shared" si="0"/>
        <v>38.9</v>
      </c>
      <c r="G65" s="5">
        <f>2515/16</f>
        <v>157.1875</v>
      </c>
      <c r="H65" s="1" t="s">
        <v>1</v>
      </c>
      <c r="I65" s="1">
        <f t="shared" si="1"/>
        <v>0</v>
      </c>
      <c r="J65" s="1" t="s">
        <v>1</v>
      </c>
      <c r="K65" s="1">
        <f t="shared" si="2"/>
        <v>0</v>
      </c>
      <c r="L65" s="1" t="s">
        <v>1</v>
      </c>
      <c r="M65" s="1">
        <f t="shared" si="3"/>
        <v>0</v>
      </c>
      <c r="N65" s="1" t="s">
        <v>1</v>
      </c>
      <c r="O65" s="8">
        <v>0.36799999999999999</v>
      </c>
      <c r="P65" s="7">
        <v>0.34699999999999998</v>
      </c>
      <c r="Q65" s="3">
        <f>5/16</f>
        <v>0.3125</v>
      </c>
      <c r="R65" s="10">
        <f t="shared" si="4"/>
        <v>-5.1000000000000014</v>
      </c>
      <c r="S65" s="13">
        <v>16.899999999999999</v>
      </c>
      <c r="T65" s="13">
        <v>22</v>
      </c>
      <c r="U65" s="10">
        <v>30</v>
      </c>
      <c r="V65" s="10">
        <v>26</v>
      </c>
      <c r="W65" s="10">
        <f t="shared" si="5"/>
        <v>4</v>
      </c>
      <c r="X65" s="9" t="s">
        <v>1</v>
      </c>
      <c r="Y65" s="11">
        <f t="shared" si="6"/>
        <v>0</v>
      </c>
      <c r="Z65" s="14">
        <v>2</v>
      </c>
    </row>
    <row r="66" spans="1:26" x14ac:dyDescent="0.2">
      <c r="A66" s="12">
        <f>A65+1</f>
        <v>2006</v>
      </c>
      <c r="B66" s="1" t="s">
        <v>19</v>
      </c>
      <c r="C66" s="1">
        <v>4</v>
      </c>
      <c r="D66" s="15">
        <v>189000000</v>
      </c>
      <c r="E66" s="15">
        <f>(292.7/201.6)*189000000</f>
        <v>274406250</v>
      </c>
      <c r="F66" s="10">
        <f t="shared" ref="F66:F129" si="10">S66+T66</f>
        <v>38.200000000000003</v>
      </c>
      <c r="G66" s="5">
        <f>2719/16</f>
        <v>169.9375</v>
      </c>
      <c r="H66" s="1" t="s">
        <v>1</v>
      </c>
      <c r="I66" s="1">
        <f t="shared" ref="I66:I129" si="11">IF(H66="No",0,1)</f>
        <v>0</v>
      </c>
      <c r="J66" s="1" t="s">
        <v>1</v>
      </c>
      <c r="K66" s="1">
        <f t="shared" ref="K66:K129" si="12">IF(J66="No",0,1)</f>
        <v>0</v>
      </c>
      <c r="L66" s="1" t="s">
        <v>1</v>
      </c>
      <c r="M66" s="1">
        <f t="shared" ref="M66:M129" si="13">IF(L66="No",0,1)</f>
        <v>0</v>
      </c>
      <c r="N66" s="1" t="s">
        <v>1</v>
      </c>
      <c r="O66" s="8">
        <v>0.317</v>
      </c>
      <c r="P66" s="7">
        <v>0.42899999999999999</v>
      </c>
      <c r="Q66" s="3">
        <f>7/16</f>
        <v>0.4375</v>
      </c>
      <c r="R66" s="10">
        <f t="shared" ref="R66:R129" si="14">S66-T66</f>
        <v>-0.59999999999999787</v>
      </c>
      <c r="S66" s="13">
        <v>18.8</v>
      </c>
      <c r="T66" s="13">
        <v>19.399999999999999</v>
      </c>
      <c r="U66" s="10">
        <v>24</v>
      </c>
      <c r="V66" s="10">
        <v>29</v>
      </c>
      <c r="W66" s="10">
        <f t="shared" ref="W66:W129" si="15">U66-V66</f>
        <v>-5</v>
      </c>
      <c r="X66" s="9" t="s">
        <v>1</v>
      </c>
      <c r="Y66" s="11">
        <f t="shared" ref="Y66:Y129" si="16">IF(X66="No",0,1)</f>
        <v>0</v>
      </c>
      <c r="Z66" s="14">
        <v>2</v>
      </c>
    </row>
    <row r="67" spans="1:26" x14ac:dyDescent="0.2">
      <c r="A67" s="12">
        <f>A66+1</f>
        <v>2007</v>
      </c>
      <c r="B67" s="1" t="s">
        <v>19</v>
      </c>
      <c r="C67" s="1">
        <v>4</v>
      </c>
      <c r="D67" s="15">
        <v>206000000</v>
      </c>
      <c r="E67" s="15">
        <f>(292.7/207.3)*206000000</f>
        <v>290864447.6603955</v>
      </c>
      <c r="F67" s="10">
        <f t="shared" si="10"/>
        <v>37.900000000000006</v>
      </c>
      <c r="G67" s="5">
        <f>2634/16</f>
        <v>164.625</v>
      </c>
      <c r="H67" s="1" t="s">
        <v>1</v>
      </c>
      <c r="I67" s="1">
        <f t="shared" si="11"/>
        <v>0</v>
      </c>
      <c r="J67" s="1" t="s">
        <v>1</v>
      </c>
      <c r="K67" s="1">
        <f t="shared" si="12"/>
        <v>0</v>
      </c>
      <c r="L67" s="1" t="s">
        <v>1</v>
      </c>
      <c r="M67" s="1">
        <f t="shared" si="13"/>
        <v>0</v>
      </c>
      <c r="N67" s="1" t="s">
        <v>1</v>
      </c>
      <c r="O67" s="8">
        <v>0.33300000000000002</v>
      </c>
      <c r="P67" s="7">
        <v>0.38200000000000001</v>
      </c>
      <c r="Q67" s="3">
        <f>7/16</f>
        <v>0.4375</v>
      </c>
      <c r="R67" s="10">
        <f t="shared" si="14"/>
        <v>-6.3000000000000007</v>
      </c>
      <c r="S67" s="13">
        <v>15.8</v>
      </c>
      <c r="T67" s="13">
        <v>22.1</v>
      </c>
      <c r="U67" s="10">
        <v>30</v>
      </c>
      <c r="V67" s="10">
        <v>21</v>
      </c>
      <c r="W67" s="10">
        <f t="shared" si="15"/>
        <v>9</v>
      </c>
      <c r="X67" s="9" t="s">
        <v>1</v>
      </c>
      <c r="Y67" s="11">
        <f t="shared" si="16"/>
        <v>0</v>
      </c>
      <c r="Z67" s="14">
        <v>2</v>
      </c>
    </row>
    <row r="68" spans="1:26" x14ac:dyDescent="0.2">
      <c r="A68" s="12">
        <v>2008</v>
      </c>
      <c r="B68" s="1" t="s">
        <v>19</v>
      </c>
      <c r="C68" s="1">
        <v>4</v>
      </c>
      <c r="D68" s="15">
        <v>222000000</v>
      </c>
      <c r="E68" s="15">
        <f>(292.7/215.3)*222000000</f>
        <v>301808639.10822105</v>
      </c>
      <c r="F68" s="10">
        <f t="shared" si="10"/>
        <v>42.4</v>
      </c>
      <c r="G68" s="5">
        <v>190</v>
      </c>
      <c r="H68" s="1" t="s">
        <v>1</v>
      </c>
      <c r="I68" s="1">
        <f t="shared" si="11"/>
        <v>0</v>
      </c>
      <c r="J68" s="1" t="s">
        <v>1</v>
      </c>
      <c r="K68" s="1">
        <f t="shared" si="12"/>
        <v>0</v>
      </c>
      <c r="L68" s="1" t="s">
        <v>1</v>
      </c>
      <c r="M68" s="1">
        <f t="shared" si="13"/>
        <v>0</v>
      </c>
      <c r="N68" s="1" t="s">
        <v>1</v>
      </c>
      <c r="O68" s="8">
        <v>0.39900000000000002</v>
      </c>
      <c r="P68" s="7">
        <v>0.48099999999999998</v>
      </c>
      <c r="Q68" s="3">
        <v>0.4375</v>
      </c>
      <c r="R68" s="10">
        <f t="shared" si="14"/>
        <v>-0.39999999999999858</v>
      </c>
      <c r="S68" s="13">
        <v>21</v>
      </c>
      <c r="T68" s="13">
        <v>21.4</v>
      </c>
      <c r="U68" s="10">
        <v>22</v>
      </c>
      <c r="V68" s="10">
        <v>30</v>
      </c>
      <c r="W68" s="10">
        <f t="shared" si="15"/>
        <v>-8</v>
      </c>
      <c r="X68" s="9" t="s">
        <v>1</v>
      </c>
      <c r="Y68" s="11">
        <f t="shared" si="16"/>
        <v>0</v>
      </c>
      <c r="Z68" s="14">
        <v>2</v>
      </c>
    </row>
    <row r="69" spans="1:26" x14ac:dyDescent="0.2">
      <c r="A69" s="12">
        <f t="shared" ref="A69:A79" si="17">A68+1</f>
        <v>2009</v>
      </c>
      <c r="B69" s="1" t="s">
        <v>19</v>
      </c>
      <c r="C69" s="1">
        <v>4</v>
      </c>
      <c r="D69" s="15">
        <v>228000000</v>
      </c>
      <c r="E69" s="15">
        <f>(292.7/214.5)*228000000</f>
        <v>311121678.32167834</v>
      </c>
      <c r="F69" s="10">
        <f t="shared" si="10"/>
        <v>36.5</v>
      </c>
      <c r="G69" s="5">
        <v>157.19</v>
      </c>
      <c r="H69" s="1" t="s">
        <v>2</v>
      </c>
      <c r="I69" s="1">
        <f t="shared" si="11"/>
        <v>1</v>
      </c>
      <c r="J69" s="1" t="s">
        <v>1</v>
      </c>
      <c r="K69" s="1">
        <f t="shared" si="12"/>
        <v>0</v>
      </c>
      <c r="L69" s="1" t="s">
        <v>2</v>
      </c>
      <c r="M69" s="1">
        <f t="shared" si="13"/>
        <v>1</v>
      </c>
      <c r="N69" s="1" t="s">
        <v>1</v>
      </c>
      <c r="O69" s="8">
        <v>0.25800000000000001</v>
      </c>
      <c r="P69" s="7">
        <v>0.316</v>
      </c>
      <c r="Q69" s="3">
        <v>0.375</v>
      </c>
      <c r="R69" s="10">
        <f t="shared" si="14"/>
        <v>-4.2999999999999972</v>
      </c>
      <c r="S69" s="13">
        <v>16.100000000000001</v>
      </c>
      <c r="T69" s="13">
        <v>20.399999999999999</v>
      </c>
      <c r="U69" s="10">
        <v>33</v>
      </c>
      <c r="V69" s="10">
        <v>30</v>
      </c>
      <c r="W69" s="10">
        <f t="shared" si="15"/>
        <v>3</v>
      </c>
      <c r="X69" s="9" t="s">
        <v>1</v>
      </c>
      <c r="Y69" s="11">
        <f t="shared" si="16"/>
        <v>0</v>
      </c>
      <c r="Z69" s="14">
        <v>1</v>
      </c>
    </row>
    <row r="70" spans="1:26" x14ac:dyDescent="0.2">
      <c r="A70" s="12">
        <f t="shared" si="17"/>
        <v>2010</v>
      </c>
      <c r="B70" s="1" t="s">
        <v>19</v>
      </c>
      <c r="C70" s="1">
        <v>4</v>
      </c>
      <c r="D70" s="15">
        <v>236000000</v>
      </c>
      <c r="E70" s="15">
        <f>(292.7/218.1)*236000000</f>
        <v>316722604.30994958</v>
      </c>
      <c r="F70" s="10">
        <f t="shared" si="10"/>
        <v>44.3</v>
      </c>
      <c r="G70" s="5">
        <v>197.38</v>
      </c>
      <c r="H70" s="1" t="s">
        <v>2</v>
      </c>
      <c r="I70" s="1">
        <f t="shared" si="11"/>
        <v>1</v>
      </c>
      <c r="J70" s="1" t="s">
        <v>1</v>
      </c>
      <c r="K70" s="1">
        <f t="shared" si="12"/>
        <v>0</v>
      </c>
      <c r="L70" s="1" t="s">
        <v>2</v>
      </c>
      <c r="M70" s="1">
        <f t="shared" si="13"/>
        <v>1</v>
      </c>
      <c r="N70" s="1" t="s">
        <v>1</v>
      </c>
      <c r="O70" s="8">
        <v>0.379</v>
      </c>
      <c r="P70" s="7">
        <v>0.51400000000000001</v>
      </c>
      <c r="Q70" s="3">
        <v>0.25</v>
      </c>
      <c r="R70" s="10">
        <f t="shared" si="14"/>
        <v>-8.9000000000000021</v>
      </c>
      <c r="S70" s="13">
        <v>17.7</v>
      </c>
      <c r="T70" s="13">
        <v>26.6</v>
      </c>
      <c r="U70" s="10">
        <v>22</v>
      </c>
      <c r="V70" s="10">
        <v>39</v>
      </c>
      <c r="W70" s="10">
        <f t="shared" si="15"/>
        <v>-17</v>
      </c>
      <c r="X70" s="9" t="s">
        <v>1</v>
      </c>
      <c r="Y70" s="11">
        <f t="shared" si="16"/>
        <v>0</v>
      </c>
      <c r="Z70" s="14">
        <v>1</v>
      </c>
    </row>
    <row r="71" spans="1:26" x14ac:dyDescent="0.2">
      <c r="A71" s="12">
        <f t="shared" si="17"/>
        <v>2011</v>
      </c>
      <c r="B71" s="1" t="s">
        <v>19</v>
      </c>
      <c r="C71" s="1">
        <v>4</v>
      </c>
      <c r="D71" s="15">
        <v>240000000</v>
      </c>
      <c r="E71" s="15">
        <f>(292.7/224.9)*240000000</f>
        <v>312352156.5140062</v>
      </c>
      <c r="F71" s="10">
        <f t="shared" si="10"/>
        <v>50.400000000000006</v>
      </c>
      <c r="G71" s="5">
        <v>231.44</v>
      </c>
      <c r="H71" s="1" t="s">
        <v>2</v>
      </c>
      <c r="I71" s="1">
        <f t="shared" si="11"/>
        <v>1</v>
      </c>
      <c r="J71" s="1" t="s">
        <v>1</v>
      </c>
      <c r="K71" s="1">
        <f t="shared" si="12"/>
        <v>0</v>
      </c>
      <c r="L71" s="1" t="s">
        <v>2</v>
      </c>
      <c r="M71" s="1">
        <f t="shared" si="13"/>
        <v>1</v>
      </c>
      <c r="N71" s="1" t="s">
        <v>1</v>
      </c>
      <c r="O71" s="8">
        <v>0.32500000000000001</v>
      </c>
      <c r="P71" s="7">
        <v>0.52800000000000002</v>
      </c>
      <c r="Q71" s="3">
        <v>0.375</v>
      </c>
      <c r="R71" s="10">
        <f t="shared" si="14"/>
        <v>-3.8000000000000007</v>
      </c>
      <c r="S71" s="13">
        <v>23.3</v>
      </c>
      <c r="T71" s="13">
        <v>27.1</v>
      </c>
      <c r="U71" s="10">
        <v>31</v>
      </c>
      <c r="V71" s="10">
        <v>30</v>
      </c>
      <c r="W71" s="10">
        <f t="shared" si="15"/>
        <v>1</v>
      </c>
      <c r="X71" s="9" t="s">
        <v>1</v>
      </c>
      <c r="Y71" s="11">
        <f t="shared" si="16"/>
        <v>0</v>
      </c>
      <c r="Z71" s="14">
        <v>0</v>
      </c>
    </row>
    <row r="72" spans="1:26" x14ac:dyDescent="0.2">
      <c r="A72" s="12">
        <f t="shared" si="17"/>
        <v>2012</v>
      </c>
      <c r="B72" s="1" t="s">
        <v>19</v>
      </c>
      <c r="C72" s="1">
        <v>4</v>
      </c>
      <c r="D72" s="15">
        <v>256000000</v>
      </c>
      <c r="E72" s="15">
        <f>(292.7/229.6)*256000000</f>
        <v>326355400.69686407</v>
      </c>
      <c r="F72" s="10">
        <f t="shared" si="10"/>
        <v>48.7</v>
      </c>
      <c r="G72" s="5">
        <v>204.31</v>
      </c>
      <c r="H72" s="1" t="s">
        <v>2</v>
      </c>
      <c r="I72" s="1">
        <f t="shared" si="11"/>
        <v>1</v>
      </c>
      <c r="J72" s="1" t="s">
        <v>1</v>
      </c>
      <c r="K72" s="1">
        <f t="shared" si="12"/>
        <v>0</v>
      </c>
      <c r="L72" s="1" t="s">
        <v>2</v>
      </c>
      <c r="M72" s="1">
        <f t="shared" si="13"/>
        <v>1</v>
      </c>
      <c r="N72" s="1" t="s">
        <v>1</v>
      </c>
      <c r="O72" s="8">
        <v>0.38900000000000001</v>
      </c>
      <c r="P72" s="7">
        <v>0.5</v>
      </c>
      <c r="Q72" s="3">
        <v>0.375</v>
      </c>
      <c r="R72" s="10">
        <f t="shared" si="14"/>
        <v>-5.6999999999999993</v>
      </c>
      <c r="S72" s="13">
        <v>21.5</v>
      </c>
      <c r="T72" s="13">
        <v>27.2</v>
      </c>
      <c r="U72" s="10">
        <v>21</v>
      </c>
      <c r="V72" s="10">
        <v>34</v>
      </c>
      <c r="W72" s="10">
        <f t="shared" si="15"/>
        <v>-13</v>
      </c>
      <c r="X72" s="9" t="s">
        <v>1</v>
      </c>
      <c r="Y72" s="11">
        <f t="shared" si="16"/>
        <v>0</v>
      </c>
      <c r="Z72" s="14">
        <v>3</v>
      </c>
    </row>
    <row r="73" spans="1:26" x14ac:dyDescent="0.2">
      <c r="A73" s="12">
        <f t="shared" si="17"/>
        <v>2013</v>
      </c>
      <c r="B73" s="1" t="s">
        <v>19</v>
      </c>
      <c r="C73" s="1">
        <v>4</v>
      </c>
      <c r="D73" s="15">
        <v>252000000</v>
      </c>
      <c r="E73" s="15">
        <f>(292.7/233)*252000000</f>
        <v>316568240.34334767</v>
      </c>
      <c r="F73" s="10">
        <f t="shared" si="10"/>
        <v>45.5</v>
      </c>
      <c r="G73" s="5">
        <v>193.94</v>
      </c>
      <c r="H73" s="1" t="s">
        <v>2</v>
      </c>
      <c r="I73" s="1">
        <f t="shared" si="11"/>
        <v>1</v>
      </c>
      <c r="J73" s="1" t="s">
        <v>1</v>
      </c>
      <c r="K73" s="1">
        <f t="shared" si="12"/>
        <v>0</v>
      </c>
      <c r="L73" s="1" t="s">
        <v>2</v>
      </c>
      <c r="M73" s="1">
        <f t="shared" si="13"/>
        <v>1</v>
      </c>
      <c r="N73" s="1" t="s">
        <v>1</v>
      </c>
      <c r="O73" s="8">
        <v>0.34</v>
      </c>
      <c r="P73" s="7">
        <v>0.47699999999999998</v>
      </c>
      <c r="Q73" s="3">
        <v>0.375</v>
      </c>
      <c r="R73" s="10">
        <f t="shared" si="14"/>
        <v>-3.1000000000000014</v>
      </c>
      <c r="S73" s="13">
        <v>21.2</v>
      </c>
      <c r="T73" s="13">
        <v>24.3</v>
      </c>
      <c r="U73" s="10">
        <v>30</v>
      </c>
      <c r="V73" s="10">
        <v>27</v>
      </c>
      <c r="W73" s="10">
        <f t="shared" si="15"/>
        <v>3</v>
      </c>
      <c r="X73" s="9" t="s">
        <v>1</v>
      </c>
      <c r="Y73" s="11">
        <f t="shared" si="16"/>
        <v>0</v>
      </c>
      <c r="Z73" s="14">
        <v>4</v>
      </c>
    </row>
    <row r="74" spans="1:26" x14ac:dyDescent="0.2">
      <c r="A74" s="12">
        <f t="shared" si="17"/>
        <v>2014</v>
      </c>
      <c r="B74" s="1" t="s">
        <v>19</v>
      </c>
      <c r="C74" s="1">
        <v>4</v>
      </c>
      <c r="D74" s="15">
        <v>296000000</v>
      </c>
      <c r="E74" s="15">
        <f>(292.7/236.7)*296000000</f>
        <v>366029573.29953527</v>
      </c>
      <c r="F74" s="10">
        <f t="shared" si="10"/>
        <v>39.5</v>
      </c>
      <c r="G74" s="5">
        <v>225.88</v>
      </c>
      <c r="H74" s="1" t="s">
        <v>2</v>
      </c>
      <c r="I74" s="1">
        <f t="shared" si="11"/>
        <v>1</v>
      </c>
      <c r="J74" s="1" t="s">
        <v>1</v>
      </c>
      <c r="K74" s="1">
        <f t="shared" si="12"/>
        <v>0</v>
      </c>
      <c r="L74" s="1" t="s">
        <v>2</v>
      </c>
      <c r="M74" s="1">
        <f t="shared" si="13"/>
        <v>1</v>
      </c>
      <c r="N74" s="1" t="s">
        <v>1</v>
      </c>
      <c r="O74" s="8">
        <v>0.36699999999999999</v>
      </c>
      <c r="P74" s="7">
        <v>0.43099999999999999</v>
      </c>
      <c r="Q74" s="3">
        <v>0.5625</v>
      </c>
      <c r="R74" s="10">
        <f t="shared" si="14"/>
        <v>3.2999999999999972</v>
      </c>
      <c r="S74" s="13">
        <v>21.4</v>
      </c>
      <c r="T74" s="13">
        <v>18.100000000000001</v>
      </c>
      <c r="U74" s="10">
        <v>30</v>
      </c>
      <c r="V74" s="10">
        <v>23</v>
      </c>
      <c r="W74" s="10">
        <f t="shared" si="15"/>
        <v>7</v>
      </c>
      <c r="X74" s="9" t="s">
        <v>1</v>
      </c>
      <c r="Y74" s="11">
        <f t="shared" si="16"/>
        <v>0</v>
      </c>
      <c r="Z74" s="14">
        <v>3</v>
      </c>
    </row>
    <row r="75" spans="1:26" x14ac:dyDescent="0.2">
      <c r="A75" s="12">
        <f t="shared" si="17"/>
        <v>2015</v>
      </c>
      <c r="B75" s="1" t="s">
        <v>19</v>
      </c>
      <c r="C75" s="1">
        <v>4</v>
      </c>
      <c r="D75" s="15">
        <v>326000000</v>
      </c>
      <c r="E75" s="15">
        <f>(292.7/237)*326000000</f>
        <v>402616877.6371308</v>
      </c>
      <c r="F75" s="10">
        <f t="shared" si="10"/>
        <v>46.099999999999994</v>
      </c>
      <c r="G75" s="5">
        <v>208.94</v>
      </c>
      <c r="H75" s="1" t="s">
        <v>2</v>
      </c>
      <c r="I75" s="1">
        <f t="shared" si="11"/>
        <v>1</v>
      </c>
      <c r="J75" s="1" t="s">
        <v>1</v>
      </c>
      <c r="K75" s="1">
        <f t="shared" si="12"/>
        <v>0</v>
      </c>
      <c r="L75" s="1" t="s">
        <v>2</v>
      </c>
      <c r="M75" s="1">
        <f t="shared" si="13"/>
        <v>1</v>
      </c>
      <c r="N75" s="1" t="s">
        <v>2</v>
      </c>
      <c r="O75" s="8">
        <v>0.379</v>
      </c>
      <c r="P75" s="7">
        <v>0.5</v>
      </c>
      <c r="Q75" s="3">
        <v>0.5</v>
      </c>
      <c r="R75" s="10">
        <f t="shared" si="14"/>
        <v>1.3000000000000007</v>
      </c>
      <c r="S75" s="13">
        <v>23.7</v>
      </c>
      <c r="T75" s="13">
        <v>22.4</v>
      </c>
      <c r="U75" s="10">
        <v>25</v>
      </c>
      <c r="V75" s="10">
        <v>19</v>
      </c>
      <c r="W75" s="10">
        <f t="shared" si="15"/>
        <v>6</v>
      </c>
      <c r="X75" s="9" t="s">
        <v>1</v>
      </c>
      <c r="Y75" s="11">
        <f t="shared" si="16"/>
        <v>0</v>
      </c>
      <c r="Z75" s="14">
        <v>4</v>
      </c>
    </row>
    <row r="76" spans="1:26" x14ac:dyDescent="0.2">
      <c r="A76" s="12">
        <f t="shared" si="17"/>
        <v>2016</v>
      </c>
      <c r="B76" s="1" t="s">
        <v>19</v>
      </c>
      <c r="C76" s="1">
        <v>4</v>
      </c>
      <c r="D76" s="15">
        <v>352000000</v>
      </c>
      <c r="E76" s="15">
        <f>(292.7/240)*352000000</f>
        <v>429293333.33333331</v>
      </c>
      <c r="F76" s="10">
        <f t="shared" si="10"/>
        <v>48.5</v>
      </c>
      <c r="G76" s="5">
        <v>189.75</v>
      </c>
      <c r="H76" s="1" t="s">
        <v>2</v>
      </c>
      <c r="I76" s="1">
        <f t="shared" si="11"/>
        <v>1</v>
      </c>
      <c r="J76" s="1" t="s">
        <v>1</v>
      </c>
      <c r="K76" s="1">
        <f t="shared" si="12"/>
        <v>0</v>
      </c>
      <c r="L76" s="1" t="s">
        <v>2</v>
      </c>
      <c r="M76" s="1">
        <f t="shared" si="13"/>
        <v>1</v>
      </c>
      <c r="N76" s="1" t="s">
        <v>2</v>
      </c>
      <c r="O76" s="8">
        <v>0.41</v>
      </c>
      <c r="P76" s="7">
        <v>0.64800000000000002</v>
      </c>
      <c r="Q76" s="3">
        <v>0.4375</v>
      </c>
      <c r="R76" s="10">
        <f t="shared" si="14"/>
        <v>1.2999999999999972</v>
      </c>
      <c r="S76" s="13">
        <v>24.9</v>
      </c>
      <c r="T76" s="13">
        <v>23.6</v>
      </c>
      <c r="U76" s="10">
        <v>18</v>
      </c>
      <c r="V76" s="10">
        <v>12</v>
      </c>
      <c r="W76" s="10">
        <f t="shared" si="15"/>
        <v>6</v>
      </c>
      <c r="X76" s="9" t="s">
        <v>1</v>
      </c>
      <c r="Y76" s="11">
        <f t="shared" si="16"/>
        <v>0</v>
      </c>
      <c r="Z76" s="14">
        <v>6</v>
      </c>
    </row>
    <row r="77" spans="1:26" x14ac:dyDescent="0.2">
      <c r="A77" s="12">
        <f t="shared" si="17"/>
        <v>2017</v>
      </c>
      <c r="B77" s="1" t="s">
        <v>19</v>
      </c>
      <c r="C77" s="1">
        <v>4</v>
      </c>
      <c r="D77" s="15">
        <v>364000000</v>
      </c>
      <c r="E77" s="15">
        <f>(292.7/245.1)*364000000</f>
        <v>434691146.47082824</v>
      </c>
      <c r="F77" s="10">
        <f t="shared" si="10"/>
        <v>41.3</v>
      </c>
      <c r="G77" s="5">
        <v>176.56</v>
      </c>
      <c r="H77" s="1" t="s">
        <v>2</v>
      </c>
      <c r="I77" s="1">
        <f t="shared" si="11"/>
        <v>1</v>
      </c>
      <c r="J77" s="1" t="s">
        <v>1</v>
      </c>
      <c r="K77" s="1">
        <f t="shared" si="12"/>
        <v>0</v>
      </c>
      <c r="L77" s="1" t="s">
        <v>2</v>
      </c>
      <c r="M77" s="1">
        <f t="shared" si="13"/>
        <v>1</v>
      </c>
      <c r="N77" s="1" t="s">
        <v>2</v>
      </c>
      <c r="O77" s="8">
        <v>0.41899999999999998</v>
      </c>
      <c r="P77" s="7">
        <v>0.52300000000000002</v>
      </c>
      <c r="Q77" s="3">
        <v>0.5625</v>
      </c>
      <c r="R77" s="10">
        <f t="shared" si="14"/>
        <v>-3.5</v>
      </c>
      <c r="S77" s="13">
        <v>18.899999999999999</v>
      </c>
      <c r="T77" s="13">
        <v>22.4</v>
      </c>
      <c r="U77" s="10">
        <v>25</v>
      </c>
      <c r="V77" s="10">
        <v>16</v>
      </c>
      <c r="W77" s="10">
        <f t="shared" si="15"/>
        <v>9</v>
      </c>
      <c r="X77" s="9" t="s">
        <v>2</v>
      </c>
      <c r="Y77" s="11">
        <f t="shared" si="16"/>
        <v>1</v>
      </c>
      <c r="Z77" s="14">
        <v>3</v>
      </c>
    </row>
    <row r="78" spans="1:26" x14ac:dyDescent="0.2">
      <c r="A78" s="12">
        <f t="shared" si="17"/>
        <v>2018</v>
      </c>
      <c r="B78" s="1" t="s">
        <v>19</v>
      </c>
      <c r="C78" s="1">
        <v>4</v>
      </c>
      <c r="D78" s="15">
        <v>386000000</v>
      </c>
      <c r="E78" s="15">
        <f>(292.7/251.1)*386000000</f>
        <v>449949024.29311031</v>
      </c>
      <c r="F78" s="10">
        <f t="shared" si="10"/>
        <v>40.200000000000003</v>
      </c>
      <c r="G78" s="5">
        <v>174.63</v>
      </c>
      <c r="H78" s="1" t="s">
        <v>1</v>
      </c>
      <c r="I78" s="1">
        <f t="shared" si="11"/>
        <v>0</v>
      </c>
      <c r="J78" s="1" t="s">
        <v>2</v>
      </c>
      <c r="K78" s="1">
        <f t="shared" si="12"/>
        <v>1</v>
      </c>
      <c r="L78" s="1" t="s">
        <v>2</v>
      </c>
      <c r="M78" s="1">
        <f t="shared" si="13"/>
        <v>1</v>
      </c>
      <c r="N78" s="1" t="s">
        <v>2</v>
      </c>
      <c r="O78" s="8">
        <v>0.316</v>
      </c>
      <c r="P78" s="7">
        <v>0.59499999999999997</v>
      </c>
      <c r="Q78" s="3">
        <v>0.375</v>
      </c>
      <c r="R78" s="10">
        <f t="shared" si="14"/>
        <v>-6.5999999999999979</v>
      </c>
      <c r="S78" s="13">
        <v>16.8</v>
      </c>
      <c r="T78" s="13">
        <v>23.4</v>
      </c>
      <c r="U78" s="10">
        <v>27</v>
      </c>
      <c r="V78" s="10">
        <v>32</v>
      </c>
      <c r="W78" s="10">
        <f t="shared" si="15"/>
        <v>-5</v>
      </c>
      <c r="X78" s="9" t="s">
        <v>1</v>
      </c>
      <c r="Y78" s="11">
        <f t="shared" si="16"/>
        <v>0</v>
      </c>
      <c r="Z78" s="14">
        <v>1</v>
      </c>
    </row>
    <row r="79" spans="1:26" x14ac:dyDescent="0.2">
      <c r="A79" s="12">
        <f t="shared" si="17"/>
        <v>2019</v>
      </c>
      <c r="B79" s="1" t="s">
        <v>19</v>
      </c>
      <c r="C79" s="1">
        <v>4</v>
      </c>
      <c r="D79" s="15">
        <v>413000000</v>
      </c>
      <c r="E79" s="15">
        <f>(292.7/255.7)*413000000</f>
        <v>472761439.1865468</v>
      </c>
      <c r="F79" s="10">
        <f t="shared" si="10"/>
        <v>35.799999999999997</v>
      </c>
      <c r="G79" s="5">
        <v>201.81</v>
      </c>
      <c r="H79" s="1" t="s">
        <v>1</v>
      </c>
      <c r="I79" s="1">
        <f t="shared" si="11"/>
        <v>0</v>
      </c>
      <c r="J79" s="1" t="s">
        <v>2</v>
      </c>
      <c r="K79" s="1">
        <f t="shared" si="12"/>
        <v>1</v>
      </c>
      <c r="L79" s="1" t="s">
        <v>2</v>
      </c>
      <c r="M79" s="1">
        <f t="shared" si="13"/>
        <v>1</v>
      </c>
      <c r="N79" s="1" t="s">
        <v>2</v>
      </c>
      <c r="O79" s="8">
        <v>0.35799999999999998</v>
      </c>
      <c r="P79" s="7">
        <v>0.56799999999999995</v>
      </c>
      <c r="Q79" s="3">
        <v>0.625</v>
      </c>
      <c r="R79" s="10">
        <f t="shared" si="14"/>
        <v>3.4000000000000021</v>
      </c>
      <c r="S79" s="13">
        <v>19.600000000000001</v>
      </c>
      <c r="T79" s="13">
        <v>16.2</v>
      </c>
      <c r="U79" s="10">
        <v>23</v>
      </c>
      <c r="V79" s="10">
        <v>19</v>
      </c>
      <c r="W79" s="10">
        <f t="shared" si="15"/>
        <v>4</v>
      </c>
      <c r="X79" s="9" t="s">
        <v>2</v>
      </c>
      <c r="Y79" s="11">
        <f t="shared" si="16"/>
        <v>1</v>
      </c>
      <c r="Z79" s="14">
        <v>3</v>
      </c>
    </row>
    <row r="80" spans="1:26" x14ac:dyDescent="0.2">
      <c r="A80" s="12">
        <v>2021</v>
      </c>
      <c r="B80" s="1" t="s">
        <v>19</v>
      </c>
      <c r="C80" s="1">
        <v>4</v>
      </c>
      <c r="D80" s="15">
        <v>470000000</v>
      </c>
      <c r="E80" s="15">
        <f>(292.7/271)*470000000</f>
        <v>507634686.34686345</v>
      </c>
      <c r="F80" s="10">
        <f t="shared" si="10"/>
        <v>45.4</v>
      </c>
      <c r="G80" s="5">
        <v>267.75</v>
      </c>
      <c r="H80" s="1" t="s">
        <v>1</v>
      </c>
      <c r="I80" s="1">
        <f t="shared" si="11"/>
        <v>0</v>
      </c>
      <c r="J80" s="1" t="s">
        <v>2</v>
      </c>
      <c r="K80" s="1">
        <f t="shared" si="12"/>
        <v>1</v>
      </c>
      <c r="L80" s="1" t="s">
        <v>2</v>
      </c>
      <c r="M80" s="1">
        <f t="shared" si="13"/>
        <v>1</v>
      </c>
      <c r="N80" s="1" t="s">
        <v>2</v>
      </c>
      <c r="O80" s="8">
        <v>0.46400000000000002</v>
      </c>
      <c r="P80" s="7">
        <v>0.623</v>
      </c>
      <c r="Q80" s="3">
        <v>0.64710000000000001</v>
      </c>
      <c r="R80" s="10">
        <f t="shared" si="14"/>
        <v>11.399999999999999</v>
      </c>
      <c r="S80" s="13">
        <v>28.4</v>
      </c>
      <c r="T80" s="13">
        <v>17</v>
      </c>
      <c r="U80" s="10">
        <v>30</v>
      </c>
      <c r="V80" s="10">
        <v>22</v>
      </c>
      <c r="W80" s="10">
        <f t="shared" si="15"/>
        <v>8</v>
      </c>
      <c r="X80" s="9" t="s">
        <v>2</v>
      </c>
      <c r="Y80" s="11">
        <f t="shared" si="16"/>
        <v>1</v>
      </c>
      <c r="Z80" s="14">
        <v>3</v>
      </c>
    </row>
    <row r="81" spans="1:26" x14ac:dyDescent="0.2">
      <c r="A81" s="12">
        <f>A80+1</f>
        <v>2022</v>
      </c>
      <c r="B81" s="1" t="s">
        <v>19</v>
      </c>
      <c r="C81" s="1">
        <v>4</v>
      </c>
      <c r="D81" s="15">
        <v>503000000</v>
      </c>
      <c r="E81" s="15">
        <f>(292.7/292.7)*503000000</f>
        <v>503000000</v>
      </c>
      <c r="F81" s="10">
        <f t="shared" si="10"/>
        <v>46.3</v>
      </c>
      <c r="G81" s="5">
        <f>4129/17</f>
        <v>242.88235294117646</v>
      </c>
      <c r="H81" s="1" t="s">
        <v>1</v>
      </c>
      <c r="I81" s="1">
        <f t="shared" si="11"/>
        <v>0</v>
      </c>
      <c r="J81" s="1" t="s">
        <v>2</v>
      </c>
      <c r="K81" s="1">
        <f t="shared" si="12"/>
        <v>1</v>
      </c>
      <c r="L81" s="1" t="s">
        <v>2</v>
      </c>
      <c r="M81" s="1">
        <f t="shared" si="13"/>
        <v>1</v>
      </c>
      <c r="N81" s="1" t="s">
        <v>2</v>
      </c>
      <c r="O81" s="8">
        <v>0.503</v>
      </c>
      <c r="P81" s="7">
        <v>0.60299999999999998</v>
      </c>
      <c r="Q81" s="3">
        <v>0.8125</v>
      </c>
      <c r="R81" s="10">
        <f t="shared" si="14"/>
        <v>10.5</v>
      </c>
      <c r="S81" s="13">
        <v>28.4</v>
      </c>
      <c r="T81" s="13">
        <v>17.899999999999999</v>
      </c>
      <c r="U81" s="10">
        <v>27</v>
      </c>
      <c r="V81" s="10">
        <v>27</v>
      </c>
      <c r="W81" s="10">
        <f t="shared" si="15"/>
        <v>0</v>
      </c>
      <c r="X81" s="9" t="s">
        <v>2</v>
      </c>
      <c r="Y81" s="11">
        <f t="shared" si="16"/>
        <v>1</v>
      </c>
      <c r="Z81" s="14">
        <v>8</v>
      </c>
    </row>
    <row r="82" spans="1:26" x14ac:dyDescent="0.2">
      <c r="A82" s="12">
        <v>2002</v>
      </c>
      <c r="B82" s="1" t="s">
        <v>20</v>
      </c>
      <c r="C82" s="1">
        <v>5</v>
      </c>
      <c r="D82" s="15">
        <v>152000000</v>
      </c>
      <c r="E82" s="15">
        <f>(292.7/179.9)*152000000</f>
        <v>247306281.26737076</v>
      </c>
      <c r="F82" s="10">
        <f t="shared" si="10"/>
        <v>35</v>
      </c>
      <c r="G82" s="5">
        <f>2694/16</f>
        <v>168.375</v>
      </c>
      <c r="H82" s="1" t="s">
        <v>1</v>
      </c>
      <c r="I82" s="1">
        <f t="shared" si="11"/>
        <v>0</v>
      </c>
      <c r="J82" s="1" t="s">
        <v>1</v>
      </c>
      <c r="K82" s="1">
        <f t="shared" si="12"/>
        <v>0</v>
      </c>
      <c r="L82" s="1" t="s">
        <v>1</v>
      </c>
      <c r="M82" s="1">
        <f t="shared" si="13"/>
        <v>0</v>
      </c>
      <c r="N82" s="1" t="s">
        <v>1</v>
      </c>
      <c r="O82" s="8">
        <v>0.28599999999999998</v>
      </c>
      <c r="P82" s="7">
        <v>0.48699999999999999</v>
      </c>
      <c r="Q82" s="3">
        <f>7/16</f>
        <v>0.4375</v>
      </c>
      <c r="R82" s="10">
        <f t="shared" si="14"/>
        <v>-2.7999999999999972</v>
      </c>
      <c r="S82" s="13">
        <v>16.100000000000001</v>
      </c>
      <c r="T82" s="13">
        <v>18.899999999999999</v>
      </c>
      <c r="U82" s="10">
        <v>33</v>
      </c>
      <c r="V82" s="10">
        <v>40</v>
      </c>
      <c r="W82" s="10">
        <f t="shared" si="15"/>
        <v>-7</v>
      </c>
      <c r="X82" s="9" t="s">
        <v>1</v>
      </c>
      <c r="Y82" s="11">
        <f t="shared" si="16"/>
        <v>0</v>
      </c>
      <c r="Z82" s="14">
        <v>2</v>
      </c>
    </row>
    <row r="83" spans="1:26" x14ac:dyDescent="0.2">
      <c r="A83" s="12">
        <f>A82+1</f>
        <v>2003</v>
      </c>
      <c r="B83" s="1" t="s">
        <v>20</v>
      </c>
      <c r="C83" s="1">
        <v>5</v>
      </c>
      <c r="D83" s="15">
        <v>161000000</v>
      </c>
      <c r="E83" s="15">
        <f>(292.7/184)*161000000</f>
        <v>256112500</v>
      </c>
      <c r="F83" s="10">
        <f t="shared" si="10"/>
        <v>39.299999999999997</v>
      </c>
      <c r="G83" s="5">
        <f>3050/16</f>
        <v>190.625</v>
      </c>
      <c r="H83" s="1" t="s">
        <v>1</v>
      </c>
      <c r="I83" s="1">
        <f t="shared" si="11"/>
        <v>0</v>
      </c>
      <c r="J83" s="1" t="s">
        <v>1</v>
      </c>
      <c r="K83" s="1">
        <f t="shared" si="12"/>
        <v>0</v>
      </c>
      <c r="L83" s="1" t="s">
        <v>1</v>
      </c>
      <c r="M83" s="1">
        <f t="shared" si="13"/>
        <v>0</v>
      </c>
      <c r="N83" s="1" t="s">
        <v>1</v>
      </c>
      <c r="O83" s="8">
        <v>0.35599999999999998</v>
      </c>
      <c r="P83" s="7">
        <v>0.41899999999999998</v>
      </c>
      <c r="Q83" s="3">
        <f>11/16</f>
        <v>0.6875</v>
      </c>
      <c r="R83" s="10">
        <f t="shared" si="14"/>
        <v>1.3000000000000007</v>
      </c>
      <c r="S83" s="13">
        <v>20.3</v>
      </c>
      <c r="T83" s="13">
        <v>19</v>
      </c>
      <c r="U83" s="10">
        <v>26</v>
      </c>
      <c r="V83" s="10">
        <v>31</v>
      </c>
      <c r="W83" s="10">
        <f t="shared" si="15"/>
        <v>-5</v>
      </c>
      <c r="X83" s="9" t="s">
        <v>2</v>
      </c>
      <c r="Y83" s="11">
        <f t="shared" si="16"/>
        <v>1</v>
      </c>
      <c r="Z83" s="14">
        <v>4</v>
      </c>
    </row>
    <row r="84" spans="1:26" x14ac:dyDescent="0.2">
      <c r="A84" s="12">
        <f>A83+1</f>
        <v>2004</v>
      </c>
      <c r="B84" s="1" t="s">
        <v>20</v>
      </c>
      <c r="C84" s="1">
        <v>5</v>
      </c>
      <c r="D84" s="15">
        <v>169000000</v>
      </c>
      <c r="E84" s="15">
        <f>(292.7/188.9)*169000000</f>
        <v>261865007.94070935</v>
      </c>
      <c r="F84" s="10">
        <f t="shared" si="10"/>
        <v>43.4</v>
      </c>
      <c r="G84" s="5">
        <f>3643/16</f>
        <v>227.6875</v>
      </c>
      <c r="H84" s="1" t="s">
        <v>1</v>
      </c>
      <c r="I84" s="1">
        <f t="shared" si="11"/>
        <v>0</v>
      </c>
      <c r="J84" s="1" t="s">
        <v>1</v>
      </c>
      <c r="K84" s="1">
        <f t="shared" si="12"/>
        <v>0</v>
      </c>
      <c r="L84" s="1" t="s">
        <v>1</v>
      </c>
      <c r="M84" s="1">
        <f t="shared" si="13"/>
        <v>0</v>
      </c>
      <c r="N84" s="1" t="s">
        <v>1</v>
      </c>
      <c r="O84" s="8">
        <v>0.40300000000000002</v>
      </c>
      <c r="P84" s="7">
        <v>0.59599999999999997</v>
      </c>
      <c r="Q84" s="3">
        <f>7/16</f>
        <v>0.4375</v>
      </c>
      <c r="R84" s="10">
        <f t="shared" si="14"/>
        <v>1</v>
      </c>
      <c r="S84" s="13">
        <v>22.2</v>
      </c>
      <c r="T84" s="13">
        <v>21.2</v>
      </c>
      <c r="U84" s="10">
        <v>12</v>
      </c>
      <c r="V84" s="10">
        <v>11</v>
      </c>
      <c r="W84" s="10">
        <f t="shared" si="15"/>
        <v>1</v>
      </c>
      <c r="X84" s="9" t="s">
        <v>1</v>
      </c>
      <c r="Y84" s="11">
        <f t="shared" si="16"/>
        <v>0</v>
      </c>
      <c r="Z84" s="14">
        <v>4</v>
      </c>
    </row>
    <row r="85" spans="1:26" x14ac:dyDescent="0.2">
      <c r="A85" s="12">
        <f>A84+1</f>
        <v>2005</v>
      </c>
      <c r="B85" s="1" t="s">
        <v>20</v>
      </c>
      <c r="C85" s="1">
        <v>5</v>
      </c>
      <c r="D85" s="15">
        <v>199000000</v>
      </c>
      <c r="E85" s="15">
        <f>(292.7/195.3)*199000000</f>
        <v>298245263.69687659</v>
      </c>
      <c r="F85" s="10">
        <f t="shared" si="10"/>
        <v>40.599999999999994</v>
      </c>
      <c r="G85" s="5">
        <f>3271/16</f>
        <v>204.4375</v>
      </c>
      <c r="H85" s="1" t="s">
        <v>1</v>
      </c>
      <c r="I85" s="1">
        <f t="shared" si="11"/>
        <v>0</v>
      </c>
      <c r="J85" s="1" t="s">
        <v>1</v>
      </c>
      <c r="K85" s="1">
        <f t="shared" si="12"/>
        <v>0</v>
      </c>
      <c r="L85" s="1" t="s">
        <v>1</v>
      </c>
      <c r="M85" s="1">
        <f t="shared" si="13"/>
        <v>0</v>
      </c>
      <c r="N85" s="1" t="s">
        <v>1</v>
      </c>
      <c r="O85" s="8">
        <v>0.42199999999999999</v>
      </c>
      <c r="P85" s="7">
        <v>0.58499999999999996</v>
      </c>
      <c r="Q85" s="3">
        <f>11/16</f>
        <v>0.6875</v>
      </c>
      <c r="R85" s="10">
        <f t="shared" si="14"/>
        <v>8.1999999999999993</v>
      </c>
      <c r="S85" s="13">
        <v>24.4</v>
      </c>
      <c r="T85" s="13">
        <v>16.2</v>
      </c>
      <c r="U85" s="10">
        <v>42</v>
      </c>
      <c r="V85" s="10">
        <v>26</v>
      </c>
      <c r="W85" s="10">
        <f t="shared" si="15"/>
        <v>16</v>
      </c>
      <c r="X85" s="9" t="s">
        <v>2</v>
      </c>
      <c r="Y85" s="11">
        <f t="shared" si="16"/>
        <v>1</v>
      </c>
      <c r="Z85" s="14">
        <v>4</v>
      </c>
    </row>
    <row r="86" spans="1:26" x14ac:dyDescent="0.2">
      <c r="A86" s="12">
        <f>A85+1</f>
        <v>2006</v>
      </c>
      <c r="B86" s="1" t="s">
        <v>20</v>
      </c>
      <c r="C86" s="1">
        <v>5</v>
      </c>
      <c r="D86" s="15">
        <v>203000000</v>
      </c>
      <c r="E86" s="15">
        <f>(292.7/201.6)*203000000</f>
        <v>294732638.8888889</v>
      </c>
      <c r="F86" s="10">
        <f t="shared" si="10"/>
        <v>36</v>
      </c>
      <c r="G86" s="5">
        <f>3264/16</f>
        <v>204</v>
      </c>
      <c r="H86" s="1" t="s">
        <v>1</v>
      </c>
      <c r="I86" s="1">
        <f t="shared" si="11"/>
        <v>0</v>
      </c>
      <c r="J86" s="1" t="s">
        <v>1</v>
      </c>
      <c r="K86" s="1">
        <f t="shared" si="12"/>
        <v>0</v>
      </c>
      <c r="L86" s="1" t="s">
        <v>1</v>
      </c>
      <c r="M86" s="1">
        <f t="shared" si="13"/>
        <v>0</v>
      </c>
      <c r="N86" s="1" t="s">
        <v>1</v>
      </c>
      <c r="O86" s="8">
        <v>0.311</v>
      </c>
      <c r="P86" s="7">
        <v>0.46899999999999997</v>
      </c>
      <c r="Q86" s="3">
        <f>8/16</f>
        <v>0.5</v>
      </c>
      <c r="R86" s="10">
        <f t="shared" si="14"/>
        <v>-2.2000000000000028</v>
      </c>
      <c r="S86" s="13">
        <v>16.899999999999999</v>
      </c>
      <c r="T86" s="13">
        <v>19.100000000000001</v>
      </c>
      <c r="U86" s="10">
        <v>22</v>
      </c>
      <c r="V86" s="10">
        <v>27</v>
      </c>
      <c r="W86" s="10">
        <f t="shared" si="15"/>
        <v>-5</v>
      </c>
      <c r="X86" s="9" t="s">
        <v>1</v>
      </c>
      <c r="Y86" s="11">
        <f t="shared" si="16"/>
        <v>0</v>
      </c>
      <c r="Z86" s="14">
        <v>3</v>
      </c>
    </row>
    <row r="87" spans="1:26" x14ac:dyDescent="0.2">
      <c r="A87" s="12">
        <f>A86+1</f>
        <v>2007</v>
      </c>
      <c r="B87" s="1" t="s">
        <v>20</v>
      </c>
      <c r="C87" s="1">
        <v>5</v>
      </c>
      <c r="D87" s="15">
        <v>221000000</v>
      </c>
      <c r="E87" s="15">
        <f>(292.7/207.3)*221000000</f>
        <v>312043897.73275441</v>
      </c>
      <c r="F87" s="10">
        <f t="shared" si="10"/>
        <v>38.4</v>
      </c>
      <c r="G87" s="5">
        <f>2735/16</f>
        <v>170.9375</v>
      </c>
      <c r="H87" s="1" t="s">
        <v>1</v>
      </c>
      <c r="I87" s="1">
        <f t="shared" si="11"/>
        <v>0</v>
      </c>
      <c r="J87" s="1" t="s">
        <v>1</v>
      </c>
      <c r="K87" s="1">
        <f t="shared" si="12"/>
        <v>0</v>
      </c>
      <c r="L87" s="1" t="s">
        <v>1</v>
      </c>
      <c r="M87" s="1">
        <f t="shared" si="13"/>
        <v>0</v>
      </c>
      <c r="N87" s="1" t="s">
        <v>1</v>
      </c>
      <c r="O87" s="8">
        <v>0.36199999999999999</v>
      </c>
      <c r="P87" s="7">
        <v>0.5</v>
      </c>
      <c r="Q87" s="3">
        <f>7/16</f>
        <v>0.4375</v>
      </c>
      <c r="R87" s="10">
        <f t="shared" si="14"/>
        <v>-5</v>
      </c>
      <c r="S87" s="13">
        <v>16.7</v>
      </c>
      <c r="T87" s="13">
        <v>21.7</v>
      </c>
      <c r="U87" s="10">
        <v>30</v>
      </c>
      <c r="V87" s="10">
        <v>29</v>
      </c>
      <c r="W87" s="10">
        <f t="shared" si="15"/>
        <v>1</v>
      </c>
      <c r="X87" s="9" t="s">
        <v>1</v>
      </c>
      <c r="Y87" s="11">
        <f t="shared" si="16"/>
        <v>0</v>
      </c>
      <c r="Z87" s="14">
        <v>0</v>
      </c>
    </row>
    <row r="88" spans="1:26" x14ac:dyDescent="0.2">
      <c r="A88" s="12">
        <v>2008</v>
      </c>
      <c r="B88" s="1" t="s">
        <v>20</v>
      </c>
      <c r="C88" s="1">
        <v>5</v>
      </c>
      <c r="D88" s="15">
        <v>238000000</v>
      </c>
      <c r="E88" s="15">
        <f>(292.7/215.3)*238000000</f>
        <v>323560613.09800279</v>
      </c>
      <c r="F88" s="10">
        <f t="shared" si="10"/>
        <v>46.5</v>
      </c>
      <c r="G88" s="5">
        <v>197.38</v>
      </c>
      <c r="H88" s="1" t="s">
        <v>1</v>
      </c>
      <c r="I88" s="1">
        <f t="shared" si="11"/>
        <v>0</v>
      </c>
      <c r="J88" s="1" t="s">
        <v>1</v>
      </c>
      <c r="K88" s="1">
        <f t="shared" si="12"/>
        <v>0</v>
      </c>
      <c r="L88" s="1" t="s">
        <v>1</v>
      </c>
      <c r="M88" s="1">
        <f t="shared" si="13"/>
        <v>0</v>
      </c>
      <c r="N88" s="1" t="s">
        <v>1</v>
      </c>
      <c r="O88" s="8">
        <v>0.39600000000000002</v>
      </c>
      <c r="P88" s="7">
        <v>0.65300000000000002</v>
      </c>
      <c r="Q88" s="3">
        <v>0.75</v>
      </c>
      <c r="R88" s="10">
        <f t="shared" si="14"/>
        <v>5.2999999999999972</v>
      </c>
      <c r="S88" s="13">
        <v>25.9</v>
      </c>
      <c r="T88" s="13">
        <v>20.6</v>
      </c>
      <c r="U88" s="10">
        <v>25</v>
      </c>
      <c r="V88" s="10">
        <v>19</v>
      </c>
      <c r="W88" s="10">
        <f t="shared" si="15"/>
        <v>6</v>
      </c>
      <c r="X88" s="9" t="s">
        <v>2</v>
      </c>
      <c r="Y88" s="11">
        <f t="shared" si="16"/>
        <v>1</v>
      </c>
      <c r="Z88" s="14">
        <v>4</v>
      </c>
    </row>
    <row r="89" spans="1:26" x14ac:dyDescent="0.2">
      <c r="A89" s="12">
        <f t="shared" ref="A89:A99" si="18">A88+1</f>
        <v>2009</v>
      </c>
      <c r="B89" s="1" t="s">
        <v>20</v>
      </c>
      <c r="C89" s="1">
        <v>5</v>
      </c>
      <c r="D89" s="15">
        <v>247000000</v>
      </c>
      <c r="E89" s="15">
        <f>(292.7/214.5)*247000000</f>
        <v>337048484.84848481</v>
      </c>
      <c r="F89" s="10">
        <f t="shared" si="10"/>
        <v>39</v>
      </c>
      <c r="G89" s="5">
        <v>174.94</v>
      </c>
      <c r="H89" s="1" t="s">
        <v>2</v>
      </c>
      <c r="I89" s="1">
        <f t="shared" si="11"/>
        <v>1</v>
      </c>
      <c r="J89" s="1" t="s">
        <v>1</v>
      </c>
      <c r="K89" s="1">
        <f t="shared" si="12"/>
        <v>0</v>
      </c>
      <c r="L89" s="1" t="s">
        <v>2</v>
      </c>
      <c r="M89" s="1">
        <f t="shared" si="13"/>
        <v>1</v>
      </c>
      <c r="N89" s="1" t="s">
        <v>1</v>
      </c>
      <c r="O89" s="8">
        <v>0.373</v>
      </c>
      <c r="P89" s="7">
        <v>0.5</v>
      </c>
      <c r="Q89" s="3">
        <v>0.5</v>
      </c>
      <c r="R89" s="10">
        <f t="shared" si="14"/>
        <v>0.39999999999999858</v>
      </c>
      <c r="S89" s="13">
        <v>19.7</v>
      </c>
      <c r="T89" s="13">
        <v>19.3</v>
      </c>
      <c r="U89" s="10">
        <v>15</v>
      </c>
      <c r="V89" s="10">
        <v>11</v>
      </c>
      <c r="W89" s="10">
        <f t="shared" si="15"/>
        <v>4</v>
      </c>
      <c r="X89" s="9" t="s">
        <v>1</v>
      </c>
      <c r="Y89" s="11">
        <f t="shared" si="16"/>
        <v>0</v>
      </c>
      <c r="Z89" s="14">
        <v>4</v>
      </c>
    </row>
    <row r="90" spans="1:26" x14ac:dyDescent="0.2">
      <c r="A90" s="12">
        <f t="shared" si="18"/>
        <v>2010</v>
      </c>
      <c r="B90" s="1" t="s">
        <v>20</v>
      </c>
      <c r="C90" s="1">
        <v>5</v>
      </c>
      <c r="D90" s="15">
        <v>257000000</v>
      </c>
      <c r="E90" s="15">
        <f>(292.7/218.1)*257000000</f>
        <v>344905547.91380101</v>
      </c>
      <c r="F90" s="10">
        <f t="shared" si="10"/>
        <v>37.799999999999997</v>
      </c>
      <c r="G90" s="5">
        <v>143.06</v>
      </c>
      <c r="H90" s="1" t="s">
        <v>2</v>
      </c>
      <c r="I90" s="1">
        <f t="shared" si="11"/>
        <v>1</v>
      </c>
      <c r="J90" s="1" t="s">
        <v>1</v>
      </c>
      <c r="K90" s="1">
        <f t="shared" si="12"/>
        <v>0</v>
      </c>
      <c r="L90" s="1" t="s">
        <v>2</v>
      </c>
      <c r="M90" s="1">
        <f t="shared" si="13"/>
        <v>1</v>
      </c>
      <c r="N90" s="1" t="s">
        <v>1</v>
      </c>
      <c r="O90" s="8">
        <v>0.30399999999999999</v>
      </c>
      <c r="P90" s="7">
        <v>0.30299999999999999</v>
      </c>
      <c r="Q90" s="3">
        <v>0.125</v>
      </c>
      <c r="R90" s="10">
        <f t="shared" si="14"/>
        <v>-13.2</v>
      </c>
      <c r="S90" s="13">
        <v>12.3</v>
      </c>
      <c r="T90" s="13">
        <v>25.5</v>
      </c>
      <c r="U90" s="10">
        <v>29</v>
      </c>
      <c r="V90" s="10">
        <v>37</v>
      </c>
      <c r="W90" s="10">
        <f t="shared" si="15"/>
        <v>-8</v>
      </c>
      <c r="X90" s="9" t="s">
        <v>1</v>
      </c>
      <c r="Y90" s="11">
        <f t="shared" si="16"/>
        <v>0</v>
      </c>
      <c r="Z90" s="14">
        <v>3</v>
      </c>
    </row>
    <row r="91" spans="1:26" x14ac:dyDescent="0.2">
      <c r="A91" s="12">
        <f t="shared" si="18"/>
        <v>2011</v>
      </c>
      <c r="B91" s="1" t="s">
        <v>20</v>
      </c>
      <c r="C91" s="1">
        <v>5</v>
      </c>
      <c r="D91" s="15">
        <v>269000000</v>
      </c>
      <c r="E91" s="15">
        <f>(292.7/224.9)*269000000</f>
        <v>350094708.75944865</v>
      </c>
      <c r="F91" s="10">
        <f t="shared" si="10"/>
        <v>52.2</v>
      </c>
      <c r="G91" s="5">
        <v>239.31</v>
      </c>
      <c r="H91" s="1" t="s">
        <v>2</v>
      </c>
      <c r="I91" s="1">
        <f t="shared" si="11"/>
        <v>1</v>
      </c>
      <c r="J91" s="1" t="s">
        <v>1</v>
      </c>
      <c r="K91" s="1">
        <f t="shared" si="12"/>
        <v>0</v>
      </c>
      <c r="L91" s="1" t="s">
        <v>2</v>
      </c>
      <c r="M91" s="1">
        <f t="shared" si="13"/>
        <v>1</v>
      </c>
      <c r="N91" s="1" t="s">
        <v>1</v>
      </c>
      <c r="O91" s="8">
        <v>0.40500000000000003</v>
      </c>
      <c r="P91" s="7">
        <v>0.57899999999999996</v>
      </c>
      <c r="Q91" s="3">
        <v>0.375</v>
      </c>
      <c r="R91" s="10">
        <f t="shared" si="14"/>
        <v>-1.4000000000000021</v>
      </c>
      <c r="S91" s="13">
        <v>25.4</v>
      </c>
      <c r="T91" s="13">
        <v>26.8</v>
      </c>
      <c r="U91" s="10">
        <v>24</v>
      </c>
      <c r="V91" s="10">
        <v>23</v>
      </c>
      <c r="W91" s="10">
        <f t="shared" si="15"/>
        <v>1</v>
      </c>
      <c r="X91" s="9" t="s">
        <v>1</v>
      </c>
      <c r="Y91" s="11">
        <f t="shared" si="16"/>
        <v>0</v>
      </c>
      <c r="Z91" s="14">
        <v>3</v>
      </c>
    </row>
    <row r="92" spans="1:26" x14ac:dyDescent="0.2">
      <c r="A92" s="12">
        <f t="shared" si="18"/>
        <v>2012</v>
      </c>
      <c r="B92" s="1" t="s">
        <v>20</v>
      </c>
      <c r="C92" s="1">
        <v>5</v>
      </c>
      <c r="D92" s="15">
        <v>271000000</v>
      </c>
      <c r="E92" s="15">
        <f>(292.7/229.6)*271000000</f>
        <v>345477787.45644593</v>
      </c>
      <c r="F92" s="10">
        <f t="shared" si="10"/>
        <v>45</v>
      </c>
      <c r="G92" s="5">
        <v>230.19</v>
      </c>
      <c r="H92" s="1" t="s">
        <v>2</v>
      </c>
      <c r="I92" s="1">
        <f t="shared" si="11"/>
        <v>1</v>
      </c>
      <c r="J92" s="1" t="s">
        <v>1</v>
      </c>
      <c r="K92" s="1">
        <f t="shared" si="12"/>
        <v>0</v>
      </c>
      <c r="L92" s="1" t="s">
        <v>2</v>
      </c>
      <c r="M92" s="1">
        <f t="shared" si="13"/>
        <v>1</v>
      </c>
      <c r="N92" s="1" t="s">
        <v>1</v>
      </c>
      <c r="O92" s="8">
        <v>0.43099999999999999</v>
      </c>
      <c r="P92" s="7">
        <v>0.58699999999999997</v>
      </c>
      <c r="Q92" s="3">
        <v>0.4375</v>
      </c>
      <c r="R92" s="10">
        <f t="shared" si="14"/>
        <v>-0.39999999999999858</v>
      </c>
      <c r="S92" s="13">
        <v>22.3</v>
      </c>
      <c r="T92" s="13">
        <v>22.7</v>
      </c>
      <c r="U92" s="10">
        <v>23</v>
      </c>
      <c r="V92" s="10">
        <v>22</v>
      </c>
      <c r="W92" s="10">
        <f t="shared" si="15"/>
        <v>1</v>
      </c>
      <c r="X92" s="9" t="s">
        <v>1</v>
      </c>
      <c r="Y92" s="11">
        <f t="shared" si="16"/>
        <v>0</v>
      </c>
      <c r="Z92" s="14">
        <v>0</v>
      </c>
    </row>
    <row r="93" spans="1:26" x14ac:dyDescent="0.2">
      <c r="A93" s="12">
        <f t="shared" si="18"/>
        <v>2013</v>
      </c>
      <c r="B93" s="1" t="s">
        <v>20</v>
      </c>
      <c r="C93" s="1">
        <v>5</v>
      </c>
      <c r="D93" s="15">
        <v>283000000</v>
      </c>
      <c r="E93" s="15">
        <f>(292.7/233)*283000000</f>
        <v>355511158.79828328</v>
      </c>
      <c r="F93" s="10">
        <f t="shared" si="10"/>
        <v>38</v>
      </c>
      <c r="G93" s="5">
        <v>190.19</v>
      </c>
      <c r="H93" s="1" t="s">
        <v>2</v>
      </c>
      <c r="I93" s="1">
        <f t="shared" si="11"/>
        <v>1</v>
      </c>
      <c r="J93" s="1" t="s">
        <v>1</v>
      </c>
      <c r="K93" s="1">
        <f t="shared" si="12"/>
        <v>0</v>
      </c>
      <c r="L93" s="1" t="s">
        <v>2</v>
      </c>
      <c r="M93" s="1">
        <f t="shared" si="13"/>
        <v>1</v>
      </c>
      <c r="N93" s="1" t="s">
        <v>1</v>
      </c>
      <c r="O93" s="8">
        <v>0.438</v>
      </c>
      <c r="P93" s="7">
        <v>0.57999999999999996</v>
      </c>
      <c r="Q93" s="3">
        <v>0.75</v>
      </c>
      <c r="R93" s="10">
        <f t="shared" si="14"/>
        <v>7.7999999999999989</v>
      </c>
      <c r="S93" s="13">
        <v>22.9</v>
      </c>
      <c r="T93" s="13">
        <v>15.1</v>
      </c>
      <c r="U93" s="10">
        <v>30</v>
      </c>
      <c r="V93" s="10">
        <v>19</v>
      </c>
      <c r="W93" s="10">
        <f t="shared" si="15"/>
        <v>11</v>
      </c>
      <c r="X93" s="9" t="s">
        <v>2</v>
      </c>
      <c r="Y93" s="11">
        <f t="shared" si="16"/>
        <v>1</v>
      </c>
      <c r="Z93" s="14">
        <v>7</v>
      </c>
    </row>
    <row r="94" spans="1:26" x14ac:dyDescent="0.2">
      <c r="A94" s="12">
        <f t="shared" si="18"/>
        <v>2014</v>
      </c>
      <c r="B94" s="1" t="s">
        <v>20</v>
      </c>
      <c r="C94" s="1">
        <v>5</v>
      </c>
      <c r="D94" s="15">
        <v>325000000</v>
      </c>
      <c r="E94" s="15">
        <f>(292.7/236.7)*325000000</f>
        <v>401890578.79171944</v>
      </c>
      <c r="F94" s="10">
        <f t="shared" si="10"/>
        <v>44.599999999999994</v>
      </c>
      <c r="G94" s="5">
        <v>219.44</v>
      </c>
      <c r="H94" s="1" t="s">
        <v>2</v>
      </c>
      <c r="I94" s="1">
        <f t="shared" si="11"/>
        <v>1</v>
      </c>
      <c r="J94" s="1" t="s">
        <v>1</v>
      </c>
      <c r="K94" s="1">
        <f t="shared" si="12"/>
        <v>0</v>
      </c>
      <c r="L94" s="1" t="s">
        <v>2</v>
      </c>
      <c r="M94" s="1">
        <f t="shared" si="13"/>
        <v>1</v>
      </c>
      <c r="N94" s="1" t="s">
        <v>1</v>
      </c>
      <c r="O94" s="8">
        <v>0.41899999999999998</v>
      </c>
      <c r="P94" s="7">
        <v>0.46800000000000003</v>
      </c>
      <c r="Q94" s="3">
        <v>0.4375</v>
      </c>
      <c r="R94" s="10">
        <f t="shared" si="14"/>
        <v>-2.1999999999999993</v>
      </c>
      <c r="S94" s="13">
        <v>21.2</v>
      </c>
      <c r="T94" s="13">
        <v>23.4</v>
      </c>
      <c r="U94" s="10">
        <v>26</v>
      </c>
      <c r="V94" s="10">
        <v>23</v>
      </c>
      <c r="W94" s="10">
        <f t="shared" si="15"/>
        <v>3</v>
      </c>
      <c r="X94" s="9" t="s">
        <v>2</v>
      </c>
      <c r="Y94" s="11">
        <f t="shared" si="16"/>
        <v>1</v>
      </c>
      <c r="Z94" s="14">
        <v>2</v>
      </c>
    </row>
    <row r="95" spans="1:26" x14ac:dyDescent="0.2">
      <c r="A95" s="12">
        <f t="shared" si="18"/>
        <v>2015</v>
      </c>
      <c r="B95" s="1" t="s">
        <v>20</v>
      </c>
      <c r="C95" s="1">
        <v>5</v>
      </c>
      <c r="D95" s="15">
        <v>362000000</v>
      </c>
      <c r="E95" s="15">
        <f>(292.7/237)*362000000</f>
        <v>447077637.13080168</v>
      </c>
      <c r="F95" s="10">
        <f t="shared" si="10"/>
        <v>50.6</v>
      </c>
      <c r="G95" s="5">
        <v>224.31</v>
      </c>
      <c r="H95" s="1" t="s">
        <v>2</v>
      </c>
      <c r="I95" s="1">
        <f t="shared" si="11"/>
        <v>1</v>
      </c>
      <c r="J95" s="1" t="s">
        <v>1</v>
      </c>
      <c r="K95" s="1">
        <f t="shared" si="12"/>
        <v>0</v>
      </c>
      <c r="L95" s="1" t="s">
        <v>2</v>
      </c>
      <c r="M95" s="1">
        <f t="shared" si="13"/>
        <v>1</v>
      </c>
      <c r="N95" s="1" t="s">
        <v>2</v>
      </c>
      <c r="O95" s="8">
        <v>0.42399999999999999</v>
      </c>
      <c r="P95" s="7">
        <v>0.68300000000000005</v>
      </c>
      <c r="Q95" s="3">
        <v>0.9375</v>
      </c>
      <c r="R95" s="10">
        <f t="shared" si="14"/>
        <v>12</v>
      </c>
      <c r="S95" s="13">
        <v>31.3</v>
      </c>
      <c r="T95" s="13">
        <v>19.3</v>
      </c>
      <c r="U95" s="10">
        <v>39</v>
      </c>
      <c r="V95" s="10">
        <v>19</v>
      </c>
      <c r="W95" s="10">
        <f t="shared" si="15"/>
        <v>20</v>
      </c>
      <c r="X95" s="9" t="s">
        <v>2</v>
      </c>
      <c r="Y95" s="11">
        <f t="shared" si="16"/>
        <v>1</v>
      </c>
      <c r="Z95" s="14">
        <v>11</v>
      </c>
    </row>
    <row r="96" spans="1:26" x14ac:dyDescent="0.2">
      <c r="A96" s="12">
        <f t="shared" si="18"/>
        <v>2016</v>
      </c>
      <c r="B96" s="1" t="s">
        <v>20</v>
      </c>
      <c r="C96" s="1">
        <v>5</v>
      </c>
      <c r="D96" s="15">
        <v>385000000</v>
      </c>
      <c r="E96" s="15">
        <f>(292.7/240)*385000000</f>
        <v>469539583.33333331</v>
      </c>
      <c r="F96" s="10">
        <f t="shared" si="10"/>
        <v>48.2</v>
      </c>
      <c r="G96" s="5">
        <v>230.31</v>
      </c>
      <c r="H96" s="1" t="s">
        <v>2</v>
      </c>
      <c r="I96" s="1">
        <f t="shared" si="11"/>
        <v>1</v>
      </c>
      <c r="J96" s="1" t="s">
        <v>1</v>
      </c>
      <c r="K96" s="1">
        <f t="shared" si="12"/>
        <v>0</v>
      </c>
      <c r="L96" s="1" t="s">
        <v>2</v>
      </c>
      <c r="M96" s="1">
        <f t="shared" si="13"/>
        <v>1</v>
      </c>
      <c r="N96" s="1" t="s">
        <v>2</v>
      </c>
      <c r="O96" s="8">
        <v>0.372</v>
      </c>
      <c r="P96" s="7">
        <v>0.59199999999999997</v>
      </c>
      <c r="Q96" s="3">
        <v>0.375</v>
      </c>
      <c r="R96" s="10">
        <f t="shared" si="14"/>
        <v>-2</v>
      </c>
      <c r="S96" s="13">
        <v>23.1</v>
      </c>
      <c r="T96" s="13">
        <v>25.1</v>
      </c>
      <c r="U96" s="10">
        <v>27</v>
      </c>
      <c r="V96" s="10">
        <v>29</v>
      </c>
      <c r="W96" s="10">
        <f t="shared" si="15"/>
        <v>-2</v>
      </c>
      <c r="X96" s="9" t="s">
        <v>1</v>
      </c>
      <c r="Y96" s="11">
        <f t="shared" si="16"/>
        <v>0</v>
      </c>
      <c r="Z96" s="14">
        <v>5</v>
      </c>
    </row>
    <row r="97" spans="1:26" x14ac:dyDescent="0.2">
      <c r="A97" s="12">
        <f t="shared" si="18"/>
        <v>2017</v>
      </c>
      <c r="B97" s="1" t="s">
        <v>20</v>
      </c>
      <c r="C97" s="1">
        <v>5</v>
      </c>
      <c r="D97" s="15">
        <v>396000000</v>
      </c>
      <c r="E97" s="15">
        <f>(292.7/245.1)*396000000</f>
        <v>472905752.75397795</v>
      </c>
      <c r="F97" s="10">
        <f t="shared" si="10"/>
        <v>43.099999999999994</v>
      </c>
      <c r="G97" s="5">
        <v>192.31</v>
      </c>
      <c r="H97" s="1" t="s">
        <v>2</v>
      </c>
      <c r="I97" s="1">
        <f t="shared" si="11"/>
        <v>1</v>
      </c>
      <c r="J97" s="1" t="s">
        <v>1</v>
      </c>
      <c r="K97" s="1">
        <f t="shared" si="12"/>
        <v>0</v>
      </c>
      <c r="L97" s="1" t="s">
        <v>2</v>
      </c>
      <c r="M97" s="1">
        <f t="shared" si="13"/>
        <v>1</v>
      </c>
      <c r="N97" s="1" t="s">
        <v>2</v>
      </c>
      <c r="O97" s="8">
        <v>0.41899999999999998</v>
      </c>
      <c r="P97" s="7">
        <v>0.53800000000000003</v>
      </c>
      <c r="Q97" s="3">
        <v>0.6875</v>
      </c>
      <c r="R97" s="10">
        <f t="shared" si="14"/>
        <v>2.3000000000000007</v>
      </c>
      <c r="S97" s="13">
        <v>22.7</v>
      </c>
      <c r="T97" s="13">
        <v>20.399999999999999</v>
      </c>
      <c r="U97" s="10">
        <v>21</v>
      </c>
      <c r="V97" s="10">
        <v>22</v>
      </c>
      <c r="W97" s="10">
        <f t="shared" si="15"/>
        <v>-1</v>
      </c>
      <c r="X97" s="9" t="s">
        <v>2</v>
      </c>
      <c r="Y97" s="11">
        <f t="shared" si="16"/>
        <v>1</v>
      </c>
      <c r="Z97" s="14">
        <v>4</v>
      </c>
    </row>
    <row r="98" spans="1:26" x14ac:dyDescent="0.2">
      <c r="A98" s="12">
        <f t="shared" si="18"/>
        <v>2018</v>
      </c>
      <c r="B98" s="1" t="s">
        <v>20</v>
      </c>
      <c r="C98" s="1">
        <v>5</v>
      </c>
      <c r="D98" s="15">
        <v>424000000</v>
      </c>
      <c r="E98" s="15">
        <f>(292.7/251.1)*424000000</f>
        <v>494244524.09398645</v>
      </c>
      <c r="F98" s="10">
        <f t="shared" si="10"/>
        <v>47.4</v>
      </c>
      <c r="G98" s="5">
        <v>239.75</v>
      </c>
      <c r="H98" s="1" t="s">
        <v>1</v>
      </c>
      <c r="I98" s="1">
        <f t="shared" si="11"/>
        <v>0</v>
      </c>
      <c r="J98" s="1" t="s">
        <v>2</v>
      </c>
      <c r="K98" s="1">
        <f t="shared" si="12"/>
        <v>1</v>
      </c>
      <c r="L98" s="1" t="s">
        <v>2</v>
      </c>
      <c r="M98" s="1">
        <f t="shared" si="13"/>
        <v>1</v>
      </c>
      <c r="N98" s="1" t="s">
        <v>2</v>
      </c>
      <c r="O98" s="8">
        <v>0.41599999999999998</v>
      </c>
      <c r="P98" s="7">
        <v>0.621</v>
      </c>
      <c r="Q98" s="3">
        <v>0.4375</v>
      </c>
      <c r="R98" s="10">
        <f t="shared" si="14"/>
        <v>-0.39999999999999858</v>
      </c>
      <c r="S98" s="13">
        <v>23.5</v>
      </c>
      <c r="T98" s="13">
        <v>23.9</v>
      </c>
      <c r="U98" s="10">
        <v>23</v>
      </c>
      <c r="V98" s="10">
        <v>22</v>
      </c>
      <c r="W98" s="10">
        <f t="shared" si="15"/>
        <v>1</v>
      </c>
      <c r="X98" s="9" t="s">
        <v>1</v>
      </c>
      <c r="Y98" s="11">
        <f t="shared" si="16"/>
        <v>0</v>
      </c>
      <c r="Z98" s="14">
        <v>3</v>
      </c>
    </row>
    <row r="99" spans="1:26" x14ac:dyDescent="0.2">
      <c r="A99" s="12">
        <f t="shared" si="18"/>
        <v>2019</v>
      </c>
      <c r="B99" s="1" t="s">
        <v>20</v>
      </c>
      <c r="C99" s="1">
        <v>5</v>
      </c>
      <c r="D99" s="15">
        <v>447000000</v>
      </c>
      <c r="E99" s="15">
        <f>(292.7/255.7)*447000000</f>
        <v>511681267.10989445</v>
      </c>
      <c r="F99" s="10">
        <f t="shared" si="10"/>
        <v>50.7</v>
      </c>
      <c r="G99" s="5">
        <v>228.13</v>
      </c>
      <c r="H99" s="1" t="s">
        <v>1</v>
      </c>
      <c r="I99" s="1">
        <f t="shared" si="11"/>
        <v>0</v>
      </c>
      <c r="J99" s="1" t="s">
        <v>2</v>
      </c>
      <c r="K99" s="1">
        <f t="shared" si="12"/>
        <v>1</v>
      </c>
      <c r="L99" s="1" t="s">
        <v>2</v>
      </c>
      <c r="M99" s="1">
        <f t="shared" si="13"/>
        <v>1</v>
      </c>
      <c r="N99" s="1" t="s">
        <v>2</v>
      </c>
      <c r="O99" s="8">
        <v>0.31900000000000001</v>
      </c>
      <c r="P99" s="7">
        <v>0.57999999999999996</v>
      </c>
      <c r="Q99" s="3">
        <v>0.3125</v>
      </c>
      <c r="R99" s="10">
        <f t="shared" si="14"/>
        <v>-8.0999999999999979</v>
      </c>
      <c r="S99" s="13">
        <v>21.3</v>
      </c>
      <c r="T99" s="13">
        <v>29.4</v>
      </c>
      <c r="U99" s="10">
        <v>21</v>
      </c>
      <c r="V99" s="10">
        <v>35</v>
      </c>
      <c r="W99" s="10">
        <f t="shared" si="15"/>
        <v>-14</v>
      </c>
      <c r="X99" s="9" t="s">
        <v>1</v>
      </c>
      <c r="Y99" s="11">
        <f t="shared" si="16"/>
        <v>0</v>
      </c>
      <c r="Z99" s="14">
        <v>3</v>
      </c>
    </row>
    <row r="100" spans="1:26" x14ac:dyDescent="0.2">
      <c r="A100" s="12">
        <v>2021</v>
      </c>
      <c r="B100" s="1" t="s">
        <v>20</v>
      </c>
      <c r="C100" s="1">
        <v>5</v>
      </c>
      <c r="D100" s="15">
        <v>501000000</v>
      </c>
      <c r="E100" s="15">
        <f>(292.7/271)*501000000</f>
        <v>541116974.16974163</v>
      </c>
      <c r="F100" s="10">
        <f t="shared" si="10"/>
        <v>41.7</v>
      </c>
      <c r="G100" s="5">
        <v>190.53</v>
      </c>
      <c r="H100" s="1" t="s">
        <v>1</v>
      </c>
      <c r="I100" s="1">
        <f t="shared" si="11"/>
        <v>0</v>
      </c>
      <c r="J100" s="1" t="s">
        <v>2</v>
      </c>
      <c r="K100" s="1">
        <f t="shared" si="12"/>
        <v>1</v>
      </c>
      <c r="L100" s="1" t="s">
        <v>2</v>
      </c>
      <c r="M100" s="1">
        <f t="shared" si="13"/>
        <v>1</v>
      </c>
      <c r="N100" s="1" t="s">
        <v>2</v>
      </c>
      <c r="O100" s="8">
        <v>0.35699999999999998</v>
      </c>
      <c r="P100" s="7">
        <v>0.53200000000000003</v>
      </c>
      <c r="Q100" s="3">
        <v>0.29409999999999997</v>
      </c>
      <c r="R100" s="10">
        <f t="shared" si="14"/>
        <v>-5.9000000000000021</v>
      </c>
      <c r="S100" s="13">
        <v>17.899999999999999</v>
      </c>
      <c r="T100" s="13">
        <v>23.8</v>
      </c>
      <c r="U100" s="10">
        <v>16</v>
      </c>
      <c r="V100" s="10">
        <v>29</v>
      </c>
      <c r="W100" s="10">
        <f t="shared" si="15"/>
        <v>-13</v>
      </c>
      <c r="X100" s="9" t="s">
        <v>1</v>
      </c>
      <c r="Y100" s="11">
        <f t="shared" si="16"/>
        <v>0</v>
      </c>
      <c r="Z100" s="14">
        <v>2</v>
      </c>
    </row>
    <row r="101" spans="1:26" x14ac:dyDescent="0.2">
      <c r="A101" s="12">
        <f>A100+1</f>
        <v>2022</v>
      </c>
      <c r="B101" s="1" t="s">
        <v>20</v>
      </c>
      <c r="C101" s="1">
        <v>5</v>
      </c>
      <c r="D101" s="15">
        <v>530000000</v>
      </c>
      <c r="E101" s="15">
        <f>(292.7/292.7)*530000000</f>
        <v>530000000</v>
      </c>
      <c r="F101" s="10">
        <f t="shared" si="10"/>
        <v>42.4</v>
      </c>
      <c r="G101" s="5">
        <v>176.24</v>
      </c>
      <c r="H101" s="1" t="s">
        <v>1</v>
      </c>
      <c r="I101" s="1">
        <f t="shared" si="11"/>
        <v>0</v>
      </c>
      <c r="J101" s="1" t="s">
        <v>2</v>
      </c>
      <c r="K101" s="1">
        <f t="shared" si="12"/>
        <v>1</v>
      </c>
      <c r="L101" s="1" t="s">
        <v>2</v>
      </c>
      <c r="M101" s="1">
        <f t="shared" si="13"/>
        <v>1</v>
      </c>
      <c r="N101" s="1" t="s">
        <v>2</v>
      </c>
      <c r="O101" s="8">
        <v>0.317</v>
      </c>
      <c r="P101" s="7">
        <v>0.56499999999999995</v>
      </c>
      <c r="Q101" s="3">
        <v>0.41170000000000001</v>
      </c>
      <c r="R101" s="10">
        <f t="shared" si="14"/>
        <v>-1.6000000000000014</v>
      </c>
      <c r="S101" s="13">
        <v>20.399999999999999</v>
      </c>
      <c r="T101" s="13">
        <v>22</v>
      </c>
      <c r="U101" s="10">
        <v>17</v>
      </c>
      <c r="V101" s="10">
        <v>21</v>
      </c>
      <c r="W101" s="10">
        <f t="shared" si="15"/>
        <v>-4</v>
      </c>
      <c r="X101" s="9" t="s">
        <v>1</v>
      </c>
      <c r="Y101" s="11">
        <f t="shared" si="16"/>
        <v>0</v>
      </c>
      <c r="Z101" s="14">
        <v>1</v>
      </c>
    </row>
    <row r="102" spans="1:26" x14ac:dyDescent="0.2">
      <c r="A102" s="12">
        <v>2002</v>
      </c>
      <c r="B102" s="1" t="s">
        <v>21</v>
      </c>
      <c r="C102" s="1">
        <v>6</v>
      </c>
      <c r="D102" s="15">
        <v>132000000</v>
      </c>
      <c r="E102" s="15">
        <f>(292.7/179.9)*132000000</f>
        <v>214765981.10061145</v>
      </c>
      <c r="F102" s="10">
        <f t="shared" si="10"/>
        <v>41.3</v>
      </c>
      <c r="G102" s="5">
        <f>3051/16</f>
        <v>190.6875</v>
      </c>
      <c r="H102" s="1" t="s">
        <v>1</v>
      </c>
      <c r="I102" s="1">
        <f t="shared" si="11"/>
        <v>0</v>
      </c>
      <c r="J102" s="1" t="s">
        <v>1</v>
      </c>
      <c r="K102" s="1">
        <f t="shared" si="12"/>
        <v>0</v>
      </c>
      <c r="L102" s="1" t="s">
        <v>1</v>
      </c>
      <c r="M102" s="1">
        <f t="shared" si="13"/>
        <v>0</v>
      </c>
      <c r="N102" s="1" t="s">
        <v>1</v>
      </c>
      <c r="O102" s="8">
        <v>0.33800000000000002</v>
      </c>
      <c r="P102" s="7">
        <v>0.57499999999999996</v>
      </c>
      <c r="Q102" s="3">
        <f>4/16</f>
        <v>0.25</v>
      </c>
      <c r="R102" s="10">
        <f t="shared" si="14"/>
        <v>-6.0999999999999979</v>
      </c>
      <c r="S102" s="13">
        <v>17.600000000000001</v>
      </c>
      <c r="T102" s="13">
        <v>23.7</v>
      </c>
      <c r="U102" s="10">
        <v>28</v>
      </c>
      <c r="V102" s="10">
        <v>35</v>
      </c>
      <c r="W102" s="10">
        <f t="shared" si="15"/>
        <v>-7</v>
      </c>
      <c r="X102" s="9" t="s">
        <v>1</v>
      </c>
      <c r="Y102" s="11">
        <f t="shared" si="16"/>
        <v>0</v>
      </c>
      <c r="Z102" s="14">
        <v>3</v>
      </c>
    </row>
    <row r="103" spans="1:26" x14ac:dyDescent="0.2">
      <c r="A103" s="12">
        <f>A102+1</f>
        <v>2003</v>
      </c>
      <c r="B103" s="1" t="s">
        <v>21</v>
      </c>
      <c r="C103" s="1">
        <v>6</v>
      </c>
      <c r="D103" s="15">
        <v>175000000</v>
      </c>
      <c r="E103" s="15">
        <f>(292.7/184)*175000000</f>
        <v>278383152.17391306</v>
      </c>
      <c r="F103" s="10">
        <f t="shared" si="10"/>
        <v>39.299999999999997</v>
      </c>
      <c r="G103" s="5">
        <f>2617/16</f>
        <v>163.5625</v>
      </c>
      <c r="H103" s="1" t="s">
        <v>1</v>
      </c>
      <c r="I103" s="1">
        <f t="shared" si="11"/>
        <v>0</v>
      </c>
      <c r="J103" s="1" t="s">
        <v>1</v>
      </c>
      <c r="K103" s="1">
        <f t="shared" si="12"/>
        <v>0</v>
      </c>
      <c r="L103" s="1" t="s">
        <v>1</v>
      </c>
      <c r="M103" s="1">
        <f t="shared" si="13"/>
        <v>0</v>
      </c>
      <c r="N103" s="1" t="s">
        <v>1</v>
      </c>
      <c r="O103" s="8">
        <v>0.33800000000000002</v>
      </c>
      <c r="P103" s="7">
        <v>0.48899999999999999</v>
      </c>
      <c r="Q103" s="3">
        <f>7/16</f>
        <v>0.4375</v>
      </c>
      <c r="R103" s="10">
        <f t="shared" si="14"/>
        <v>-3.9000000000000021</v>
      </c>
      <c r="S103" s="13">
        <v>17.7</v>
      </c>
      <c r="T103" s="13">
        <v>21.6</v>
      </c>
      <c r="U103" s="10">
        <v>20</v>
      </c>
      <c r="V103" s="10">
        <v>29</v>
      </c>
      <c r="W103" s="10">
        <f t="shared" si="15"/>
        <v>-9</v>
      </c>
      <c r="X103" s="9" t="s">
        <v>1</v>
      </c>
      <c r="Y103" s="11">
        <f t="shared" si="16"/>
        <v>0</v>
      </c>
      <c r="Z103" s="14">
        <v>3</v>
      </c>
    </row>
    <row r="104" spans="1:26" x14ac:dyDescent="0.2">
      <c r="A104" s="12">
        <f>A103+1</f>
        <v>2004</v>
      </c>
      <c r="B104" s="1" t="s">
        <v>21</v>
      </c>
      <c r="C104" s="1">
        <v>6</v>
      </c>
      <c r="D104" s="15">
        <v>193000000</v>
      </c>
      <c r="E104" s="15">
        <f>(292.7/188.9)*193000000</f>
        <v>299052938.06246686</v>
      </c>
      <c r="F104" s="10">
        <f t="shared" si="10"/>
        <v>35.1</v>
      </c>
      <c r="G104" s="5">
        <f>2192/16</f>
        <v>137</v>
      </c>
      <c r="H104" s="1" t="s">
        <v>1</v>
      </c>
      <c r="I104" s="1">
        <f t="shared" si="11"/>
        <v>0</v>
      </c>
      <c r="J104" s="1" t="s">
        <v>1</v>
      </c>
      <c r="K104" s="1">
        <f t="shared" si="12"/>
        <v>0</v>
      </c>
      <c r="L104" s="1" t="s">
        <v>1</v>
      </c>
      <c r="M104" s="1">
        <f t="shared" si="13"/>
        <v>0</v>
      </c>
      <c r="N104" s="1" t="s">
        <v>1</v>
      </c>
      <c r="O104" s="8">
        <v>0.251</v>
      </c>
      <c r="P104" s="7">
        <v>0.42099999999999999</v>
      </c>
      <c r="Q104" s="3">
        <f>5/16</f>
        <v>0.3125</v>
      </c>
      <c r="R104" s="10">
        <f t="shared" si="14"/>
        <v>-6.2999999999999989</v>
      </c>
      <c r="S104" s="13">
        <v>14.4</v>
      </c>
      <c r="T104" s="13">
        <v>20.7</v>
      </c>
      <c r="U104" s="10">
        <v>29</v>
      </c>
      <c r="V104" s="10">
        <v>37</v>
      </c>
      <c r="W104" s="10">
        <f t="shared" si="15"/>
        <v>-8</v>
      </c>
      <c r="X104" s="9" t="s">
        <v>1</v>
      </c>
      <c r="Y104" s="11">
        <f t="shared" si="16"/>
        <v>0</v>
      </c>
      <c r="Z104" s="14">
        <v>1</v>
      </c>
    </row>
    <row r="105" spans="1:26" x14ac:dyDescent="0.2">
      <c r="A105" s="12">
        <f>A104+1</f>
        <v>2005</v>
      </c>
      <c r="B105" s="1" t="s">
        <v>21</v>
      </c>
      <c r="C105" s="1">
        <v>6</v>
      </c>
      <c r="D105" s="15">
        <v>201000000</v>
      </c>
      <c r="E105" s="15">
        <f>(292.7/195.3)*201000000</f>
        <v>301242703.5330261</v>
      </c>
      <c r="F105" s="10">
        <f t="shared" si="10"/>
        <v>28.9</v>
      </c>
      <c r="G105" s="5">
        <f>2002/16</f>
        <v>125.125</v>
      </c>
      <c r="H105" s="1" t="s">
        <v>1</v>
      </c>
      <c r="I105" s="1">
        <f t="shared" si="11"/>
        <v>0</v>
      </c>
      <c r="J105" s="1" t="s">
        <v>1</v>
      </c>
      <c r="K105" s="1">
        <f t="shared" si="12"/>
        <v>0</v>
      </c>
      <c r="L105" s="1" t="s">
        <v>1</v>
      </c>
      <c r="M105" s="1">
        <f t="shared" si="13"/>
        <v>0</v>
      </c>
      <c r="N105" s="1" t="s">
        <v>1</v>
      </c>
      <c r="O105" s="8">
        <v>0.28799999999999998</v>
      </c>
      <c r="P105" s="7">
        <v>0.46500000000000002</v>
      </c>
      <c r="Q105" s="3">
        <f>11/16</f>
        <v>0.6875</v>
      </c>
      <c r="R105" s="10">
        <f t="shared" si="14"/>
        <v>3.7000000000000011</v>
      </c>
      <c r="S105" s="13">
        <v>16.3</v>
      </c>
      <c r="T105" s="13">
        <v>12.6</v>
      </c>
      <c r="U105" s="10">
        <v>34</v>
      </c>
      <c r="V105" s="10">
        <v>28</v>
      </c>
      <c r="W105" s="10">
        <f t="shared" si="15"/>
        <v>6</v>
      </c>
      <c r="X105" s="9" t="s">
        <v>2</v>
      </c>
      <c r="Y105" s="11">
        <f t="shared" si="16"/>
        <v>1</v>
      </c>
      <c r="Z105" s="14">
        <v>6</v>
      </c>
    </row>
    <row r="106" spans="1:26" x14ac:dyDescent="0.2">
      <c r="A106" s="12">
        <f>A105+1</f>
        <v>2006</v>
      </c>
      <c r="B106" s="1" t="s">
        <v>21</v>
      </c>
      <c r="C106" s="1">
        <v>6</v>
      </c>
      <c r="D106" s="15">
        <v>209000000</v>
      </c>
      <c r="E106" s="15">
        <f>(292.7/201.6)*209000000</f>
        <v>303443948.41269845</v>
      </c>
      <c r="F106" s="10">
        <f t="shared" si="10"/>
        <v>42.6</v>
      </c>
      <c r="G106" s="5">
        <f>3281/16</f>
        <v>205.0625</v>
      </c>
      <c r="H106" s="1" t="s">
        <v>1</v>
      </c>
      <c r="I106" s="1">
        <f t="shared" si="11"/>
        <v>0</v>
      </c>
      <c r="J106" s="1" t="s">
        <v>1</v>
      </c>
      <c r="K106" s="1">
        <f t="shared" si="12"/>
        <v>0</v>
      </c>
      <c r="L106" s="1" t="s">
        <v>1</v>
      </c>
      <c r="M106" s="1">
        <f t="shared" si="13"/>
        <v>0</v>
      </c>
      <c r="N106" s="1" t="s">
        <v>1</v>
      </c>
      <c r="O106" s="8">
        <v>0.36799999999999999</v>
      </c>
      <c r="P106" s="7">
        <v>0.48</v>
      </c>
      <c r="Q106" s="3">
        <f>13/16</f>
        <v>0.8125</v>
      </c>
      <c r="R106" s="10">
        <f t="shared" si="14"/>
        <v>10.799999999999999</v>
      </c>
      <c r="S106" s="13">
        <v>26.7</v>
      </c>
      <c r="T106" s="13">
        <v>15.9</v>
      </c>
      <c r="U106" s="10">
        <v>44</v>
      </c>
      <c r="V106" s="10">
        <v>36</v>
      </c>
      <c r="W106" s="10">
        <f t="shared" si="15"/>
        <v>8</v>
      </c>
      <c r="X106" s="9" t="s">
        <v>2</v>
      </c>
      <c r="Y106" s="11">
        <f t="shared" si="16"/>
        <v>1</v>
      </c>
      <c r="Z106" s="14">
        <v>8</v>
      </c>
    </row>
    <row r="107" spans="1:26" x14ac:dyDescent="0.2">
      <c r="A107" s="12">
        <f>A106+1</f>
        <v>2007</v>
      </c>
      <c r="B107" s="1" t="s">
        <v>21</v>
      </c>
      <c r="C107" s="1">
        <v>6</v>
      </c>
      <c r="D107" s="15">
        <v>226000000</v>
      </c>
      <c r="E107" s="15">
        <f>(292.7/207.3)*226000000</f>
        <v>319103714.42354071</v>
      </c>
      <c r="F107" s="10">
        <f t="shared" si="10"/>
        <v>42.7</v>
      </c>
      <c r="G107" s="5">
        <v>191.31</v>
      </c>
      <c r="H107" s="1" t="s">
        <v>1</v>
      </c>
      <c r="I107" s="1">
        <f t="shared" si="11"/>
        <v>0</v>
      </c>
      <c r="J107" s="1" t="s">
        <v>1</v>
      </c>
      <c r="K107" s="1">
        <f t="shared" si="12"/>
        <v>0</v>
      </c>
      <c r="L107" s="1" t="s">
        <v>1</v>
      </c>
      <c r="M107" s="1">
        <f t="shared" si="13"/>
        <v>0</v>
      </c>
      <c r="N107" s="1" t="s">
        <v>1</v>
      </c>
      <c r="O107" s="8">
        <v>0.34</v>
      </c>
      <c r="P107" s="7">
        <v>0.40899999999999997</v>
      </c>
      <c r="Q107" s="3">
        <f>7/16</f>
        <v>0.4375</v>
      </c>
      <c r="R107" s="10">
        <f t="shared" si="14"/>
        <v>-0.90000000000000213</v>
      </c>
      <c r="S107" s="13">
        <v>20.9</v>
      </c>
      <c r="T107" s="13">
        <v>21.8</v>
      </c>
      <c r="U107" s="10">
        <v>33</v>
      </c>
      <c r="V107" s="10">
        <v>34</v>
      </c>
      <c r="W107" s="10">
        <f t="shared" si="15"/>
        <v>-1</v>
      </c>
      <c r="X107" s="9" t="s">
        <v>1</v>
      </c>
      <c r="Y107" s="11">
        <f t="shared" si="16"/>
        <v>0</v>
      </c>
      <c r="Z107" s="14">
        <v>4</v>
      </c>
    </row>
    <row r="108" spans="1:26" x14ac:dyDescent="0.2">
      <c r="A108" s="12">
        <v>2008</v>
      </c>
      <c r="B108" s="1" t="s">
        <v>21</v>
      </c>
      <c r="C108" s="1">
        <v>6</v>
      </c>
      <c r="D108" s="15">
        <v>241000000</v>
      </c>
      <c r="E108" s="15">
        <f>(292.7/215.3)*241000000</f>
        <v>327639108.22108686</v>
      </c>
      <c r="F108" s="10">
        <f t="shared" si="10"/>
        <v>45.3</v>
      </c>
      <c r="G108" s="5">
        <f>3362/16</f>
        <v>210.125</v>
      </c>
      <c r="H108" s="1" t="s">
        <v>1</v>
      </c>
      <c r="I108" s="1">
        <f t="shared" si="11"/>
        <v>0</v>
      </c>
      <c r="J108" s="1" t="s">
        <v>1</v>
      </c>
      <c r="K108" s="1">
        <f t="shared" si="12"/>
        <v>0</v>
      </c>
      <c r="L108" s="1" t="s">
        <v>1</v>
      </c>
      <c r="M108" s="1">
        <f t="shared" si="13"/>
        <v>0</v>
      </c>
      <c r="N108" s="1" t="s">
        <v>1</v>
      </c>
      <c r="O108" s="8">
        <v>0.35599999999999998</v>
      </c>
      <c r="P108" s="7">
        <v>0.56000000000000005</v>
      </c>
      <c r="Q108" s="3">
        <v>0.5625</v>
      </c>
      <c r="R108" s="10">
        <f t="shared" si="14"/>
        <v>1.5</v>
      </c>
      <c r="S108" s="13">
        <v>23.4</v>
      </c>
      <c r="T108" s="13">
        <v>21.9</v>
      </c>
      <c r="U108" s="10">
        <v>32</v>
      </c>
      <c r="V108" s="10">
        <v>27</v>
      </c>
      <c r="W108" s="10">
        <f t="shared" si="15"/>
        <v>5</v>
      </c>
      <c r="X108" s="9" t="s">
        <v>1</v>
      </c>
      <c r="Y108" s="11">
        <f t="shared" si="16"/>
        <v>0</v>
      </c>
      <c r="Z108" s="14">
        <v>1</v>
      </c>
    </row>
    <row r="109" spans="1:26" x14ac:dyDescent="0.2">
      <c r="A109" s="12">
        <f t="shared" ref="A109:A119" si="19">A108+1</f>
        <v>2009</v>
      </c>
      <c r="B109" s="1" t="s">
        <v>21</v>
      </c>
      <c r="C109" s="1">
        <v>6</v>
      </c>
      <c r="D109" s="15">
        <v>254000000</v>
      </c>
      <c r="E109" s="15">
        <f>(292.7/214.5)*254000000</f>
        <v>346600466.20046622</v>
      </c>
      <c r="F109" s="10">
        <f t="shared" si="10"/>
        <v>43.8</v>
      </c>
      <c r="G109" s="5">
        <v>217.06</v>
      </c>
      <c r="H109" s="1" t="s">
        <v>2</v>
      </c>
      <c r="I109" s="1">
        <f t="shared" si="11"/>
        <v>1</v>
      </c>
      <c r="J109" s="1" t="s">
        <v>1</v>
      </c>
      <c r="K109" s="1">
        <f t="shared" si="12"/>
        <v>0</v>
      </c>
      <c r="L109" s="1" t="s">
        <v>2</v>
      </c>
      <c r="M109" s="1">
        <f t="shared" si="13"/>
        <v>1</v>
      </c>
      <c r="N109" s="1" t="s">
        <v>1</v>
      </c>
      <c r="O109" s="8">
        <v>0.373</v>
      </c>
      <c r="P109" s="7">
        <v>0.47099999999999997</v>
      </c>
      <c r="Q109" s="3">
        <v>0.4375</v>
      </c>
      <c r="R109" s="10">
        <f t="shared" si="14"/>
        <v>-3</v>
      </c>
      <c r="S109" s="13">
        <v>20.399999999999999</v>
      </c>
      <c r="T109" s="13">
        <v>23.4</v>
      </c>
      <c r="U109" s="10">
        <v>28</v>
      </c>
      <c r="V109" s="10">
        <v>34</v>
      </c>
      <c r="W109" s="10">
        <f t="shared" si="15"/>
        <v>-6</v>
      </c>
      <c r="X109" s="9" t="s">
        <v>1</v>
      </c>
      <c r="Y109" s="11">
        <f t="shared" si="16"/>
        <v>0</v>
      </c>
      <c r="Z109" s="14">
        <v>2</v>
      </c>
    </row>
    <row r="110" spans="1:26" x14ac:dyDescent="0.2">
      <c r="A110" s="12">
        <f t="shared" si="19"/>
        <v>2010</v>
      </c>
      <c r="B110" s="1" t="s">
        <v>21</v>
      </c>
      <c r="C110" s="1">
        <v>6</v>
      </c>
      <c r="D110" s="15">
        <v>266000000</v>
      </c>
      <c r="E110" s="15">
        <f>(292.7/218.1)*266000000</f>
        <v>356983952.31545162</v>
      </c>
      <c r="F110" s="10">
        <f t="shared" si="10"/>
        <v>38.799999999999997</v>
      </c>
      <c r="G110" s="5">
        <v>188.44</v>
      </c>
      <c r="H110" s="1" t="s">
        <v>2</v>
      </c>
      <c r="I110" s="1">
        <f t="shared" si="11"/>
        <v>1</v>
      </c>
      <c r="J110" s="1" t="s">
        <v>1</v>
      </c>
      <c r="K110" s="1">
        <f t="shared" si="12"/>
        <v>0</v>
      </c>
      <c r="L110" s="1" t="s">
        <v>2</v>
      </c>
      <c r="M110" s="1">
        <f t="shared" si="13"/>
        <v>1</v>
      </c>
      <c r="N110" s="1" t="s">
        <v>1</v>
      </c>
      <c r="O110" s="8">
        <v>0.32800000000000001</v>
      </c>
      <c r="P110" s="7">
        <v>0.45100000000000001</v>
      </c>
      <c r="Q110" s="3">
        <v>0.6875</v>
      </c>
      <c r="R110" s="10">
        <f t="shared" si="14"/>
        <v>3</v>
      </c>
      <c r="S110" s="13">
        <v>20.9</v>
      </c>
      <c r="T110" s="13">
        <v>17.899999999999999</v>
      </c>
      <c r="U110" s="10">
        <v>35</v>
      </c>
      <c r="V110" s="10">
        <v>31</v>
      </c>
      <c r="W110" s="10">
        <f t="shared" si="15"/>
        <v>4</v>
      </c>
      <c r="X110" s="9" t="s">
        <v>2</v>
      </c>
      <c r="Y110" s="11">
        <f t="shared" si="16"/>
        <v>1</v>
      </c>
      <c r="Z110" s="14">
        <v>4</v>
      </c>
    </row>
    <row r="111" spans="1:26" x14ac:dyDescent="0.2">
      <c r="A111" s="12">
        <f t="shared" si="19"/>
        <v>2011</v>
      </c>
      <c r="B111" s="1" t="s">
        <v>21</v>
      </c>
      <c r="C111" s="1">
        <v>6</v>
      </c>
      <c r="D111" s="15">
        <v>286000000</v>
      </c>
      <c r="E111" s="15">
        <f>(292.7/224.9)*286000000</f>
        <v>372219653.17919075</v>
      </c>
      <c r="F111" s="10">
        <f t="shared" si="10"/>
        <v>45.2</v>
      </c>
      <c r="G111" s="5">
        <v>188.19</v>
      </c>
      <c r="H111" s="1" t="s">
        <v>2</v>
      </c>
      <c r="I111" s="1">
        <f t="shared" si="11"/>
        <v>1</v>
      </c>
      <c r="J111" s="1" t="s">
        <v>1</v>
      </c>
      <c r="K111" s="1">
        <f t="shared" si="12"/>
        <v>0</v>
      </c>
      <c r="L111" s="1" t="s">
        <v>2</v>
      </c>
      <c r="M111" s="1">
        <f t="shared" si="13"/>
        <v>1</v>
      </c>
      <c r="N111" s="1" t="s">
        <v>1</v>
      </c>
      <c r="O111" s="8">
        <v>0.32500000000000001</v>
      </c>
      <c r="P111" s="7">
        <v>0.52600000000000002</v>
      </c>
      <c r="Q111" s="3">
        <v>0.5</v>
      </c>
      <c r="R111" s="10">
        <f t="shared" si="14"/>
        <v>-1</v>
      </c>
      <c r="S111" s="13">
        <v>22.1</v>
      </c>
      <c r="T111" s="13">
        <v>23.1</v>
      </c>
      <c r="U111" s="10">
        <v>31</v>
      </c>
      <c r="V111" s="10">
        <v>29</v>
      </c>
      <c r="W111" s="10">
        <f t="shared" si="15"/>
        <v>2</v>
      </c>
      <c r="X111" s="9" t="s">
        <v>1</v>
      </c>
      <c r="Y111" s="11">
        <f t="shared" si="16"/>
        <v>0</v>
      </c>
      <c r="Z111" s="14">
        <v>6</v>
      </c>
    </row>
    <row r="112" spans="1:26" x14ac:dyDescent="0.2">
      <c r="A112" s="12">
        <f t="shared" si="19"/>
        <v>2012</v>
      </c>
      <c r="B112" s="1" t="s">
        <v>21</v>
      </c>
      <c r="C112" s="1">
        <v>6</v>
      </c>
      <c r="D112" s="15">
        <v>298000000</v>
      </c>
      <c r="E112" s="15">
        <f>(292.7/229.6)*298000000</f>
        <v>379898083.62369335</v>
      </c>
      <c r="F112" s="10">
        <f t="shared" si="10"/>
        <v>40.700000000000003</v>
      </c>
      <c r="G112" s="5">
        <v>187.44</v>
      </c>
      <c r="H112" s="1" t="s">
        <v>2</v>
      </c>
      <c r="I112" s="1">
        <f t="shared" si="11"/>
        <v>1</v>
      </c>
      <c r="J112" s="1" t="s">
        <v>1</v>
      </c>
      <c r="K112" s="1">
        <f t="shared" si="12"/>
        <v>0</v>
      </c>
      <c r="L112" s="1" t="s">
        <v>2</v>
      </c>
      <c r="M112" s="1">
        <f t="shared" si="13"/>
        <v>1</v>
      </c>
      <c r="N112" s="1" t="s">
        <v>1</v>
      </c>
      <c r="O112" s="8">
        <v>0.36499999999999999</v>
      </c>
      <c r="P112" s="7">
        <v>0.5</v>
      </c>
      <c r="Q112" s="3">
        <v>0.625</v>
      </c>
      <c r="R112" s="10">
        <f t="shared" si="14"/>
        <v>6.0999999999999979</v>
      </c>
      <c r="S112" s="13">
        <v>23.4</v>
      </c>
      <c r="T112" s="13">
        <v>17.3</v>
      </c>
      <c r="U112" s="10">
        <v>44</v>
      </c>
      <c r="V112" s="10">
        <v>24</v>
      </c>
      <c r="W112" s="10">
        <f t="shared" si="15"/>
        <v>20</v>
      </c>
      <c r="X112" s="9" t="s">
        <v>1</v>
      </c>
      <c r="Y112" s="11">
        <f t="shared" si="16"/>
        <v>0</v>
      </c>
      <c r="Z112" s="14">
        <v>5</v>
      </c>
    </row>
    <row r="113" spans="1:26" x14ac:dyDescent="0.2">
      <c r="A113" s="12">
        <f t="shared" si="19"/>
        <v>2013</v>
      </c>
      <c r="B113" s="1" t="s">
        <v>21</v>
      </c>
      <c r="C113" s="1">
        <v>6</v>
      </c>
      <c r="D113" s="15">
        <v>309000000</v>
      </c>
      <c r="E113" s="15">
        <f>(292.7/233)*309000000</f>
        <v>388172961.37339056</v>
      </c>
      <c r="F113" s="10">
        <f t="shared" si="10"/>
        <v>57.7</v>
      </c>
      <c r="G113" s="5">
        <v>267.56</v>
      </c>
      <c r="H113" s="1" t="s">
        <v>2</v>
      </c>
      <c r="I113" s="1">
        <f t="shared" si="11"/>
        <v>1</v>
      </c>
      <c r="J113" s="1" t="s">
        <v>1</v>
      </c>
      <c r="K113" s="1">
        <f t="shared" si="12"/>
        <v>0</v>
      </c>
      <c r="L113" s="1" t="s">
        <v>2</v>
      </c>
      <c r="M113" s="1">
        <f t="shared" si="13"/>
        <v>1</v>
      </c>
      <c r="N113" s="1" t="s">
        <v>1</v>
      </c>
      <c r="O113" s="8">
        <v>0.42099999999999999</v>
      </c>
      <c r="P113" s="7">
        <v>0.58299999999999996</v>
      </c>
      <c r="Q113" s="3">
        <v>0.5</v>
      </c>
      <c r="R113" s="10">
        <f t="shared" si="14"/>
        <v>-2.0999999999999979</v>
      </c>
      <c r="S113" s="13">
        <v>27.8</v>
      </c>
      <c r="T113" s="13">
        <v>29.9</v>
      </c>
      <c r="U113" s="10">
        <v>28</v>
      </c>
      <c r="V113" s="10">
        <v>23</v>
      </c>
      <c r="W113" s="10">
        <f t="shared" si="15"/>
        <v>5</v>
      </c>
      <c r="X113" s="9" t="s">
        <v>1</v>
      </c>
      <c r="Y113" s="11">
        <f t="shared" si="16"/>
        <v>0</v>
      </c>
      <c r="Z113" s="14">
        <v>5</v>
      </c>
    </row>
    <row r="114" spans="1:26" x14ac:dyDescent="0.2">
      <c r="A114" s="12">
        <f t="shared" si="19"/>
        <v>2014</v>
      </c>
      <c r="B114" s="1" t="s">
        <v>21</v>
      </c>
      <c r="C114" s="1">
        <v>6</v>
      </c>
      <c r="D114" s="15">
        <v>352000000</v>
      </c>
      <c r="E114" s="15">
        <f>(292.7/236.7)*352000000</f>
        <v>435278411.49133921</v>
      </c>
      <c r="F114" s="10">
        <f t="shared" si="10"/>
        <v>47.5</v>
      </c>
      <c r="G114" s="5">
        <v>237</v>
      </c>
      <c r="H114" s="1" t="s">
        <v>2</v>
      </c>
      <c r="I114" s="1">
        <f t="shared" si="11"/>
        <v>1</v>
      </c>
      <c r="J114" s="1" t="s">
        <v>1</v>
      </c>
      <c r="K114" s="1">
        <f t="shared" si="12"/>
        <v>0</v>
      </c>
      <c r="L114" s="1" t="s">
        <v>2</v>
      </c>
      <c r="M114" s="1">
        <f t="shared" si="13"/>
        <v>1</v>
      </c>
      <c r="N114" s="1" t="s">
        <v>1</v>
      </c>
      <c r="O114" s="8">
        <v>0.377</v>
      </c>
      <c r="P114" s="7">
        <v>0.63800000000000001</v>
      </c>
      <c r="Q114" s="3">
        <v>0.3125</v>
      </c>
      <c r="R114" s="10">
        <f t="shared" si="14"/>
        <v>-7.7000000000000028</v>
      </c>
      <c r="S114" s="13">
        <v>19.899999999999999</v>
      </c>
      <c r="T114" s="13">
        <v>27.6</v>
      </c>
      <c r="U114" s="10">
        <v>24</v>
      </c>
      <c r="V114" s="10">
        <v>29</v>
      </c>
      <c r="W114" s="10">
        <f t="shared" si="15"/>
        <v>-5</v>
      </c>
      <c r="X114" s="9" t="s">
        <v>1</v>
      </c>
      <c r="Y114" s="11">
        <f t="shared" si="16"/>
        <v>0</v>
      </c>
      <c r="Z114" s="14">
        <v>2</v>
      </c>
    </row>
    <row r="115" spans="1:26" x14ac:dyDescent="0.2">
      <c r="A115" s="12">
        <f t="shared" si="19"/>
        <v>2015</v>
      </c>
      <c r="B115" s="1" t="s">
        <v>21</v>
      </c>
      <c r="C115" s="1">
        <v>6</v>
      </c>
      <c r="D115" s="15">
        <v>385000000</v>
      </c>
      <c r="E115" s="15">
        <f>(292.7/237)*385000000</f>
        <v>475483122.3628692</v>
      </c>
      <c r="F115" s="10">
        <f t="shared" si="10"/>
        <v>45.7</v>
      </c>
      <c r="G115" s="5">
        <v>228.75</v>
      </c>
      <c r="H115" s="1" t="s">
        <v>2</v>
      </c>
      <c r="I115" s="1">
        <f t="shared" si="11"/>
        <v>1</v>
      </c>
      <c r="J115" s="1" t="s">
        <v>1</v>
      </c>
      <c r="K115" s="1">
        <f t="shared" si="12"/>
        <v>0</v>
      </c>
      <c r="L115" s="1" t="s">
        <v>2</v>
      </c>
      <c r="M115" s="1">
        <f t="shared" si="13"/>
        <v>1</v>
      </c>
      <c r="N115" s="1" t="s">
        <v>2</v>
      </c>
      <c r="O115" s="8">
        <v>0.42499999999999999</v>
      </c>
      <c r="P115" s="7">
        <v>0.48</v>
      </c>
      <c r="Q115" s="3">
        <v>0.375</v>
      </c>
      <c r="R115" s="10">
        <f t="shared" si="14"/>
        <v>-3.9000000000000021</v>
      </c>
      <c r="S115" s="13">
        <v>20.9</v>
      </c>
      <c r="T115" s="13">
        <v>24.8</v>
      </c>
      <c r="U115" s="10">
        <v>17</v>
      </c>
      <c r="V115" s="10">
        <v>21</v>
      </c>
      <c r="W115" s="10">
        <f t="shared" si="15"/>
        <v>-4</v>
      </c>
      <c r="X115" s="9" t="s">
        <v>1</v>
      </c>
      <c r="Y115" s="11">
        <f t="shared" si="16"/>
        <v>0</v>
      </c>
      <c r="Z115" s="14">
        <v>1</v>
      </c>
    </row>
    <row r="116" spans="1:26" x14ac:dyDescent="0.2">
      <c r="A116" s="12">
        <f t="shared" si="19"/>
        <v>2016</v>
      </c>
      <c r="B116" s="1" t="s">
        <v>21</v>
      </c>
      <c r="C116" s="1">
        <v>6</v>
      </c>
      <c r="D116" s="15">
        <v>416000000</v>
      </c>
      <c r="E116" s="15">
        <f>(292.7/240)*416000000</f>
        <v>507346666.66666663</v>
      </c>
      <c r="F116" s="10">
        <f t="shared" si="10"/>
        <v>42.3</v>
      </c>
      <c r="G116" s="5">
        <v>248.06</v>
      </c>
      <c r="H116" s="1" t="s">
        <v>2</v>
      </c>
      <c r="I116" s="1">
        <f t="shared" si="11"/>
        <v>1</v>
      </c>
      <c r="J116" s="1" t="s">
        <v>1</v>
      </c>
      <c r="K116" s="1">
        <f t="shared" si="12"/>
        <v>0</v>
      </c>
      <c r="L116" s="1" t="s">
        <v>2</v>
      </c>
      <c r="M116" s="1">
        <f t="shared" si="13"/>
        <v>1</v>
      </c>
      <c r="N116" s="1" t="s">
        <v>2</v>
      </c>
      <c r="O116" s="8">
        <v>0.378</v>
      </c>
      <c r="P116" s="7">
        <v>0.51</v>
      </c>
      <c r="Q116" s="3">
        <v>0.1875</v>
      </c>
      <c r="R116" s="10">
        <f t="shared" si="14"/>
        <v>-7.5</v>
      </c>
      <c r="S116" s="13">
        <v>17.399999999999999</v>
      </c>
      <c r="T116" s="13">
        <v>24.9</v>
      </c>
      <c r="U116" s="10">
        <v>11</v>
      </c>
      <c r="V116" s="10">
        <v>31</v>
      </c>
      <c r="W116" s="10">
        <f t="shared" si="15"/>
        <v>-20</v>
      </c>
      <c r="X116" s="9" t="s">
        <v>1</v>
      </c>
      <c r="Y116" s="11">
        <f t="shared" si="16"/>
        <v>0</v>
      </c>
      <c r="Z116" s="14">
        <v>2</v>
      </c>
    </row>
    <row r="117" spans="1:26" x14ac:dyDescent="0.2">
      <c r="A117" s="12">
        <f t="shared" si="19"/>
        <v>2017</v>
      </c>
      <c r="B117" s="1" t="s">
        <v>21</v>
      </c>
      <c r="C117" s="1">
        <v>6</v>
      </c>
      <c r="D117" s="15">
        <v>431000000</v>
      </c>
      <c r="E117" s="15">
        <f>(292.7/245.1)*431000000</f>
        <v>514702978.37617296</v>
      </c>
      <c r="F117" s="10">
        <f t="shared" si="10"/>
        <v>36.5</v>
      </c>
      <c r="G117" s="5">
        <v>175.69</v>
      </c>
      <c r="H117" s="1" t="s">
        <v>2</v>
      </c>
      <c r="I117" s="1">
        <f t="shared" si="11"/>
        <v>1</v>
      </c>
      <c r="J117" s="1" t="s">
        <v>1</v>
      </c>
      <c r="K117" s="1">
        <f t="shared" si="12"/>
        <v>0</v>
      </c>
      <c r="L117" s="1" t="s">
        <v>2</v>
      </c>
      <c r="M117" s="1">
        <f t="shared" si="13"/>
        <v>1</v>
      </c>
      <c r="N117" s="1" t="s">
        <v>2</v>
      </c>
      <c r="O117" s="8">
        <v>0.34599999999999997</v>
      </c>
      <c r="P117" s="7">
        <v>0.60599999999999998</v>
      </c>
      <c r="Q117" s="3">
        <v>0.3125</v>
      </c>
      <c r="R117" s="10">
        <f t="shared" si="14"/>
        <v>-3.5</v>
      </c>
      <c r="S117" s="13">
        <v>16.5</v>
      </c>
      <c r="T117" s="13">
        <v>20</v>
      </c>
      <c r="U117" s="10">
        <v>22</v>
      </c>
      <c r="V117" s="10">
        <v>22</v>
      </c>
      <c r="W117" s="10">
        <f t="shared" si="15"/>
        <v>0</v>
      </c>
      <c r="X117" s="9" t="s">
        <v>1</v>
      </c>
      <c r="Y117" s="11">
        <f t="shared" si="16"/>
        <v>0</v>
      </c>
      <c r="Z117" s="14">
        <v>0</v>
      </c>
    </row>
    <row r="118" spans="1:26" x14ac:dyDescent="0.2">
      <c r="A118" s="12">
        <f t="shared" si="19"/>
        <v>2018</v>
      </c>
      <c r="B118" s="1" t="s">
        <v>21</v>
      </c>
      <c r="C118" s="1">
        <v>6</v>
      </c>
      <c r="D118" s="15">
        <v>453000000</v>
      </c>
      <c r="E118" s="15">
        <f>(292.7/251.1)*453000000</f>
        <v>528048984.46833932</v>
      </c>
      <c r="F118" s="10">
        <f t="shared" si="10"/>
        <v>44</v>
      </c>
      <c r="G118" s="5">
        <v>222.75</v>
      </c>
      <c r="H118" s="1" t="s">
        <v>1</v>
      </c>
      <c r="I118" s="1">
        <f t="shared" si="11"/>
        <v>0</v>
      </c>
      <c r="J118" s="1" t="s">
        <v>2</v>
      </c>
      <c r="K118" s="1">
        <f t="shared" si="12"/>
        <v>1</v>
      </c>
      <c r="L118" s="1" t="s">
        <v>2</v>
      </c>
      <c r="M118" s="1">
        <f t="shared" si="13"/>
        <v>1</v>
      </c>
      <c r="N118" s="1" t="s">
        <v>2</v>
      </c>
      <c r="O118" s="8">
        <v>0.41</v>
      </c>
      <c r="P118" s="7">
        <v>0.66700000000000004</v>
      </c>
      <c r="Q118" s="3">
        <v>0.75</v>
      </c>
      <c r="R118" s="10">
        <f t="shared" si="14"/>
        <v>8.6000000000000014</v>
      </c>
      <c r="S118" s="13">
        <v>26.3</v>
      </c>
      <c r="T118" s="13">
        <v>17.7</v>
      </c>
      <c r="U118" s="10">
        <v>36</v>
      </c>
      <c r="V118" s="10">
        <v>24</v>
      </c>
      <c r="W118" s="10">
        <f t="shared" si="15"/>
        <v>12</v>
      </c>
      <c r="X118" s="9" t="s">
        <v>2</v>
      </c>
      <c r="Y118" s="11">
        <f t="shared" si="16"/>
        <v>1</v>
      </c>
      <c r="Z118" s="14">
        <v>8</v>
      </c>
    </row>
    <row r="119" spans="1:26" x14ac:dyDescent="0.2">
      <c r="A119" s="12">
        <f t="shared" si="19"/>
        <v>2019</v>
      </c>
      <c r="B119" s="1" t="s">
        <v>21</v>
      </c>
      <c r="C119" s="1">
        <v>6</v>
      </c>
      <c r="D119" s="15">
        <v>477000000</v>
      </c>
      <c r="E119" s="15">
        <f>(292.7/255.7)*477000000</f>
        <v>546022291.74814236</v>
      </c>
      <c r="F119" s="10">
        <f t="shared" si="10"/>
        <v>36.1</v>
      </c>
      <c r="G119" s="5">
        <v>205.69</v>
      </c>
      <c r="H119" s="1" t="s">
        <v>1</v>
      </c>
      <c r="I119" s="1">
        <f t="shared" si="11"/>
        <v>0</v>
      </c>
      <c r="J119" s="1" t="s">
        <v>2</v>
      </c>
      <c r="K119" s="1">
        <f t="shared" si="12"/>
        <v>1</v>
      </c>
      <c r="L119" s="1" t="s">
        <v>2</v>
      </c>
      <c r="M119" s="1">
        <f t="shared" si="13"/>
        <v>1</v>
      </c>
      <c r="N119" s="1" t="s">
        <v>2</v>
      </c>
      <c r="O119" s="8">
        <v>0.35599999999999998</v>
      </c>
      <c r="P119" s="7">
        <v>0.52200000000000002</v>
      </c>
      <c r="Q119" s="3">
        <v>0.5</v>
      </c>
      <c r="R119" s="10">
        <f t="shared" si="14"/>
        <v>-1.1000000000000014</v>
      </c>
      <c r="S119" s="13">
        <v>17.5</v>
      </c>
      <c r="T119" s="13">
        <v>18.600000000000001</v>
      </c>
      <c r="U119" s="10">
        <v>19</v>
      </c>
      <c r="V119" s="10">
        <v>19</v>
      </c>
      <c r="W119" s="10">
        <f t="shared" si="15"/>
        <v>0</v>
      </c>
      <c r="X119" s="9" t="s">
        <v>1</v>
      </c>
      <c r="Y119" s="11">
        <f t="shared" si="16"/>
        <v>0</v>
      </c>
      <c r="Z119" s="14">
        <v>4</v>
      </c>
    </row>
    <row r="120" spans="1:26" x14ac:dyDescent="0.2">
      <c r="A120" s="12">
        <v>2021</v>
      </c>
      <c r="B120" s="1" t="s">
        <v>21</v>
      </c>
      <c r="C120" s="1">
        <v>6</v>
      </c>
      <c r="D120" s="15">
        <v>520000000</v>
      </c>
      <c r="E120" s="15">
        <f>(292.7/271)*520000000</f>
        <v>561638376.38376379</v>
      </c>
      <c r="F120" s="10">
        <f t="shared" si="10"/>
        <v>42.2</v>
      </c>
      <c r="G120" s="5">
        <v>188.65</v>
      </c>
      <c r="H120" s="1" t="s">
        <v>1</v>
      </c>
      <c r="I120" s="1">
        <f t="shared" si="11"/>
        <v>0</v>
      </c>
      <c r="J120" s="1" t="s">
        <v>2</v>
      </c>
      <c r="K120" s="1">
        <f t="shared" si="12"/>
        <v>1</v>
      </c>
      <c r="L120" s="1" t="s">
        <v>2</v>
      </c>
      <c r="M120" s="1">
        <f t="shared" si="13"/>
        <v>1</v>
      </c>
      <c r="N120" s="1" t="s">
        <v>2</v>
      </c>
      <c r="O120" s="8">
        <v>0.34699999999999998</v>
      </c>
      <c r="P120" s="7">
        <v>0.47899999999999998</v>
      </c>
      <c r="Q120" s="3">
        <v>0.35289999999999999</v>
      </c>
      <c r="R120" s="10">
        <f t="shared" si="14"/>
        <v>-5.5999999999999979</v>
      </c>
      <c r="S120" s="13">
        <v>18.3</v>
      </c>
      <c r="T120" s="13">
        <v>23.9</v>
      </c>
      <c r="U120" s="10">
        <v>16</v>
      </c>
      <c r="V120" s="10">
        <v>29</v>
      </c>
      <c r="W120" s="10">
        <f t="shared" si="15"/>
        <v>-13</v>
      </c>
      <c r="X120" s="9" t="s">
        <v>1</v>
      </c>
      <c r="Y120" s="11">
        <f t="shared" si="16"/>
        <v>0</v>
      </c>
      <c r="Z120" s="14">
        <v>1</v>
      </c>
    </row>
    <row r="121" spans="1:26" x14ac:dyDescent="0.2">
      <c r="A121" s="12">
        <f>A120+1</f>
        <v>2022</v>
      </c>
      <c r="B121" s="1" t="s">
        <v>21</v>
      </c>
      <c r="C121" s="1">
        <v>6</v>
      </c>
      <c r="D121" s="15">
        <v>556000000</v>
      </c>
      <c r="E121" s="15">
        <f>(292.7/292.7)*556000000</f>
        <v>556000000</v>
      </c>
      <c r="F121" s="10">
        <f t="shared" si="10"/>
        <v>46.4</v>
      </c>
      <c r="G121" s="5">
        <v>130.53</v>
      </c>
      <c r="H121" s="1" t="s">
        <v>1</v>
      </c>
      <c r="I121" s="1">
        <f t="shared" si="11"/>
        <v>0</v>
      </c>
      <c r="J121" s="1" t="s">
        <v>2</v>
      </c>
      <c r="K121" s="1">
        <f t="shared" si="12"/>
        <v>1</v>
      </c>
      <c r="L121" s="1" t="s">
        <v>2</v>
      </c>
      <c r="M121" s="1">
        <f t="shared" si="13"/>
        <v>1</v>
      </c>
      <c r="N121" s="1" t="s">
        <v>2</v>
      </c>
      <c r="O121" s="8">
        <v>0.40899999999999997</v>
      </c>
      <c r="P121" s="7">
        <v>0.56000000000000005</v>
      </c>
      <c r="Q121" s="3">
        <v>0.17649999999999999</v>
      </c>
      <c r="R121" s="10">
        <f t="shared" si="14"/>
        <v>-8</v>
      </c>
      <c r="S121" s="13">
        <v>19.2</v>
      </c>
      <c r="T121" s="13">
        <v>27.2</v>
      </c>
      <c r="U121" s="10">
        <v>23</v>
      </c>
      <c r="V121" s="10">
        <v>25</v>
      </c>
      <c r="W121" s="10">
        <f t="shared" si="15"/>
        <v>-2</v>
      </c>
      <c r="X121" s="9" t="s">
        <v>1</v>
      </c>
      <c r="Y121" s="11">
        <f t="shared" si="16"/>
        <v>0</v>
      </c>
      <c r="Z121" s="14">
        <v>0</v>
      </c>
    </row>
    <row r="122" spans="1:26" x14ac:dyDescent="0.2">
      <c r="A122" s="12">
        <v>2002</v>
      </c>
      <c r="B122" s="1" t="s">
        <v>22</v>
      </c>
      <c r="C122" s="1">
        <v>7</v>
      </c>
      <c r="D122" s="15">
        <v>141000000</v>
      </c>
      <c r="E122" s="15">
        <f>(292.7/179.9)*141000000</f>
        <v>229409116.17565313</v>
      </c>
      <c r="F122" s="10">
        <f t="shared" si="10"/>
        <v>45.9</v>
      </c>
      <c r="G122" s="5">
        <f>3476/16</f>
        <v>217.25</v>
      </c>
      <c r="H122" s="4" t="s">
        <v>1</v>
      </c>
      <c r="I122" s="1">
        <f t="shared" si="11"/>
        <v>0</v>
      </c>
      <c r="J122" s="1" t="s">
        <v>1</v>
      </c>
      <c r="K122" s="1">
        <f t="shared" si="12"/>
        <v>0</v>
      </c>
      <c r="L122" s="1" t="s">
        <v>1</v>
      </c>
      <c r="M122" s="1">
        <f t="shared" si="13"/>
        <v>0</v>
      </c>
      <c r="N122" s="1" t="s">
        <v>1</v>
      </c>
      <c r="O122" s="8">
        <v>0.39</v>
      </c>
      <c r="P122" s="7">
        <v>0.45200000000000001</v>
      </c>
      <c r="Q122" s="3">
        <f>3/16</f>
        <v>0.1875</v>
      </c>
      <c r="R122" s="10">
        <f t="shared" si="14"/>
        <v>-11.100000000000001</v>
      </c>
      <c r="S122" s="13">
        <v>17.399999999999999</v>
      </c>
      <c r="T122" s="13">
        <v>28.5</v>
      </c>
      <c r="U122" s="10">
        <v>20</v>
      </c>
      <c r="V122" s="10">
        <v>35</v>
      </c>
      <c r="W122" s="10">
        <f t="shared" si="15"/>
        <v>-15</v>
      </c>
      <c r="X122" s="9" t="s">
        <v>1</v>
      </c>
      <c r="Y122" s="11">
        <f t="shared" si="16"/>
        <v>0</v>
      </c>
      <c r="Z122" s="14">
        <v>1</v>
      </c>
    </row>
    <row r="123" spans="1:26" x14ac:dyDescent="0.2">
      <c r="A123" s="12">
        <f>A122+1</f>
        <v>2003</v>
      </c>
      <c r="B123" s="1" t="s">
        <v>22</v>
      </c>
      <c r="C123" s="1">
        <v>7</v>
      </c>
      <c r="D123" s="15">
        <v>150000000</v>
      </c>
      <c r="E123" s="15">
        <f>(292.7/184)*150000000</f>
        <v>238614130.43478259</v>
      </c>
      <c r="F123" s="10">
        <f t="shared" si="10"/>
        <v>45.6</v>
      </c>
      <c r="G123" s="5">
        <f>3342/16</f>
        <v>208.875</v>
      </c>
      <c r="H123" s="4" t="s">
        <v>1</v>
      </c>
      <c r="I123" s="1">
        <f t="shared" si="11"/>
        <v>0</v>
      </c>
      <c r="J123" s="1" t="s">
        <v>1</v>
      </c>
      <c r="K123" s="1">
        <f t="shared" si="12"/>
        <v>0</v>
      </c>
      <c r="L123" s="1" t="s">
        <v>1</v>
      </c>
      <c r="M123" s="1">
        <f t="shared" si="13"/>
        <v>0</v>
      </c>
      <c r="N123" s="1" t="s">
        <v>1</v>
      </c>
      <c r="O123" s="8">
        <v>0.44700000000000001</v>
      </c>
      <c r="P123" s="7">
        <v>0.41699999999999998</v>
      </c>
      <c r="Q123" s="3">
        <f>8/16</f>
        <v>0.5</v>
      </c>
      <c r="R123" s="10">
        <f t="shared" si="14"/>
        <v>-2.3999999999999986</v>
      </c>
      <c r="S123" s="13">
        <v>21.6</v>
      </c>
      <c r="T123" s="13">
        <v>24</v>
      </c>
      <c r="U123" s="10">
        <v>24</v>
      </c>
      <c r="V123" s="10">
        <v>22</v>
      </c>
      <c r="W123" s="10">
        <f t="shared" si="15"/>
        <v>2</v>
      </c>
      <c r="X123" s="9" t="s">
        <v>1</v>
      </c>
      <c r="Y123" s="11">
        <f t="shared" si="16"/>
        <v>0</v>
      </c>
      <c r="Z123" s="14">
        <v>2</v>
      </c>
    </row>
    <row r="124" spans="1:26" x14ac:dyDescent="0.2">
      <c r="A124" s="12">
        <f>A123+1</f>
        <v>2004</v>
      </c>
      <c r="B124" s="1" t="s">
        <v>22</v>
      </c>
      <c r="C124" s="1">
        <v>7</v>
      </c>
      <c r="D124" s="15">
        <v>171000000</v>
      </c>
      <c r="E124" s="15">
        <f>(292.7/188.9)*171000000</f>
        <v>264964002.11752248</v>
      </c>
      <c r="F124" s="10">
        <f t="shared" si="10"/>
        <v>46.7</v>
      </c>
      <c r="G124" s="5">
        <f>3301/16</f>
        <v>206.3125</v>
      </c>
      <c r="H124" s="4" t="s">
        <v>1</v>
      </c>
      <c r="I124" s="1">
        <f t="shared" si="11"/>
        <v>0</v>
      </c>
      <c r="J124" s="1" t="s">
        <v>1</v>
      </c>
      <c r="K124" s="1">
        <f t="shared" si="12"/>
        <v>0</v>
      </c>
      <c r="L124" s="1" t="s">
        <v>1</v>
      </c>
      <c r="M124" s="1">
        <f t="shared" si="13"/>
        <v>0</v>
      </c>
      <c r="N124" s="1" t="s">
        <v>1</v>
      </c>
      <c r="O124" s="8">
        <v>0.40200000000000002</v>
      </c>
      <c r="P124" s="7">
        <v>0.50900000000000001</v>
      </c>
      <c r="Q124" s="3">
        <f>8/16</f>
        <v>0.5</v>
      </c>
      <c r="R124" s="10">
        <f t="shared" si="14"/>
        <v>9.9999999999997868E-2</v>
      </c>
      <c r="S124" s="13">
        <v>23.4</v>
      </c>
      <c r="T124" s="13">
        <v>23.3</v>
      </c>
      <c r="U124" s="10">
        <v>36</v>
      </c>
      <c r="V124" s="10">
        <v>32</v>
      </c>
      <c r="W124" s="10">
        <f t="shared" si="15"/>
        <v>4</v>
      </c>
      <c r="X124" s="9" t="s">
        <v>1</v>
      </c>
      <c r="Y124" s="11">
        <f t="shared" si="16"/>
        <v>0</v>
      </c>
      <c r="Z124" s="14">
        <v>4</v>
      </c>
    </row>
    <row r="125" spans="1:26" x14ac:dyDescent="0.2">
      <c r="A125" s="12">
        <f>A124+1</f>
        <v>2005</v>
      </c>
      <c r="B125" s="1" t="s">
        <v>22</v>
      </c>
      <c r="C125" s="1">
        <v>7</v>
      </c>
      <c r="D125" s="15">
        <v>175000000</v>
      </c>
      <c r="E125" s="15">
        <f>(292.7/195.3)*175000000</f>
        <v>262275985.66308239</v>
      </c>
      <c r="F125" s="10">
        <f t="shared" si="10"/>
        <v>48.2</v>
      </c>
      <c r="G125" s="5">
        <f>3820/16</f>
        <v>238.75</v>
      </c>
      <c r="H125" s="4" t="s">
        <v>1</v>
      </c>
      <c r="I125" s="1">
        <f t="shared" si="11"/>
        <v>0</v>
      </c>
      <c r="J125" s="1" t="s">
        <v>1</v>
      </c>
      <c r="K125" s="1">
        <f t="shared" si="12"/>
        <v>0</v>
      </c>
      <c r="L125" s="1" t="s">
        <v>1</v>
      </c>
      <c r="M125" s="1">
        <f t="shared" si="13"/>
        <v>0</v>
      </c>
      <c r="N125" s="1" t="s">
        <v>1</v>
      </c>
      <c r="O125" s="8">
        <v>0.42899999999999999</v>
      </c>
      <c r="P125" s="7">
        <v>0.56499999999999995</v>
      </c>
      <c r="Q125" s="3">
        <f>11/16</f>
        <v>0.6875</v>
      </c>
      <c r="R125" s="10">
        <f t="shared" si="14"/>
        <v>4.4000000000000021</v>
      </c>
      <c r="S125" s="13">
        <v>26.3</v>
      </c>
      <c r="T125" s="13">
        <v>21.9</v>
      </c>
      <c r="U125" s="10">
        <v>44</v>
      </c>
      <c r="V125" s="10">
        <v>20</v>
      </c>
      <c r="W125" s="10">
        <f t="shared" si="15"/>
        <v>24</v>
      </c>
      <c r="X125" s="9" t="s">
        <v>2</v>
      </c>
      <c r="Y125" s="11">
        <f t="shared" si="16"/>
        <v>1</v>
      </c>
      <c r="Z125" s="14">
        <v>5</v>
      </c>
    </row>
    <row r="126" spans="1:26" x14ac:dyDescent="0.2">
      <c r="A126" s="12">
        <f>A125+1</f>
        <v>2006</v>
      </c>
      <c r="B126" s="1" t="s">
        <v>22</v>
      </c>
      <c r="C126" s="1">
        <v>7</v>
      </c>
      <c r="D126" s="15">
        <v>194000000</v>
      </c>
      <c r="E126" s="15">
        <f>(292.7/201.6)*194000000</f>
        <v>281665674.60317463</v>
      </c>
      <c r="F126" s="10">
        <f t="shared" si="10"/>
        <v>44</v>
      </c>
      <c r="G126" s="5">
        <f>3833/16</f>
        <v>239.5625</v>
      </c>
      <c r="H126" s="4" t="s">
        <v>1</v>
      </c>
      <c r="I126" s="1">
        <f t="shared" si="11"/>
        <v>0</v>
      </c>
      <c r="J126" s="1" t="s">
        <v>1</v>
      </c>
      <c r="K126" s="1">
        <f t="shared" si="12"/>
        <v>0</v>
      </c>
      <c r="L126" s="1" t="s">
        <v>1</v>
      </c>
      <c r="M126" s="1">
        <f t="shared" si="13"/>
        <v>0</v>
      </c>
      <c r="N126" s="1" t="s">
        <v>1</v>
      </c>
      <c r="O126" s="8">
        <v>0.35799999999999998</v>
      </c>
      <c r="P126" s="7">
        <v>0.57699999999999996</v>
      </c>
      <c r="Q126" s="3">
        <f>8/16</f>
        <v>0.5</v>
      </c>
      <c r="R126" s="10">
        <f t="shared" si="14"/>
        <v>2.6000000000000014</v>
      </c>
      <c r="S126" s="13">
        <v>23.3</v>
      </c>
      <c r="T126" s="13">
        <v>20.7</v>
      </c>
      <c r="U126" s="10">
        <v>31</v>
      </c>
      <c r="V126" s="10">
        <v>24</v>
      </c>
      <c r="W126" s="10">
        <f t="shared" si="15"/>
        <v>7</v>
      </c>
      <c r="X126" s="9" t="s">
        <v>1</v>
      </c>
      <c r="Y126" s="11">
        <f t="shared" si="16"/>
        <v>0</v>
      </c>
      <c r="Z126" s="14">
        <v>3</v>
      </c>
    </row>
    <row r="127" spans="1:26" x14ac:dyDescent="0.2">
      <c r="A127" s="12">
        <f>A126+1</f>
        <v>2007</v>
      </c>
      <c r="B127" s="1" t="s">
        <v>22</v>
      </c>
      <c r="C127" s="1">
        <v>7</v>
      </c>
      <c r="D127" s="15">
        <v>205000000</v>
      </c>
      <c r="E127" s="15">
        <f>(292.7/207.3)*205000000</f>
        <v>289452484.32223827</v>
      </c>
      <c r="F127" s="10">
        <f t="shared" si="10"/>
        <v>47.900000000000006</v>
      </c>
      <c r="G127" s="5">
        <f>4012/16</f>
        <v>250.75</v>
      </c>
      <c r="H127" s="4" t="s">
        <v>1</v>
      </c>
      <c r="I127" s="1">
        <f t="shared" si="11"/>
        <v>0</v>
      </c>
      <c r="J127" s="1" t="s">
        <v>1</v>
      </c>
      <c r="K127" s="1">
        <f t="shared" si="12"/>
        <v>0</v>
      </c>
      <c r="L127" s="1" t="s">
        <v>1</v>
      </c>
      <c r="M127" s="1">
        <f t="shared" si="13"/>
        <v>0</v>
      </c>
      <c r="N127" s="1" t="s">
        <v>1</v>
      </c>
      <c r="O127" s="8">
        <v>0.46200000000000002</v>
      </c>
      <c r="P127" s="7">
        <v>0.48199999999999998</v>
      </c>
      <c r="Q127" s="3">
        <f>7/16</f>
        <v>0.4375</v>
      </c>
      <c r="R127" s="10">
        <f t="shared" si="14"/>
        <v>-0.30000000000000071</v>
      </c>
      <c r="S127" s="13">
        <v>23.8</v>
      </c>
      <c r="T127" s="13">
        <v>24.1</v>
      </c>
      <c r="U127" s="10">
        <v>35</v>
      </c>
      <c r="V127" s="10">
        <v>30</v>
      </c>
      <c r="W127" s="10">
        <f t="shared" si="15"/>
        <v>5</v>
      </c>
      <c r="X127" s="9" t="s">
        <v>1</v>
      </c>
      <c r="Y127" s="11">
        <f t="shared" si="16"/>
        <v>0</v>
      </c>
      <c r="Z127" s="14">
        <v>2</v>
      </c>
    </row>
    <row r="128" spans="1:26" x14ac:dyDescent="0.2">
      <c r="A128" s="12">
        <v>2008</v>
      </c>
      <c r="B128" s="1" t="s">
        <v>22</v>
      </c>
      <c r="C128" s="1">
        <v>7</v>
      </c>
      <c r="D128" s="15">
        <v>222000000</v>
      </c>
      <c r="E128" s="15">
        <f>(292.7/215.3)*222000000</f>
        <v>301808639.10822105</v>
      </c>
      <c r="F128" s="10">
        <f t="shared" si="10"/>
        <v>35.6</v>
      </c>
      <c r="G128" s="5">
        <v>150.38</v>
      </c>
      <c r="H128" s="4" t="s">
        <v>1</v>
      </c>
      <c r="I128" s="1">
        <f t="shared" si="11"/>
        <v>0</v>
      </c>
      <c r="J128" s="1" t="s">
        <v>1</v>
      </c>
      <c r="K128" s="1">
        <f t="shared" si="12"/>
        <v>0</v>
      </c>
      <c r="L128" s="1" t="s">
        <v>1</v>
      </c>
      <c r="M128" s="1">
        <f t="shared" si="13"/>
        <v>0</v>
      </c>
      <c r="N128" s="1" t="s">
        <v>1</v>
      </c>
      <c r="O128" s="8">
        <v>0.34699999999999998</v>
      </c>
      <c r="P128" s="7">
        <v>0.45500000000000002</v>
      </c>
      <c r="Q128" s="3">
        <f>4.5/16</f>
        <v>0.28125</v>
      </c>
      <c r="R128" s="10">
        <f t="shared" si="14"/>
        <v>-10</v>
      </c>
      <c r="S128" s="13">
        <v>12.8</v>
      </c>
      <c r="T128" s="13">
        <v>22.8</v>
      </c>
      <c r="U128" s="10">
        <v>24</v>
      </c>
      <c r="V128" s="10">
        <v>26</v>
      </c>
      <c r="W128" s="10">
        <f t="shared" si="15"/>
        <v>-2</v>
      </c>
      <c r="X128" s="9" t="s">
        <v>1</v>
      </c>
      <c r="Y128" s="11">
        <f t="shared" si="16"/>
        <v>0</v>
      </c>
      <c r="Z128" s="14">
        <v>0</v>
      </c>
    </row>
    <row r="129" spans="1:26" x14ac:dyDescent="0.2">
      <c r="A129" s="12">
        <f t="shared" ref="A129:A139" si="20">A128+1</f>
        <v>2009</v>
      </c>
      <c r="B129" s="1" t="s">
        <v>22</v>
      </c>
      <c r="C129" s="1">
        <v>7</v>
      </c>
      <c r="D129" s="15">
        <v>232000000</v>
      </c>
      <c r="E129" s="15">
        <f>(292.7/214.5)*232000000</f>
        <v>316579953.37995338</v>
      </c>
      <c r="F129" s="10">
        <f t="shared" si="10"/>
        <v>37.299999999999997</v>
      </c>
      <c r="G129" s="5">
        <v>180.63</v>
      </c>
      <c r="H129" s="4" t="s">
        <v>2</v>
      </c>
      <c r="I129" s="1">
        <f t="shared" si="11"/>
        <v>1</v>
      </c>
      <c r="J129" s="1" t="s">
        <v>1</v>
      </c>
      <c r="K129" s="1">
        <f t="shared" si="12"/>
        <v>0</v>
      </c>
      <c r="L129" s="1" t="s">
        <v>2</v>
      </c>
      <c r="M129" s="1">
        <f t="shared" si="13"/>
        <v>1</v>
      </c>
      <c r="N129" s="1" t="s">
        <v>1</v>
      </c>
      <c r="O129" s="8">
        <v>0.40600000000000003</v>
      </c>
      <c r="P129" s="7">
        <v>0.5</v>
      </c>
      <c r="Q129" s="3">
        <v>0.625</v>
      </c>
      <c r="R129" s="10">
        <f t="shared" si="14"/>
        <v>0.90000000000000213</v>
      </c>
      <c r="S129" s="13">
        <v>19.100000000000001</v>
      </c>
      <c r="T129" s="13">
        <v>18.2</v>
      </c>
      <c r="U129" s="10">
        <v>25</v>
      </c>
      <c r="V129" s="10">
        <v>25</v>
      </c>
      <c r="W129" s="10">
        <f t="shared" si="15"/>
        <v>0</v>
      </c>
      <c r="X129" s="9" t="s">
        <v>2</v>
      </c>
      <c r="Y129" s="11">
        <f t="shared" si="16"/>
        <v>1</v>
      </c>
      <c r="Z129" s="14">
        <v>1</v>
      </c>
    </row>
    <row r="130" spans="1:26" x14ac:dyDescent="0.2">
      <c r="A130" s="12">
        <f t="shared" si="20"/>
        <v>2010</v>
      </c>
      <c r="B130" s="1" t="s">
        <v>22</v>
      </c>
      <c r="C130" s="1">
        <v>7</v>
      </c>
      <c r="D130" s="15">
        <v>236000000</v>
      </c>
      <c r="E130" s="15">
        <f>(292.7/218.1)*236000000</f>
        <v>316722604.30994958</v>
      </c>
      <c r="F130" s="10">
        <f t="shared" ref="F130:F193" si="21">S130+T130</f>
        <v>44.8</v>
      </c>
      <c r="G130" s="5">
        <v>235.44</v>
      </c>
      <c r="H130" s="4" t="s">
        <v>2</v>
      </c>
      <c r="I130" s="1">
        <f t="shared" ref="I130:I193" si="22">IF(H130="No",0,1)</f>
        <v>1</v>
      </c>
      <c r="J130" s="1" t="s">
        <v>1</v>
      </c>
      <c r="K130" s="1">
        <f t="shared" ref="K130:K193" si="23">IF(J130="No",0,1)</f>
        <v>0</v>
      </c>
      <c r="L130" s="1" t="s">
        <v>2</v>
      </c>
      <c r="M130" s="1">
        <f t="shared" ref="M130:M193" si="24">IF(L130="No",0,1)</f>
        <v>1</v>
      </c>
      <c r="N130" s="1" t="s">
        <v>1</v>
      </c>
      <c r="O130" s="8">
        <v>0.38800000000000001</v>
      </c>
      <c r="P130" s="7">
        <v>0.49099999999999999</v>
      </c>
      <c r="Q130" s="3">
        <v>0.25</v>
      </c>
      <c r="R130" s="10">
        <f t="shared" ref="R130:R193" si="25">S130-T130</f>
        <v>-4.5999999999999979</v>
      </c>
      <c r="S130" s="13">
        <v>20.100000000000001</v>
      </c>
      <c r="T130" s="13">
        <v>24.7</v>
      </c>
      <c r="U130" s="10">
        <v>26</v>
      </c>
      <c r="V130" s="10">
        <v>34</v>
      </c>
      <c r="W130" s="10">
        <f t="shared" ref="W130:W193" si="26">U130-V130</f>
        <v>-8</v>
      </c>
      <c r="X130" s="9" t="s">
        <v>1</v>
      </c>
      <c r="Y130" s="11">
        <f t="shared" ref="Y130:Y193" si="27">IF(X130="No",0,1)</f>
        <v>0</v>
      </c>
      <c r="Z130" s="14">
        <v>0</v>
      </c>
    </row>
    <row r="131" spans="1:26" x14ac:dyDescent="0.2">
      <c r="A131" s="12">
        <f t="shared" si="20"/>
        <v>2011</v>
      </c>
      <c r="B131" s="1" t="s">
        <v>22</v>
      </c>
      <c r="C131" s="1">
        <v>7</v>
      </c>
      <c r="D131" s="15">
        <v>235000000</v>
      </c>
      <c r="E131" s="15">
        <f>(292.7/224.9)*235000000</f>
        <v>305844819.91996443</v>
      </c>
      <c r="F131" s="10">
        <f t="shared" si="21"/>
        <v>41.7</v>
      </c>
      <c r="G131" s="5">
        <v>208.75</v>
      </c>
      <c r="H131" s="4" t="s">
        <v>2</v>
      </c>
      <c r="I131" s="1">
        <f t="shared" si="22"/>
        <v>1</v>
      </c>
      <c r="J131" s="1" t="s">
        <v>1</v>
      </c>
      <c r="K131" s="1">
        <f t="shared" si="23"/>
        <v>0</v>
      </c>
      <c r="L131" s="1" t="s">
        <v>2</v>
      </c>
      <c r="M131" s="1">
        <f t="shared" si="24"/>
        <v>1</v>
      </c>
      <c r="N131" s="1" t="s">
        <v>1</v>
      </c>
      <c r="O131" s="8">
        <v>0.36499999999999999</v>
      </c>
      <c r="P131" s="7">
        <v>0.45100000000000001</v>
      </c>
      <c r="Q131" s="3">
        <v>0.5625</v>
      </c>
      <c r="R131" s="10">
        <f t="shared" si="25"/>
        <v>1.3000000000000007</v>
      </c>
      <c r="S131" s="13">
        <v>21.5</v>
      </c>
      <c r="T131" s="13">
        <v>20.2</v>
      </c>
      <c r="U131" s="10">
        <v>22</v>
      </c>
      <c r="V131" s="10">
        <v>22</v>
      </c>
      <c r="W131" s="10">
        <f t="shared" si="26"/>
        <v>0</v>
      </c>
      <c r="X131" s="9" t="s">
        <v>2</v>
      </c>
      <c r="Y131" s="11">
        <f t="shared" si="27"/>
        <v>1</v>
      </c>
      <c r="Z131" s="14">
        <v>4</v>
      </c>
    </row>
    <row r="132" spans="1:26" x14ac:dyDescent="0.2">
      <c r="A132" s="12">
        <f t="shared" si="20"/>
        <v>2012</v>
      </c>
      <c r="B132" s="1" t="s">
        <v>22</v>
      </c>
      <c r="C132" s="1">
        <v>7</v>
      </c>
      <c r="D132" s="15">
        <v>250000000</v>
      </c>
      <c r="E132" s="15">
        <f>(292.7/229.6)*250000000</f>
        <v>318706445.99303132</v>
      </c>
      <c r="F132" s="10">
        <f t="shared" si="21"/>
        <v>44.4</v>
      </c>
      <c r="G132" s="5">
        <v>223.63</v>
      </c>
      <c r="H132" s="4" t="s">
        <v>2</v>
      </c>
      <c r="I132" s="1">
        <f t="shared" si="22"/>
        <v>1</v>
      </c>
      <c r="J132" s="1" t="s">
        <v>1</v>
      </c>
      <c r="K132" s="1">
        <f t="shared" si="23"/>
        <v>0</v>
      </c>
      <c r="L132" s="1" t="s">
        <v>2</v>
      </c>
      <c r="M132" s="1">
        <f t="shared" si="24"/>
        <v>1</v>
      </c>
      <c r="N132" s="1" t="s">
        <v>1</v>
      </c>
      <c r="O132" s="8">
        <v>0.34100000000000003</v>
      </c>
      <c r="P132" s="7">
        <v>0.54400000000000004</v>
      </c>
      <c r="Q132" s="3">
        <v>0.625</v>
      </c>
      <c r="R132" s="10">
        <f t="shared" si="25"/>
        <v>4.3999999999999986</v>
      </c>
      <c r="S132" s="13">
        <v>24.4</v>
      </c>
      <c r="T132" s="13">
        <v>20</v>
      </c>
      <c r="U132" s="10">
        <v>30</v>
      </c>
      <c r="V132" s="10">
        <v>26</v>
      </c>
      <c r="W132" s="10">
        <f t="shared" si="26"/>
        <v>4</v>
      </c>
      <c r="X132" s="9" t="s">
        <v>2</v>
      </c>
      <c r="Y132" s="11">
        <f t="shared" si="27"/>
        <v>1</v>
      </c>
      <c r="Z132" s="14">
        <v>4</v>
      </c>
    </row>
    <row r="133" spans="1:26" x14ac:dyDescent="0.2">
      <c r="A133" s="12">
        <f t="shared" si="20"/>
        <v>2013</v>
      </c>
      <c r="B133" s="1" t="s">
        <v>22</v>
      </c>
      <c r="C133" s="1">
        <v>7</v>
      </c>
      <c r="D133" s="15">
        <v>258000000</v>
      </c>
      <c r="E133" s="15">
        <f>(292.7/233)*258000000</f>
        <v>324105579.39914161</v>
      </c>
      <c r="F133" s="10">
        <f t="shared" si="21"/>
        <v>46</v>
      </c>
      <c r="G133" s="5">
        <v>258.5</v>
      </c>
      <c r="H133" s="4" t="s">
        <v>2</v>
      </c>
      <c r="I133" s="1">
        <f t="shared" si="22"/>
        <v>1</v>
      </c>
      <c r="J133" s="1" t="s">
        <v>1</v>
      </c>
      <c r="K133" s="1">
        <f t="shared" si="23"/>
        <v>0</v>
      </c>
      <c r="L133" s="1" t="s">
        <v>2</v>
      </c>
      <c r="M133" s="1">
        <f t="shared" si="24"/>
        <v>1</v>
      </c>
      <c r="N133" s="1" t="s">
        <v>1</v>
      </c>
      <c r="O133" s="8">
        <v>0.40899999999999997</v>
      </c>
      <c r="P133" s="7">
        <v>0.73899999999999999</v>
      </c>
      <c r="Q133" s="3">
        <v>0.6875</v>
      </c>
      <c r="R133" s="10">
        <f t="shared" si="25"/>
        <v>7.7999999999999972</v>
      </c>
      <c r="S133" s="13">
        <v>26.9</v>
      </c>
      <c r="T133" s="13">
        <v>19.100000000000001</v>
      </c>
      <c r="U133" s="10">
        <v>31</v>
      </c>
      <c r="V133" s="10">
        <v>30</v>
      </c>
      <c r="W133" s="10">
        <f t="shared" si="26"/>
        <v>1</v>
      </c>
      <c r="X133" s="9" t="s">
        <v>2</v>
      </c>
      <c r="Y133" s="11">
        <f t="shared" si="27"/>
        <v>1</v>
      </c>
      <c r="Z133" s="14">
        <v>2</v>
      </c>
    </row>
    <row r="134" spans="1:26" x14ac:dyDescent="0.2">
      <c r="A134" s="12">
        <f t="shared" si="20"/>
        <v>2014</v>
      </c>
      <c r="B134" s="1" t="s">
        <v>22</v>
      </c>
      <c r="C134" s="1">
        <v>7</v>
      </c>
      <c r="D134" s="15">
        <v>296000000</v>
      </c>
      <c r="E134" s="15">
        <f>(292.7/236.7)*296000000</f>
        <v>366029573.29953527</v>
      </c>
      <c r="F134" s="10">
        <f t="shared" si="21"/>
        <v>44.3</v>
      </c>
      <c r="G134" s="5">
        <f>3421/16</f>
        <v>213.8125</v>
      </c>
      <c r="H134" s="4" t="s">
        <v>2</v>
      </c>
      <c r="I134" s="1">
        <f t="shared" si="22"/>
        <v>1</v>
      </c>
      <c r="J134" s="1" t="s">
        <v>1</v>
      </c>
      <c r="K134" s="1">
        <f t="shared" si="23"/>
        <v>0</v>
      </c>
      <c r="L134" s="1" t="s">
        <v>2</v>
      </c>
      <c r="M134" s="1">
        <f t="shared" si="24"/>
        <v>1</v>
      </c>
      <c r="N134" s="1" t="s">
        <v>1</v>
      </c>
      <c r="O134" s="8">
        <v>0.39800000000000002</v>
      </c>
      <c r="P134" s="7">
        <v>0.57099999999999995</v>
      </c>
      <c r="Q134" s="3">
        <v>0.625</v>
      </c>
      <c r="R134" s="10">
        <f t="shared" si="25"/>
        <v>1.3000000000000007</v>
      </c>
      <c r="S134" s="13">
        <v>22.8</v>
      </c>
      <c r="T134" s="13">
        <v>21.5</v>
      </c>
      <c r="U134" s="10">
        <v>26</v>
      </c>
      <c r="V134" s="10">
        <v>26</v>
      </c>
      <c r="W134" s="10">
        <f t="shared" si="26"/>
        <v>0</v>
      </c>
      <c r="X134" s="9" t="s">
        <v>2</v>
      </c>
      <c r="Y134" s="11">
        <f t="shared" si="27"/>
        <v>1</v>
      </c>
      <c r="Z134" s="14">
        <v>4</v>
      </c>
    </row>
    <row r="135" spans="1:26" x14ac:dyDescent="0.2">
      <c r="A135" s="12">
        <f t="shared" si="20"/>
        <v>2015</v>
      </c>
      <c r="B135" s="1" t="s">
        <v>22</v>
      </c>
      <c r="C135" s="1">
        <v>7</v>
      </c>
      <c r="D135" s="15">
        <v>329000000</v>
      </c>
      <c r="E135" s="15">
        <f>(292.7/237)*329000000</f>
        <v>406321940.92827004</v>
      </c>
      <c r="F135" s="10">
        <f t="shared" si="21"/>
        <v>43.599999999999994</v>
      </c>
      <c r="G135" s="5">
        <f>3923/16</f>
        <v>245.1875</v>
      </c>
      <c r="H135" s="4" t="s">
        <v>2</v>
      </c>
      <c r="I135" s="1">
        <f t="shared" si="22"/>
        <v>1</v>
      </c>
      <c r="J135" s="1" t="s">
        <v>1</v>
      </c>
      <c r="K135" s="1">
        <f t="shared" si="23"/>
        <v>0</v>
      </c>
      <c r="L135" s="1" t="s">
        <v>2</v>
      </c>
      <c r="M135" s="1">
        <f t="shared" si="24"/>
        <v>1</v>
      </c>
      <c r="N135" s="1" t="s">
        <v>2</v>
      </c>
      <c r="O135" s="8">
        <v>0.40300000000000002</v>
      </c>
      <c r="P135" s="7">
        <v>0.65500000000000003</v>
      </c>
      <c r="Q135" s="3">
        <v>0.75</v>
      </c>
      <c r="R135" s="10">
        <f t="shared" si="25"/>
        <v>8.8000000000000007</v>
      </c>
      <c r="S135" s="13">
        <v>26.2</v>
      </c>
      <c r="T135" s="13">
        <v>17.399999999999999</v>
      </c>
      <c r="U135" s="10">
        <v>28</v>
      </c>
      <c r="V135" s="10">
        <v>17</v>
      </c>
      <c r="W135" s="10">
        <f t="shared" si="26"/>
        <v>11</v>
      </c>
      <c r="X135" s="9" t="s">
        <v>2</v>
      </c>
      <c r="Y135" s="11">
        <f t="shared" si="27"/>
        <v>1</v>
      </c>
      <c r="Z135" s="14">
        <v>8</v>
      </c>
    </row>
    <row r="136" spans="1:26" x14ac:dyDescent="0.2">
      <c r="A136" s="12">
        <f t="shared" si="20"/>
        <v>2016</v>
      </c>
      <c r="B136" s="1" t="s">
        <v>22</v>
      </c>
      <c r="C136" s="1">
        <v>7</v>
      </c>
      <c r="D136" s="15">
        <v>355000000</v>
      </c>
      <c r="E136" s="15">
        <f>(292.7/240)*355000000</f>
        <v>432952083.33333331</v>
      </c>
      <c r="F136" s="10">
        <f t="shared" si="21"/>
        <v>40</v>
      </c>
      <c r="G136" s="5">
        <f>3942/16</f>
        <v>246.375</v>
      </c>
      <c r="H136" s="4" t="s">
        <v>2</v>
      </c>
      <c r="I136" s="1">
        <f t="shared" si="22"/>
        <v>1</v>
      </c>
      <c r="J136" s="1" t="s">
        <v>1</v>
      </c>
      <c r="K136" s="1">
        <f t="shared" si="23"/>
        <v>0</v>
      </c>
      <c r="L136" s="1" t="s">
        <v>2</v>
      </c>
      <c r="M136" s="1">
        <f t="shared" si="24"/>
        <v>1</v>
      </c>
      <c r="N136" s="1" t="s">
        <v>2</v>
      </c>
      <c r="O136" s="8">
        <v>0.39</v>
      </c>
      <c r="P136" s="7">
        <v>0.53700000000000003</v>
      </c>
      <c r="Q136" s="3">
        <f>6.5/16</f>
        <v>0.40625</v>
      </c>
      <c r="R136" s="10">
        <f t="shared" si="25"/>
        <v>0.60000000000000142</v>
      </c>
      <c r="S136" s="13">
        <v>20.3</v>
      </c>
      <c r="T136" s="13">
        <v>19.7</v>
      </c>
      <c r="U136" s="10">
        <v>20</v>
      </c>
      <c r="V136" s="10">
        <v>17</v>
      </c>
      <c r="W136" s="10">
        <f t="shared" si="26"/>
        <v>3</v>
      </c>
      <c r="X136" s="9" t="s">
        <v>1</v>
      </c>
      <c r="Y136" s="11">
        <f t="shared" si="27"/>
        <v>0</v>
      </c>
      <c r="Z136" s="14">
        <v>5</v>
      </c>
    </row>
    <row r="137" spans="1:26" x14ac:dyDescent="0.2">
      <c r="A137" s="12">
        <f t="shared" si="20"/>
        <v>2017</v>
      </c>
      <c r="B137" s="1" t="s">
        <v>22</v>
      </c>
      <c r="C137" s="1">
        <v>7</v>
      </c>
      <c r="D137" s="15">
        <v>359000000</v>
      </c>
      <c r="E137" s="15">
        <f>(292.7/245.1)*359000000</f>
        <v>428720114.23908609</v>
      </c>
      <c r="F137" s="10">
        <f t="shared" si="21"/>
        <v>39.900000000000006</v>
      </c>
      <c r="G137" s="5">
        <f>3122/16</f>
        <v>195.125</v>
      </c>
      <c r="H137" s="4" t="s">
        <v>2</v>
      </c>
      <c r="I137" s="1">
        <f t="shared" si="22"/>
        <v>1</v>
      </c>
      <c r="J137" s="1" t="s">
        <v>1</v>
      </c>
      <c r="K137" s="1">
        <f t="shared" si="23"/>
        <v>0</v>
      </c>
      <c r="L137" s="1" t="s">
        <v>2</v>
      </c>
      <c r="M137" s="1">
        <f t="shared" si="24"/>
        <v>1</v>
      </c>
      <c r="N137" s="1" t="s">
        <v>2</v>
      </c>
      <c r="O137" s="8">
        <v>0.33700000000000002</v>
      </c>
      <c r="P137" s="7">
        <v>0.55800000000000005</v>
      </c>
      <c r="Q137" s="3">
        <f>7/16</f>
        <v>0.4375</v>
      </c>
      <c r="R137" s="10">
        <f t="shared" si="25"/>
        <v>-3.6999999999999993</v>
      </c>
      <c r="S137" s="13">
        <v>18.100000000000001</v>
      </c>
      <c r="T137" s="13">
        <v>21.8</v>
      </c>
      <c r="U137" s="10">
        <v>14</v>
      </c>
      <c r="V137" s="10">
        <v>23</v>
      </c>
      <c r="W137" s="10">
        <f t="shared" si="26"/>
        <v>-9</v>
      </c>
      <c r="X137" s="9" t="s">
        <v>1</v>
      </c>
      <c r="Y137" s="11">
        <f t="shared" si="27"/>
        <v>0</v>
      </c>
      <c r="Z137" s="14">
        <v>3</v>
      </c>
    </row>
    <row r="138" spans="1:26" x14ac:dyDescent="0.2">
      <c r="A138" s="12">
        <f t="shared" si="20"/>
        <v>2018</v>
      </c>
      <c r="B138" s="1" t="s">
        <v>22</v>
      </c>
      <c r="C138" s="1">
        <v>7</v>
      </c>
      <c r="D138" s="15">
        <v>380000000</v>
      </c>
      <c r="E138" s="15">
        <f>(292.7/251.1)*380000000</f>
        <v>442954998.00876147</v>
      </c>
      <c r="F138" s="10">
        <f t="shared" si="21"/>
        <v>51.4</v>
      </c>
      <c r="G138" s="5">
        <f>3290/16</f>
        <v>205.625</v>
      </c>
      <c r="H138" s="4" t="s">
        <v>1</v>
      </c>
      <c r="I138" s="1">
        <f t="shared" si="22"/>
        <v>0</v>
      </c>
      <c r="J138" s="1" t="s">
        <v>2</v>
      </c>
      <c r="K138" s="1">
        <f t="shared" si="23"/>
        <v>1</v>
      </c>
      <c r="L138" s="1" t="s">
        <v>2</v>
      </c>
      <c r="M138" s="1">
        <f t="shared" si="24"/>
        <v>1</v>
      </c>
      <c r="N138" s="1" t="s">
        <v>2</v>
      </c>
      <c r="O138" s="8">
        <v>0.36899999999999999</v>
      </c>
      <c r="P138" s="7">
        <v>0.71099999999999997</v>
      </c>
      <c r="Q138" s="3">
        <v>0.375</v>
      </c>
      <c r="R138" s="10">
        <f t="shared" si="25"/>
        <v>-5.3999999999999986</v>
      </c>
      <c r="S138" s="13">
        <v>23</v>
      </c>
      <c r="T138" s="13">
        <v>28.4</v>
      </c>
      <c r="U138" s="10">
        <v>18</v>
      </c>
      <c r="V138" s="10">
        <v>17</v>
      </c>
      <c r="W138" s="10">
        <f t="shared" si="26"/>
        <v>1</v>
      </c>
      <c r="X138" s="9" t="s">
        <v>1</v>
      </c>
      <c r="Y138" s="11">
        <f t="shared" si="27"/>
        <v>0</v>
      </c>
      <c r="Z138" s="14">
        <v>1</v>
      </c>
    </row>
    <row r="139" spans="1:26" x14ac:dyDescent="0.2">
      <c r="A139" s="12">
        <f t="shared" si="20"/>
        <v>2019</v>
      </c>
      <c r="B139" s="1" t="s">
        <v>22</v>
      </c>
      <c r="C139" s="1">
        <v>7</v>
      </c>
      <c r="D139" s="15">
        <v>397000000</v>
      </c>
      <c r="E139" s="15">
        <f>(292.7/255.7)*397000000</f>
        <v>454446226.04614788</v>
      </c>
      <c r="F139" s="10">
        <f t="shared" si="21"/>
        <v>43.7</v>
      </c>
      <c r="G139" s="5">
        <f>3652/16</f>
        <v>228.25</v>
      </c>
      <c r="H139" s="4" t="s">
        <v>1</v>
      </c>
      <c r="I139" s="1">
        <f t="shared" si="22"/>
        <v>0</v>
      </c>
      <c r="J139" s="1" t="s">
        <v>2</v>
      </c>
      <c r="K139" s="1">
        <f t="shared" si="23"/>
        <v>1</v>
      </c>
      <c r="L139" s="1" t="s">
        <v>2</v>
      </c>
      <c r="M139" s="1">
        <f t="shared" si="24"/>
        <v>1</v>
      </c>
      <c r="N139" s="1" t="s">
        <v>2</v>
      </c>
      <c r="O139" s="8">
        <v>0.36</v>
      </c>
      <c r="P139" s="7">
        <v>0.438</v>
      </c>
      <c r="Q139" s="3">
        <v>0.125</v>
      </c>
      <c r="R139" s="10">
        <f t="shared" si="25"/>
        <v>-8.9000000000000021</v>
      </c>
      <c r="S139" s="13">
        <v>17.399999999999999</v>
      </c>
      <c r="T139" s="13">
        <v>26.3</v>
      </c>
      <c r="U139" s="10">
        <v>16</v>
      </c>
      <c r="V139" s="10">
        <v>30</v>
      </c>
      <c r="W139" s="10">
        <f t="shared" si="26"/>
        <v>-14</v>
      </c>
      <c r="X139" s="9" t="s">
        <v>1</v>
      </c>
      <c r="Y139" s="11">
        <f t="shared" si="27"/>
        <v>0</v>
      </c>
      <c r="Z139" s="14">
        <v>1</v>
      </c>
    </row>
    <row r="140" spans="1:26" x14ac:dyDescent="0.2">
      <c r="A140" s="12">
        <v>2021</v>
      </c>
      <c r="B140" s="1" t="s">
        <v>22</v>
      </c>
      <c r="C140" s="1">
        <v>7</v>
      </c>
      <c r="D140" s="15">
        <v>462000000</v>
      </c>
      <c r="E140" s="15">
        <f>(292.7/271)*462000000</f>
        <v>498994095.94095939</v>
      </c>
      <c r="F140" s="10">
        <f t="shared" si="21"/>
        <v>49.2</v>
      </c>
      <c r="G140" s="5">
        <f>4403/17</f>
        <v>259</v>
      </c>
      <c r="H140" s="4" t="s">
        <v>1</v>
      </c>
      <c r="I140" s="1">
        <f t="shared" si="22"/>
        <v>0</v>
      </c>
      <c r="J140" s="1" t="s">
        <v>2</v>
      </c>
      <c r="K140" s="1">
        <f t="shared" si="23"/>
        <v>1</v>
      </c>
      <c r="L140" s="1" t="s">
        <v>2</v>
      </c>
      <c r="M140" s="1">
        <f t="shared" si="24"/>
        <v>1</v>
      </c>
      <c r="N140" s="1" t="s">
        <v>2</v>
      </c>
      <c r="O140" s="8">
        <v>0.39600000000000002</v>
      </c>
      <c r="P140" s="7">
        <v>0.59599999999999997</v>
      </c>
      <c r="Q140" s="3">
        <f>10/17</f>
        <v>0.58823529411764708</v>
      </c>
      <c r="R140" s="10">
        <f t="shared" si="25"/>
        <v>5</v>
      </c>
      <c r="S140" s="13">
        <v>27.1</v>
      </c>
      <c r="T140" s="13">
        <v>22.1</v>
      </c>
      <c r="U140" s="10">
        <v>21</v>
      </c>
      <c r="V140" s="10">
        <v>21</v>
      </c>
      <c r="W140" s="10">
        <f t="shared" si="26"/>
        <v>0</v>
      </c>
      <c r="X140" s="9" t="s">
        <v>2</v>
      </c>
      <c r="Y140" s="11">
        <f t="shared" si="27"/>
        <v>1</v>
      </c>
      <c r="Z140" s="14">
        <v>3</v>
      </c>
    </row>
    <row r="141" spans="1:26" x14ac:dyDescent="0.2">
      <c r="A141" s="12">
        <f>A140+1</f>
        <v>2022</v>
      </c>
      <c r="B141" s="1" t="s">
        <v>22</v>
      </c>
      <c r="C141" s="1">
        <v>7</v>
      </c>
      <c r="D141" s="15">
        <v>498000000</v>
      </c>
      <c r="E141" s="15">
        <f>(292.7/292.7)*498000000</f>
        <v>498000000</v>
      </c>
      <c r="F141" s="10">
        <f t="shared" si="21"/>
        <v>46.2</v>
      </c>
      <c r="G141" s="5">
        <f>4240/16</f>
        <v>265</v>
      </c>
      <c r="H141" s="4" t="s">
        <v>1</v>
      </c>
      <c r="I141" s="1">
        <f t="shared" si="22"/>
        <v>0</v>
      </c>
      <c r="J141" s="1" t="s">
        <v>2</v>
      </c>
      <c r="K141" s="1">
        <f t="shared" si="23"/>
        <v>1</v>
      </c>
      <c r="L141" s="1" t="s">
        <v>2</v>
      </c>
      <c r="M141" s="1">
        <f t="shared" si="24"/>
        <v>1</v>
      </c>
      <c r="N141" s="1" t="s">
        <v>2</v>
      </c>
      <c r="O141" s="8">
        <v>0.46100000000000002</v>
      </c>
      <c r="P141" s="7">
        <v>0.64900000000000002</v>
      </c>
      <c r="Q141" s="3">
        <v>0.75</v>
      </c>
      <c r="R141" s="10">
        <f t="shared" si="25"/>
        <v>6</v>
      </c>
      <c r="S141" s="13">
        <v>26.1</v>
      </c>
      <c r="T141" s="13">
        <v>20.100000000000001</v>
      </c>
      <c r="U141" s="10">
        <v>24</v>
      </c>
      <c r="V141" s="10">
        <v>18</v>
      </c>
      <c r="W141" s="10">
        <f t="shared" si="26"/>
        <v>6</v>
      </c>
      <c r="X141" s="9" t="s">
        <v>2</v>
      </c>
      <c r="Y141" s="11">
        <f t="shared" si="27"/>
        <v>1</v>
      </c>
      <c r="Z141" s="14">
        <v>3</v>
      </c>
    </row>
    <row r="142" spans="1:26" x14ac:dyDescent="0.2">
      <c r="A142" s="12">
        <v>2002</v>
      </c>
      <c r="B142" s="1" t="s">
        <v>23</v>
      </c>
      <c r="C142" s="1">
        <v>8</v>
      </c>
      <c r="D142" s="15">
        <v>174000000</v>
      </c>
      <c r="E142" s="15">
        <f>(292.7/179.9)*174000000</f>
        <v>283100611.45080602</v>
      </c>
      <c r="F142" s="10">
        <f t="shared" si="21"/>
        <v>41.5</v>
      </c>
      <c r="G142" s="5">
        <f>3412/16</f>
        <v>213.25</v>
      </c>
      <c r="H142" s="4" t="s">
        <v>1</v>
      </c>
      <c r="I142" s="1">
        <f t="shared" si="22"/>
        <v>0</v>
      </c>
      <c r="J142" s="1" t="s">
        <v>1</v>
      </c>
      <c r="K142" s="1">
        <f t="shared" si="23"/>
        <v>0</v>
      </c>
      <c r="L142" s="1" t="s">
        <v>1</v>
      </c>
      <c r="M142" s="1">
        <f t="shared" si="24"/>
        <v>0</v>
      </c>
      <c r="N142" s="1" t="s">
        <v>1</v>
      </c>
      <c r="O142" s="8">
        <v>0.40500000000000003</v>
      </c>
      <c r="P142" s="7">
        <v>0.53500000000000003</v>
      </c>
      <c r="Q142" s="3">
        <f>9/16</f>
        <v>0.5625</v>
      </c>
      <c r="R142" s="10">
        <f t="shared" si="25"/>
        <v>1.5</v>
      </c>
      <c r="S142" s="13">
        <v>21.5</v>
      </c>
      <c r="T142" s="13">
        <v>20</v>
      </c>
      <c r="U142" s="10">
        <v>29</v>
      </c>
      <c r="V142" s="10">
        <v>31</v>
      </c>
      <c r="W142" s="10">
        <f t="shared" si="26"/>
        <v>-2</v>
      </c>
      <c r="X142" s="9" t="s">
        <v>2</v>
      </c>
      <c r="Y142" s="11">
        <f t="shared" si="27"/>
        <v>1</v>
      </c>
      <c r="Z142" s="14">
        <v>0</v>
      </c>
    </row>
    <row r="143" spans="1:26" x14ac:dyDescent="0.2">
      <c r="A143" s="12">
        <f>A142+1</f>
        <v>2003</v>
      </c>
      <c r="B143" s="1" t="s">
        <v>23</v>
      </c>
      <c r="C143" s="1">
        <v>8</v>
      </c>
      <c r="D143" s="15">
        <v>183000000</v>
      </c>
      <c r="E143" s="15">
        <f>(292.7/184)*183000000</f>
        <v>291109239.13043475</v>
      </c>
      <c r="F143" s="10">
        <f t="shared" si="21"/>
        <v>36</v>
      </c>
      <c r="G143" s="5">
        <f>2834/16</f>
        <v>177.125</v>
      </c>
      <c r="H143" s="4" t="s">
        <v>1</v>
      </c>
      <c r="I143" s="1">
        <f t="shared" si="22"/>
        <v>0</v>
      </c>
      <c r="J143" s="1" t="s">
        <v>1</v>
      </c>
      <c r="K143" s="1">
        <f t="shared" si="23"/>
        <v>0</v>
      </c>
      <c r="L143" s="1" t="s">
        <v>1</v>
      </c>
      <c r="M143" s="1">
        <f t="shared" si="24"/>
        <v>0</v>
      </c>
      <c r="N143" s="1" t="s">
        <v>1</v>
      </c>
      <c r="O143" s="8">
        <v>0.36599999999999999</v>
      </c>
      <c r="P143" s="7">
        <v>0.45200000000000001</v>
      </c>
      <c r="Q143" s="3">
        <f>5/16</f>
        <v>0.3125</v>
      </c>
      <c r="R143" s="10">
        <f t="shared" si="25"/>
        <v>-4.2000000000000011</v>
      </c>
      <c r="S143" s="13">
        <v>15.9</v>
      </c>
      <c r="T143" s="13">
        <v>20.100000000000001</v>
      </c>
      <c r="U143" s="10">
        <v>22</v>
      </c>
      <c r="V143" s="10">
        <v>33</v>
      </c>
      <c r="W143" s="10">
        <f t="shared" si="26"/>
        <v>-11</v>
      </c>
      <c r="X143" s="9" t="s">
        <v>1</v>
      </c>
      <c r="Y143" s="11">
        <f t="shared" si="27"/>
        <v>0</v>
      </c>
      <c r="Z143" s="14">
        <v>0</v>
      </c>
    </row>
    <row r="144" spans="1:26" x14ac:dyDescent="0.2">
      <c r="A144" s="12">
        <f>A143+1</f>
        <v>2004</v>
      </c>
      <c r="B144" s="1" t="s">
        <v>23</v>
      </c>
      <c r="C144" s="1">
        <v>8</v>
      </c>
      <c r="D144" s="15">
        <v>203000000</v>
      </c>
      <c r="E144" s="15">
        <f>(292.7/188.9)*203000000</f>
        <v>314547908.94653255</v>
      </c>
      <c r="F144" s="10">
        <f t="shared" si="21"/>
        <v>41.7</v>
      </c>
      <c r="G144" s="5">
        <f>2824/16</f>
        <v>176.5</v>
      </c>
      <c r="H144" s="4" t="s">
        <v>1</v>
      </c>
      <c r="I144" s="1">
        <f t="shared" si="22"/>
        <v>0</v>
      </c>
      <c r="J144" s="1" t="s">
        <v>1</v>
      </c>
      <c r="K144" s="1">
        <f t="shared" si="23"/>
        <v>0</v>
      </c>
      <c r="L144" s="1" t="s">
        <v>1</v>
      </c>
      <c r="M144" s="1">
        <f t="shared" si="24"/>
        <v>0</v>
      </c>
      <c r="N144" s="1" t="s">
        <v>1</v>
      </c>
      <c r="O144" s="8">
        <v>0.29099999999999998</v>
      </c>
      <c r="P144" s="7">
        <v>0.46300000000000002</v>
      </c>
      <c r="Q144" s="3">
        <f>4/16</f>
        <v>0.25</v>
      </c>
      <c r="R144" s="10">
        <f t="shared" si="25"/>
        <v>-7.0999999999999979</v>
      </c>
      <c r="S144" s="13">
        <v>17.3</v>
      </c>
      <c r="T144" s="13">
        <v>24.4</v>
      </c>
      <c r="U144" s="10">
        <v>28</v>
      </c>
      <c r="V144" s="10">
        <v>40</v>
      </c>
      <c r="W144" s="10">
        <f t="shared" si="26"/>
        <v>-12</v>
      </c>
      <c r="X144" s="9" t="s">
        <v>1</v>
      </c>
      <c r="Y144" s="11">
        <f t="shared" si="27"/>
        <v>0</v>
      </c>
      <c r="Z144" s="14">
        <v>0</v>
      </c>
    </row>
    <row r="145" spans="1:26" x14ac:dyDescent="0.2">
      <c r="A145" s="12">
        <f>A144+1</f>
        <v>2005</v>
      </c>
      <c r="B145" s="1" t="s">
        <v>23</v>
      </c>
      <c r="C145" s="1">
        <v>8</v>
      </c>
      <c r="D145" s="15">
        <v>206000000</v>
      </c>
      <c r="E145" s="15">
        <f>(292.7/195.3)*206000000</f>
        <v>308736303.12339985</v>
      </c>
      <c r="F145" s="10">
        <f t="shared" si="21"/>
        <v>33.299999999999997</v>
      </c>
      <c r="G145" s="5">
        <f>3047/16</f>
        <v>190.4375</v>
      </c>
      <c r="H145" s="4" t="s">
        <v>1</v>
      </c>
      <c r="I145" s="1">
        <f t="shared" si="22"/>
        <v>0</v>
      </c>
      <c r="J145" s="1" t="s">
        <v>1</v>
      </c>
      <c r="K145" s="1">
        <f t="shared" si="23"/>
        <v>0</v>
      </c>
      <c r="L145" s="1" t="s">
        <v>1</v>
      </c>
      <c r="M145" s="1">
        <f t="shared" si="24"/>
        <v>0</v>
      </c>
      <c r="N145" s="1" t="s">
        <v>1</v>
      </c>
      <c r="O145" s="8">
        <v>0.33</v>
      </c>
      <c r="P145" s="7">
        <v>0.28199999999999997</v>
      </c>
      <c r="Q145" s="3">
        <f>6/16</f>
        <v>0.375</v>
      </c>
      <c r="R145" s="10">
        <f t="shared" si="25"/>
        <v>-4.3000000000000007</v>
      </c>
      <c r="S145" s="13">
        <v>14.5</v>
      </c>
      <c r="T145" s="13">
        <v>18.8</v>
      </c>
      <c r="U145" s="10">
        <v>23</v>
      </c>
      <c r="V145" s="10">
        <v>30</v>
      </c>
      <c r="W145" s="10">
        <f t="shared" si="26"/>
        <v>-7</v>
      </c>
      <c r="X145" s="9" t="s">
        <v>1</v>
      </c>
      <c r="Y145" s="11">
        <f t="shared" si="27"/>
        <v>0</v>
      </c>
      <c r="Z145" s="14">
        <v>0</v>
      </c>
    </row>
    <row r="146" spans="1:26" x14ac:dyDescent="0.2">
      <c r="A146" s="12">
        <f>A145+1</f>
        <v>2006</v>
      </c>
      <c r="B146" s="1" t="s">
        <v>23</v>
      </c>
      <c r="C146" s="1">
        <v>8</v>
      </c>
      <c r="D146" s="15">
        <v>220000000</v>
      </c>
      <c r="E146" s="15">
        <f>(292.7/201.6)*220000000</f>
        <v>319414682.53968257</v>
      </c>
      <c r="F146" s="10">
        <f t="shared" si="21"/>
        <v>37.200000000000003</v>
      </c>
      <c r="G146" s="5">
        <f>2898/16</f>
        <v>181.125</v>
      </c>
      <c r="H146" s="4" t="s">
        <v>1</v>
      </c>
      <c r="I146" s="1">
        <f t="shared" si="22"/>
        <v>0</v>
      </c>
      <c r="J146" s="1" t="s">
        <v>1</v>
      </c>
      <c r="K146" s="1">
        <f t="shared" si="23"/>
        <v>0</v>
      </c>
      <c r="L146" s="1" t="s">
        <v>1</v>
      </c>
      <c r="M146" s="1">
        <f t="shared" si="24"/>
        <v>0</v>
      </c>
      <c r="N146" s="1" t="s">
        <v>1</v>
      </c>
      <c r="O146" s="8">
        <v>0.33500000000000002</v>
      </c>
      <c r="P146" s="7">
        <v>0.48699999999999999</v>
      </c>
      <c r="Q146" s="3">
        <f>4/16</f>
        <v>0.25</v>
      </c>
      <c r="R146" s="10">
        <f t="shared" si="25"/>
        <v>-7.4</v>
      </c>
      <c r="S146" s="13">
        <v>14.9</v>
      </c>
      <c r="T146" s="13">
        <v>22.3</v>
      </c>
      <c r="U146" s="10">
        <v>27</v>
      </c>
      <c r="V146" s="10">
        <v>42</v>
      </c>
      <c r="W146" s="10">
        <f t="shared" si="26"/>
        <v>-15</v>
      </c>
      <c r="X146" s="9" t="s">
        <v>1</v>
      </c>
      <c r="Y146" s="11">
        <f t="shared" si="27"/>
        <v>0</v>
      </c>
      <c r="Z146" s="14">
        <v>0</v>
      </c>
    </row>
    <row r="147" spans="1:26" x14ac:dyDescent="0.2">
      <c r="A147" s="12">
        <f>A146+1</f>
        <v>2007</v>
      </c>
      <c r="B147" s="1" t="s">
        <v>23</v>
      </c>
      <c r="C147" s="1">
        <v>8</v>
      </c>
      <c r="D147" s="15">
        <v>235000000</v>
      </c>
      <c r="E147" s="15">
        <f>(292.7/207.3)*235000000</f>
        <v>331811384.46695608</v>
      </c>
      <c r="F147" s="10">
        <f t="shared" si="21"/>
        <v>49</v>
      </c>
      <c r="G147" s="5">
        <f>3726/16</f>
        <v>232.875</v>
      </c>
      <c r="H147" s="4" t="s">
        <v>1</v>
      </c>
      <c r="I147" s="1">
        <f t="shared" si="22"/>
        <v>0</v>
      </c>
      <c r="J147" s="1" t="s">
        <v>1</v>
      </c>
      <c r="K147" s="1">
        <f t="shared" si="23"/>
        <v>0</v>
      </c>
      <c r="L147" s="1" t="s">
        <v>1</v>
      </c>
      <c r="M147" s="1">
        <f t="shared" si="24"/>
        <v>0</v>
      </c>
      <c r="N147" s="1" t="s">
        <v>1</v>
      </c>
      <c r="O147" s="8">
        <v>0.42199999999999999</v>
      </c>
      <c r="P147" s="7">
        <v>0.54500000000000004</v>
      </c>
      <c r="Q147" s="3">
        <f>10/16</f>
        <v>0.625</v>
      </c>
      <c r="R147" s="10">
        <f t="shared" si="25"/>
        <v>1.2000000000000028</v>
      </c>
      <c r="S147" s="13">
        <v>25.1</v>
      </c>
      <c r="T147" s="13">
        <v>23.9</v>
      </c>
      <c r="U147" s="10">
        <v>27</v>
      </c>
      <c r="V147" s="10">
        <v>29</v>
      </c>
      <c r="W147" s="10">
        <f t="shared" si="26"/>
        <v>-2</v>
      </c>
      <c r="X147" s="9" t="s">
        <v>1</v>
      </c>
      <c r="Y147" s="11">
        <f t="shared" si="27"/>
        <v>0</v>
      </c>
      <c r="Z147" s="14">
        <v>6</v>
      </c>
    </row>
    <row r="148" spans="1:26" x14ac:dyDescent="0.2">
      <c r="A148" s="12">
        <v>2008</v>
      </c>
      <c r="B148" s="1" t="s">
        <v>23</v>
      </c>
      <c r="C148" s="1">
        <v>8</v>
      </c>
      <c r="D148" s="15">
        <v>235000000</v>
      </c>
      <c r="E148" s="15">
        <f>(292.7/215.3)*235000000</f>
        <v>319482117.97491872</v>
      </c>
      <c r="F148" s="10">
        <f t="shared" si="21"/>
        <v>36.4</v>
      </c>
      <c r="G148" s="5">
        <f>2380/16</f>
        <v>148.75</v>
      </c>
      <c r="H148" s="4" t="s">
        <v>1</v>
      </c>
      <c r="I148" s="1">
        <f t="shared" si="22"/>
        <v>0</v>
      </c>
      <c r="J148" s="1" t="s">
        <v>1</v>
      </c>
      <c r="K148" s="1">
        <f t="shared" si="23"/>
        <v>0</v>
      </c>
      <c r="L148" s="1" t="s">
        <v>1</v>
      </c>
      <c r="M148" s="1">
        <f t="shared" si="24"/>
        <v>0</v>
      </c>
      <c r="N148" s="1" t="s">
        <v>1</v>
      </c>
      <c r="O148" s="8">
        <v>0.34</v>
      </c>
      <c r="P148" s="7">
        <v>0.36799999999999999</v>
      </c>
      <c r="Q148" s="3">
        <v>0.25</v>
      </c>
      <c r="R148" s="10">
        <f t="shared" si="25"/>
        <v>-7.3999999999999986</v>
      </c>
      <c r="S148" s="13">
        <v>14.5</v>
      </c>
      <c r="T148" s="13">
        <v>21.9</v>
      </c>
      <c r="U148" s="10">
        <v>31</v>
      </c>
      <c r="V148" s="10">
        <v>26</v>
      </c>
      <c r="W148" s="10">
        <f t="shared" si="26"/>
        <v>5</v>
      </c>
      <c r="X148" s="9" t="s">
        <v>1</v>
      </c>
      <c r="Y148" s="11">
        <f t="shared" si="27"/>
        <v>0</v>
      </c>
      <c r="Z148" s="14">
        <v>3</v>
      </c>
    </row>
    <row r="149" spans="1:26" x14ac:dyDescent="0.2">
      <c r="A149" s="12">
        <f t="shared" ref="A149:A159" si="28">A148+1</f>
        <v>2009</v>
      </c>
      <c r="B149" s="1" t="s">
        <v>23</v>
      </c>
      <c r="C149" s="1">
        <v>8</v>
      </c>
      <c r="D149" s="15">
        <v>242000000</v>
      </c>
      <c r="E149" s="15">
        <f>(292.7/214.5)*242000000</f>
        <v>330225641.02564102</v>
      </c>
      <c r="F149" s="10">
        <f t="shared" si="21"/>
        <v>38.700000000000003</v>
      </c>
      <c r="G149" s="5">
        <f>2076/16</f>
        <v>129.75</v>
      </c>
      <c r="H149" s="4" t="s">
        <v>2</v>
      </c>
      <c r="I149" s="1">
        <f t="shared" si="22"/>
        <v>1</v>
      </c>
      <c r="J149" s="1" t="s">
        <v>1</v>
      </c>
      <c r="K149" s="1">
        <f t="shared" si="23"/>
        <v>0</v>
      </c>
      <c r="L149" s="1" t="s">
        <v>2</v>
      </c>
      <c r="M149" s="1">
        <f t="shared" si="24"/>
        <v>1</v>
      </c>
      <c r="N149" s="1" t="s">
        <v>1</v>
      </c>
      <c r="O149" s="8">
        <v>0.32600000000000001</v>
      </c>
      <c r="P149" s="7">
        <v>0.436</v>
      </c>
      <c r="Q149" s="3">
        <v>0.3125</v>
      </c>
      <c r="R149" s="10">
        <f t="shared" si="25"/>
        <v>-8.0999999999999979</v>
      </c>
      <c r="S149" s="13">
        <v>15.3</v>
      </c>
      <c r="T149" s="13">
        <v>23.4</v>
      </c>
      <c r="U149" s="10">
        <v>19</v>
      </c>
      <c r="V149" s="10">
        <v>31</v>
      </c>
      <c r="W149" s="10">
        <f t="shared" si="26"/>
        <v>-12</v>
      </c>
      <c r="X149" s="9" t="s">
        <v>1</v>
      </c>
      <c r="Y149" s="11">
        <f t="shared" si="27"/>
        <v>0</v>
      </c>
      <c r="Z149" s="14">
        <v>2</v>
      </c>
    </row>
    <row r="150" spans="1:26" x14ac:dyDescent="0.2">
      <c r="A150" s="12">
        <f t="shared" si="28"/>
        <v>2010</v>
      </c>
      <c r="B150" s="1" t="s">
        <v>23</v>
      </c>
      <c r="C150" s="1">
        <v>8</v>
      </c>
      <c r="D150" s="15">
        <v>247000000</v>
      </c>
      <c r="E150" s="15">
        <f>(292.7/218.1)*247000000</f>
        <v>331485098.57863367</v>
      </c>
      <c r="F150" s="10">
        <f t="shared" si="21"/>
        <v>37.700000000000003</v>
      </c>
      <c r="G150" s="5">
        <f>2989/16</f>
        <v>186.8125</v>
      </c>
      <c r="H150" s="4" t="s">
        <v>2</v>
      </c>
      <c r="I150" s="1">
        <f t="shared" si="22"/>
        <v>1</v>
      </c>
      <c r="J150" s="1" t="s">
        <v>1</v>
      </c>
      <c r="K150" s="1">
        <f t="shared" si="23"/>
        <v>0</v>
      </c>
      <c r="L150" s="1" t="s">
        <v>2</v>
      </c>
      <c r="M150" s="1">
        <f t="shared" si="24"/>
        <v>1</v>
      </c>
      <c r="N150" s="1" t="s">
        <v>1</v>
      </c>
      <c r="O150" s="8">
        <v>0.371</v>
      </c>
      <c r="P150" s="7">
        <v>0.45200000000000001</v>
      </c>
      <c r="Q150" s="3">
        <v>0.3125</v>
      </c>
      <c r="R150" s="10">
        <f t="shared" si="25"/>
        <v>-3.9000000000000021</v>
      </c>
      <c r="S150" s="13">
        <v>16.899999999999999</v>
      </c>
      <c r="T150" s="13">
        <v>20.8</v>
      </c>
      <c r="U150" s="10">
        <v>28</v>
      </c>
      <c r="V150" s="10">
        <v>29</v>
      </c>
      <c r="W150" s="10">
        <f t="shared" si="26"/>
        <v>-1</v>
      </c>
      <c r="X150" s="9" t="s">
        <v>1</v>
      </c>
      <c r="Y150" s="11">
        <f t="shared" si="27"/>
        <v>0</v>
      </c>
      <c r="Z150" s="14">
        <v>2</v>
      </c>
    </row>
    <row r="151" spans="1:26" x14ac:dyDescent="0.2">
      <c r="A151" s="12">
        <f t="shared" si="28"/>
        <v>2011</v>
      </c>
      <c r="B151" s="1" t="s">
        <v>23</v>
      </c>
      <c r="C151" s="1">
        <v>8</v>
      </c>
      <c r="D151" s="15">
        <v>258000000</v>
      </c>
      <c r="E151" s="15">
        <f>(292.7/224.9)*258000000</f>
        <v>335778568.25255668</v>
      </c>
      <c r="F151" s="10">
        <f t="shared" si="21"/>
        <v>32.799999999999997</v>
      </c>
      <c r="G151" s="5">
        <f>3090/16</f>
        <v>193.125</v>
      </c>
      <c r="H151" s="4" t="s">
        <v>2</v>
      </c>
      <c r="I151" s="1">
        <f t="shared" si="22"/>
        <v>1</v>
      </c>
      <c r="J151" s="1" t="s">
        <v>1</v>
      </c>
      <c r="K151" s="1">
        <f t="shared" si="23"/>
        <v>0</v>
      </c>
      <c r="L151" s="1" t="s">
        <v>2</v>
      </c>
      <c r="M151" s="1">
        <f t="shared" si="24"/>
        <v>1</v>
      </c>
      <c r="N151" s="1" t="s">
        <v>1</v>
      </c>
      <c r="O151" s="8">
        <v>0.38700000000000001</v>
      </c>
      <c r="P151" s="7">
        <v>0.41899999999999998</v>
      </c>
      <c r="Q151" s="3">
        <v>0.25</v>
      </c>
      <c r="R151" s="10">
        <f t="shared" si="25"/>
        <v>-5.6</v>
      </c>
      <c r="S151" s="13">
        <v>13.6</v>
      </c>
      <c r="T151" s="13">
        <v>19.2</v>
      </c>
      <c r="U151" s="10">
        <v>20</v>
      </c>
      <c r="V151" s="10">
        <v>19</v>
      </c>
      <c r="W151" s="10">
        <f t="shared" si="26"/>
        <v>1</v>
      </c>
      <c r="X151" s="9" t="s">
        <v>1</v>
      </c>
      <c r="Y151" s="11">
        <f t="shared" si="27"/>
        <v>0</v>
      </c>
      <c r="Z151" s="14">
        <v>1</v>
      </c>
    </row>
    <row r="152" spans="1:26" x14ac:dyDescent="0.2">
      <c r="A152" s="12">
        <f t="shared" si="28"/>
        <v>2012</v>
      </c>
      <c r="B152" s="1" t="s">
        <v>23</v>
      </c>
      <c r="C152" s="1">
        <v>8</v>
      </c>
      <c r="D152" s="15">
        <v>264000000</v>
      </c>
      <c r="E152" s="15">
        <f>(292.7/229.6)*264000000</f>
        <v>336554006.9686411</v>
      </c>
      <c r="F152" s="10">
        <f t="shared" si="21"/>
        <v>41.9</v>
      </c>
      <c r="G152" s="5">
        <f>3435/16</f>
        <v>214.6875</v>
      </c>
      <c r="H152" s="4" t="s">
        <v>2</v>
      </c>
      <c r="I152" s="1">
        <f t="shared" si="22"/>
        <v>1</v>
      </c>
      <c r="J152" s="1" t="s">
        <v>1</v>
      </c>
      <c r="K152" s="1">
        <f t="shared" si="23"/>
        <v>0</v>
      </c>
      <c r="L152" s="1" t="s">
        <v>2</v>
      </c>
      <c r="M152" s="1">
        <f t="shared" si="24"/>
        <v>1</v>
      </c>
      <c r="N152" s="1" t="s">
        <v>1</v>
      </c>
      <c r="O152" s="8">
        <v>0.307</v>
      </c>
      <c r="P152" s="7">
        <v>0.436</v>
      </c>
      <c r="Q152" s="3">
        <v>0.3125</v>
      </c>
      <c r="R152" s="10">
        <f t="shared" si="25"/>
        <v>-4.1000000000000014</v>
      </c>
      <c r="S152" s="13">
        <v>18.899999999999999</v>
      </c>
      <c r="T152" s="13">
        <v>23</v>
      </c>
      <c r="U152" s="10">
        <v>29</v>
      </c>
      <c r="V152" s="10">
        <v>26</v>
      </c>
      <c r="W152" s="10">
        <f t="shared" si="26"/>
        <v>3</v>
      </c>
      <c r="X152" s="9" t="s">
        <v>1</v>
      </c>
      <c r="Y152" s="11">
        <f t="shared" si="27"/>
        <v>0</v>
      </c>
      <c r="Z152" s="14">
        <v>3</v>
      </c>
    </row>
    <row r="153" spans="1:26" x14ac:dyDescent="0.2">
      <c r="A153" s="12">
        <f t="shared" si="28"/>
        <v>2013</v>
      </c>
      <c r="B153" s="1" t="s">
        <v>23</v>
      </c>
      <c r="C153" s="1">
        <v>8</v>
      </c>
      <c r="D153" s="15">
        <v>276000000</v>
      </c>
      <c r="E153" s="15">
        <f>(292.7/233)*276000000</f>
        <v>346717596.56652361</v>
      </c>
      <c r="F153" s="10">
        <f t="shared" si="21"/>
        <v>44.7</v>
      </c>
      <c r="G153" s="5">
        <f>4040/16</f>
        <v>252.5</v>
      </c>
      <c r="H153" s="4" t="s">
        <v>2</v>
      </c>
      <c r="I153" s="1">
        <f t="shared" si="22"/>
        <v>1</v>
      </c>
      <c r="J153" s="1" t="s">
        <v>1</v>
      </c>
      <c r="K153" s="1">
        <f t="shared" si="23"/>
        <v>0</v>
      </c>
      <c r="L153" s="1" t="s">
        <v>2</v>
      </c>
      <c r="M153" s="1">
        <f t="shared" si="24"/>
        <v>1</v>
      </c>
      <c r="N153" s="1" t="s">
        <v>1</v>
      </c>
      <c r="O153" s="8">
        <v>0.35</v>
      </c>
      <c r="P153" s="7">
        <v>0.52800000000000002</v>
      </c>
      <c r="Q153" s="3">
        <v>0.25</v>
      </c>
      <c r="R153" s="10">
        <f t="shared" si="25"/>
        <v>-6.0999999999999979</v>
      </c>
      <c r="S153" s="13">
        <v>19.3</v>
      </c>
      <c r="T153" s="13">
        <v>25.4</v>
      </c>
      <c r="U153" s="10">
        <v>21</v>
      </c>
      <c r="V153" s="10">
        <v>29</v>
      </c>
      <c r="W153" s="10">
        <f t="shared" si="26"/>
        <v>-8</v>
      </c>
      <c r="X153" s="9" t="s">
        <v>1</v>
      </c>
      <c r="Y153" s="11">
        <f t="shared" si="27"/>
        <v>0</v>
      </c>
      <c r="Z153" s="14">
        <v>6</v>
      </c>
    </row>
    <row r="154" spans="1:26" x14ac:dyDescent="0.2">
      <c r="A154" s="12">
        <f t="shared" si="28"/>
        <v>2014</v>
      </c>
      <c r="B154" s="1" t="s">
        <v>23</v>
      </c>
      <c r="C154" s="1">
        <v>8</v>
      </c>
      <c r="D154" s="15">
        <v>313000000</v>
      </c>
      <c r="E154" s="15">
        <f>(292.7/236.7)*313000000</f>
        <v>387051542.03633291</v>
      </c>
      <c r="F154" s="10">
        <f t="shared" si="21"/>
        <v>39.799999999999997</v>
      </c>
      <c r="G154" s="5">
        <f>3465/16</f>
        <v>216.5625</v>
      </c>
      <c r="H154" s="4" t="s">
        <v>2</v>
      </c>
      <c r="I154" s="1">
        <f t="shared" si="22"/>
        <v>1</v>
      </c>
      <c r="J154" s="1" t="s">
        <v>1</v>
      </c>
      <c r="K154" s="1">
        <f t="shared" si="23"/>
        <v>0</v>
      </c>
      <c r="L154" s="1" t="s">
        <v>2</v>
      </c>
      <c r="M154" s="1">
        <f t="shared" si="24"/>
        <v>1</v>
      </c>
      <c r="N154" s="1" t="s">
        <v>1</v>
      </c>
      <c r="O154" s="8">
        <v>0.29499999999999998</v>
      </c>
      <c r="P154" s="7">
        <v>0.49</v>
      </c>
      <c r="Q154" s="3">
        <f>7/16</f>
        <v>0.4375</v>
      </c>
      <c r="R154" s="10">
        <f t="shared" si="25"/>
        <v>-2.4000000000000021</v>
      </c>
      <c r="S154" s="13">
        <v>18.7</v>
      </c>
      <c r="T154" s="13">
        <v>21.1</v>
      </c>
      <c r="U154" s="10">
        <v>29</v>
      </c>
      <c r="V154" s="10">
        <v>33</v>
      </c>
      <c r="W154" s="10">
        <f t="shared" si="26"/>
        <v>-4</v>
      </c>
      <c r="X154" s="9" t="s">
        <v>1</v>
      </c>
      <c r="Y154" s="11">
        <f t="shared" si="27"/>
        <v>0</v>
      </c>
      <c r="Z154" s="14">
        <v>4</v>
      </c>
    </row>
    <row r="155" spans="1:26" x14ac:dyDescent="0.2">
      <c r="A155" s="12">
        <f t="shared" si="28"/>
        <v>2015</v>
      </c>
      <c r="B155" s="1" t="s">
        <v>23</v>
      </c>
      <c r="C155" s="1">
        <v>8</v>
      </c>
      <c r="D155" s="15">
        <v>347000000</v>
      </c>
      <c r="E155" s="15">
        <f>(292.7/237)*347000000</f>
        <v>428552320.67510551</v>
      </c>
      <c r="F155" s="10">
        <f t="shared" si="21"/>
        <v>44.4</v>
      </c>
      <c r="G155" s="5">
        <f>3782/16</f>
        <v>236.375</v>
      </c>
      <c r="H155" s="4" t="s">
        <v>2</v>
      </c>
      <c r="I155" s="1">
        <f t="shared" si="22"/>
        <v>1</v>
      </c>
      <c r="J155" s="1" t="s">
        <v>1</v>
      </c>
      <c r="K155" s="1">
        <f t="shared" si="23"/>
        <v>0</v>
      </c>
      <c r="L155" s="1" t="s">
        <v>2</v>
      </c>
      <c r="M155" s="1">
        <f t="shared" si="24"/>
        <v>1</v>
      </c>
      <c r="N155" s="1" t="s">
        <v>2</v>
      </c>
      <c r="O155" s="8">
        <v>0.41899999999999998</v>
      </c>
      <c r="P155" s="7">
        <v>0.38300000000000001</v>
      </c>
      <c r="Q155" s="3">
        <f>3/16</f>
        <v>0.1875</v>
      </c>
      <c r="R155" s="10">
        <f t="shared" si="25"/>
        <v>-9.6000000000000014</v>
      </c>
      <c r="S155" s="13">
        <v>17.399999999999999</v>
      </c>
      <c r="T155" s="13">
        <v>27</v>
      </c>
      <c r="U155" s="10">
        <v>21</v>
      </c>
      <c r="V155" s="10">
        <v>30</v>
      </c>
      <c r="W155" s="10">
        <f t="shared" si="26"/>
        <v>-9</v>
      </c>
      <c r="X155" s="9" t="s">
        <v>1</v>
      </c>
      <c r="Y155" s="11">
        <f t="shared" si="27"/>
        <v>0</v>
      </c>
      <c r="Z155" s="14">
        <v>3</v>
      </c>
    </row>
    <row r="156" spans="1:26" x14ac:dyDescent="0.2">
      <c r="A156" s="12">
        <f t="shared" si="28"/>
        <v>2016</v>
      </c>
      <c r="B156" s="1" t="s">
        <v>23</v>
      </c>
      <c r="C156" s="1">
        <v>8</v>
      </c>
      <c r="D156" s="15">
        <v>365000000</v>
      </c>
      <c r="E156" s="15">
        <f>(292.7/240)*365000000</f>
        <v>445147916.66666663</v>
      </c>
      <c r="F156" s="10">
        <f t="shared" si="21"/>
        <v>44.8</v>
      </c>
      <c r="G156" s="5">
        <f>3264/16</f>
        <v>204</v>
      </c>
      <c r="H156" s="4" t="s">
        <v>2</v>
      </c>
      <c r="I156" s="1">
        <f t="shared" si="22"/>
        <v>1</v>
      </c>
      <c r="J156" s="1" t="s">
        <v>1</v>
      </c>
      <c r="K156" s="1">
        <f t="shared" si="23"/>
        <v>0</v>
      </c>
      <c r="L156" s="1" t="s">
        <v>2</v>
      </c>
      <c r="M156" s="1">
        <f t="shared" si="24"/>
        <v>1</v>
      </c>
      <c r="N156" s="1" t="s">
        <v>2</v>
      </c>
      <c r="O156" s="8">
        <v>0.36299999999999999</v>
      </c>
      <c r="P156" s="7">
        <v>0.54500000000000004</v>
      </c>
      <c r="Q156" s="3">
        <f>1/16</f>
        <v>6.25E-2</v>
      </c>
      <c r="R156" s="10">
        <f t="shared" si="25"/>
        <v>-11.8</v>
      </c>
      <c r="S156" s="13">
        <v>16.5</v>
      </c>
      <c r="T156" s="13">
        <v>28.3</v>
      </c>
      <c r="U156" s="10">
        <v>13</v>
      </c>
      <c r="V156" s="10">
        <v>25</v>
      </c>
      <c r="W156" s="10">
        <f t="shared" si="26"/>
        <v>-12</v>
      </c>
      <c r="X156" s="9" t="s">
        <v>1</v>
      </c>
      <c r="Y156" s="11">
        <f t="shared" si="27"/>
        <v>0</v>
      </c>
      <c r="Z156" s="14">
        <v>1</v>
      </c>
    </row>
    <row r="157" spans="1:26" x14ac:dyDescent="0.2">
      <c r="A157" s="12">
        <f t="shared" si="28"/>
        <v>2017</v>
      </c>
      <c r="B157" s="1" t="s">
        <v>23</v>
      </c>
      <c r="C157" s="1">
        <v>8</v>
      </c>
      <c r="D157" s="15">
        <v>375000000</v>
      </c>
      <c r="E157" s="15">
        <f>(292.7/245.1)*375000000</f>
        <v>447827417.38066095</v>
      </c>
      <c r="F157" s="10">
        <f t="shared" si="21"/>
        <v>40.200000000000003</v>
      </c>
      <c r="G157" s="5">
        <f>3228/16</f>
        <v>201.75</v>
      </c>
      <c r="H157" s="4" t="s">
        <v>2</v>
      </c>
      <c r="I157" s="1">
        <f t="shared" si="22"/>
        <v>1</v>
      </c>
      <c r="J157" s="1" t="s">
        <v>1</v>
      </c>
      <c r="K157" s="1">
        <f t="shared" si="23"/>
        <v>0</v>
      </c>
      <c r="L157" s="1" t="s">
        <v>2</v>
      </c>
      <c r="M157" s="1">
        <f t="shared" si="24"/>
        <v>1</v>
      </c>
      <c r="N157" s="1" t="s">
        <v>2</v>
      </c>
      <c r="O157" s="8">
        <v>0.33800000000000002</v>
      </c>
      <c r="P157" s="7">
        <v>0.48699999999999999</v>
      </c>
      <c r="Q157" s="3">
        <v>0</v>
      </c>
      <c r="R157" s="10">
        <f t="shared" si="25"/>
        <v>-11.000000000000002</v>
      </c>
      <c r="S157" s="13">
        <v>14.6</v>
      </c>
      <c r="T157" s="13">
        <v>25.6</v>
      </c>
      <c r="U157" s="10">
        <v>13</v>
      </c>
      <c r="V157" s="10">
        <v>41</v>
      </c>
      <c r="W157" s="10">
        <f t="shared" si="26"/>
        <v>-28</v>
      </c>
      <c r="X157" s="9" t="s">
        <v>1</v>
      </c>
      <c r="Y157" s="11">
        <f t="shared" si="27"/>
        <v>0</v>
      </c>
      <c r="Z157" s="14">
        <v>1</v>
      </c>
    </row>
    <row r="158" spans="1:26" x14ac:dyDescent="0.2">
      <c r="A158" s="12">
        <f t="shared" si="28"/>
        <v>2018</v>
      </c>
      <c r="B158" s="1" t="s">
        <v>23</v>
      </c>
      <c r="C158" s="1">
        <v>8</v>
      </c>
      <c r="D158" s="15">
        <v>399000000</v>
      </c>
      <c r="E158" s="15">
        <f>(292.7/251.1)*399000000</f>
        <v>465102747.90919954</v>
      </c>
      <c r="F158" s="10">
        <f t="shared" si="21"/>
        <v>46.9</v>
      </c>
      <c r="G158" s="5">
        <f>4007/16</f>
        <v>250.4375</v>
      </c>
      <c r="H158" s="4" t="s">
        <v>1</v>
      </c>
      <c r="I158" s="1">
        <f t="shared" si="22"/>
        <v>0</v>
      </c>
      <c r="J158" s="1" t="s">
        <v>2</v>
      </c>
      <c r="K158" s="1">
        <f t="shared" si="23"/>
        <v>1</v>
      </c>
      <c r="L158" s="1" t="s">
        <v>2</v>
      </c>
      <c r="M158" s="1">
        <f t="shared" si="24"/>
        <v>1</v>
      </c>
      <c r="N158" s="1" t="s">
        <v>2</v>
      </c>
      <c r="O158" s="8">
        <v>0.35099999999999998</v>
      </c>
      <c r="P158" s="7">
        <v>0.66700000000000004</v>
      </c>
      <c r="Q158" s="3">
        <f>7.5/16</f>
        <v>0.46875</v>
      </c>
      <c r="R158" s="10">
        <f t="shared" si="25"/>
        <v>-2.1000000000000014</v>
      </c>
      <c r="S158" s="13">
        <v>22.4</v>
      </c>
      <c r="T158" s="13">
        <v>24.5</v>
      </c>
      <c r="U158" s="10">
        <v>31</v>
      </c>
      <c r="V158" s="10">
        <v>24</v>
      </c>
      <c r="W158" s="10">
        <f t="shared" si="26"/>
        <v>7</v>
      </c>
      <c r="X158" s="9" t="s">
        <v>1</v>
      </c>
      <c r="Y158" s="11">
        <f t="shared" si="27"/>
        <v>0</v>
      </c>
      <c r="Z158" s="14">
        <v>4</v>
      </c>
    </row>
    <row r="159" spans="1:26" x14ac:dyDescent="0.2">
      <c r="A159" s="12">
        <f t="shared" si="28"/>
        <v>2019</v>
      </c>
      <c r="B159" s="1" t="s">
        <v>23</v>
      </c>
      <c r="C159" s="1">
        <v>8</v>
      </c>
      <c r="D159" s="15">
        <v>431000000</v>
      </c>
      <c r="E159" s="15">
        <f>(292.7/255.7)*431000000</f>
        <v>493366053.96949553</v>
      </c>
      <c r="F159" s="10">
        <f t="shared" si="21"/>
        <v>45.5</v>
      </c>
      <c r="G159" s="5">
        <f>3554/16</f>
        <v>222.125</v>
      </c>
      <c r="H159" s="4" t="s">
        <v>1</v>
      </c>
      <c r="I159" s="1">
        <f t="shared" si="22"/>
        <v>0</v>
      </c>
      <c r="J159" s="1" t="s">
        <v>2</v>
      </c>
      <c r="K159" s="1">
        <f t="shared" si="23"/>
        <v>1</v>
      </c>
      <c r="L159" s="1" t="s">
        <v>2</v>
      </c>
      <c r="M159" s="1">
        <f t="shared" si="24"/>
        <v>1</v>
      </c>
      <c r="N159" s="1" t="s">
        <v>2</v>
      </c>
      <c r="O159" s="8">
        <v>0.36199999999999999</v>
      </c>
      <c r="P159" s="7">
        <v>0.57999999999999996</v>
      </c>
      <c r="Q159" s="3">
        <f>6/16</f>
        <v>0.375</v>
      </c>
      <c r="R159" s="10">
        <f t="shared" si="25"/>
        <v>-3.7000000000000028</v>
      </c>
      <c r="S159" s="13">
        <v>20.9</v>
      </c>
      <c r="T159" s="13">
        <v>24.6</v>
      </c>
      <c r="U159" s="10">
        <v>20</v>
      </c>
      <c r="V159" s="10">
        <v>28</v>
      </c>
      <c r="W159" s="10">
        <f t="shared" si="26"/>
        <v>-8</v>
      </c>
      <c r="X159" s="9" t="s">
        <v>1</v>
      </c>
      <c r="Y159" s="11">
        <f t="shared" si="27"/>
        <v>0</v>
      </c>
      <c r="Z159" s="14">
        <v>3</v>
      </c>
    </row>
    <row r="160" spans="1:26" x14ac:dyDescent="0.2">
      <c r="A160" s="12">
        <v>2021</v>
      </c>
      <c r="B160" s="1" t="s">
        <v>23</v>
      </c>
      <c r="C160" s="1">
        <v>8</v>
      </c>
      <c r="D160" s="15">
        <v>510000000</v>
      </c>
      <c r="E160" s="15">
        <f>(292.7/271)*510000000</f>
        <v>550837638.37638366</v>
      </c>
      <c r="F160" s="10">
        <f t="shared" si="21"/>
        <v>42.3</v>
      </c>
      <c r="G160" s="5">
        <f>3320/17</f>
        <v>195.29411764705881</v>
      </c>
      <c r="H160" s="4" t="s">
        <v>1</v>
      </c>
      <c r="I160" s="1">
        <f t="shared" si="22"/>
        <v>0</v>
      </c>
      <c r="J160" s="1" t="s">
        <v>2</v>
      </c>
      <c r="K160" s="1">
        <f t="shared" si="23"/>
        <v>1</v>
      </c>
      <c r="L160" s="1" t="s">
        <v>2</v>
      </c>
      <c r="M160" s="1">
        <f t="shared" si="24"/>
        <v>1</v>
      </c>
      <c r="N160" s="1" t="s">
        <v>2</v>
      </c>
      <c r="O160" s="8">
        <v>0.39200000000000002</v>
      </c>
      <c r="P160" s="7">
        <v>0.62</v>
      </c>
      <c r="Q160" s="3">
        <f>8/17</f>
        <v>0.47058823529411764</v>
      </c>
      <c r="R160" s="10">
        <f t="shared" si="25"/>
        <v>-1.3000000000000007</v>
      </c>
      <c r="S160" s="13">
        <v>20.5</v>
      </c>
      <c r="T160" s="13">
        <v>21.8</v>
      </c>
      <c r="U160" s="10">
        <v>19</v>
      </c>
      <c r="V160" s="10">
        <v>22</v>
      </c>
      <c r="W160" s="10">
        <f t="shared" si="26"/>
        <v>-3</v>
      </c>
      <c r="X160" s="9" t="s">
        <v>1</v>
      </c>
      <c r="Y160" s="11">
        <f t="shared" si="27"/>
        <v>0</v>
      </c>
      <c r="Z160" s="14">
        <v>5</v>
      </c>
    </row>
    <row r="161" spans="1:26" x14ac:dyDescent="0.2">
      <c r="A161" s="12">
        <f>A160+1</f>
        <v>2022</v>
      </c>
      <c r="B161" s="1" t="s">
        <v>23</v>
      </c>
      <c r="C161" s="1">
        <v>8</v>
      </c>
      <c r="D161" s="15">
        <v>545000000</v>
      </c>
      <c r="E161" s="15">
        <f>(292.7/292.7)*545000000</f>
        <v>545000000</v>
      </c>
      <c r="F161" s="10">
        <f t="shared" si="21"/>
        <v>43.599999999999994</v>
      </c>
      <c r="G161" s="5">
        <f>3444/17</f>
        <v>202.58823529411765</v>
      </c>
      <c r="H161" s="4" t="s">
        <v>1</v>
      </c>
      <c r="I161" s="1">
        <f t="shared" si="22"/>
        <v>0</v>
      </c>
      <c r="J161" s="1" t="s">
        <v>2</v>
      </c>
      <c r="K161" s="1">
        <f t="shared" si="23"/>
        <v>1</v>
      </c>
      <c r="L161" s="1" t="s">
        <v>2</v>
      </c>
      <c r="M161" s="1">
        <f t="shared" si="24"/>
        <v>1</v>
      </c>
      <c r="N161" s="1" t="s">
        <v>2</v>
      </c>
      <c r="O161" s="8">
        <v>0.38100000000000001</v>
      </c>
      <c r="P161" s="7">
        <v>0.53600000000000003</v>
      </c>
      <c r="Q161" s="3">
        <f>7/17</f>
        <v>0.41176470588235292</v>
      </c>
      <c r="R161" s="10">
        <f t="shared" si="25"/>
        <v>-1.1999999999999993</v>
      </c>
      <c r="S161" s="13">
        <v>21.2</v>
      </c>
      <c r="T161" s="13">
        <v>22.4</v>
      </c>
      <c r="U161" s="10">
        <v>20</v>
      </c>
      <c r="V161" s="10">
        <v>21</v>
      </c>
      <c r="W161" s="10">
        <f t="shared" si="26"/>
        <v>-1</v>
      </c>
      <c r="X161" s="9" t="s">
        <v>1</v>
      </c>
      <c r="Y161" s="11">
        <f t="shared" si="27"/>
        <v>0</v>
      </c>
      <c r="Z161" s="14">
        <v>4</v>
      </c>
    </row>
    <row r="162" spans="1:26" x14ac:dyDescent="0.2">
      <c r="A162" s="12">
        <v>2002</v>
      </c>
      <c r="B162" s="1" t="s">
        <v>24</v>
      </c>
      <c r="C162" s="1">
        <v>9</v>
      </c>
      <c r="D162" s="15">
        <v>198000000</v>
      </c>
      <c r="E162" s="15">
        <f>(292.7/179.9)*198000000</f>
        <v>322148971.65091717</v>
      </c>
      <c r="F162" s="10">
        <f t="shared" si="21"/>
        <v>34.200000000000003</v>
      </c>
      <c r="G162" s="5">
        <f>2621/16</f>
        <v>163.8125</v>
      </c>
      <c r="H162" s="4" t="s">
        <v>1</v>
      </c>
      <c r="I162" s="1">
        <f t="shared" si="22"/>
        <v>0</v>
      </c>
      <c r="J162" s="1" t="s">
        <v>1</v>
      </c>
      <c r="K162" s="1">
        <f t="shared" si="23"/>
        <v>0</v>
      </c>
      <c r="L162" s="1" t="s">
        <v>1</v>
      </c>
      <c r="M162" s="1">
        <f t="shared" si="24"/>
        <v>0</v>
      </c>
      <c r="N162" s="1" t="s">
        <v>1</v>
      </c>
      <c r="O162" s="8">
        <v>0.24</v>
      </c>
      <c r="P162" s="7">
        <v>0.38500000000000001</v>
      </c>
      <c r="Q162" s="3">
        <f>5/16</f>
        <v>0.3125</v>
      </c>
      <c r="R162" s="10">
        <f t="shared" si="25"/>
        <v>-7.0000000000000018</v>
      </c>
      <c r="S162" s="13">
        <v>13.6</v>
      </c>
      <c r="T162" s="13">
        <v>20.6</v>
      </c>
      <c r="U162" s="10">
        <v>30</v>
      </c>
      <c r="V162" s="10">
        <v>34</v>
      </c>
      <c r="W162" s="10">
        <f t="shared" si="26"/>
        <v>-4</v>
      </c>
      <c r="X162" s="9" t="s">
        <v>1</v>
      </c>
      <c r="Y162" s="11">
        <f t="shared" si="27"/>
        <v>0</v>
      </c>
      <c r="Z162" s="14">
        <v>1</v>
      </c>
    </row>
    <row r="163" spans="1:26" x14ac:dyDescent="0.2">
      <c r="A163" s="12">
        <f>A162+1</f>
        <v>2003</v>
      </c>
      <c r="B163" s="1" t="s">
        <v>24</v>
      </c>
      <c r="C163" s="1">
        <v>9</v>
      </c>
      <c r="D163" s="15">
        <v>205000000</v>
      </c>
      <c r="E163" s="15">
        <f>(292.7/184)*205000000</f>
        <v>326105978.26086956</v>
      </c>
      <c r="F163" s="10">
        <f t="shared" si="21"/>
        <v>34.400000000000006</v>
      </c>
      <c r="G163" s="5">
        <f>3162/16</f>
        <v>197.625</v>
      </c>
      <c r="H163" s="4" t="s">
        <v>1</v>
      </c>
      <c r="I163" s="1">
        <f t="shared" si="22"/>
        <v>0</v>
      </c>
      <c r="J163" s="1" t="s">
        <v>1</v>
      </c>
      <c r="K163" s="1">
        <f t="shared" si="23"/>
        <v>0</v>
      </c>
      <c r="L163" s="1" t="s">
        <v>1</v>
      </c>
      <c r="M163" s="1">
        <f t="shared" si="24"/>
        <v>0</v>
      </c>
      <c r="N163" s="1" t="s">
        <v>1</v>
      </c>
      <c r="O163" s="8">
        <v>0.36499999999999999</v>
      </c>
      <c r="P163" s="7">
        <v>0.435</v>
      </c>
      <c r="Q163" s="3">
        <f>10/16</f>
        <v>0.625</v>
      </c>
      <c r="R163" s="10">
        <f t="shared" si="25"/>
        <v>1.8000000000000007</v>
      </c>
      <c r="S163" s="13">
        <v>18.100000000000001</v>
      </c>
      <c r="T163" s="13">
        <v>16.3</v>
      </c>
      <c r="U163" s="10">
        <v>25</v>
      </c>
      <c r="V163" s="10">
        <v>29</v>
      </c>
      <c r="W163" s="10">
        <f t="shared" si="26"/>
        <v>-4</v>
      </c>
      <c r="X163" s="9" t="s">
        <v>2</v>
      </c>
      <c r="Y163" s="11">
        <f t="shared" si="27"/>
        <v>1</v>
      </c>
      <c r="Z163" s="14">
        <v>5</v>
      </c>
    </row>
    <row r="164" spans="1:26" x14ac:dyDescent="0.2">
      <c r="A164" s="12">
        <f>A163+1</f>
        <v>2004</v>
      </c>
      <c r="B164" s="1" t="s">
        <v>24</v>
      </c>
      <c r="C164" s="1">
        <v>9</v>
      </c>
      <c r="D164" s="15">
        <v>231000000</v>
      </c>
      <c r="E164" s="15">
        <f>(292.7/188.9)*231000000</f>
        <v>357933827.42191631</v>
      </c>
      <c r="F164" s="10">
        <f t="shared" si="21"/>
        <v>43.6</v>
      </c>
      <c r="G164" s="5">
        <f>3428/16</f>
        <v>214.25</v>
      </c>
      <c r="H164" s="4" t="s">
        <v>1</v>
      </c>
      <c r="I164" s="1">
        <f t="shared" si="22"/>
        <v>0</v>
      </c>
      <c r="J164" s="1" t="s">
        <v>1</v>
      </c>
      <c r="K164" s="1">
        <f t="shared" si="23"/>
        <v>0</v>
      </c>
      <c r="L164" s="1" t="s">
        <v>1</v>
      </c>
      <c r="M164" s="1">
        <f t="shared" si="24"/>
        <v>0</v>
      </c>
      <c r="N164" s="1" t="s">
        <v>1</v>
      </c>
      <c r="O164" s="8">
        <v>0.36399999999999999</v>
      </c>
      <c r="P164" s="7">
        <v>0.52500000000000002</v>
      </c>
      <c r="Q164" s="3">
        <f>6/16</f>
        <v>0.375</v>
      </c>
      <c r="R164" s="10">
        <f t="shared" si="25"/>
        <v>-7</v>
      </c>
      <c r="S164" s="13">
        <v>18.3</v>
      </c>
      <c r="T164" s="13">
        <v>25.3</v>
      </c>
      <c r="U164" s="10">
        <v>22</v>
      </c>
      <c r="V164" s="10">
        <v>37</v>
      </c>
      <c r="W164" s="10">
        <f t="shared" si="26"/>
        <v>-15</v>
      </c>
      <c r="X164" s="9" t="s">
        <v>1</v>
      </c>
      <c r="Y164" s="11">
        <f t="shared" si="27"/>
        <v>0</v>
      </c>
      <c r="Z164" s="14">
        <v>5</v>
      </c>
    </row>
    <row r="165" spans="1:26" x14ac:dyDescent="0.2">
      <c r="A165" s="12">
        <f>A164+1</f>
        <v>2005</v>
      </c>
      <c r="B165" s="1" t="s">
        <v>24</v>
      </c>
      <c r="C165" s="1">
        <v>9</v>
      </c>
      <c r="D165" s="15">
        <v>235000000</v>
      </c>
      <c r="E165" s="15">
        <f>(292.7/195.3)*235000000</f>
        <v>352199180.74756777</v>
      </c>
      <c r="F165" s="10">
        <f t="shared" si="21"/>
        <v>39.6</v>
      </c>
      <c r="G165" s="5">
        <f>3341/16</f>
        <v>208.8125</v>
      </c>
      <c r="H165" s="4" t="s">
        <v>1</v>
      </c>
      <c r="I165" s="1">
        <f t="shared" si="22"/>
        <v>0</v>
      </c>
      <c r="J165" s="1" t="s">
        <v>1</v>
      </c>
      <c r="K165" s="1">
        <f t="shared" si="23"/>
        <v>0</v>
      </c>
      <c r="L165" s="1" t="s">
        <v>1</v>
      </c>
      <c r="M165" s="1">
        <f t="shared" si="24"/>
        <v>0</v>
      </c>
      <c r="N165" s="1" t="s">
        <v>1</v>
      </c>
      <c r="O165" s="8">
        <v>0.40500000000000003</v>
      </c>
      <c r="P165" s="7">
        <v>0.52800000000000002</v>
      </c>
      <c r="Q165" s="3">
        <f>9/16</f>
        <v>0.5625</v>
      </c>
      <c r="R165" s="10">
        <f t="shared" si="25"/>
        <v>1</v>
      </c>
      <c r="S165" s="13">
        <v>20.3</v>
      </c>
      <c r="T165" s="13">
        <v>19.3</v>
      </c>
      <c r="U165" s="10">
        <v>26</v>
      </c>
      <c r="V165" s="10">
        <v>31</v>
      </c>
      <c r="W165" s="10">
        <f t="shared" si="26"/>
        <v>-5</v>
      </c>
      <c r="X165" s="9" t="s">
        <v>1</v>
      </c>
      <c r="Y165" s="11">
        <f t="shared" si="27"/>
        <v>0</v>
      </c>
      <c r="Z165" s="14">
        <v>4</v>
      </c>
    </row>
    <row r="166" spans="1:26" x14ac:dyDescent="0.2">
      <c r="A166" s="12">
        <f>A165+1</f>
        <v>2006</v>
      </c>
      <c r="B166" s="1" t="s">
        <v>24</v>
      </c>
      <c r="C166" s="1">
        <v>9</v>
      </c>
      <c r="D166" s="15">
        <v>242000000</v>
      </c>
      <c r="E166" s="15">
        <f>(292.7/201.6)*242000000</f>
        <v>351356150.79365081</v>
      </c>
      <c r="F166" s="10">
        <f t="shared" si="21"/>
        <v>48.5</v>
      </c>
      <c r="G166" s="5">
        <f>3836/16</f>
        <v>239.75</v>
      </c>
      <c r="H166" s="4" t="s">
        <v>1</v>
      </c>
      <c r="I166" s="1">
        <f t="shared" si="22"/>
        <v>0</v>
      </c>
      <c r="J166" s="1" t="s">
        <v>1</v>
      </c>
      <c r="K166" s="1">
        <f t="shared" si="23"/>
        <v>0</v>
      </c>
      <c r="L166" s="1" t="s">
        <v>1</v>
      </c>
      <c r="M166" s="1">
        <f t="shared" si="24"/>
        <v>0</v>
      </c>
      <c r="N166" s="1" t="s">
        <v>1</v>
      </c>
      <c r="O166" s="8">
        <v>0.48799999999999999</v>
      </c>
      <c r="P166" s="7">
        <v>0.60299999999999998</v>
      </c>
      <c r="Q166" s="3">
        <f>9/16</f>
        <v>0.5625</v>
      </c>
      <c r="R166" s="10">
        <f t="shared" si="25"/>
        <v>4.7000000000000028</v>
      </c>
      <c r="S166" s="13">
        <v>26.6</v>
      </c>
      <c r="T166" s="13">
        <v>21.9</v>
      </c>
      <c r="U166" s="10">
        <v>31</v>
      </c>
      <c r="V166" s="10">
        <v>30</v>
      </c>
      <c r="W166" s="10">
        <f t="shared" si="26"/>
        <v>1</v>
      </c>
      <c r="X166" s="9" t="s">
        <v>2</v>
      </c>
      <c r="Y166" s="11">
        <f t="shared" si="27"/>
        <v>1</v>
      </c>
      <c r="Z166" s="14">
        <v>7</v>
      </c>
    </row>
    <row r="167" spans="1:26" x14ac:dyDescent="0.2">
      <c r="A167" s="12">
        <f>A166+1</f>
        <v>2007</v>
      </c>
      <c r="B167" s="1" t="s">
        <v>24</v>
      </c>
      <c r="C167" s="1">
        <v>9</v>
      </c>
      <c r="D167" s="15">
        <v>269000000</v>
      </c>
      <c r="E167" s="15">
        <f>(292.7/207.3)*269000000</f>
        <v>379818137.9643029</v>
      </c>
      <c r="F167" s="10">
        <f t="shared" si="21"/>
        <v>48.7</v>
      </c>
      <c r="G167" s="5">
        <f>4105/16</f>
        <v>256.5625</v>
      </c>
      <c r="H167" s="4" t="s">
        <v>1</v>
      </c>
      <c r="I167" s="1">
        <f t="shared" si="22"/>
        <v>0</v>
      </c>
      <c r="J167" s="1" t="s">
        <v>1</v>
      </c>
      <c r="K167" s="1">
        <f t="shared" si="23"/>
        <v>0</v>
      </c>
      <c r="L167" s="1" t="s">
        <v>1</v>
      </c>
      <c r="M167" s="1">
        <f t="shared" si="24"/>
        <v>0</v>
      </c>
      <c r="N167" s="1" t="s">
        <v>1</v>
      </c>
      <c r="O167" s="8">
        <v>0.42199999999999999</v>
      </c>
      <c r="P167" s="7">
        <v>0.53600000000000003</v>
      </c>
      <c r="Q167" s="3">
        <f>13/16</f>
        <v>0.8125</v>
      </c>
      <c r="R167" s="10">
        <f t="shared" si="25"/>
        <v>8.0999999999999979</v>
      </c>
      <c r="S167" s="13">
        <v>28.4</v>
      </c>
      <c r="T167" s="13">
        <v>20.3</v>
      </c>
      <c r="U167" s="10">
        <v>29</v>
      </c>
      <c r="V167" s="10">
        <v>24</v>
      </c>
      <c r="W167" s="10">
        <f t="shared" si="26"/>
        <v>5</v>
      </c>
      <c r="X167" s="9" t="s">
        <v>2</v>
      </c>
      <c r="Y167" s="11">
        <f t="shared" si="27"/>
        <v>1</v>
      </c>
      <c r="Z167" s="14">
        <v>13</v>
      </c>
    </row>
    <row r="168" spans="1:26" x14ac:dyDescent="0.2">
      <c r="A168" s="12">
        <v>2008</v>
      </c>
      <c r="B168" s="1" t="s">
        <v>24</v>
      </c>
      <c r="C168" s="1">
        <v>9</v>
      </c>
      <c r="D168" s="15">
        <v>280000000</v>
      </c>
      <c r="E168" s="15">
        <f>(292.7/215.3)*280000000</f>
        <v>380659544.82117975</v>
      </c>
      <c r="F168" s="10">
        <f t="shared" si="21"/>
        <v>45.400000000000006</v>
      </c>
      <c r="G168" s="5">
        <f>3789/16</f>
        <v>236.8125</v>
      </c>
      <c r="H168" s="4" t="s">
        <v>1</v>
      </c>
      <c r="I168" s="1">
        <f t="shared" si="22"/>
        <v>0</v>
      </c>
      <c r="J168" s="1" t="s">
        <v>1</v>
      </c>
      <c r="K168" s="1">
        <f t="shared" si="23"/>
        <v>0</v>
      </c>
      <c r="L168" s="1" t="s">
        <v>1</v>
      </c>
      <c r="M168" s="1">
        <f t="shared" si="24"/>
        <v>0</v>
      </c>
      <c r="N168" s="1" t="s">
        <v>1</v>
      </c>
      <c r="O168" s="8">
        <v>0.42899999999999999</v>
      </c>
      <c r="P168" s="7">
        <v>0.59099999999999997</v>
      </c>
      <c r="Q168" s="3">
        <f>9/16</f>
        <v>0.5625</v>
      </c>
      <c r="R168" s="10">
        <f t="shared" si="25"/>
        <v>-0.19999999999999929</v>
      </c>
      <c r="S168" s="13">
        <v>22.6</v>
      </c>
      <c r="T168" s="13">
        <v>22.8</v>
      </c>
      <c r="U168" s="10">
        <v>22</v>
      </c>
      <c r="V168" s="10">
        <v>33</v>
      </c>
      <c r="W168" s="10">
        <f t="shared" si="26"/>
        <v>-11</v>
      </c>
      <c r="X168" s="9" t="s">
        <v>1</v>
      </c>
      <c r="Y168" s="11">
        <f t="shared" si="27"/>
        <v>0</v>
      </c>
      <c r="Z168" s="14">
        <v>6</v>
      </c>
    </row>
    <row r="169" spans="1:26" x14ac:dyDescent="0.2">
      <c r="A169" s="12">
        <f t="shared" ref="A169:A179" si="29">A168+1</f>
        <v>2009</v>
      </c>
      <c r="B169" s="1" t="s">
        <v>24</v>
      </c>
      <c r="C169" s="1">
        <v>9</v>
      </c>
      <c r="D169" s="15">
        <v>420000000</v>
      </c>
      <c r="E169" s="15">
        <f>(292.7/214.5)*420000000</f>
        <v>573118881.11888111</v>
      </c>
      <c r="F169" s="10">
        <f t="shared" si="21"/>
        <v>38.200000000000003</v>
      </c>
      <c r="G169" s="5">
        <f>4287/16</f>
        <v>267.9375</v>
      </c>
      <c r="H169" s="4" t="s">
        <v>2</v>
      </c>
      <c r="I169" s="1">
        <f t="shared" si="22"/>
        <v>1</v>
      </c>
      <c r="J169" s="1" t="s">
        <v>1</v>
      </c>
      <c r="K169" s="1">
        <f t="shared" si="23"/>
        <v>0</v>
      </c>
      <c r="L169" s="1" t="s">
        <v>2</v>
      </c>
      <c r="M169" s="1">
        <f t="shared" si="24"/>
        <v>1</v>
      </c>
      <c r="N169" s="1" t="s">
        <v>1</v>
      </c>
      <c r="O169" s="8">
        <v>0.40600000000000003</v>
      </c>
      <c r="P169" s="7">
        <v>0.52</v>
      </c>
      <c r="Q169" s="3">
        <f>11/16</f>
        <v>0.6875</v>
      </c>
      <c r="R169" s="10">
        <f t="shared" si="25"/>
        <v>7.0000000000000018</v>
      </c>
      <c r="S169" s="13">
        <v>22.6</v>
      </c>
      <c r="T169" s="13">
        <v>15.6</v>
      </c>
      <c r="U169" s="10">
        <v>21</v>
      </c>
      <c r="V169" s="10">
        <v>19</v>
      </c>
      <c r="W169" s="10">
        <f t="shared" si="26"/>
        <v>2</v>
      </c>
      <c r="X169" s="9" t="s">
        <v>2</v>
      </c>
      <c r="Y169" s="11">
        <f t="shared" si="27"/>
        <v>1</v>
      </c>
      <c r="Z169" s="14">
        <v>9</v>
      </c>
    </row>
    <row r="170" spans="1:26" x14ac:dyDescent="0.2">
      <c r="A170" s="12">
        <f t="shared" si="29"/>
        <v>2010</v>
      </c>
      <c r="B170" s="1" t="s">
        <v>24</v>
      </c>
      <c r="C170" s="1">
        <v>9</v>
      </c>
      <c r="D170" s="15">
        <v>406000000</v>
      </c>
      <c r="E170" s="15">
        <f>(292.7/218.1)*406000000</f>
        <v>544870243.00779462</v>
      </c>
      <c r="F170" s="10">
        <f t="shared" si="21"/>
        <v>51.900000000000006</v>
      </c>
      <c r="G170" s="5">
        <f>4042/16</f>
        <v>252.625</v>
      </c>
      <c r="H170" s="4" t="s">
        <v>2</v>
      </c>
      <c r="I170" s="1">
        <f t="shared" si="22"/>
        <v>1</v>
      </c>
      <c r="J170" s="1" t="s">
        <v>1</v>
      </c>
      <c r="K170" s="1">
        <f t="shared" si="23"/>
        <v>0</v>
      </c>
      <c r="L170" s="1" t="s">
        <v>2</v>
      </c>
      <c r="M170" s="1">
        <f t="shared" si="24"/>
        <v>1</v>
      </c>
      <c r="N170" s="1" t="s">
        <v>1</v>
      </c>
      <c r="O170" s="8">
        <v>0.40799999999999997</v>
      </c>
      <c r="P170" s="7">
        <v>0.59599999999999997</v>
      </c>
      <c r="Q170" s="3">
        <f>6/16</f>
        <v>0.375</v>
      </c>
      <c r="R170" s="10">
        <f t="shared" si="25"/>
        <v>-2.6999999999999993</v>
      </c>
      <c r="S170" s="13">
        <v>24.6</v>
      </c>
      <c r="T170" s="13">
        <v>27.3</v>
      </c>
      <c r="U170" s="10">
        <v>30</v>
      </c>
      <c r="V170" s="10">
        <v>30</v>
      </c>
      <c r="W170" s="10">
        <f t="shared" si="26"/>
        <v>0</v>
      </c>
      <c r="X170" s="9" t="s">
        <v>1</v>
      </c>
      <c r="Y170" s="11">
        <f t="shared" si="27"/>
        <v>0</v>
      </c>
      <c r="Z170" s="14">
        <v>6</v>
      </c>
    </row>
    <row r="171" spans="1:26" x14ac:dyDescent="0.2">
      <c r="A171" s="12">
        <f t="shared" si="29"/>
        <v>2011</v>
      </c>
      <c r="B171" s="1" t="s">
        <v>24</v>
      </c>
      <c r="C171" s="1">
        <v>9</v>
      </c>
      <c r="D171" s="15">
        <v>500000000</v>
      </c>
      <c r="E171" s="15">
        <f>(292.7/224.9)*500000000</f>
        <v>650733659.40417957</v>
      </c>
      <c r="F171" s="10">
        <f t="shared" si="21"/>
        <v>44.8</v>
      </c>
      <c r="G171" s="5">
        <f>4201/16</f>
        <v>262.5625</v>
      </c>
      <c r="H171" s="4" t="s">
        <v>2</v>
      </c>
      <c r="I171" s="1">
        <f t="shared" si="22"/>
        <v>1</v>
      </c>
      <c r="J171" s="1" t="s">
        <v>1</v>
      </c>
      <c r="K171" s="1">
        <f t="shared" si="23"/>
        <v>0</v>
      </c>
      <c r="L171" s="1" t="s">
        <v>2</v>
      </c>
      <c r="M171" s="1">
        <f t="shared" si="24"/>
        <v>1</v>
      </c>
      <c r="N171" s="1" t="s">
        <v>1</v>
      </c>
      <c r="O171" s="8">
        <v>0.39400000000000002</v>
      </c>
      <c r="P171" s="7">
        <v>0.49</v>
      </c>
      <c r="Q171" s="3">
        <v>0.5</v>
      </c>
      <c r="R171" s="10">
        <f t="shared" si="25"/>
        <v>1.4000000000000021</v>
      </c>
      <c r="S171" s="13">
        <v>23.1</v>
      </c>
      <c r="T171" s="13">
        <v>21.7</v>
      </c>
      <c r="U171" s="10">
        <v>25</v>
      </c>
      <c r="V171" s="10">
        <v>21</v>
      </c>
      <c r="W171" s="10">
        <f t="shared" si="26"/>
        <v>4</v>
      </c>
      <c r="X171" s="9" t="s">
        <v>1</v>
      </c>
      <c r="Y171" s="11">
        <f t="shared" si="27"/>
        <v>0</v>
      </c>
      <c r="Z171" s="14">
        <v>2</v>
      </c>
    </row>
    <row r="172" spans="1:26" x14ac:dyDescent="0.2">
      <c r="A172" s="12">
        <f t="shared" si="29"/>
        <v>2012</v>
      </c>
      <c r="B172" s="1" t="s">
        <v>24</v>
      </c>
      <c r="C172" s="1">
        <v>9</v>
      </c>
      <c r="D172" s="15">
        <v>539000000</v>
      </c>
      <c r="E172" s="15">
        <f>(292.7/229.6)*539000000</f>
        <v>687131097.56097555</v>
      </c>
      <c r="F172" s="10">
        <f t="shared" si="21"/>
        <v>48.5</v>
      </c>
      <c r="G172" s="5">
        <f>4729/16</f>
        <v>295.5625</v>
      </c>
      <c r="H172" s="4" t="s">
        <v>2</v>
      </c>
      <c r="I172" s="1">
        <f t="shared" si="22"/>
        <v>1</v>
      </c>
      <c r="J172" s="1" t="s">
        <v>1</v>
      </c>
      <c r="K172" s="1">
        <f t="shared" si="23"/>
        <v>0</v>
      </c>
      <c r="L172" s="1" t="s">
        <v>2</v>
      </c>
      <c r="M172" s="1">
        <f t="shared" si="24"/>
        <v>1</v>
      </c>
      <c r="N172" s="1" t="s">
        <v>1</v>
      </c>
      <c r="O172" s="8">
        <v>0.439</v>
      </c>
      <c r="P172" s="7">
        <v>0.51</v>
      </c>
      <c r="Q172" s="3">
        <v>0.5</v>
      </c>
      <c r="R172" s="10">
        <f t="shared" si="25"/>
        <v>-1.5</v>
      </c>
      <c r="S172" s="13">
        <v>23.5</v>
      </c>
      <c r="T172" s="13">
        <v>25</v>
      </c>
      <c r="U172" s="10">
        <v>16</v>
      </c>
      <c r="V172" s="10">
        <v>29</v>
      </c>
      <c r="W172" s="10">
        <f t="shared" si="26"/>
        <v>-13</v>
      </c>
      <c r="X172" s="9" t="s">
        <v>1</v>
      </c>
      <c r="Y172" s="11">
        <f t="shared" si="27"/>
        <v>0</v>
      </c>
      <c r="Z172" s="14">
        <v>3</v>
      </c>
    </row>
    <row r="173" spans="1:26" x14ac:dyDescent="0.2">
      <c r="A173" s="12">
        <f t="shared" si="29"/>
        <v>2013</v>
      </c>
      <c r="B173" s="1" t="s">
        <v>24</v>
      </c>
      <c r="C173" s="1">
        <v>9</v>
      </c>
      <c r="D173" s="15">
        <v>560000000</v>
      </c>
      <c r="E173" s="15">
        <f>(292.7/233)*560000000</f>
        <v>703484978.54077256</v>
      </c>
      <c r="F173" s="10">
        <f t="shared" si="21"/>
        <v>54.4</v>
      </c>
      <c r="G173" s="5">
        <f>3954/16</f>
        <v>247.125</v>
      </c>
      <c r="H173" s="4" t="s">
        <v>2</v>
      </c>
      <c r="I173" s="1">
        <f t="shared" si="22"/>
        <v>1</v>
      </c>
      <c r="J173" s="1" t="s">
        <v>1</v>
      </c>
      <c r="K173" s="1">
        <f t="shared" si="23"/>
        <v>0</v>
      </c>
      <c r="L173" s="1" t="s">
        <v>2</v>
      </c>
      <c r="M173" s="1">
        <f t="shared" si="24"/>
        <v>1</v>
      </c>
      <c r="N173" s="1" t="s">
        <v>1</v>
      </c>
      <c r="O173" s="8">
        <v>0.35</v>
      </c>
      <c r="P173" s="7">
        <v>0.68600000000000005</v>
      </c>
      <c r="Q173" s="3">
        <v>0.5</v>
      </c>
      <c r="R173" s="10">
        <f t="shared" si="25"/>
        <v>0.39999999999999858</v>
      </c>
      <c r="S173" s="13">
        <v>27.4</v>
      </c>
      <c r="T173" s="13">
        <v>27</v>
      </c>
      <c r="U173" s="10">
        <v>28</v>
      </c>
      <c r="V173" s="10">
        <v>20</v>
      </c>
      <c r="W173" s="10">
        <f t="shared" si="26"/>
        <v>8</v>
      </c>
      <c r="X173" s="9" t="s">
        <v>1</v>
      </c>
      <c r="Y173" s="11">
        <f t="shared" si="27"/>
        <v>0</v>
      </c>
      <c r="Z173" s="14">
        <v>5</v>
      </c>
    </row>
    <row r="174" spans="1:26" x14ac:dyDescent="0.2">
      <c r="A174" s="12">
        <f t="shared" si="29"/>
        <v>2014</v>
      </c>
      <c r="B174" s="1" t="s">
        <v>24</v>
      </c>
      <c r="C174" s="1">
        <v>9</v>
      </c>
      <c r="D174" s="15">
        <v>620000000</v>
      </c>
      <c r="E174" s="15">
        <f>(292.7/236.7)*620000000</f>
        <v>766683565.69497252</v>
      </c>
      <c r="F174" s="10">
        <f t="shared" si="21"/>
        <v>51.2</v>
      </c>
      <c r="G174" s="5">
        <f>3784/16</f>
        <v>236.5</v>
      </c>
      <c r="H174" s="4" t="s">
        <v>2</v>
      </c>
      <c r="I174" s="1">
        <f t="shared" si="22"/>
        <v>1</v>
      </c>
      <c r="J174" s="1" t="s">
        <v>1</v>
      </c>
      <c r="K174" s="1">
        <f t="shared" si="23"/>
        <v>0</v>
      </c>
      <c r="L174" s="1" t="s">
        <v>2</v>
      </c>
      <c r="M174" s="1">
        <f t="shared" si="24"/>
        <v>1</v>
      </c>
      <c r="N174" s="1" t="s">
        <v>1</v>
      </c>
      <c r="O174" s="8">
        <v>0.47299999999999998</v>
      </c>
      <c r="P174" s="7">
        <v>0.64700000000000002</v>
      </c>
      <c r="Q174" s="3">
        <v>0.75</v>
      </c>
      <c r="R174" s="10">
        <f t="shared" si="25"/>
        <v>7.1999999999999993</v>
      </c>
      <c r="S174" s="13">
        <v>29.2</v>
      </c>
      <c r="T174" s="13">
        <v>22</v>
      </c>
      <c r="U174" s="10">
        <v>31</v>
      </c>
      <c r="V174" s="10">
        <v>25</v>
      </c>
      <c r="W174" s="10">
        <f t="shared" si="26"/>
        <v>6</v>
      </c>
      <c r="X174" s="9" t="s">
        <v>2</v>
      </c>
      <c r="Y174" s="11">
        <f t="shared" si="27"/>
        <v>1</v>
      </c>
      <c r="Z174" s="14">
        <v>8</v>
      </c>
    </row>
    <row r="175" spans="1:26" x14ac:dyDescent="0.2">
      <c r="A175" s="12">
        <f t="shared" si="29"/>
        <v>2015</v>
      </c>
      <c r="B175" s="1" t="s">
        <v>24</v>
      </c>
      <c r="C175" s="1">
        <v>9</v>
      </c>
      <c r="D175" s="15">
        <v>700000000</v>
      </c>
      <c r="E175" s="15">
        <f>(292.7/237)*700000000</f>
        <v>864514767.9324894</v>
      </c>
      <c r="F175" s="10">
        <f t="shared" si="21"/>
        <v>40.599999999999994</v>
      </c>
      <c r="G175" s="5">
        <f>3471/16</f>
        <v>216.9375</v>
      </c>
      <c r="H175" s="4" t="s">
        <v>2</v>
      </c>
      <c r="I175" s="1">
        <f t="shared" si="22"/>
        <v>1</v>
      </c>
      <c r="J175" s="1" t="s">
        <v>1</v>
      </c>
      <c r="K175" s="1">
        <f t="shared" si="23"/>
        <v>0</v>
      </c>
      <c r="L175" s="1" t="s">
        <v>2</v>
      </c>
      <c r="M175" s="1">
        <f t="shared" si="24"/>
        <v>1</v>
      </c>
      <c r="N175" s="1" t="s">
        <v>2</v>
      </c>
      <c r="O175" s="8">
        <v>0.34599999999999997</v>
      </c>
      <c r="P175" s="7">
        <v>0.44400000000000001</v>
      </c>
      <c r="Q175" s="3">
        <v>0.25</v>
      </c>
      <c r="R175" s="10">
        <f t="shared" si="25"/>
        <v>-6.1999999999999993</v>
      </c>
      <c r="S175" s="13">
        <v>17.2</v>
      </c>
      <c r="T175" s="13">
        <v>23.4</v>
      </c>
      <c r="U175" s="10">
        <v>11</v>
      </c>
      <c r="V175" s="10">
        <v>33</v>
      </c>
      <c r="W175" s="10">
        <f t="shared" si="26"/>
        <v>-22</v>
      </c>
      <c r="X175" s="9" t="s">
        <v>1</v>
      </c>
      <c r="Y175" s="11">
        <f t="shared" si="27"/>
        <v>0</v>
      </c>
      <c r="Z175" s="14">
        <v>5</v>
      </c>
    </row>
    <row r="176" spans="1:26" x14ac:dyDescent="0.2">
      <c r="A176" s="12">
        <f t="shared" si="29"/>
        <v>2016</v>
      </c>
      <c r="B176" s="1" t="s">
        <v>24</v>
      </c>
      <c r="C176" s="1">
        <v>9</v>
      </c>
      <c r="D176" s="15">
        <v>840000000</v>
      </c>
      <c r="E176" s="15">
        <f>(292.7/240)*840000000</f>
        <v>1024449999.9999999</v>
      </c>
      <c r="F176" s="10">
        <f t="shared" si="21"/>
        <v>45.400000000000006</v>
      </c>
      <c r="G176" s="5">
        <f>3631/16</f>
        <v>226.9375</v>
      </c>
      <c r="H176" s="4" t="s">
        <v>2</v>
      </c>
      <c r="I176" s="1">
        <f t="shared" si="22"/>
        <v>1</v>
      </c>
      <c r="J176" s="1" t="s">
        <v>1</v>
      </c>
      <c r="K176" s="1">
        <f t="shared" si="23"/>
        <v>0</v>
      </c>
      <c r="L176" s="1" t="s">
        <v>2</v>
      </c>
      <c r="M176" s="1">
        <f t="shared" si="24"/>
        <v>1</v>
      </c>
      <c r="N176" s="1" t="s">
        <v>2</v>
      </c>
      <c r="O176" s="8">
        <v>0.42299999999999999</v>
      </c>
      <c r="P176" s="7">
        <v>0.66700000000000004</v>
      </c>
      <c r="Q176" s="3">
        <f>13/16</f>
        <v>0.8125</v>
      </c>
      <c r="R176" s="10">
        <f t="shared" si="25"/>
        <v>7.1999999999999993</v>
      </c>
      <c r="S176" s="13">
        <v>26.3</v>
      </c>
      <c r="T176" s="13">
        <v>19.100000000000001</v>
      </c>
      <c r="U176" s="10">
        <v>20</v>
      </c>
      <c r="V176" s="10">
        <v>15</v>
      </c>
      <c r="W176" s="10">
        <f t="shared" si="26"/>
        <v>5</v>
      </c>
      <c r="X176" s="9" t="s">
        <v>2</v>
      </c>
      <c r="Y176" s="11">
        <f t="shared" si="27"/>
        <v>1</v>
      </c>
      <c r="Z176" s="14">
        <v>7</v>
      </c>
    </row>
    <row r="177" spans="1:26" x14ac:dyDescent="0.2">
      <c r="A177" s="12">
        <f t="shared" si="29"/>
        <v>2017</v>
      </c>
      <c r="B177" s="1" t="s">
        <v>24</v>
      </c>
      <c r="C177" s="1">
        <v>9</v>
      </c>
      <c r="D177" s="15">
        <v>864000000</v>
      </c>
      <c r="E177" s="15">
        <f>(292.7/245.1)*864000000</f>
        <v>1031794369.6450428</v>
      </c>
      <c r="F177" s="10">
        <f t="shared" si="21"/>
        <v>42.900000000000006</v>
      </c>
      <c r="G177" s="5">
        <f>3141/16</f>
        <v>196.3125</v>
      </c>
      <c r="H177" s="4" t="s">
        <v>2</v>
      </c>
      <c r="I177" s="1">
        <f t="shared" si="22"/>
        <v>1</v>
      </c>
      <c r="J177" s="1" t="s">
        <v>1</v>
      </c>
      <c r="K177" s="1">
        <f t="shared" si="23"/>
        <v>0</v>
      </c>
      <c r="L177" s="1" t="s">
        <v>2</v>
      </c>
      <c r="M177" s="1">
        <f t="shared" si="24"/>
        <v>1</v>
      </c>
      <c r="N177" s="1" t="s">
        <v>2</v>
      </c>
      <c r="O177" s="8">
        <v>0.42899999999999999</v>
      </c>
      <c r="P177" s="7">
        <v>0.59599999999999997</v>
      </c>
      <c r="Q177" s="3">
        <f>9/16</f>
        <v>0.5625</v>
      </c>
      <c r="R177" s="10">
        <f t="shared" si="25"/>
        <v>1.3000000000000007</v>
      </c>
      <c r="S177" s="13">
        <v>22.1</v>
      </c>
      <c r="T177" s="13">
        <v>20.8</v>
      </c>
      <c r="U177" s="10">
        <v>21</v>
      </c>
      <c r="V177" s="10">
        <v>22</v>
      </c>
      <c r="W177" s="10">
        <f t="shared" si="26"/>
        <v>-1</v>
      </c>
      <c r="X177" s="9" t="s">
        <v>1</v>
      </c>
      <c r="Y177" s="11">
        <f t="shared" si="27"/>
        <v>0</v>
      </c>
      <c r="Z177" s="14">
        <v>5</v>
      </c>
    </row>
    <row r="178" spans="1:26" x14ac:dyDescent="0.2">
      <c r="A178" s="12">
        <f t="shared" si="29"/>
        <v>2018</v>
      </c>
      <c r="B178" s="1" t="s">
        <v>24</v>
      </c>
      <c r="C178" s="1">
        <v>9</v>
      </c>
      <c r="D178" s="15">
        <v>950000000</v>
      </c>
      <c r="E178" s="15">
        <f>(292.7/251.1)*950000000</f>
        <v>1107387495.0219038</v>
      </c>
      <c r="F178" s="10">
        <f t="shared" si="21"/>
        <v>41.5</v>
      </c>
      <c r="G178" s="5">
        <f>3538/16</f>
        <v>221.125</v>
      </c>
      <c r="H178" s="4" t="s">
        <v>1</v>
      </c>
      <c r="I178" s="1">
        <f t="shared" si="22"/>
        <v>0</v>
      </c>
      <c r="J178" s="1" t="s">
        <v>2</v>
      </c>
      <c r="K178" s="1">
        <f t="shared" si="23"/>
        <v>1</v>
      </c>
      <c r="L178" s="1" t="s">
        <v>2</v>
      </c>
      <c r="M178" s="1">
        <f t="shared" si="24"/>
        <v>1</v>
      </c>
      <c r="N178" s="1" t="s">
        <v>2</v>
      </c>
      <c r="O178" s="8">
        <v>0.41399999999999998</v>
      </c>
      <c r="P178" s="7">
        <v>0.48</v>
      </c>
      <c r="Q178" s="3">
        <f>10/16</f>
        <v>0.625</v>
      </c>
      <c r="R178" s="10">
        <f t="shared" si="25"/>
        <v>0.89999999999999858</v>
      </c>
      <c r="S178" s="13">
        <v>21.2</v>
      </c>
      <c r="T178" s="13">
        <v>20.3</v>
      </c>
      <c r="U178" s="10">
        <v>20</v>
      </c>
      <c r="V178" s="10">
        <v>17</v>
      </c>
      <c r="W178" s="10">
        <f t="shared" si="26"/>
        <v>3</v>
      </c>
      <c r="X178" s="9" t="s">
        <v>2</v>
      </c>
      <c r="Y178" s="11">
        <f t="shared" si="27"/>
        <v>1</v>
      </c>
      <c r="Z178" s="14">
        <v>7</v>
      </c>
    </row>
    <row r="179" spans="1:26" x14ac:dyDescent="0.2">
      <c r="A179" s="12">
        <f t="shared" si="29"/>
        <v>2019</v>
      </c>
      <c r="B179" s="1" t="s">
        <v>24</v>
      </c>
      <c r="C179" s="1">
        <v>9</v>
      </c>
      <c r="D179" s="15">
        <v>980000000</v>
      </c>
      <c r="E179" s="15">
        <f>(292.7/255.7)*980000000</f>
        <v>1121806804.8494329</v>
      </c>
      <c r="F179" s="10">
        <f t="shared" si="21"/>
        <v>47.2</v>
      </c>
      <c r="G179" s="5">
        <f>4751/16</f>
        <v>296.9375</v>
      </c>
      <c r="H179" s="4" t="s">
        <v>1</v>
      </c>
      <c r="I179" s="1">
        <f t="shared" si="22"/>
        <v>0</v>
      </c>
      <c r="J179" s="1" t="s">
        <v>2</v>
      </c>
      <c r="K179" s="1">
        <f t="shared" si="23"/>
        <v>1</v>
      </c>
      <c r="L179" s="1" t="s">
        <v>2</v>
      </c>
      <c r="M179" s="1">
        <f t="shared" si="24"/>
        <v>1</v>
      </c>
      <c r="N179" s="1" t="s">
        <v>2</v>
      </c>
      <c r="O179" s="8">
        <v>0.47099999999999997</v>
      </c>
      <c r="P179" s="7">
        <v>0.57399999999999995</v>
      </c>
      <c r="Q179" s="3">
        <v>0.5</v>
      </c>
      <c r="R179" s="10">
        <f t="shared" si="25"/>
        <v>7</v>
      </c>
      <c r="S179" s="13">
        <v>27.1</v>
      </c>
      <c r="T179" s="13">
        <v>20.100000000000001</v>
      </c>
      <c r="U179" s="10">
        <v>17</v>
      </c>
      <c r="V179" s="10">
        <v>18</v>
      </c>
      <c r="W179" s="10">
        <f t="shared" si="26"/>
        <v>-1</v>
      </c>
      <c r="X179" s="9" t="s">
        <v>1</v>
      </c>
      <c r="Y179" s="11">
        <f t="shared" si="27"/>
        <v>0</v>
      </c>
      <c r="Z179" s="14">
        <v>6</v>
      </c>
    </row>
    <row r="180" spans="1:26" x14ac:dyDescent="0.2">
      <c r="A180" s="12">
        <v>2021</v>
      </c>
      <c r="B180" s="1" t="s">
        <v>24</v>
      </c>
      <c r="C180" s="1">
        <v>9</v>
      </c>
      <c r="D180" s="15">
        <v>1100000000</v>
      </c>
      <c r="E180" s="15">
        <f>(292.7/271)*1100000000</f>
        <v>1188081180.8118081</v>
      </c>
      <c r="F180" s="10">
        <f t="shared" si="21"/>
        <v>52.3</v>
      </c>
      <c r="G180" s="5">
        <f>4800/17</f>
        <v>282.35294117647061</v>
      </c>
      <c r="H180" s="4" t="s">
        <v>1</v>
      </c>
      <c r="I180" s="1">
        <f t="shared" si="22"/>
        <v>0</v>
      </c>
      <c r="J180" s="1" t="s">
        <v>2</v>
      </c>
      <c r="K180" s="1">
        <f t="shared" si="23"/>
        <v>1</v>
      </c>
      <c r="L180" s="1" t="s">
        <v>2</v>
      </c>
      <c r="M180" s="1">
        <f t="shared" si="24"/>
        <v>1</v>
      </c>
      <c r="N180" s="1" t="s">
        <v>2</v>
      </c>
      <c r="O180" s="8">
        <v>0.434</v>
      </c>
      <c r="P180" s="7">
        <v>0.63100000000000001</v>
      </c>
      <c r="Q180" s="3">
        <f>12/17</f>
        <v>0.70588235294117652</v>
      </c>
      <c r="R180" s="10">
        <f t="shared" si="25"/>
        <v>10.099999999999998</v>
      </c>
      <c r="S180" s="13">
        <v>31.2</v>
      </c>
      <c r="T180" s="13">
        <v>21.1</v>
      </c>
      <c r="U180" s="10">
        <v>34</v>
      </c>
      <c r="V180" s="10">
        <v>20</v>
      </c>
      <c r="W180" s="10">
        <f t="shared" si="26"/>
        <v>14</v>
      </c>
      <c r="X180" s="9" t="s">
        <v>2</v>
      </c>
      <c r="Y180" s="11">
        <f t="shared" si="27"/>
        <v>1</v>
      </c>
      <c r="Z180" s="14">
        <v>7</v>
      </c>
    </row>
    <row r="181" spans="1:26" x14ac:dyDescent="0.2">
      <c r="A181" s="12">
        <f>A180+1</f>
        <v>2022</v>
      </c>
      <c r="B181" s="1" t="s">
        <v>24</v>
      </c>
      <c r="C181" s="1">
        <v>9</v>
      </c>
      <c r="D181" s="15">
        <v>1135000000</v>
      </c>
      <c r="E181" s="15">
        <f>(292.7/292.7)*1135000000</f>
        <v>1135000000</v>
      </c>
      <c r="F181" s="10">
        <f t="shared" si="21"/>
        <v>47.6</v>
      </c>
      <c r="G181" s="5">
        <f>3736/17</f>
        <v>219.76470588235293</v>
      </c>
      <c r="H181" s="4" t="s">
        <v>1</v>
      </c>
      <c r="I181" s="1">
        <f t="shared" si="22"/>
        <v>0</v>
      </c>
      <c r="J181" s="1" t="s">
        <v>2</v>
      </c>
      <c r="K181" s="1">
        <f t="shared" si="23"/>
        <v>1</v>
      </c>
      <c r="L181" s="1" t="s">
        <v>2</v>
      </c>
      <c r="M181" s="1">
        <f t="shared" si="24"/>
        <v>1</v>
      </c>
      <c r="N181" s="1" t="s">
        <v>2</v>
      </c>
      <c r="O181" s="8">
        <v>0.45500000000000002</v>
      </c>
      <c r="P181" s="7">
        <v>0.71399999999999997</v>
      </c>
      <c r="Q181" s="3">
        <f>12/17</f>
        <v>0.70588235294117652</v>
      </c>
      <c r="R181" s="10">
        <f t="shared" si="25"/>
        <v>7.3999999999999986</v>
      </c>
      <c r="S181" s="13">
        <v>27.5</v>
      </c>
      <c r="T181" s="13">
        <v>20.100000000000001</v>
      </c>
      <c r="U181" s="10">
        <v>33</v>
      </c>
      <c r="V181" s="10">
        <v>23</v>
      </c>
      <c r="W181" s="10">
        <f t="shared" si="26"/>
        <v>10</v>
      </c>
      <c r="X181" s="9" t="s">
        <v>2</v>
      </c>
      <c r="Y181" s="11">
        <f t="shared" si="27"/>
        <v>1</v>
      </c>
      <c r="Z181" s="14">
        <v>8</v>
      </c>
    </row>
    <row r="182" spans="1:26" x14ac:dyDescent="0.2">
      <c r="A182" s="12">
        <v>2002</v>
      </c>
      <c r="B182" s="1" t="s">
        <v>25</v>
      </c>
      <c r="C182" s="1">
        <v>10</v>
      </c>
      <c r="D182" s="15">
        <v>171000000</v>
      </c>
      <c r="E182" s="15">
        <f>(292.7/179.9)*171000000</f>
        <v>278219566.4257921</v>
      </c>
      <c r="F182" s="10">
        <f t="shared" si="21"/>
        <v>46</v>
      </c>
      <c r="G182" s="5">
        <f>3824/16</f>
        <v>239</v>
      </c>
      <c r="H182" s="4" t="s">
        <v>1</v>
      </c>
      <c r="I182" s="1">
        <f t="shared" si="22"/>
        <v>0</v>
      </c>
      <c r="J182" s="1" t="s">
        <v>1</v>
      </c>
      <c r="K182" s="1">
        <f t="shared" si="23"/>
        <v>0</v>
      </c>
      <c r="L182" s="1" t="s">
        <v>1</v>
      </c>
      <c r="M182" s="1">
        <f t="shared" si="24"/>
        <v>0</v>
      </c>
      <c r="N182" s="1" t="s">
        <v>1</v>
      </c>
      <c r="O182" s="8">
        <v>0.38100000000000001</v>
      </c>
      <c r="P182" s="7">
        <v>0.58599999999999997</v>
      </c>
      <c r="Q182" s="3">
        <f>9/16</f>
        <v>0.5625</v>
      </c>
      <c r="R182" s="10">
        <f t="shared" si="25"/>
        <v>3</v>
      </c>
      <c r="S182" s="13">
        <v>24.5</v>
      </c>
      <c r="T182" s="13">
        <v>21.5</v>
      </c>
      <c r="U182" s="10">
        <v>22</v>
      </c>
      <c r="V182" s="10">
        <v>27</v>
      </c>
      <c r="W182" s="10">
        <f t="shared" si="26"/>
        <v>-5</v>
      </c>
      <c r="X182" s="9" t="s">
        <v>1</v>
      </c>
      <c r="Y182" s="11">
        <f t="shared" si="27"/>
        <v>0</v>
      </c>
      <c r="Z182" s="14">
        <v>2</v>
      </c>
    </row>
    <row r="183" spans="1:26" x14ac:dyDescent="0.2">
      <c r="A183" s="12">
        <f>A182+1</f>
        <v>2003</v>
      </c>
      <c r="B183" s="1" t="s">
        <v>25</v>
      </c>
      <c r="C183" s="1">
        <v>10</v>
      </c>
      <c r="D183" s="15">
        <v>183000000</v>
      </c>
      <c r="E183" s="15">
        <f>(292.7/184)*183000000</f>
        <v>291109239.13043475</v>
      </c>
      <c r="F183" s="10">
        <f t="shared" si="21"/>
        <v>42.6</v>
      </c>
      <c r="G183" s="5">
        <f>2969/16</f>
        <v>185.5625</v>
      </c>
      <c r="H183" s="4" t="s">
        <v>1</v>
      </c>
      <c r="I183" s="1">
        <f t="shared" si="22"/>
        <v>0</v>
      </c>
      <c r="J183" s="1" t="s">
        <v>1</v>
      </c>
      <c r="K183" s="1">
        <f t="shared" si="23"/>
        <v>0</v>
      </c>
      <c r="L183" s="1" t="s">
        <v>1</v>
      </c>
      <c r="M183" s="1">
        <f t="shared" si="24"/>
        <v>0</v>
      </c>
      <c r="N183" s="1" t="s">
        <v>1</v>
      </c>
      <c r="O183" s="8">
        <v>0.38900000000000001</v>
      </c>
      <c r="P183" s="7">
        <v>0.55400000000000005</v>
      </c>
      <c r="Q183" s="3">
        <f>10/16</f>
        <v>0.625</v>
      </c>
      <c r="R183" s="10">
        <f t="shared" si="25"/>
        <v>5</v>
      </c>
      <c r="S183" s="13">
        <v>23.8</v>
      </c>
      <c r="T183" s="13">
        <v>18.8</v>
      </c>
      <c r="U183" s="10">
        <v>20</v>
      </c>
      <c r="V183" s="10">
        <v>24</v>
      </c>
      <c r="W183" s="10">
        <f t="shared" si="26"/>
        <v>-4</v>
      </c>
      <c r="X183" s="9" t="s">
        <v>2</v>
      </c>
      <c r="Y183" s="11">
        <f t="shared" si="27"/>
        <v>1</v>
      </c>
      <c r="Z183" s="14">
        <v>3</v>
      </c>
    </row>
    <row r="184" spans="1:26" x14ac:dyDescent="0.2">
      <c r="A184" s="12">
        <f>A183+1</f>
        <v>2004</v>
      </c>
      <c r="B184" s="1" t="s">
        <v>25</v>
      </c>
      <c r="C184" s="1">
        <v>10</v>
      </c>
      <c r="D184" s="15">
        <v>202000000</v>
      </c>
      <c r="E184" s="15">
        <f>(292.7/188.9)*202000000</f>
        <v>312998411.85812598</v>
      </c>
      <c r="F184" s="10">
        <f t="shared" si="21"/>
        <v>42.8</v>
      </c>
      <c r="G184" s="5">
        <f>3999/16</f>
        <v>249.9375</v>
      </c>
      <c r="H184" s="4" t="s">
        <v>1</v>
      </c>
      <c r="I184" s="1">
        <f t="shared" si="22"/>
        <v>0</v>
      </c>
      <c r="J184" s="1" t="s">
        <v>1</v>
      </c>
      <c r="K184" s="1">
        <f t="shared" si="23"/>
        <v>0</v>
      </c>
      <c r="L184" s="1" t="s">
        <v>1</v>
      </c>
      <c r="M184" s="1">
        <f t="shared" si="24"/>
        <v>0</v>
      </c>
      <c r="N184" s="1" t="s">
        <v>1</v>
      </c>
      <c r="O184" s="8">
        <v>0.379</v>
      </c>
      <c r="P184" s="7">
        <v>0.45300000000000001</v>
      </c>
      <c r="Q184" s="3">
        <f>10/16</f>
        <v>0.625</v>
      </c>
      <c r="R184" s="10">
        <f t="shared" si="25"/>
        <v>4.8000000000000007</v>
      </c>
      <c r="S184" s="13">
        <v>23.8</v>
      </c>
      <c r="T184" s="13">
        <v>19</v>
      </c>
      <c r="U184" s="10">
        <v>20</v>
      </c>
      <c r="V184" s="10">
        <v>29</v>
      </c>
      <c r="W184" s="10">
        <f t="shared" si="26"/>
        <v>-9</v>
      </c>
      <c r="X184" s="9" t="s">
        <v>2</v>
      </c>
      <c r="Y184" s="11">
        <f t="shared" si="27"/>
        <v>1</v>
      </c>
      <c r="Z184" s="14">
        <v>2</v>
      </c>
    </row>
    <row r="185" spans="1:26" x14ac:dyDescent="0.2">
      <c r="A185" s="12">
        <f>A184+1</f>
        <v>2005</v>
      </c>
      <c r="B185" s="1" t="s">
        <v>25</v>
      </c>
      <c r="C185" s="1">
        <v>10</v>
      </c>
      <c r="D185" s="15">
        <v>207000000</v>
      </c>
      <c r="E185" s="15">
        <f>(292.7/195.3)*207000000</f>
        <v>310235023.04147464</v>
      </c>
      <c r="F185" s="10">
        <f t="shared" si="21"/>
        <v>40.799999999999997</v>
      </c>
      <c r="G185" s="5">
        <f>3227/16</f>
        <v>201.6875</v>
      </c>
      <c r="H185" s="4" t="s">
        <v>1</v>
      </c>
      <c r="I185" s="1">
        <f t="shared" si="22"/>
        <v>0</v>
      </c>
      <c r="J185" s="1" t="s">
        <v>1</v>
      </c>
      <c r="K185" s="1">
        <f t="shared" si="23"/>
        <v>0</v>
      </c>
      <c r="L185" s="1" t="s">
        <v>1</v>
      </c>
      <c r="M185" s="1">
        <f t="shared" si="24"/>
        <v>0</v>
      </c>
      <c r="N185" s="1" t="s">
        <v>1</v>
      </c>
      <c r="O185" s="8">
        <v>0.36199999999999999</v>
      </c>
      <c r="P185" s="7">
        <v>0.60299999999999998</v>
      </c>
      <c r="Q185" s="3">
        <f>13/16</f>
        <v>0.8125</v>
      </c>
      <c r="R185" s="10">
        <f t="shared" si="25"/>
        <v>8.5999999999999979</v>
      </c>
      <c r="S185" s="13">
        <v>24.7</v>
      </c>
      <c r="T185" s="13">
        <v>16.100000000000001</v>
      </c>
      <c r="U185" s="10">
        <v>36</v>
      </c>
      <c r="V185" s="10">
        <v>16</v>
      </c>
      <c r="W185" s="10">
        <f t="shared" si="26"/>
        <v>20</v>
      </c>
      <c r="X185" s="9" t="s">
        <v>2</v>
      </c>
      <c r="Y185" s="11">
        <f t="shared" si="27"/>
        <v>1</v>
      </c>
      <c r="Z185" s="14">
        <v>5</v>
      </c>
    </row>
    <row r="186" spans="1:26" x14ac:dyDescent="0.2">
      <c r="A186" s="12">
        <f>A185+1</f>
        <v>2006</v>
      </c>
      <c r="B186" s="1" t="s">
        <v>25</v>
      </c>
      <c r="C186" s="1">
        <v>10</v>
      </c>
      <c r="D186" s="15">
        <v>212000000</v>
      </c>
      <c r="E186" s="15">
        <f>(292.7/201.6)*212000000</f>
        <v>307799603.17460316</v>
      </c>
      <c r="F186" s="10">
        <f t="shared" si="21"/>
        <v>38.200000000000003</v>
      </c>
      <c r="G186" s="5">
        <f>2799/16</f>
        <v>174.9375</v>
      </c>
      <c r="H186" s="4" t="s">
        <v>1</v>
      </c>
      <c r="I186" s="1">
        <f t="shared" si="22"/>
        <v>0</v>
      </c>
      <c r="J186" s="1" t="s">
        <v>1</v>
      </c>
      <c r="K186" s="1">
        <f t="shared" si="23"/>
        <v>0</v>
      </c>
      <c r="L186" s="1" t="s">
        <v>1</v>
      </c>
      <c r="M186" s="1">
        <f t="shared" si="24"/>
        <v>0</v>
      </c>
      <c r="N186" s="1" t="s">
        <v>1</v>
      </c>
      <c r="O186" s="8">
        <v>0.37</v>
      </c>
      <c r="P186" s="7">
        <v>0.54500000000000004</v>
      </c>
      <c r="Q186" s="3">
        <f>9/16</f>
        <v>0.5625</v>
      </c>
      <c r="R186" s="10">
        <f t="shared" si="25"/>
        <v>0</v>
      </c>
      <c r="S186" s="13">
        <v>19.100000000000001</v>
      </c>
      <c r="T186" s="13">
        <v>19.100000000000001</v>
      </c>
      <c r="U186" s="10">
        <v>30</v>
      </c>
      <c r="V186" s="10">
        <v>30</v>
      </c>
      <c r="W186" s="10">
        <f t="shared" si="26"/>
        <v>0</v>
      </c>
      <c r="X186" s="9" t="s">
        <v>1</v>
      </c>
      <c r="Y186" s="11">
        <f t="shared" si="27"/>
        <v>0</v>
      </c>
      <c r="Z186" s="14">
        <v>3</v>
      </c>
    </row>
    <row r="187" spans="1:26" x14ac:dyDescent="0.2">
      <c r="A187" s="12">
        <f>A186+1</f>
        <v>2007</v>
      </c>
      <c r="B187" s="1" t="s">
        <v>25</v>
      </c>
      <c r="C187" s="1">
        <v>10</v>
      </c>
      <c r="D187" s="15">
        <v>226000000</v>
      </c>
      <c r="E187" s="15">
        <f>(292.7/207.3)*226000000</f>
        <v>319103714.42354071</v>
      </c>
      <c r="F187" s="10">
        <f t="shared" si="21"/>
        <v>45.6</v>
      </c>
      <c r="G187" s="5">
        <f>3584/16</f>
        <v>224</v>
      </c>
      <c r="H187" s="4" t="s">
        <v>1</v>
      </c>
      <c r="I187" s="1">
        <f t="shared" si="22"/>
        <v>0</v>
      </c>
      <c r="J187" s="1" t="s">
        <v>1</v>
      </c>
      <c r="K187" s="1">
        <f t="shared" si="23"/>
        <v>0</v>
      </c>
      <c r="L187" s="1" t="s">
        <v>1</v>
      </c>
      <c r="M187" s="1">
        <f t="shared" si="24"/>
        <v>0</v>
      </c>
      <c r="N187" s="1" t="s">
        <v>1</v>
      </c>
      <c r="O187" s="8">
        <v>0.40400000000000003</v>
      </c>
      <c r="P187" s="7">
        <v>0.49</v>
      </c>
      <c r="Q187" s="3">
        <f>7/16</f>
        <v>0.4375</v>
      </c>
      <c r="R187" s="10">
        <f t="shared" si="25"/>
        <v>-5.6000000000000014</v>
      </c>
      <c r="S187" s="13">
        <v>20</v>
      </c>
      <c r="T187" s="13">
        <v>25.6</v>
      </c>
      <c r="U187" s="10">
        <v>30</v>
      </c>
      <c r="V187" s="10">
        <v>29</v>
      </c>
      <c r="W187" s="10">
        <f t="shared" si="26"/>
        <v>1</v>
      </c>
      <c r="X187" s="9" t="s">
        <v>1</v>
      </c>
      <c r="Y187" s="11">
        <f t="shared" si="27"/>
        <v>0</v>
      </c>
      <c r="Z187" s="14">
        <v>2</v>
      </c>
    </row>
    <row r="188" spans="1:26" x14ac:dyDescent="0.2">
      <c r="A188" s="12">
        <v>2008</v>
      </c>
      <c r="B188" s="1" t="s">
        <v>25</v>
      </c>
      <c r="C188" s="1">
        <v>10</v>
      </c>
      <c r="D188" s="15">
        <v>240000000</v>
      </c>
      <c r="E188" s="15">
        <f>(292.7/215.3)*240000000</f>
        <v>326279609.84672552</v>
      </c>
      <c r="F188" s="10">
        <f t="shared" si="21"/>
        <v>51.1</v>
      </c>
      <c r="G188" s="5">
        <f>4471/16</f>
        <v>279.4375</v>
      </c>
      <c r="H188" s="4" t="s">
        <v>1</v>
      </c>
      <c r="I188" s="1">
        <f t="shared" si="22"/>
        <v>0</v>
      </c>
      <c r="J188" s="1" t="s">
        <v>1</v>
      </c>
      <c r="K188" s="1">
        <f t="shared" si="23"/>
        <v>0</v>
      </c>
      <c r="L188" s="1" t="s">
        <v>1</v>
      </c>
      <c r="M188" s="1">
        <f t="shared" si="24"/>
        <v>0</v>
      </c>
      <c r="N188" s="1" t="s">
        <v>1</v>
      </c>
      <c r="O188" s="8">
        <v>0.47499999999999998</v>
      </c>
      <c r="P188" s="7">
        <v>0.54500000000000004</v>
      </c>
      <c r="Q188" s="3">
        <v>0.5</v>
      </c>
      <c r="R188" s="10">
        <f t="shared" si="25"/>
        <v>-4.8999999999999986</v>
      </c>
      <c r="S188" s="13">
        <v>23.1</v>
      </c>
      <c r="T188" s="13">
        <v>28</v>
      </c>
      <c r="U188" s="10">
        <v>13</v>
      </c>
      <c r="V188" s="10">
        <v>30</v>
      </c>
      <c r="W188" s="10">
        <f t="shared" si="26"/>
        <v>-17</v>
      </c>
      <c r="X188" s="9" t="s">
        <v>1</v>
      </c>
      <c r="Y188" s="11">
        <f t="shared" si="27"/>
        <v>0</v>
      </c>
      <c r="Z188" s="14">
        <v>3</v>
      </c>
    </row>
    <row r="189" spans="1:26" x14ac:dyDescent="0.2">
      <c r="A189" s="12">
        <f t="shared" ref="A189:A199" si="30">A188+1</f>
        <v>2009</v>
      </c>
      <c r="B189" s="1" t="s">
        <v>25</v>
      </c>
      <c r="C189" s="1">
        <v>10</v>
      </c>
      <c r="D189" s="15">
        <v>250000000</v>
      </c>
      <c r="E189" s="15">
        <f>(292.7/214.5)*250000000</f>
        <v>341142191.14219111</v>
      </c>
      <c r="F189" s="10">
        <f t="shared" si="21"/>
        <v>40.700000000000003</v>
      </c>
      <c r="G189" s="5">
        <f>3627/16</f>
        <v>226.6875</v>
      </c>
      <c r="H189" s="4" t="s">
        <v>2</v>
      </c>
      <c r="I189" s="1">
        <f t="shared" si="22"/>
        <v>1</v>
      </c>
      <c r="J189" s="1" t="s">
        <v>1</v>
      </c>
      <c r="K189" s="1">
        <f t="shared" si="23"/>
        <v>0</v>
      </c>
      <c r="L189" s="1" t="s">
        <v>2</v>
      </c>
      <c r="M189" s="1">
        <f t="shared" si="24"/>
        <v>1</v>
      </c>
      <c r="N189" s="1" t="s">
        <v>1</v>
      </c>
      <c r="O189" s="8">
        <v>0.36299999999999999</v>
      </c>
      <c r="P189" s="7">
        <v>0.48099999999999998</v>
      </c>
      <c r="Q189" s="3">
        <v>0.5</v>
      </c>
      <c r="R189" s="10">
        <f t="shared" si="25"/>
        <v>9.9999999999997868E-2</v>
      </c>
      <c r="S189" s="13">
        <v>20.399999999999999</v>
      </c>
      <c r="T189" s="13">
        <v>20.3</v>
      </c>
      <c r="U189" s="10">
        <v>30</v>
      </c>
      <c r="V189" s="10">
        <v>23</v>
      </c>
      <c r="W189" s="10">
        <f t="shared" si="26"/>
        <v>7</v>
      </c>
      <c r="X189" s="9" t="s">
        <v>1</v>
      </c>
      <c r="Y189" s="11">
        <f t="shared" si="27"/>
        <v>0</v>
      </c>
      <c r="Z189" s="14">
        <v>5</v>
      </c>
    </row>
    <row r="190" spans="1:26" x14ac:dyDescent="0.2">
      <c r="A190" s="12">
        <f t="shared" si="30"/>
        <v>2010</v>
      </c>
      <c r="B190" s="1" t="s">
        <v>25</v>
      </c>
      <c r="C190" s="1">
        <v>10</v>
      </c>
      <c r="D190" s="15">
        <v>255000000</v>
      </c>
      <c r="E190" s="15">
        <f>(292.7/218.1)*255000000</f>
        <v>342221458.04676753</v>
      </c>
      <c r="F190" s="10">
        <f t="shared" si="21"/>
        <v>50.9</v>
      </c>
      <c r="G190" s="5">
        <f>4038/16</f>
        <v>252.375</v>
      </c>
      <c r="H190" s="4" t="s">
        <v>2</v>
      </c>
      <c r="I190" s="1">
        <f t="shared" si="22"/>
        <v>1</v>
      </c>
      <c r="J190" s="1" t="s">
        <v>1</v>
      </c>
      <c r="K190" s="1">
        <f t="shared" si="23"/>
        <v>0</v>
      </c>
      <c r="L190" s="1" t="s">
        <v>2</v>
      </c>
      <c r="M190" s="1">
        <f t="shared" si="24"/>
        <v>1</v>
      </c>
      <c r="N190" s="1" t="s">
        <v>1</v>
      </c>
      <c r="O190" s="8">
        <v>0.32400000000000001</v>
      </c>
      <c r="P190" s="7">
        <v>0.55800000000000005</v>
      </c>
      <c r="Q190" s="3">
        <v>0.25</v>
      </c>
      <c r="R190" s="10">
        <f t="shared" si="25"/>
        <v>-7.8999999999999986</v>
      </c>
      <c r="S190" s="13">
        <v>21.5</v>
      </c>
      <c r="T190" s="13">
        <v>29.4</v>
      </c>
      <c r="U190" s="10">
        <v>18</v>
      </c>
      <c r="V190" s="10">
        <v>27</v>
      </c>
      <c r="W190" s="10">
        <f t="shared" si="26"/>
        <v>-9</v>
      </c>
      <c r="X190" s="9" t="s">
        <v>1</v>
      </c>
      <c r="Y190" s="11">
        <f t="shared" si="27"/>
        <v>0</v>
      </c>
      <c r="Z190" s="14">
        <v>2</v>
      </c>
    </row>
    <row r="191" spans="1:26" x14ac:dyDescent="0.2">
      <c r="A191" s="12">
        <f t="shared" si="30"/>
        <v>2011</v>
      </c>
      <c r="B191" s="1" t="s">
        <v>25</v>
      </c>
      <c r="C191" s="1">
        <v>10</v>
      </c>
      <c r="D191" s="15">
        <v>276000000</v>
      </c>
      <c r="E191" s="15">
        <f>(292.7/224.9)*276000000</f>
        <v>359204979.99110717</v>
      </c>
      <c r="F191" s="10">
        <f t="shared" si="21"/>
        <v>43.7</v>
      </c>
      <c r="G191" s="5">
        <f>2434/16</f>
        <v>152.125</v>
      </c>
      <c r="H191" s="4" t="s">
        <v>2</v>
      </c>
      <c r="I191" s="1">
        <f t="shared" si="22"/>
        <v>1</v>
      </c>
      <c r="J191" s="1" t="s">
        <v>1</v>
      </c>
      <c r="K191" s="1">
        <f t="shared" si="23"/>
        <v>0</v>
      </c>
      <c r="L191" s="1" t="s">
        <v>2</v>
      </c>
      <c r="M191" s="1">
        <f t="shared" si="24"/>
        <v>1</v>
      </c>
      <c r="N191" s="1" t="s">
        <v>1</v>
      </c>
      <c r="O191" s="8">
        <v>0.308</v>
      </c>
      <c r="P191" s="7">
        <v>0.47199999999999998</v>
      </c>
      <c r="Q191" s="3">
        <v>0.5</v>
      </c>
      <c r="R191" s="10">
        <f t="shared" si="25"/>
        <v>-5.0999999999999979</v>
      </c>
      <c r="S191" s="13">
        <v>19.3</v>
      </c>
      <c r="T191" s="13">
        <v>24.4</v>
      </c>
      <c r="U191" s="10">
        <v>18</v>
      </c>
      <c r="V191" s="10">
        <v>30</v>
      </c>
      <c r="W191" s="10">
        <f t="shared" si="26"/>
        <v>-12</v>
      </c>
      <c r="X191" s="9" t="s">
        <v>2</v>
      </c>
      <c r="Y191" s="11">
        <f t="shared" si="27"/>
        <v>1</v>
      </c>
      <c r="Z191" s="14">
        <v>6</v>
      </c>
    </row>
    <row r="192" spans="1:26" x14ac:dyDescent="0.2">
      <c r="A192" s="12">
        <f t="shared" si="30"/>
        <v>2012</v>
      </c>
      <c r="B192" s="1" t="s">
        <v>25</v>
      </c>
      <c r="C192" s="1">
        <v>10</v>
      </c>
      <c r="D192" s="15">
        <v>283000000</v>
      </c>
      <c r="E192" s="15">
        <f>(292.7/229.6)*283000000</f>
        <v>360775696.86411148</v>
      </c>
      <c r="F192" s="10">
        <f t="shared" si="21"/>
        <v>48.2</v>
      </c>
      <c r="G192" s="5">
        <f>4534/16</f>
        <v>283.375</v>
      </c>
      <c r="H192" s="4" t="s">
        <v>2</v>
      </c>
      <c r="I192" s="1">
        <f t="shared" si="22"/>
        <v>1</v>
      </c>
      <c r="J192" s="1" t="s">
        <v>1</v>
      </c>
      <c r="K192" s="1">
        <f t="shared" si="23"/>
        <v>0</v>
      </c>
      <c r="L192" s="1" t="s">
        <v>2</v>
      </c>
      <c r="M192" s="1">
        <f t="shared" si="24"/>
        <v>1</v>
      </c>
      <c r="N192" s="1" t="s">
        <v>1</v>
      </c>
      <c r="O192" s="8">
        <v>0.45100000000000001</v>
      </c>
      <c r="P192" s="7">
        <v>0.59099999999999997</v>
      </c>
      <c r="Q192" s="3">
        <f>13/16</f>
        <v>0.8125</v>
      </c>
      <c r="R192" s="10">
        <f t="shared" si="25"/>
        <v>12</v>
      </c>
      <c r="S192" s="13">
        <v>30.1</v>
      </c>
      <c r="T192" s="13">
        <v>18.100000000000001</v>
      </c>
      <c r="U192" s="10">
        <v>8</v>
      </c>
      <c r="V192" s="10">
        <v>14</v>
      </c>
      <c r="W192" s="10">
        <f t="shared" si="26"/>
        <v>-6</v>
      </c>
      <c r="X192" s="9" t="s">
        <v>2</v>
      </c>
      <c r="Y192" s="11">
        <f t="shared" si="27"/>
        <v>1</v>
      </c>
      <c r="Z192" s="14">
        <v>7</v>
      </c>
    </row>
    <row r="193" spans="1:26" x14ac:dyDescent="0.2">
      <c r="A193" s="12">
        <f t="shared" si="30"/>
        <v>2013</v>
      </c>
      <c r="B193" s="1" t="s">
        <v>25</v>
      </c>
      <c r="C193" s="1">
        <v>10</v>
      </c>
      <c r="D193" s="15">
        <v>301000000</v>
      </c>
      <c r="E193" s="15">
        <f>(292.7/233)*301000000</f>
        <v>378123175.96566522</v>
      </c>
      <c r="F193" s="10">
        <f t="shared" si="21"/>
        <v>62.8</v>
      </c>
      <c r="G193" s="5">
        <f>5444/16</f>
        <v>340.25</v>
      </c>
      <c r="H193" s="4" t="s">
        <v>2</v>
      </c>
      <c r="I193" s="1">
        <f t="shared" si="22"/>
        <v>1</v>
      </c>
      <c r="J193" s="1" t="s">
        <v>1</v>
      </c>
      <c r="K193" s="1">
        <f t="shared" si="23"/>
        <v>0</v>
      </c>
      <c r="L193" s="1" t="s">
        <v>2</v>
      </c>
      <c r="M193" s="1">
        <f t="shared" si="24"/>
        <v>1</v>
      </c>
      <c r="N193" s="1" t="s">
        <v>1</v>
      </c>
      <c r="O193" s="8">
        <v>0.46300000000000002</v>
      </c>
      <c r="P193" s="7">
        <v>0.76700000000000002</v>
      </c>
      <c r="Q193" s="3">
        <f>Q192</f>
        <v>0.8125</v>
      </c>
      <c r="R193" s="10">
        <f t="shared" si="25"/>
        <v>13</v>
      </c>
      <c r="S193" s="13">
        <v>37.9</v>
      </c>
      <c r="T193" s="13">
        <v>24.9</v>
      </c>
      <c r="U193" s="10">
        <v>26</v>
      </c>
      <c r="V193" s="10">
        <v>26</v>
      </c>
      <c r="W193" s="10">
        <f t="shared" si="26"/>
        <v>0</v>
      </c>
      <c r="X193" s="9" t="s">
        <v>2</v>
      </c>
      <c r="Y193" s="11">
        <f t="shared" si="27"/>
        <v>1</v>
      </c>
      <c r="Z193" s="14">
        <v>5</v>
      </c>
    </row>
    <row r="194" spans="1:26" x14ac:dyDescent="0.2">
      <c r="A194" s="12">
        <f t="shared" si="30"/>
        <v>2014</v>
      </c>
      <c r="B194" s="1" t="s">
        <v>25</v>
      </c>
      <c r="C194" s="1">
        <v>10</v>
      </c>
      <c r="D194" s="15">
        <v>346000000</v>
      </c>
      <c r="E194" s="15">
        <f>(292.7/236.7)*346000000</f>
        <v>427858893.11364591</v>
      </c>
      <c r="F194" s="10">
        <f t="shared" ref="F194:F257" si="31">S194+T194</f>
        <v>52.2</v>
      </c>
      <c r="G194" s="5">
        <f>4661/16</f>
        <v>291.3125</v>
      </c>
      <c r="H194" s="4" t="s">
        <v>2</v>
      </c>
      <c r="I194" s="1">
        <f t="shared" ref="I194:I257" si="32">IF(H194="No",0,1)</f>
        <v>1</v>
      </c>
      <c r="J194" s="1" t="s">
        <v>1</v>
      </c>
      <c r="K194" s="1">
        <f t="shared" ref="K194:K257" si="33">IF(J194="No",0,1)</f>
        <v>0</v>
      </c>
      <c r="L194" s="1" t="s">
        <v>2</v>
      </c>
      <c r="M194" s="1">
        <f t="shared" ref="M194:M257" si="34">IF(L194="No",0,1)</f>
        <v>1</v>
      </c>
      <c r="N194" s="1" t="s">
        <v>1</v>
      </c>
      <c r="O194" s="8">
        <v>0.441</v>
      </c>
      <c r="P194" s="7">
        <v>0.629</v>
      </c>
      <c r="Q194" s="3">
        <v>0.75</v>
      </c>
      <c r="R194" s="10">
        <f t="shared" ref="R194:R257" si="35">S194-T194</f>
        <v>8</v>
      </c>
      <c r="S194" s="13">
        <v>30.1</v>
      </c>
      <c r="T194" s="13">
        <v>22.1</v>
      </c>
      <c r="U194" s="10">
        <v>25</v>
      </c>
      <c r="V194" s="10">
        <v>20</v>
      </c>
      <c r="W194" s="10">
        <f t="shared" ref="W194:W257" si="36">U194-V194</f>
        <v>5</v>
      </c>
      <c r="X194" s="9" t="s">
        <v>2</v>
      </c>
      <c r="Y194" s="11">
        <f t="shared" ref="Y194:Y257" si="37">IF(X194="No",0,1)</f>
        <v>1</v>
      </c>
      <c r="Z194" s="14">
        <v>11</v>
      </c>
    </row>
    <row r="195" spans="1:26" x14ac:dyDescent="0.2">
      <c r="A195" s="12">
        <f t="shared" si="30"/>
        <v>2015</v>
      </c>
      <c r="B195" s="1" t="s">
        <v>25</v>
      </c>
      <c r="C195" s="1">
        <v>10</v>
      </c>
      <c r="D195" s="15">
        <v>387000000</v>
      </c>
      <c r="E195" s="15">
        <f>(292.7/237)*387000000</f>
        <v>477953164.55696201</v>
      </c>
      <c r="F195" s="10">
        <f t="shared" si="31"/>
        <v>40.700000000000003</v>
      </c>
      <c r="G195" s="5">
        <f>3970/16</f>
        <v>248.125</v>
      </c>
      <c r="H195" s="4" t="s">
        <v>2</v>
      </c>
      <c r="I195" s="1">
        <f t="shared" si="32"/>
        <v>1</v>
      </c>
      <c r="J195" s="1" t="s">
        <v>1</v>
      </c>
      <c r="K195" s="1">
        <f t="shared" si="33"/>
        <v>0</v>
      </c>
      <c r="L195" s="1" t="s">
        <v>2</v>
      </c>
      <c r="M195" s="1">
        <f t="shared" si="34"/>
        <v>1</v>
      </c>
      <c r="N195" s="1" t="s">
        <v>2</v>
      </c>
      <c r="O195" s="8">
        <v>0.35299999999999998</v>
      </c>
      <c r="P195" s="7">
        <v>0.47699999999999998</v>
      </c>
      <c r="Q195" s="3">
        <v>0.75</v>
      </c>
      <c r="R195" s="10">
        <f t="shared" si="35"/>
        <v>3.6999999999999993</v>
      </c>
      <c r="S195" s="13">
        <v>22.2</v>
      </c>
      <c r="T195" s="13">
        <v>18.5</v>
      </c>
      <c r="U195" s="10">
        <v>27</v>
      </c>
      <c r="V195" s="10">
        <v>31</v>
      </c>
      <c r="W195" s="10">
        <f t="shared" si="36"/>
        <v>-4</v>
      </c>
      <c r="X195" s="9" t="s">
        <v>2</v>
      </c>
      <c r="Y195" s="11">
        <f t="shared" si="37"/>
        <v>1</v>
      </c>
      <c r="Z195" s="14">
        <v>6</v>
      </c>
    </row>
    <row r="196" spans="1:26" x14ac:dyDescent="0.2">
      <c r="A196" s="12">
        <f t="shared" si="30"/>
        <v>2016</v>
      </c>
      <c r="B196" s="1" t="s">
        <v>25</v>
      </c>
      <c r="C196" s="1">
        <v>10</v>
      </c>
      <c r="D196" s="15">
        <v>411000000</v>
      </c>
      <c r="E196" s="15">
        <f>(292.7/240)*411000000</f>
        <v>501248749.99999994</v>
      </c>
      <c r="F196" s="10">
        <f t="shared" si="31"/>
        <v>39.400000000000006</v>
      </c>
      <c r="G196" s="5">
        <f>3685/16</f>
        <v>230.3125</v>
      </c>
      <c r="H196" s="4" t="s">
        <v>2</v>
      </c>
      <c r="I196" s="1">
        <f t="shared" si="32"/>
        <v>1</v>
      </c>
      <c r="J196" s="1" t="s">
        <v>1</v>
      </c>
      <c r="K196" s="1">
        <f t="shared" si="33"/>
        <v>0</v>
      </c>
      <c r="L196" s="1" t="s">
        <v>2</v>
      </c>
      <c r="M196" s="1">
        <f t="shared" si="34"/>
        <v>1</v>
      </c>
      <c r="N196" s="1" t="s">
        <v>2</v>
      </c>
      <c r="O196" s="8">
        <v>0.34200000000000003</v>
      </c>
      <c r="P196" s="7">
        <v>0.46800000000000003</v>
      </c>
      <c r="Q196" s="3">
        <f>9/16</f>
        <v>0.5625</v>
      </c>
      <c r="R196" s="10">
        <f t="shared" si="35"/>
        <v>2.1999999999999993</v>
      </c>
      <c r="S196" s="13">
        <v>20.8</v>
      </c>
      <c r="T196" s="13">
        <v>18.600000000000001</v>
      </c>
      <c r="U196" s="10">
        <v>27</v>
      </c>
      <c r="V196" s="10">
        <v>25</v>
      </c>
      <c r="W196" s="10">
        <f t="shared" si="36"/>
        <v>2</v>
      </c>
      <c r="X196" s="9" t="s">
        <v>1</v>
      </c>
      <c r="Y196" s="11">
        <f t="shared" si="37"/>
        <v>0</v>
      </c>
      <c r="Z196" s="14">
        <v>6</v>
      </c>
    </row>
    <row r="197" spans="1:26" x14ac:dyDescent="0.2">
      <c r="A197" s="12">
        <f t="shared" si="30"/>
        <v>2017</v>
      </c>
      <c r="B197" s="1" t="s">
        <v>25</v>
      </c>
      <c r="C197" s="1">
        <v>10</v>
      </c>
      <c r="D197" s="15">
        <v>427000000</v>
      </c>
      <c r="E197" s="15">
        <f>(292.7/245.1)*427000000</f>
        <v>509926152.59077924</v>
      </c>
      <c r="F197" s="10">
        <f t="shared" si="31"/>
        <v>42</v>
      </c>
      <c r="G197" s="5">
        <f>3333/16</f>
        <v>208.3125</v>
      </c>
      <c r="H197" s="4" t="s">
        <v>2</v>
      </c>
      <c r="I197" s="1">
        <f t="shared" si="32"/>
        <v>1</v>
      </c>
      <c r="J197" s="1" t="s">
        <v>1</v>
      </c>
      <c r="K197" s="1">
        <f t="shared" si="33"/>
        <v>0</v>
      </c>
      <c r="L197" s="1" t="s">
        <v>2</v>
      </c>
      <c r="M197" s="1">
        <f t="shared" si="34"/>
        <v>1</v>
      </c>
      <c r="N197" s="1" t="s">
        <v>2</v>
      </c>
      <c r="O197" s="8">
        <v>0.39</v>
      </c>
      <c r="P197" s="7">
        <v>0.39600000000000002</v>
      </c>
      <c r="Q197" s="3">
        <f>5/16</f>
        <v>0.3125</v>
      </c>
      <c r="R197" s="10">
        <f t="shared" si="35"/>
        <v>-5.7999999999999972</v>
      </c>
      <c r="S197" s="13">
        <v>18.100000000000001</v>
      </c>
      <c r="T197" s="13">
        <v>23.9</v>
      </c>
      <c r="U197" s="10">
        <v>17</v>
      </c>
      <c r="V197" s="10">
        <v>34</v>
      </c>
      <c r="W197" s="10">
        <f t="shared" si="36"/>
        <v>-17</v>
      </c>
      <c r="X197" s="9" t="s">
        <v>1</v>
      </c>
      <c r="Y197" s="11">
        <f t="shared" si="37"/>
        <v>0</v>
      </c>
      <c r="Z197" s="14">
        <v>2</v>
      </c>
    </row>
    <row r="198" spans="1:26" x14ac:dyDescent="0.2">
      <c r="A198" s="12">
        <f t="shared" si="30"/>
        <v>2018</v>
      </c>
      <c r="B198" s="1" t="s">
        <v>25</v>
      </c>
      <c r="C198" s="1">
        <v>10</v>
      </c>
      <c r="D198" s="15">
        <v>446000000</v>
      </c>
      <c r="E198" s="15">
        <f>(292.7/251.1)*446000000</f>
        <v>519889287.136599</v>
      </c>
      <c r="F198" s="10">
        <f t="shared" si="31"/>
        <v>42.400000000000006</v>
      </c>
      <c r="G198" s="5">
        <f>3695/16</f>
        <v>230.9375</v>
      </c>
      <c r="H198" s="4" t="s">
        <v>1</v>
      </c>
      <c r="I198" s="1">
        <f t="shared" si="32"/>
        <v>0</v>
      </c>
      <c r="J198" s="1" t="s">
        <v>2</v>
      </c>
      <c r="K198" s="1">
        <f t="shared" si="33"/>
        <v>1</v>
      </c>
      <c r="L198" s="1" t="s">
        <v>2</v>
      </c>
      <c r="M198" s="1">
        <f t="shared" si="34"/>
        <v>1</v>
      </c>
      <c r="N198" s="1" t="s">
        <v>2</v>
      </c>
      <c r="O198" s="8">
        <v>0.33300000000000002</v>
      </c>
      <c r="P198" s="7">
        <f>0.568</f>
        <v>0.56799999999999995</v>
      </c>
      <c r="Q198" s="3">
        <f>6/16</f>
        <v>0.375</v>
      </c>
      <c r="R198" s="10">
        <f t="shared" si="35"/>
        <v>-1.1999999999999993</v>
      </c>
      <c r="S198" s="13">
        <v>20.6</v>
      </c>
      <c r="T198" s="13">
        <v>21.8</v>
      </c>
      <c r="U198" s="10">
        <v>28</v>
      </c>
      <c r="V198" s="10">
        <v>21</v>
      </c>
      <c r="W198" s="10">
        <f t="shared" si="36"/>
        <v>7</v>
      </c>
      <c r="X198" s="9" t="s">
        <v>1</v>
      </c>
      <c r="Y198" s="11">
        <f t="shared" si="37"/>
        <v>0</v>
      </c>
      <c r="Z198" s="14">
        <v>4</v>
      </c>
    </row>
    <row r="199" spans="1:26" x14ac:dyDescent="0.2">
      <c r="A199" s="12">
        <f t="shared" si="30"/>
        <v>2019</v>
      </c>
      <c r="B199" s="1" t="s">
        <v>25</v>
      </c>
      <c r="C199" s="1">
        <v>10</v>
      </c>
      <c r="D199" s="15">
        <v>470000000</v>
      </c>
      <c r="E199" s="15">
        <f>(292.7/255.7)*470000000</f>
        <v>538009385.99921787</v>
      </c>
      <c r="F199" s="10">
        <f t="shared" si="31"/>
        <v>37.400000000000006</v>
      </c>
      <c r="G199" s="5">
        <f>3115/16</f>
        <v>194.6875</v>
      </c>
      <c r="H199" s="4" t="s">
        <v>1</v>
      </c>
      <c r="I199" s="1">
        <f t="shared" si="32"/>
        <v>0</v>
      </c>
      <c r="J199" s="1" t="s">
        <v>2</v>
      </c>
      <c r="K199" s="1">
        <f t="shared" si="33"/>
        <v>1</v>
      </c>
      <c r="L199" s="1" t="s">
        <v>2</v>
      </c>
      <c r="M199" s="1">
        <f t="shared" si="34"/>
        <v>1</v>
      </c>
      <c r="N199" s="1" t="s">
        <v>2</v>
      </c>
      <c r="O199" s="8">
        <v>0.317</v>
      </c>
      <c r="P199" s="7">
        <v>0.47599999999999998</v>
      </c>
      <c r="Q199" s="3">
        <f>7/16</f>
        <v>0.4375</v>
      </c>
      <c r="R199" s="10">
        <f t="shared" si="35"/>
        <v>-2.1999999999999993</v>
      </c>
      <c r="S199" s="13">
        <v>17.600000000000001</v>
      </c>
      <c r="T199" s="13">
        <v>19.8</v>
      </c>
      <c r="U199" s="10">
        <v>17</v>
      </c>
      <c r="V199" s="10">
        <v>16</v>
      </c>
      <c r="W199" s="10">
        <f t="shared" si="36"/>
        <v>1</v>
      </c>
      <c r="X199" s="9" t="s">
        <v>1</v>
      </c>
      <c r="Y199" s="11">
        <f t="shared" si="37"/>
        <v>0</v>
      </c>
      <c r="Z199" s="14">
        <v>2</v>
      </c>
    </row>
    <row r="200" spans="1:26" x14ac:dyDescent="0.2">
      <c r="A200" s="12">
        <v>2021</v>
      </c>
      <c r="B200" s="1" t="s">
        <v>25</v>
      </c>
      <c r="C200" s="1">
        <v>10</v>
      </c>
      <c r="D200" s="15">
        <v>526000000</v>
      </c>
      <c r="E200" s="15">
        <f>(292.7/271)*526000000</f>
        <v>568118819.18819189</v>
      </c>
      <c r="F200" s="10">
        <f t="shared" si="31"/>
        <v>38.599999999999994</v>
      </c>
      <c r="G200" s="5">
        <f>3593/17</f>
        <v>211.35294117647058</v>
      </c>
      <c r="H200" s="4" t="s">
        <v>1</v>
      </c>
      <c r="I200" s="1">
        <f t="shared" si="32"/>
        <v>0</v>
      </c>
      <c r="J200" s="1" t="s">
        <v>2</v>
      </c>
      <c r="K200" s="1">
        <f t="shared" si="33"/>
        <v>1</v>
      </c>
      <c r="L200" s="1" t="s">
        <v>2</v>
      </c>
      <c r="M200" s="1">
        <f t="shared" si="34"/>
        <v>1</v>
      </c>
      <c r="N200" s="1" t="s">
        <v>2</v>
      </c>
      <c r="O200" s="8">
        <v>0.38500000000000001</v>
      </c>
      <c r="P200" s="7">
        <v>0.54700000000000004</v>
      </c>
      <c r="Q200" s="3">
        <f>7/17</f>
        <v>0.41176470588235292</v>
      </c>
      <c r="R200" s="10">
        <f t="shared" si="35"/>
        <v>0.80000000000000071</v>
      </c>
      <c r="S200" s="13">
        <v>19.7</v>
      </c>
      <c r="T200" s="13">
        <v>18.899999999999999</v>
      </c>
      <c r="U200" s="10">
        <v>19</v>
      </c>
      <c r="V200" s="10">
        <v>18</v>
      </c>
      <c r="W200" s="10">
        <f t="shared" si="36"/>
        <v>1</v>
      </c>
      <c r="X200" s="9" t="s">
        <v>1</v>
      </c>
      <c r="Y200" s="11">
        <f t="shared" si="37"/>
        <v>0</v>
      </c>
      <c r="Z200" s="14">
        <v>0</v>
      </c>
    </row>
    <row r="201" spans="1:26" x14ac:dyDescent="0.2">
      <c r="A201" s="12">
        <f>A200+1</f>
        <v>2022</v>
      </c>
      <c r="B201" s="1" t="s">
        <v>25</v>
      </c>
      <c r="C201" s="1">
        <v>10</v>
      </c>
      <c r="D201" s="15">
        <v>563000000</v>
      </c>
      <c r="E201" s="15">
        <f>(292.7/292.7)*563000000</f>
        <v>563000000</v>
      </c>
      <c r="F201" s="10">
        <f t="shared" si="31"/>
        <v>38</v>
      </c>
      <c r="G201" s="5">
        <f>3592/17</f>
        <v>211.29411764705881</v>
      </c>
      <c r="H201" s="4" t="s">
        <v>1</v>
      </c>
      <c r="I201" s="1">
        <f t="shared" si="32"/>
        <v>0</v>
      </c>
      <c r="J201" s="1" t="s">
        <v>2</v>
      </c>
      <c r="K201" s="1">
        <f t="shared" si="33"/>
        <v>1</v>
      </c>
      <c r="L201" s="1" t="s">
        <v>2</v>
      </c>
      <c r="M201" s="1">
        <f t="shared" si="34"/>
        <v>1</v>
      </c>
      <c r="N201" s="1" t="s">
        <v>2</v>
      </c>
      <c r="O201" s="8">
        <v>0.29099999999999998</v>
      </c>
      <c r="P201" s="7">
        <v>0.55600000000000005</v>
      </c>
      <c r="Q201" s="3">
        <f>5/17</f>
        <v>0.29411764705882354</v>
      </c>
      <c r="R201" s="10">
        <f t="shared" si="35"/>
        <v>-4.2000000000000028</v>
      </c>
      <c r="S201" s="13">
        <v>16.899999999999999</v>
      </c>
      <c r="T201" s="13">
        <v>21.1</v>
      </c>
      <c r="U201" s="10">
        <v>23</v>
      </c>
      <c r="V201" s="10">
        <v>24</v>
      </c>
      <c r="W201" s="10">
        <f t="shared" si="36"/>
        <v>-1</v>
      </c>
      <c r="X201" s="9" t="s">
        <v>1</v>
      </c>
      <c r="Y201" s="11">
        <f t="shared" si="37"/>
        <v>0</v>
      </c>
      <c r="Z201" s="14">
        <v>1</v>
      </c>
    </row>
    <row r="202" spans="1:26" x14ac:dyDescent="0.2">
      <c r="A202" s="12">
        <f>2002</f>
        <v>2002</v>
      </c>
      <c r="B202" s="1" t="s">
        <v>26</v>
      </c>
      <c r="C202" s="1">
        <v>11</v>
      </c>
      <c r="D202" s="15">
        <v>159000000</v>
      </c>
      <c r="E202" s="15">
        <f>(292.7/179.9)*159000000</f>
        <v>258695386.32573652</v>
      </c>
      <c r="F202" s="10">
        <f t="shared" si="31"/>
        <v>47.3</v>
      </c>
      <c r="G202" s="5">
        <f>2994/16</f>
        <v>187.125</v>
      </c>
      <c r="H202" s="4" t="s">
        <v>1</v>
      </c>
      <c r="I202" s="1">
        <f t="shared" si="32"/>
        <v>0</v>
      </c>
      <c r="J202" s="1" t="s">
        <v>1</v>
      </c>
      <c r="K202" s="1">
        <f t="shared" si="33"/>
        <v>0</v>
      </c>
      <c r="L202" s="1" t="s">
        <v>1</v>
      </c>
      <c r="M202" s="1">
        <f t="shared" si="34"/>
        <v>0</v>
      </c>
      <c r="N202" s="1" t="s">
        <v>1</v>
      </c>
      <c r="O202" s="8">
        <v>0.29599999999999999</v>
      </c>
      <c r="P202" s="7">
        <v>0.41899999999999998</v>
      </c>
      <c r="Q202" s="3">
        <f>3/16</f>
        <v>0.1875</v>
      </c>
      <c r="R202" s="10">
        <f t="shared" si="35"/>
        <v>-9.0999999999999979</v>
      </c>
      <c r="S202" s="13">
        <v>19.100000000000001</v>
      </c>
      <c r="T202" s="13">
        <v>28.2</v>
      </c>
      <c r="U202" s="10">
        <v>24</v>
      </c>
      <c r="V202" s="10">
        <v>31</v>
      </c>
      <c r="W202" s="10">
        <f t="shared" si="36"/>
        <v>-7</v>
      </c>
      <c r="X202" s="9" t="s">
        <v>1</v>
      </c>
      <c r="Y202" s="11">
        <f t="shared" si="37"/>
        <v>0</v>
      </c>
      <c r="Z202" s="14">
        <v>0</v>
      </c>
    </row>
    <row r="203" spans="1:26" x14ac:dyDescent="0.2">
      <c r="A203" s="12">
        <f>A202+1</f>
        <v>2003</v>
      </c>
      <c r="B203" s="1" t="s">
        <v>26</v>
      </c>
      <c r="C203" s="1">
        <v>11</v>
      </c>
      <c r="D203" s="15">
        <v>168000000</v>
      </c>
      <c r="E203" s="15">
        <f>(292.7/184)*168000000</f>
        <v>267247826.0869565</v>
      </c>
      <c r="F203" s="10">
        <f t="shared" si="31"/>
        <v>40.599999999999994</v>
      </c>
      <c r="G203" s="5">
        <f>2924/16</f>
        <v>182.75</v>
      </c>
      <c r="H203" s="4" t="s">
        <v>1</v>
      </c>
      <c r="I203" s="1">
        <f t="shared" si="32"/>
        <v>0</v>
      </c>
      <c r="J203" s="1" t="s">
        <v>1</v>
      </c>
      <c r="K203" s="1">
        <f t="shared" si="33"/>
        <v>0</v>
      </c>
      <c r="L203" s="1" t="s">
        <v>1</v>
      </c>
      <c r="M203" s="1">
        <f t="shared" si="34"/>
        <v>0</v>
      </c>
      <c r="N203" s="1" t="s">
        <v>1</v>
      </c>
      <c r="O203" s="8">
        <v>0.35099999999999998</v>
      </c>
      <c r="P203" s="7">
        <v>0.47399999999999998</v>
      </c>
      <c r="Q203" s="3">
        <f>5/11</f>
        <v>0.45454545454545453</v>
      </c>
      <c r="R203" s="10">
        <f t="shared" si="35"/>
        <v>-6.8000000000000007</v>
      </c>
      <c r="S203" s="13">
        <v>16.899999999999999</v>
      </c>
      <c r="T203" s="13">
        <v>23.7</v>
      </c>
      <c r="U203" s="10">
        <v>28</v>
      </c>
      <c r="V203" s="10">
        <v>28</v>
      </c>
      <c r="W203" s="10">
        <f t="shared" si="36"/>
        <v>0</v>
      </c>
      <c r="X203" s="9" t="s">
        <v>1</v>
      </c>
      <c r="Y203" s="11">
        <f t="shared" si="37"/>
        <v>0</v>
      </c>
      <c r="Z203" s="14">
        <v>1</v>
      </c>
    </row>
    <row r="204" spans="1:26" x14ac:dyDescent="0.2">
      <c r="A204" s="12">
        <f>A203+1</f>
        <v>2004</v>
      </c>
      <c r="B204" s="1" t="s">
        <v>26</v>
      </c>
      <c r="C204" s="1">
        <v>11</v>
      </c>
      <c r="D204" s="15">
        <v>186000000</v>
      </c>
      <c r="E204" s="15">
        <f>(292.7/188.9)*186000000</f>
        <v>288206458.44362092</v>
      </c>
      <c r="F204" s="10">
        <f t="shared" si="31"/>
        <v>40.4</v>
      </c>
      <c r="G204" s="5">
        <f>2916/16</f>
        <v>182.25</v>
      </c>
      <c r="H204" s="4" t="s">
        <v>1</v>
      </c>
      <c r="I204" s="1">
        <f t="shared" si="32"/>
        <v>0</v>
      </c>
      <c r="J204" s="1" t="s">
        <v>1</v>
      </c>
      <c r="K204" s="1">
        <f t="shared" si="33"/>
        <v>0</v>
      </c>
      <c r="L204" s="1" t="s">
        <v>1</v>
      </c>
      <c r="M204" s="1">
        <f t="shared" si="34"/>
        <v>0</v>
      </c>
      <c r="N204" s="1" t="s">
        <v>1</v>
      </c>
      <c r="O204" s="8">
        <v>0.314</v>
      </c>
      <c r="P204" s="7">
        <v>0.442</v>
      </c>
      <c r="Q204" s="3">
        <f>6/16</f>
        <v>0.375</v>
      </c>
      <c r="R204" s="10">
        <f t="shared" si="35"/>
        <v>-3.3999999999999986</v>
      </c>
      <c r="S204" s="13">
        <v>18.5</v>
      </c>
      <c r="T204" s="13">
        <v>21.9</v>
      </c>
      <c r="U204" s="10">
        <v>24</v>
      </c>
      <c r="V204" s="10">
        <v>20</v>
      </c>
      <c r="W204" s="10">
        <f t="shared" si="36"/>
        <v>4</v>
      </c>
      <c r="X204" s="9" t="s">
        <v>1</v>
      </c>
      <c r="Y204" s="11">
        <f t="shared" si="37"/>
        <v>0</v>
      </c>
      <c r="Z204" s="14">
        <v>3</v>
      </c>
    </row>
    <row r="205" spans="1:26" x14ac:dyDescent="0.2">
      <c r="A205" s="12">
        <f>A204+1</f>
        <v>2005</v>
      </c>
      <c r="B205" s="1" t="s">
        <v>26</v>
      </c>
      <c r="C205" s="1">
        <v>11</v>
      </c>
      <c r="D205" s="15">
        <v>178000000</v>
      </c>
      <c r="E205" s="15">
        <f>(292.7/195.3)*178000000</f>
        <v>266772145.41730666</v>
      </c>
      <c r="F205" s="10">
        <f t="shared" si="31"/>
        <v>37.5</v>
      </c>
      <c r="G205" s="5">
        <f>2848/16</f>
        <v>178</v>
      </c>
      <c r="H205" s="4" t="s">
        <v>1</v>
      </c>
      <c r="I205" s="1">
        <f t="shared" si="32"/>
        <v>0</v>
      </c>
      <c r="J205" s="1" t="s">
        <v>1</v>
      </c>
      <c r="K205" s="1">
        <f t="shared" si="33"/>
        <v>0</v>
      </c>
      <c r="L205" s="1" t="s">
        <v>1</v>
      </c>
      <c r="M205" s="1">
        <f t="shared" si="34"/>
        <v>0</v>
      </c>
      <c r="N205" s="1" t="s">
        <v>1</v>
      </c>
      <c r="O205" s="8">
        <v>0.38800000000000001</v>
      </c>
      <c r="P205" s="7">
        <v>0.5</v>
      </c>
      <c r="Q205" s="3">
        <f>5/16</f>
        <v>0.3125</v>
      </c>
      <c r="R205" s="10">
        <f t="shared" si="35"/>
        <v>-5.7000000000000011</v>
      </c>
      <c r="S205" s="13">
        <v>15.9</v>
      </c>
      <c r="T205" s="13">
        <v>21.6</v>
      </c>
      <c r="U205" s="10">
        <v>31</v>
      </c>
      <c r="V205" s="10">
        <v>30</v>
      </c>
      <c r="W205" s="10">
        <f t="shared" si="36"/>
        <v>1</v>
      </c>
      <c r="X205" s="9" t="s">
        <v>1</v>
      </c>
      <c r="Y205" s="11">
        <f t="shared" si="37"/>
        <v>0</v>
      </c>
      <c r="Z205" s="14">
        <v>1</v>
      </c>
    </row>
    <row r="206" spans="1:26" x14ac:dyDescent="0.2">
      <c r="A206" s="12">
        <f>A205+1</f>
        <v>2006</v>
      </c>
      <c r="B206" s="1" t="s">
        <v>26</v>
      </c>
      <c r="C206" s="1">
        <v>11</v>
      </c>
      <c r="D206" s="15">
        <v>189000000</v>
      </c>
      <c r="E206" s="15">
        <f>(292.7/201.6)*189000000</f>
        <v>274406250</v>
      </c>
      <c r="F206" s="10">
        <f t="shared" si="31"/>
        <v>44</v>
      </c>
      <c r="G206" s="5">
        <f>3820/16</f>
        <v>238.75</v>
      </c>
      <c r="H206" s="4" t="s">
        <v>1</v>
      </c>
      <c r="I206" s="1">
        <f t="shared" si="32"/>
        <v>0</v>
      </c>
      <c r="J206" s="1" t="s">
        <v>1</v>
      </c>
      <c r="K206" s="1">
        <f t="shared" si="33"/>
        <v>0</v>
      </c>
      <c r="L206" s="1" t="s">
        <v>1</v>
      </c>
      <c r="M206" s="1">
        <f t="shared" si="34"/>
        <v>0</v>
      </c>
      <c r="N206" s="1" t="s">
        <v>1</v>
      </c>
      <c r="O206" s="8">
        <v>0.32600000000000001</v>
      </c>
      <c r="P206" s="7">
        <v>0.4</v>
      </c>
      <c r="Q206" s="3">
        <f>3/16</f>
        <v>0.1875</v>
      </c>
      <c r="R206" s="10">
        <f t="shared" si="35"/>
        <v>-5.7999999999999972</v>
      </c>
      <c r="S206" s="13">
        <v>19.100000000000001</v>
      </c>
      <c r="T206" s="13">
        <v>24.9</v>
      </c>
      <c r="U206" s="10">
        <v>30</v>
      </c>
      <c r="V206" s="10">
        <v>39</v>
      </c>
      <c r="W206" s="10">
        <f t="shared" si="36"/>
        <v>-9</v>
      </c>
      <c r="X206" s="9" t="s">
        <v>1</v>
      </c>
      <c r="Y206" s="11">
        <f t="shared" si="37"/>
        <v>0</v>
      </c>
      <c r="Z206" s="14">
        <v>1</v>
      </c>
    </row>
    <row r="207" spans="1:26" x14ac:dyDescent="0.2">
      <c r="A207" s="12">
        <f>A206+1</f>
        <v>2007</v>
      </c>
      <c r="B207" s="1" t="s">
        <v>26</v>
      </c>
      <c r="C207" s="1">
        <v>11</v>
      </c>
      <c r="D207" s="15">
        <v>204000000</v>
      </c>
      <c r="E207" s="15">
        <f>(292.7/207.3)*204000000</f>
        <v>288040520.98408103</v>
      </c>
      <c r="F207" s="10">
        <f t="shared" si="31"/>
        <v>49.400000000000006</v>
      </c>
      <c r="G207" s="5">
        <f>3878/16</f>
        <v>242.375</v>
      </c>
      <c r="H207" s="4" t="s">
        <v>1</v>
      </c>
      <c r="I207" s="1">
        <f t="shared" si="32"/>
        <v>0</v>
      </c>
      <c r="J207" s="1" t="s">
        <v>1</v>
      </c>
      <c r="K207" s="1">
        <f t="shared" si="33"/>
        <v>0</v>
      </c>
      <c r="L207" s="1" t="s">
        <v>1</v>
      </c>
      <c r="M207" s="1">
        <f t="shared" si="34"/>
        <v>0</v>
      </c>
      <c r="N207" s="1" t="s">
        <v>1</v>
      </c>
      <c r="O207" s="8">
        <v>0.32600000000000001</v>
      </c>
      <c r="P207" s="7">
        <v>0.5</v>
      </c>
      <c r="Q207" s="3">
        <f>7/16</f>
        <v>0.4375</v>
      </c>
      <c r="R207" s="10">
        <f t="shared" si="35"/>
        <v>-6.1999999999999993</v>
      </c>
      <c r="S207" s="13">
        <v>21.6</v>
      </c>
      <c r="T207" s="13">
        <v>27.8</v>
      </c>
      <c r="U207" s="10">
        <v>35</v>
      </c>
      <c r="V207" s="10">
        <v>36</v>
      </c>
      <c r="W207" s="10">
        <f t="shared" si="36"/>
        <v>-1</v>
      </c>
      <c r="X207" s="9" t="s">
        <v>1</v>
      </c>
      <c r="Y207" s="11">
        <f t="shared" si="37"/>
        <v>0</v>
      </c>
      <c r="Z207" s="14">
        <v>0</v>
      </c>
    </row>
    <row r="208" spans="1:26" x14ac:dyDescent="0.2">
      <c r="A208" s="12">
        <v>2008</v>
      </c>
      <c r="B208" s="1" t="s">
        <v>26</v>
      </c>
      <c r="C208" s="1">
        <v>11</v>
      </c>
      <c r="D208" s="15">
        <v>206000000</v>
      </c>
      <c r="E208" s="15">
        <f>(292.7/215.3)*206000000</f>
        <v>280056665.11843938</v>
      </c>
      <c r="F208" s="10">
        <f t="shared" si="31"/>
        <v>49.099999999999994</v>
      </c>
      <c r="G208" s="5">
        <f>2960/16</f>
        <v>185</v>
      </c>
      <c r="H208" s="4" t="s">
        <v>1</v>
      </c>
      <c r="I208" s="1">
        <f t="shared" si="32"/>
        <v>0</v>
      </c>
      <c r="J208" s="1" t="s">
        <v>1</v>
      </c>
      <c r="K208" s="1">
        <f t="shared" si="33"/>
        <v>0</v>
      </c>
      <c r="L208" s="1" t="s">
        <v>1</v>
      </c>
      <c r="M208" s="1">
        <f t="shared" si="34"/>
        <v>0</v>
      </c>
      <c r="N208" s="1" t="s">
        <v>1</v>
      </c>
      <c r="O208" s="8">
        <v>0.28799999999999998</v>
      </c>
      <c r="P208" s="7">
        <v>0.61299999999999999</v>
      </c>
      <c r="Q208" s="3">
        <v>0</v>
      </c>
      <c r="R208" s="10">
        <f t="shared" si="35"/>
        <v>-15.499999999999996</v>
      </c>
      <c r="S208" s="13">
        <v>16.8</v>
      </c>
      <c r="T208" s="13">
        <v>32.299999999999997</v>
      </c>
      <c r="U208" s="10">
        <v>20</v>
      </c>
      <c r="V208" s="10">
        <v>29</v>
      </c>
      <c r="W208" s="10">
        <f t="shared" si="36"/>
        <v>-9</v>
      </c>
      <c r="X208" s="9" t="s">
        <v>1</v>
      </c>
      <c r="Y208" s="11">
        <f t="shared" si="37"/>
        <v>0</v>
      </c>
      <c r="Z208" s="14">
        <v>0</v>
      </c>
    </row>
    <row r="209" spans="1:26" x14ac:dyDescent="0.2">
      <c r="A209" s="12">
        <f t="shared" ref="A209:A219" si="38">A208+1</f>
        <v>2009</v>
      </c>
      <c r="B209" s="1" t="s">
        <v>26</v>
      </c>
      <c r="C209" s="1">
        <v>11</v>
      </c>
      <c r="D209" s="15">
        <v>210000000</v>
      </c>
      <c r="E209" s="15">
        <f>(292.7/214.5)*210000000</f>
        <v>286559440.55944055</v>
      </c>
      <c r="F209" s="10">
        <f t="shared" si="31"/>
        <v>47.3</v>
      </c>
      <c r="G209" s="5">
        <f>3168/16</f>
        <v>198</v>
      </c>
      <c r="H209" s="4" t="s">
        <v>2</v>
      </c>
      <c r="I209" s="1">
        <f t="shared" si="32"/>
        <v>1</v>
      </c>
      <c r="J209" s="1" t="s">
        <v>1</v>
      </c>
      <c r="K209" s="1">
        <f t="shared" si="33"/>
        <v>0</v>
      </c>
      <c r="L209" s="1" t="s">
        <v>2</v>
      </c>
      <c r="M209" s="1">
        <f t="shared" si="34"/>
        <v>1</v>
      </c>
      <c r="N209" s="1" t="s">
        <v>1</v>
      </c>
      <c r="O209" s="8">
        <v>0.35899999999999999</v>
      </c>
      <c r="P209" s="7">
        <v>0.47199999999999998</v>
      </c>
      <c r="Q209" s="3">
        <f>2/16</f>
        <v>0.125</v>
      </c>
      <c r="R209" s="10">
        <f t="shared" si="35"/>
        <v>-14.5</v>
      </c>
      <c r="S209" s="13">
        <v>16.399999999999999</v>
      </c>
      <c r="T209" s="13">
        <v>30.9</v>
      </c>
      <c r="U209" s="10">
        <v>23</v>
      </c>
      <c r="V209" s="10">
        <v>41</v>
      </c>
      <c r="W209" s="10">
        <f t="shared" si="36"/>
        <v>-18</v>
      </c>
      <c r="X209" s="9" t="s">
        <v>1</v>
      </c>
      <c r="Y209" s="11">
        <f t="shared" si="37"/>
        <v>0</v>
      </c>
      <c r="Z209" s="14">
        <v>0</v>
      </c>
    </row>
    <row r="210" spans="1:26" x14ac:dyDescent="0.2">
      <c r="A210" s="12">
        <f t="shared" si="38"/>
        <v>2010</v>
      </c>
      <c r="B210" s="1" t="s">
        <v>26</v>
      </c>
      <c r="C210" s="1">
        <v>11</v>
      </c>
      <c r="D210" s="15">
        <v>228000000</v>
      </c>
      <c r="E210" s="15">
        <f>(292.7/218.1)*228000000</f>
        <v>305986244.84181571</v>
      </c>
      <c r="F210" s="10">
        <f t="shared" si="31"/>
        <v>45.7</v>
      </c>
      <c r="G210" s="5">
        <f>3810/16</f>
        <v>238.125</v>
      </c>
      <c r="H210" s="4" t="s">
        <v>2</v>
      </c>
      <c r="I210" s="1">
        <f t="shared" si="32"/>
        <v>1</v>
      </c>
      <c r="J210" s="1" t="s">
        <v>1</v>
      </c>
      <c r="K210" s="1">
        <f t="shared" si="33"/>
        <v>0</v>
      </c>
      <c r="L210" s="1" t="s">
        <v>2</v>
      </c>
      <c r="M210" s="1">
        <f t="shared" si="34"/>
        <v>1</v>
      </c>
      <c r="N210" s="1" t="s">
        <v>1</v>
      </c>
      <c r="O210" s="8">
        <v>0.40100000000000002</v>
      </c>
      <c r="P210" s="7">
        <v>0.64400000000000002</v>
      </c>
      <c r="Q210" s="3">
        <f>6/16</f>
        <v>0.375</v>
      </c>
      <c r="R210" s="10">
        <f t="shared" si="35"/>
        <v>-0.5</v>
      </c>
      <c r="S210" s="13">
        <v>22.6</v>
      </c>
      <c r="T210" s="13">
        <v>23.1</v>
      </c>
      <c r="U210" s="10">
        <v>29</v>
      </c>
      <c r="V210" s="10">
        <v>25</v>
      </c>
      <c r="W210" s="10">
        <f t="shared" si="36"/>
        <v>4</v>
      </c>
      <c r="X210" s="9" t="s">
        <v>1</v>
      </c>
      <c r="Y210" s="11">
        <f t="shared" si="37"/>
        <v>0</v>
      </c>
      <c r="Z210" s="14">
        <v>2</v>
      </c>
    </row>
    <row r="211" spans="1:26" x14ac:dyDescent="0.2">
      <c r="A211" s="12">
        <f t="shared" si="38"/>
        <v>2011</v>
      </c>
      <c r="B211" s="1" t="s">
        <v>26</v>
      </c>
      <c r="C211" s="1">
        <v>11</v>
      </c>
      <c r="D211" s="15">
        <v>231000000</v>
      </c>
      <c r="E211" s="15">
        <f>(292.7/224.9)*231000000</f>
        <v>300638950.64473099</v>
      </c>
      <c r="F211" s="10">
        <f t="shared" si="31"/>
        <v>53.8</v>
      </c>
      <c r="G211" s="5">
        <f>4814/16</f>
        <v>300.875</v>
      </c>
      <c r="H211" s="4" t="s">
        <v>2</v>
      </c>
      <c r="I211" s="1">
        <f t="shared" si="32"/>
        <v>1</v>
      </c>
      <c r="J211" s="1" t="s">
        <v>1</v>
      </c>
      <c r="K211" s="1">
        <f t="shared" si="33"/>
        <v>0</v>
      </c>
      <c r="L211" s="1" t="s">
        <v>2</v>
      </c>
      <c r="M211" s="1">
        <f t="shared" si="34"/>
        <v>1</v>
      </c>
      <c r="N211" s="1" t="s">
        <v>1</v>
      </c>
      <c r="O211" s="8">
        <v>0.35799999999999998</v>
      </c>
      <c r="P211" s="7">
        <v>0.63800000000000001</v>
      </c>
      <c r="Q211" s="3">
        <f>10/16</f>
        <v>0.625</v>
      </c>
      <c r="R211" s="10">
        <f t="shared" si="35"/>
        <v>5.4000000000000021</v>
      </c>
      <c r="S211" s="13">
        <v>29.6</v>
      </c>
      <c r="T211" s="13">
        <v>24.2</v>
      </c>
      <c r="U211" s="10">
        <v>34</v>
      </c>
      <c r="V211" s="10">
        <v>23</v>
      </c>
      <c r="W211" s="10">
        <f t="shared" si="36"/>
        <v>11</v>
      </c>
      <c r="X211" s="9" t="s">
        <v>2</v>
      </c>
      <c r="Y211" s="11">
        <f t="shared" si="37"/>
        <v>1</v>
      </c>
      <c r="Z211" s="14">
        <v>1</v>
      </c>
    </row>
    <row r="212" spans="1:26" x14ac:dyDescent="0.2">
      <c r="A212" s="12">
        <f t="shared" si="38"/>
        <v>2012</v>
      </c>
      <c r="B212" s="1" t="s">
        <v>26</v>
      </c>
      <c r="C212" s="1">
        <v>11</v>
      </c>
      <c r="D212" s="15">
        <v>248000000</v>
      </c>
      <c r="E212" s="15">
        <f>(292.7/229.6)*248000000</f>
        <v>316156794.42508709</v>
      </c>
      <c r="F212" s="10">
        <f t="shared" si="31"/>
        <v>50.6</v>
      </c>
      <c r="G212" s="5">
        <f>4927/16</f>
        <v>307.9375</v>
      </c>
      <c r="H212" s="4" t="s">
        <v>2</v>
      </c>
      <c r="I212" s="1">
        <f t="shared" si="32"/>
        <v>1</v>
      </c>
      <c r="J212" s="1" t="s">
        <v>1</v>
      </c>
      <c r="K212" s="1">
        <f t="shared" si="33"/>
        <v>0</v>
      </c>
      <c r="L212" s="1" t="s">
        <v>2</v>
      </c>
      <c r="M212" s="1">
        <f t="shared" si="34"/>
        <v>1</v>
      </c>
      <c r="N212" s="1" t="s">
        <v>1</v>
      </c>
      <c r="O212" s="8">
        <v>0.42499999999999999</v>
      </c>
      <c r="P212" s="7">
        <v>0.6</v>
      </c>
      <c r="Q212" s="3">
        <v>0.25</v>
      </c>
      <c r="R212" s="10">
        <f t="shared" si="35"/>
        <v>-4</v>
      </c>
      <c r="S212" s="13">
        <v>23.3</v>
      </c>
      <c r="T212" s="13">
        <v>27.3</v>
      </c>
      <c r="U212" s="10">
        <v>17</v>
      </c>
      <c r="V212" s="10">
        <v>33</v>
      </c>
      <c r="W212" s="10">
        <f t="shared" si="36"/>
        <v>-16</v>
      </c>
      <c r="X212" s="9" t="s">
        <v>1</v>
      </c>
      <c r="Y212" s="11">
        <f t="shared" si="37"/>
        <v>0</v>
      </c>
      <c r="Z212" s="14">
        <v>3</v>
      </c>
    </row>
    <row r="213" spans="1:26" x14ac:dyDescent="0.2">
      <c r="A213" s="12">
        <f t="shared" si="38"/>
        <v>2013</v>
      </c>
      <c r="B213" s="1" t="s">
        <v>26</v>
      </c>
      <c r="C213" s="1">
        <v>11</v>
      </c>
      <c r="D213" s="15">
        <v>254000000</v>
      </c>
      <c r="E213" s="15">
        <f>(292.7/233)*254000000</f>
        <v>319080686.69527894</v>
      </c>
      <c r="F213" s="10">
        <f t="shared" si="31"/>
        <v>48.2</v>
      </c>
      <c r="G213" s="5">
        <f>4482/16</f>
        <v>280.125</v>
      </c>
      <c r="H213" s="4" t="s">
        <v>2</v>
      </c>
      <c r="I213" s="1">
        <f t="shared" si="32"/>
        <v>1</v>
      </c>
      <c r="J213" s="1" t="s">
        <v>1</v>
      </c>
      <c r="K213" s="1">
        <f t="shared" si="33"/>
        <v>0</v>
      </c>
      <c r="L213" s="1" t="s">
        <v>2</v>
      </c>
      <c r="M213" s="1">
        <f t="shared" si="34"/>
        <v>1</v>
      </c>
      <c r="N213" s="1" t="s">
        <v>1</v>
      </c>
      <c r="O213" s="8">
        <v>0.43</v>
      </c>
      <c r="P213" s="7">
        <f>0.625</f>
        <v>0.625</v>
      </c>
      <c r="Q213" s="3">
        <f>7/16</f>
        <v>0.4375</v>
      </c>
      <c r="R213" s="10">
        <f t="shared" si="35"/>
        <v>1.1999999999999993</v>
      </c>
      <c r="S213" s="13">
        <v>24.7</v>
      </c>
      <c r="T213" s="13">
        <v>23.5</v>
      </c>
      <c r="U213" s="10">
        <v>22</v>
      </c>
      <c r="V213" s="10">
        <v>34</v>
      </c>
      <c r="W213" s="10">
        <f t="shared" si="36"/>
        <v>-12</v>
      </c>
      <c r="X213" s="9" t="s">
        <v>1</v>
      </c>
      <c r="Y213" s="11">
        <f t="shared" si="37"/>
        <v>0</v>
      </c>
      <c r="Z213" s="14">
        <v>2</v>
      </c>
    </row>
    <row r="214" spans="1:26" x14ac:dyDescent="0.2">
      <c r="A214" s="12">
        <f t="shared" si="38"/>
        <v>2014</v>
      </c>
      <c r="B214" s="1" t="s">
        <v>26</v>
      </c>
      <c r="C214" s="1">
        <v>11</v>
      </c>
      <c r="D214" s="15">
        <v>298000000</v>
      </c>
      <c r="E214" s="15">
        <f>(292.7/236.7)*298000000</f>
        <v>368502746.09209967</v>
      </c>
      <c r="F214" s="10">
        <f t="shared" si="31"/>
        <v>37.700000000000003</v>
      </c>
      <c r="G214" s="5">
        <f>4030/16</f>
        <v>251.875</v>
      </c>
      <c r="H214" s="4" t="s">
        <v>2</v>
      </c>
      <c r="I214" s="1">
        <f t="shared" si="32"/>
        <v>1</v>
      </c>
      <c r="J214" s="1" t="s">
        <v>1</v>
      </c>
      <c r="K214" s="1">
        <f t="shared" si="33"/>
        <v>0</v>
      </c>
      <c r="L214" s="1" t="s">
        <v>2</v>
      </c>
      <c r="M214" s="1">
        <f t="shared" si="34"/>
        <v>1</v>
      </c>
      <c r="N214" s="1" t="s">
        <v>1</v>
      </c>
      <c r="O214" s="8">
        <v>0.38600000000000001</v>
      </c>
      <c r="P214" s="7">
        <v>0.53200000000000003</v>
      </c>
      <c r="Q214" s="3">
        <f>11/16</f>
        <v>0.6875</v>
      </c>
      <c r="R214" s="10">
        <f t="shared" si="35"/>
        <v>2.5</v>
      </c>
      <c r="S214" s="13">
        <v>20.100000000000001</v>
      </c>
      <c r="T214" s="13">
        <v>17.600000000000001</v>
      </c>
      <c r="U214" s="10">
        <v>27</v>
      </c>
      <c r="V214" s="10">
        <v>23</v>
      </c>
      <c r="W214" s="10">
        <f t="shared" si="36"/>
        <v>4</v>
      </c>
      <c r="X214" s="9" t="s">
        <v>2</v>
      </c>
      <c r="Y214" s="11">
        <f t="shared" si="37"/>
        <v>1</v>
      </c>
      <c r="Z214" s="14">
        <v>5</v>
      </c>
    </row>
    <row r="215" spans="1:26" x14ac:dyDescent="0.2">
      <c r="A215" s="12">
        <f t="shared" si="38"/>
        <v>2015</v>
      </c>
      <c r="B215" s="1" t="s">
        <v>26</v>
      </c>
      <c r="C215" s="1">
        <v>11</v>
      </c>
      <c r="D215" s="15">
        <v>321000000</v>
      </c>
      <c r="E215" s="15">
        <f>(292.7/237)*321000000</f>
        <v>396441772.15189874</v>
      </c>
      <c r="F215" s="10">
        <f t="shared" si="31"/>
        <v>47.4</v>
      </c>
      <c r="G215" s="5">
        <f>4212/16</f>
        <v>263.25</v>
      </c>
      <c r="H215" s="4" t="s">
        <v>2</v>
      </c>
      <c r="I215" s="1">
        <f t="shared" si="32"/>
        <v>1</v>
      </c>
      <c r="J215" s="1" t="s">
        <v>1</v>
      </c>
      <c r="K215" s="1">
        <f t="shared" si="33"/>
        <v>0</v>
      </c>
      <c r="L215" s="1" t="s">
        <v>2</v>
      </c>
      <c r="M215" s="1">
        <f t="shared" si="34"/>
        <v>1</v>
      </c>
      <c r="N215" s="1" t="s">
        <v>2</v>
      </c>
      <c r="O215" s="8">
        <v>0.36899999999999999</v>
      </c>
      <c r="P215" s="7">
        <v>0.69399999999999995</v>
      </c>
      <c r="Q215" s="3">
        <f>7/16</f>
        <v>0.4375</v>
      </c>
      <c r="R215" s="10">
        <f t="shared" si="35"/>
        <v>-2.6000000000000014</v>
      </c>
      <c r="S215" s="13">
        <v>22.4</v>
      </c>
      <c r="T215" s="13">
        <v>25</v>
      </c>
      <c r="U215" s="10">
        <v>19</v>
      </c>
      <c r="V215" s="10">
        <v>24</v>
      </c>
      <c r="W215" s="10">
        <f t="shared" si="36"/>
        <v>-5</v>
      </c>
      <c r="X215" s="9" t="s">
        <v>1</v>
      </c>
      <c r="Y215" s="11">
        <f t="shared" si="37"/>
        <v>0</v>
      </c>
      <c r="Z215" s="14">
        <v>2</v>
      </c>
    </row>
    <row r="216" spans="1:26" x14ac:dyDescent="0.2">
      <c r="A216" s="12">
        <f t="shared" si="38"/>
        <v>2016</v>
      </c>
      <c r="B216" s="1" t="s">
        <v>26</v>
      </c>
      <c r="C216" s="1">
        <v>11</v>
      </c>
      <c r="D216" s="15">
        <v>341000000</v>
      </c>
      <c r="E216" s="15">
        <f>(292.7/240)*341000000</f>
        <v>415877916.66666663</v>
      </c>
      <c r="F216" s="10">
        <f t="shared" si="31"/>
        <v>44</v>
      </c>
      <c r="G216" s="5">
        <f>4111/16</f>
        <v>256.9375</v>
      </c>
      <c r="H216" s="4" t="s">
        <v>2</v>
      </c>
      <c r="I216" s="1">
        <f t="shared" si="32"/>
        <v>1</v>
      </c>
      <c r="J216" s="1" t="s">
        <v>1</v>
      </c>
      <c r="K216" s="1">
        <f t="shared" si="33"/>
        <v>0</v>
      </c>
      <c r="L216" s="1" t="s">
        <v>2</v>
      </c>
      <c r="M216" s="1">
        <f t="shared" si="34"/>
        <v>1</v>
      </c>
      <c r="N216" s="1" t="s">
        <v>2</v>
      </c>
      <c r="O216" s="8">
        <v>0.42599999999999999</v>
      </c>
      <c r="P216" s="7">
        <v>0.54200000000000004</v>
      </c>
      <c r="Q216" s="3">
        <f>9/16</f>
        <v>0.5625</v>
      </c>
      <c r="R216" s="10">
        <f t="shared" si="35"/>
        <v>-0.79999999999999716</v>
      </c>
      <c r="S216" s="13">
        <v>21.6</v>
      </c>
      <c r="T216" s="13">
        <v>22.4</v>
      </c>
      <c r="U216" s="10">
        <v>14</v>
      </c>
      <c r="V216" s="10">
        <v>15</v>
      </c>
      <c r="W216" s="10">
        <f t="shared" si="36"/>
        <v>-1</v>
      </c>
      <c r="X216" s="9" t="s">
        <v>2</v>
      </c>
      <c r="Y216" s="11">
        <f t="shared" si="37"/>
        <v>1</v>
      </c>
      <c r="Z216" s="14">
        <v>1</v>
      </c>
    </row>
    <row r="217" spans="1:26" x14ac:dyDescent="0.2">
      <c r="A217" s="12">
        <f t="shared" si="38"/>
        <v>2017</v>
      </c>
      <c r="B217" s="1" t="s">
        <v>26</v>
      </c>
      <c r="C217" s="1">
        <v>11</v>
      </c>
      <c r="D217" s="15">
        <v>361000000</v>
      </c>
      <c r="E217" s="15">
        <f>(292.7/245.1)*361000000</f>
        <v>431108527.13178295</v>
      </c>
      <c r="F217" s="10">
        <f t="shared" si="31"/>
        <v>49.1</v>
      </c>
      <c r="G217" s="5">
        <f>4183/16</f>
        <v>261.4375</v>
      </c>
      <c r="H217" s="4" t="s">
        <v>2</v>
      </c>
      <c r="I217" s="1">
        <f t="shared" si="32"/>
        <v>1</v>
      </c>
      <c r="J217" s="1" t="s">
        <v>1</v>
      </c>
      <c r="K217" s="1">
        <f t="shared" si="33"/>
        <v>0</v>
      </c>
      <c r="L217" s="1" t="s">
        <v>2</v>
      </c>
      <c r="M217" s="1">
        <f t="shared" si="34"/>
        <v>1</v>
      </c>
      <c r="N217" s="1" t="s">
        <v>2</v>
      </c>
      <c r="O217" s="8">
        <v>0.38800000000000001</v>
      </c>
      <c r="P217" s="7">
        <v>0.56499999999999995</v>
      </c>
      <c r="Q217" s="3">
        <f>9/16</f>
        <v>0.5625</v>
      </c>
      <c r="R217" s="10">
        <f t="shared" si="35"/>
        <v>2.1000000000000014</v>
      </c>
      <c r="S217" s="13">
        <v>25.6</v>
      </c>
      <c r="T217" s="13">
        <v>23.5</v>
      </c>
      <c r="U217" s="10">
        <v>32</v>
      </c>
      <c r="V217" s="10">
        <v>22</v>
      </c>
      <c r="W217" s="10">
        <f t="shared" si="36"/>
        <v>10</v>
      </c>
      <c r="X217" s="9" t="s">
        <v>1</v>
      </c>
      <c r="Y217" s="11">
        <f t="shared" si="37"/>
        <v>0</v>
      </c>
      <c r="Z217" s="14">
        <v>2</v>
      </c>
    </row>
    <row r="218" spans="1:26" x14ac:dyDescent="0.2">
      <c r="A218" s="12">
        <f t="shared" si="38"/>
        <v>2018</v>
      </c>
      <c r="B218" s="1" t="s">
        <v>26</v>
      </c>
      <c r="C218" s="1">
        <v>11</v>
      </c>
      <c r="D218" s="15">
        <v>385000000</v>
      </c>
      <c r="E218" s="15">
        <f>(292.7/251.1)*385000000</f>
        <v>448783353.24571884</v>
      </c>
      <c r="F218" s="10">
        <f t="shared" si="31"/>
        <v>42.8</v>
      </c>
      <c r="G218" s="5">
        <f>3576/16</f>
        <v>223.5</v>
      </c>
      <c r="H218" s="4" t="s">
        <v>1</v>
      </c>
      <c r="I218" s="1">
        <f t="shared" si="32"/>
        <v>0</v>
      </c>
      <c r="J218" s="1" t="s">
        <v>2</v>
      </c>
      <c r="K218" s="1">
        <f t="shared" si="33"/>
        <v>1</v>
      </c>
      <c r="L218" s="1" t="s">
        <v>2</v>
      </c>
      <c r="M218" s="1">
        <f t="shared" si="34"/>
        <v>1</v>
      </c>
      <c r="N218" s="1" t="s">
        <v>2</v>
      </c>
      <c r="O218" s="8">
        <v>0.36099999999999999</v>
      </c>
      <c r="P218" s="7">
        <v>0.53100000000000003</v>
      </c>
      <c r="Q218" s="3">
        <f>6/16</f>
        <v>0.375</v>
      </c>
      <c r="R218" s="10">
        <f t="shared" si="35"/>
        <v>-2.1999999999999993</v>
      </c>
      <c r="S218" s="13">
        <v>20.3</v>
      </c>
      <c r="T218" s="13">
        <v>22.5</v>
      </c>
      <c r="U218" s="10">
        <v>14</v>
      </c>
      <c r="V218" s="10">
        <v>19</v>
      </c>
      <c r="W218" s="10">
        <f t="shared" si="36"/>
        <v>-5</v>
      </c>
      <c r="X218" s="9" t="s">
        <v>1</v>
      </c>
      <c r="Y218" s="11">
        <f t="shared" si="37"/>
        <v>0</v>
      </c>
      <c r="Z218" s="14">
        <v>2</v>
      </c>
    </row>
    <row r="219" spans="1:26" x14ac:dyDescent="0.2">
      <c r="A219" s="12">
        <f t="shared" si="38"/>
        <v>2019</v>
      </c>
      <c r="B219" s="1" t="s">
        <v>26</v>
      </c>
      <c r="C219" s="1">
        <v>11</v>
      </c>
      <c r="D219" s="15">
        <v>411000000</v>
      </c>
      <c r="E219" s="15">
        <f>(292.7/255.7)*411000000</f>
        <v>470472037.54399693</v>
      </c>
      <c r="F219" s="10">
        <f t="shared" si="31"/>
        <v>47.7</v>
      </c>
      <c r="G219" s="5">
        <f>3900/16</f>
        <v>243.75</v>
      </c>
      <c r="H219" s="4" t="s">
        <v>1</v>
      </c>
      <c r="I219" s="1">
        <f t="shared" si="32"/>
        <v>0</v>
      </c>
      <c r="J219" s="1" t="s">
        <v>2</v>
      </c>
      <c r="K219" s="1">
        <f t="shared" si="33"/>
        <v>1</v>
      </c>
      <c r="L219" s="1" t="s">
        <v>2</v>
      </c>
      <c r="M219" s="1">
        <f t="shared" si="34"/>
        <v>1</v>
      </c>
      <c r="N219" s="1" t="s">
        <v>2</v>
      </c>
      <c r="O219" s="8">
        <v>0.40899999999999997</v>
      </c>
      <c r="P219" s="7">
        <v>0.59499999999999997</v>
      </c>
      <c r="Q219" s="3">
        <f>3.5/16</f>
        <v>0.21875</v>
      </c>
      <c r="R219" s="10">
        <f t="shared" si="35"/>
        <v>-5.0999999999999979</v>
      </c>
      <c r="S219" s="13">
        <v>21.3</v>
      </c>
      <c r="T219" s="13">
        <v>26.4</v>
      </c>
      <c r="U219" s="10">
        <v>18</v>
      </c>
      <c r="V219" s="10">
        <v>23</v>
      </c>
      <c r="W219" s="10">
        <f t="shared" si="36"/>
        <v>-5</v>
      </c>
      <c r="X219" s="9" t="s">
        <v>1</v>
      </c>
      <c r="Y219" s="11">
        <f t="shared" si="37"/>
        <v>0</v>
      </c>
      <c r="Z219" s="14">
        <v>2</v>
      </c>
    </row>
    <row r="220" spans="1:26" x14ac:dyDescent="0.2">
      <c r="A220" s="12">
        <v>2021</v>
      </c>
      <c r="B220" s="1" t="s">
        <v>26</v>
      </c>
      <c r="C220" s="1">
        <v>11</v>
      </c>
      <c r="D220" s="15">
        <v>452000000</v>
      </c>
      <c r="E220" s="15">
        <f>(292.7/271)*452000000</f>
        <v>488193357.93357933</v>
      </c>
      <c r="F220" s="10">
        <f t="shared" si="31"/>
        <v>46.6</v>
      </c>
      <c r="G220" s="5">
        <f>3598/17</f>
        <v>211.64705882352942</v>
      </c>
      <c r="H220" s="4" t="s">
        <v>1</v>
      </c>
      <c r="I220" s="1">
        <f t="shared" si="32"/>
        <v>0</v>
      </c>
      <c r="J220" s="1" t="s">
        <v>2</v>
      </c>
      <c r="K220" s="1">
        <f t="shared" si="33"/>
        <v>1</v>
      </c>
      <c r="L220" s="1" t="s">
        <v>2</v>
      </c>
      <c r="M220" s="1">
        <f t="shared" si="34"/>
        <v>1</v>
      </c>
      <c r="N220" s="1" t="s">
        <v>2</v>
      </c>
      <c r="O220" s="8">
        <v>0.34699999999999998</v>
      </c>
      <c r="P220" s="7">
        <v>0.46700000000000003</v>
      </c>
      <c r="Q220" s="3">
        <f>3/17</f>
        <v>0.17647058823529413</v>
      </c>
      <c r="R220" s="10">
        <f t="shared" si="35"/>
        <v>-8.3999999999999986</v>
      </c>
      <c r="S220" s="13">
        <v>19.100000000000001</v>
      </c>
      <c r="T220" s="13">
        <v>27.5</v>
      </c>
      <c r="U220" s="10">
        <v>19</v>
      </c>
      <c r="V220" s="10">
        <v>23</v>
      </c>
      <c r="W220" s="10">
        <f t="shared" si="36"/>
        <v>-4</v>
      </c>
      <c r="X220" s="9" t="s">
        <v>1</v>
      </c>
      <c r="Y220" s="11">
        <f t="shared" si="37"/>
        <v>0</v>
      </c>
      <c r="Z220" s="14">
        <v>1</v>
      </c>
    </row>
    <row r="221" spans="1:26" x14ac:dyDescent="0.2">
      <c r="A221" s="12">
        <f>A220+1</f>
        <v>2022</v>
      </c>
      <c r="B221" s="1" t="s">
        <v>26</v>
      </c>
      <c r="C221" s="1">
        <v>11</v>
      </c>
      <c r="D221" s="15">
        <v>495000000</v>
      </c>
      <c r="E221" s="15">
        <f>(292.7/292.7)*495000000</f>
        <v>495000000</v>
      </c>
      <c r="F221" s="10">
        <f t="shared" si="31"/>
        <v>51.7</v>
      </c>
      <c r="G221" s="5">
        <f>4281/17</f>
        <v>251.8235294117647</v>
      </c>
      <c r="H221" s="4" t="s">
        <v>1</v>
      </c>
      <c r="I221" s="1">
        <f t="shared" si="32"/>
        <v>0</v>
      </c>
      <c r="J221" s="1" t="s">
        <v>2</v>
      </c>
      <c r="K221" s="1">
        <f t="shared" si="33"/>
        <v>1</v>
      </c>
      <c r="L221" s="1" t="s">
        <v>2</v>
      </c>
      <c r="M221" s="1">
        <f t="shared" si="34"/>
        <v>1</v>
      </c>
      <c r="N221" s="1" t="s">
        <v>2</v>
      </c>
      <c r="O221" s="8">
        <v>0.40799999999999997</v>
      </c>
      <c r="P221" s="7">
        <v>0.66200000000000003</v>
      </c>
      <c r="Q221" s="3">
        <f>9/17</f>
        <v>0.52941176470588236</v>
      </c>
      <c r="R221" s="10">
        <f t="shared" si="35"/>
        <v>1.5</v>
      </c>
      <c r="S221" s="13">
        <v>26.6</v>
      </c>
      <c r="T221" s="13">
        <v>25.1</v>
      </c>
      <c r="U221" s="10">
        <v>22</v>
      </c>
      <c r="V221" s="10">
        <v>15</v>
      </c>
      <c r="W221" s="10">
        <f t="shared" si="36"/>
        <v>7</v>
      </c>
      <c r="X221" s="9" t="s">
        <v>2</v>
      </c>
      <c r="Y221" s="11">
        <f t="shared" si="37"/>
        <v>1</v>
      </c>
      <c r="Z221" s="14">
        <v>4</v>
      </c>
    </row>
    <row r="222" spans="1:26" x14ac:dyDescent="0.2">
      <c r="A222" s="12">
        <v>2002</v>
      </c>
      <c r="B222" s="1" t="s">
        <v>27</v>
      </c>
      <c r="C222" s="1">
        <v>12</v>
      </c>
      <c r="D222" s="15">
        <v>152000000</v>
      </c>
      <c r="E222" s="15">
        <f>(292.7/179.9)*152000000</f>
        <v>247306281.26737076</v>
      </c>
      <c r="F222" s="10">
        <f t="shared" si="31"/>
        <v>45.4</v>
      </c>
      <c r="G222" s="5">
        <v>226.6875</v>
      </c>
      <c r="H222" s="4" t="s">
        <v>1</v>
      </c>
      <c r="I222" s="1">
        <f t="shared" si="32"/>
        <v>0</v>
      </c>
      <c r="J222" s="1" t="s">
        <v>1</v>
      </c>
      <c r="K222" s="1">
        <f t="shared" si="33"/>
        <v>0</v>
      </c>
      <c r="L222" s="1" t="s">
        <v>1</v>
      </c>
      <c r="M222" s="1">
        <f t="shared" si="34"/>
        <v>0</v>
      </c>
      <c r="N222" s="1" t="s">
        <v>1</v>
      </c>
      <c r="O222" s="8">
        <v>0.38700000000000001</v>
      </c>
      <c r="P222" s="7">
        <v>0.52600000000000002</v>
      </c>
      <c r="Q222" s="3">
        <f>12/16</f>
        <v>0.75</v>
      </c>
      <c r="R222" s="10">
        <f t="shared" si="35"/>
        <v>4.3999999999999986</v>
      </c>
      <c r="S222" s="13">
        <v>24.9</v>
      </c>
      <c r="T222" s="13">
        <v>20.5</v>
      </c>
      <c r="U222" s="10">
        <v>21</v>
      </c>
      <c r="V222" s="10">
        <v>12</v>
      </c>
      <c r="W222" s="10">
        <f t="shared" si="36"/>
        <v>9</v>
      </c>
      <c r="X222" s="9" t="s">
        <v>2</v>
      </c>
      <c r="Y222" s="11">
        <f t="shared" si="37"/>
        <v>1</v>
      </c>
      <c r="Z222" s="14">
        <v>6</v>
      </c>
    </row>
    <row r="223" spans="1:26" x14ac:dyDescent="0.2">
      <c r="A223" s="12">
        <f>A222+1</f>
        <v>2003</v>
      </c>
      <c r="B223" s="1" t="s">
        <v>27</v>
      </c>
      <c r="C223" s="1">
        <v>12</v>
      </c>
      <c r="D223" s="15">
        <v>138000000</v>
      </c>
      <c r="E223" s="15">
        <f>(292.7/184)*138000000</f>
        <v>219525000</v>
      </c>
      <c r="F223" s="10">
        <f t="shared" si="31"/>
        <v>46.8</v>
      </c>
      <c r="G223" s="5">
        <f>3240/16</f>
        <v>202.5</v>
      </c>
      <c r="H223" s="4" t="s">
        <v>1</v>
      </c>
      <c r="I223" s="1">
        <f t="shared" si="32"/>
        <v>0</v>
      </c>
      <c r="J223" s="1" t="s">
        <v>1</v>
      </c>
      <c r="K223" s="1">
        <f t="shared" si="33"/>
        <v>0</v>
      </c>
      <c r="L223" s="1" t="s">
        <v>1</v>
      </c>
      <c r="M223" s="1">
        <f t="shared" si="34"/>
        <v>0</v>
      </c>
      <c r="N223" s="1" t="s">
        <v>1</v>
      </c>
      <c r="O223" s="8">
        <v>0.41099999999999998</v>
      </c>
      <c r="P223" s="7">
        <v>0.65400000000000003</v>
      </c>
      <c r="Q223" s="3">
        <f>10/16</f>
        <v>0.625</v>
      </c>
      <c r="R223" s="10">
        <f t="shared" si="35"/>
        <v>8.4000000000000021</v>
      </c>
      <c r="S223" s="13">
        <v>27.6</v>
      </c>
      <c r="T223" s="13">
        <v>19.2</v>
      </c>
      <c r="U223" s="10">
        <v>32</v>
      </c>
      <c r="V223" s="10">
        <v>32</v>
      </c>
      <c r="W223" s="10">
        <f t="shared" si="36"/>
        <v>0</v>
      </c>
      <c r="X223" s="9" t="s">
        <v>2</v>
      </c>
      <c r="Y223" s="11">
        <f t="shared" si="37"/>
        <v>1</v>
      </c>
      <c r="Z223" s="14">
        <v>6</v>
      </c>
    </row>
    <row r="224" spans="1:26" x14ac:dyDescent="0.2">
      <c r="A224" s="12">
        <f>A223+1</f>
        <v>2004</v>
      </c>
      <c r="B224" s="1" t="s">
        <v>27</v>
      </c>
      <c r="C224" s="1">
        <v>12</v>
      </c>
      <c r="D224" s="15">
        <v>189000000</v>
      </c>
      <c r="E224" s="15">
        <f>(292.7/188.9)*189000000</f>
        <v>292854949.70884061</v>
      </c>
      <c r="F224" s="10">
        <f t="shared" si="31"/>
        <v>50.3</v>
      </c>
      <c r="G224" s="5">
        <f>4449/16</f>
        <v>278.0625</v>
      </c>
      <c r="H224" s="4" t="s">
        <v>1</v>
      </c>
      <c r="I224" s="1">
        <f t="shared" si="32"/>
        <v>0</v>
      </c>
      <c r="J224" s="1" t="s">
        <v>1</v>
      </c>
      <c r="K224" s="1">
        <f t="shared" si="33"/>
        <v>0</v>
      </c>
      <c r="L224" s="1" t="s">
        <v>1</v>
      </c>
      <c r="M224" s="1">
        <f t="shared" si="34"/>
        <v>0</v>
      </c>
      <c r="N224" s="1" t="s">
        <v>1</v>
      </c>
      <c r="O224" s="8">
        <v>0.47299999999999998</v>
      </c>
      <c r="P224" s="7">
        <v>0.57699999999999996</v>
      </c>
      <c r="Q224" s="3">
        <f>10/16</f>
        <v>0.625</v>
      </c>
      <c r="R224" s="10">
        <f t="shared" si="35"/>
        <v>2.6999999999999993</v>
      </c>
      <c r="S224" s="13">
        <v>26.5</v>
      </c>
      <c r="T224" s="13">
        <v>23.8</v>
      </c>
      <c r="U224" s="10">
        <v>15</v>
      </c>
      <c r="V224" s="10">
        <v>29</v>
      </c>
      <c r="W224" s="10">
        <f t="shared" si="36"/>
        <v>-14</v>
      </c>
      <c r="X224" s="9" t="s">
        <v>2</v>
      </c>
      <c r="Y224" s="11">
        <f t="shared" si="37"/>
        <v>1</v>
      </c>
      <c r="Z224" s="14">
        <v>4</v>
      </c>
    </row>
    <row r="225" spans="1:26" x14ac:dyDescent="0.2">
      <c r="A225" s="12">
        <f>A224+1</f>
        <v>2005</v>
      </c>
      <c r="B225" s="1" t="s">
        <v>27</v>
      </c>
      <c r="C225" s="1">
        <v>12</v>
      </c>
      <c r="D225" s="15">
        <v>194000000</v>
      </c>
      <c r="E225" s="15">
        <f>(292.7/195.3)*194000000</f>
        <v>290751664.10650277</v>
      </c>
      <c r="F225" s="10">
        <f t="shared" si="31"/>
        <v>40.1</v>
      </c>
      <c r="G225" s="5">
        <f>3766/16</f>
        <v>235.375</v>
      </c>
      <c r="H225" s="4" t="s">
        <v>1</v>
      </c>
      <c r="I225" s="1">
        <f t="shared" si="32"/>
        <v>0</v>
      </c>
      <c r="J225" s="1" t="s">
        <v>1</v>
      </c>
      <c r="K225" s="1">
        <f t="shared" si="33"/>
        <v>0</v>
      </c>
      <c r="L225" s="1" t="s">
        <v>1</v>
      </c>
      <c r="M225" s="1">
        <f t="shared" si="34"/>
        <v>0</v>
      </c>
      <c r="N225" s="1" t="s">
        <v>1</v>
      </c>
      <c r="O225" s="8">
        <v>0.41199999999999998</v>
      </c>
      <c r="P225" s="7">
        <v>0.47799999999999998</v>
      </c>
      <c r="Q225" s="3">
        <f>4/16</f>
        <v>0.25</v>
      </c>
      <c r="R225" s="10">
        <f t="shared" si="35"/>
        <v>-2.8999999999999986</v>
      </c>
      <c r="S225" s="13">
        <v>18.600000000000001</v>
      </c>
      <c r="T225" s="13">
        <v>21.5</v>
      </c>
      <c r="U225" s="10">
        <v>11</v>
      </c>
      <c r="V225" s="10">
        <v>15</v>
      </c>
      <c r="W225" s="10">
        <f t="shared" si="36"/>
        <v>-4</v>
      </c>
      <c r="X225" s="9" t="s">
        <v>1</v>
      </c>
      <c r="Y225" s="11">
        <f t="shared" si="37"/>
        <v>0</v>
      </c>
      <c r="Z225" s="14">
        <v>0</v>
      </c>
    </row>
    <row r="226" spans="1:26" x14ac:dyDescent="0.2">
      <c r="A226" s="12">
        <f>A225+1</f>
        <v>2006</v>
      </c>
      <c r="B226" s="1" t="s">
        <v>27</v>
      </c>
      <c r="C226" s="1">
        <v>12</v>
      </c>
      <c r="D226" s="15">
        <v>197000000</v>
      </c>
      <c r="E226" s="15">
        <f>(292.7/201.6)*197000000</f>
        <v>286021329.3650794</v>
      </c>
      <c r="F226" s="10">
        <f t="shared" si="31"/>
        <v>41.7</v>
      </c>
      <c r="G226" s="5">
        <f>3795/16</f>
        <v>237.1875</v>
      </c>
      <c r="H226" s="4" t="s">
        <v>1</v>
      </c>
      <c r="I226" s="1">
        <f t="shared" si="32"/>
        <v>0</v>
      </c>
      <c r="J226" s="1" t="s">
        <v>1</v>
      </c>
      <c r="K226" s="1">
        <f t="shared" si="33"/>
        <v>0</v>
      </c>
      <c r="L226" s="1" t="s">
        <v>1</v>
      </c>
      <c r="M226" s="1">
        <f t="shared" si="34"/>
        <v>0</v>
      </c>
      <c r="N226" s="1" t="s">
        <v>1</v>
      </c>
      <c r="O226" s="8">
        <v>0.39200000000000002</v>
      </c>
      <c r="P226" s="7">
        <v>0.32700000000000001</v>
      </c>
      <c r="Q226" s="3">
        <f>8/16</f>
        <v>0.5</v>
      </c>
      <c r="R226" s="10">
        <f t="shared" si="35"/>
        <v>-4.0999999999999979</v>
      </c>
      <c r="S226" s="13">
        <v>18.8</v>
      </c>
      <c r="T226" s="13">
        <v>22.9</v>
      </c>
      <c r="U226" s="10">
        <v>33</v>
      </c>
      <c r="V226" s="10">
        <v>35</v>
      </c>
      <c r="W226" s="10">
        <f t="shared" si="36"/>
        <v>-2</v>
      </c>
      <c r="X226" s="9" t="s">
        <v>1</v>
      </c>
      <c r="Y226" s="11">
        <f t="shared" si="37"/>
        <v>0</v>
      </c>
      <c r="Z226" s="14">
        <v>2</v>
      </c>
    </row>
    <row r="227" spans="1:26" x14ac:dyDescent="0.2">
      <c r="A227" s="12">
        <f>A226+1</f>
        <v>2007</v>
      </c>
      <c r="B227" s="1" t="s">
        <v>27</v>
      </c>
      <c r="C227" s="1">
        <v>12</v>
      </c>
      <c r="D227" s="15">
        <v>218000000</v>
      </c>
      <c r="E227" s="15">
        <f>(292.7/207.3)*218000000</f>
        <v>307808007.71828264</v>
      </c>
      <c r="F227" s="10">
        <f t="shared" si="31"/>
        <v>45.4</v>
      </c>
      <c r="G227" s="5">
        <f>4334/16</f>
        <v>270.875</v>
      </c>
      <c r="H227" s="4" t="s">
        <v>1</v>
      </c>
      <c r="I227" s="1">
        <f t="shared" si="32"/>
        <v>0</v>
      </c>
      <c r="J227" s="1" t="s">
        <v>1</v>
      </c>
      <c r="K227" s="1">
        <f t="shared" si="33"/>
        <v>0</v>
      </c>
      <c r="L227" s="1" t="s">
        <v>1</v>
      </c>
      <c r="M227" s="1">
        <f t="shared" si="34"/>
        <v>0</v>
      </c>
      <c r="N227" s="1" t="s">
        <v>1</v>
      </c>
      <c r="O227" s="8">
        <v>0.42599999999999999</v>
      </c>
      <c r="P227" s="7">
        <v>0.54</v>
      </c>
      <c r="Q227" s="3">
        <f>13/16</f>
        <v>0.8125</v>
      </c>
      <c r="R227" s="10">
        <f t="shared" si="35"/>
        <v>9</v>
      </c>
      <c r="S227" s="13">
        <v>27.2</v>
      </c>
      <c r="T227" s="13">
        <v>18.2</v>
      </c>
      <c r="U227" s="10">
        <v>28</v>
      </c>
      <c r="V227" s="10">
        <v>24</v>
      </c>
      <c r="W227" s="10">
        <f t="shared" si="36"/>
        <v>4</v>
      </c>
      <c r="X227" s="9" t="s">
        <v>2</v>
      </c>
      <c r="Y227" s="11">
        <f t="shared" si="37"/>
        <v>1</v>
      </c>
      <c r="Z227" s="14">
        <v>5</v>
      </c>
    </row>
    <row r="228" spans="1:26" x14ac:dyDescent="0.2">
      <c r="A228" s="12">
        <v>2008</v>
      </c>
      <c r="B228" s="1" t="s">
        <v>27</v>
      </c>
      <c r="C228" s="1">
        <v>12</v>
      </c>
      <c r="D228" s="15">
        <v>232000000</v>
      </c>
      <c r="E228" s="15">
        <f>(292.7/215.3)*232000000</f>
        <v>315403622.85183465</v>
      </c>
      <c r="F228" s="10">
        <f t="shared" si="31"/>
        <v>50</v>
      </c>
      <c r="G228" s="5">
        <f>3813/16</f>
        <v>238.3125</v>
      </c>
      <c r="H228" s="4" t="s">
        <v>1</v>
      </c>
      <c r="I228" s="1">
        <f t="shared" si="32"/>
        <v>0</v>
      </c>
      <c r="J228" s="1" t="s">
        <v>1</v>
      </c>
      <c r="K228" s="1">
        <f t="shared" si="33"/>
        <v>0</v>
      </c>
      <c r="L228" s="1" t="s">
        <v>1</v>
      </c>
      <c r="M228" s="1">
        <f t="shared" si="34"/>
        <v>0</v>
      </c>
      <c r="N228" s="1" t="s">
        <v>1</v>
      </c>
      <c r="O228" s="8">
        <v>0.442</v>
      </c>
      <c r="P228" s="7">
        <f>0.604</f>
        <v>0.60399999999999998</v>
      </c>
      <c r="Q228" s="3">
        <f>6/16</f>
        <v>0.375</v>
      </c>
      <c r="R228" s="10">
        <f t="shared" si="35"/>
        <v>2.3999999999999986</v>
      </c>
      <c r="S228" s="13">
        <v>26.2</v>
      </c>
      <c r="T228" s="13">
        <v>23.8</v>
      </c>
      <c r="U228" s="10">
        <v>28</v>
      </c>
      <c r="V228" s="10">
        <v>21</v>
      </c>
      <c r="W228" s="10">
        <f t="shared" si="36"/>
        <v>7</v>
      </c>
      <c r="X228" s="9" t="s">
        <v>1</v>
      </c>
      <c r="Y228" s="11">
        <f t="shared" si="37"/>
        <v>0</v>
      </c>
      <c r="Z228" s="14">
        <v>3</v>
      </c>
    </row>
    <row r="229" spans="1:26" x14ac:dyDescent="0.2">
      <c r="A229" s="12">
        <f t="shared" ref="A229:A239" si="39">A228+1</f>
        <v>2009</v>
      </c>
      <c r="B229" s="1" t="s">
        <v>27</v>
      </c>
      <c r="C229" s="1">
        <v>12</v>
      </c>
      <c r="D229" s="15">
        <v>242000000</v>
      </c>
      <c r="E229" s="15">
        <f>(292.7/214.5)*242000000</f>
        <v>330225641.02564102</v>
      </c>
      <c r="F229" s="10">
        <f t="shared" si="31"/>
        <v>47.400000000000006</v>
      </c>
      <c r="G229" s="5">
        <f>4180/16</f>
        <v>261.25</v>
      </c>
      <c r="H229" s="4" t="s">
        <v>2</v>
      </c>
      <c r="I229" s="1">
        <f t="shared" si="32"/>
        <v>1</v>
      </c>
      <c r="J229" s="1" t="s">
        <v>1</v>
      </c>
      <c r="K229" s="1">
        <f t="shared" si="33"/>
        <v>0</v>
      </c>
      <c r="L229" s="1" t="s">
        <v>2</v>
      </c>
      <c r="M229" s="1">
        <f t="shared" si="34"/>
        <v>1</v>
      </c>
      <c r="N229" s="1" t="s">
        <v>1</v>
      </c>
      <c r="O229" s="8">
        <v>0.47</v>
      </c>
      <c r="P229" s="7">
        <v>0.54800000000000004</v>
      </c>
      <c r="Q229" s="3">
        <f>11/16</f>
        <v>0.6875</v>
      </c>
      <c r="R229" s="10">
        <f t="shared" si="35"/>
        <v>10.199999999999999</v>
      </c>
      <c r="S229" s="13">
        <v>28.8</v>
      </c>
      <c r="T229" s="13">
        <v>18.600000000000001</v>
      </c>
      <c r="U229" s="10">
        <v>40</v>
      </c>
      <c r="V229" s="10">
        <v>16</v>
      </c>
      <c r="W229" s="10">
        <f t="shared" si="36"/>
        <v>24</v>
      </c>
      <c r="X229" s="9" t="s">
        <v>2</v>
      </c>
      <c r="Y229" s="11">
        <f t="shared" si="37"/>
        <v>1</v>
      </c>
      <c r="Z229" s="14">
        <v>4</v>
      </c>
    </row>
    <row r="230" spans="1:26" x14ac:dyDescent="0.2">
      <c r="A230" s="12">
        <f t="shared" si="39"/>
        <v>2010</v>
      </c>
      <c r="B230" s="1" t="s">
        <v>27</v>
      </c>
      <c r="C230" s="1">
        <v>12</v>
      </c>
      <c r="D230" s="15">
        <v>259000000</v>
      </c>
      <c r="E230" s="15">
        <f>(292.7/218.1)*259000000</f>
        <v>347589637.7808345</v>
      </c>
      <c r="F230" s="10">
        <f t="shared" si="31"/>
        <v>39.299999999999997</v>
      </c>
      <c r="G230" s="5">
        <f>4124/16</f>
        <v>257.75</v>
      </c>
      <c r="H230" s="4" t="s">
        <v>2</v>
      </c>
      <c r="I230" s="1">
        <f t="shared" si="32"/>
        <v>1</v>
      </c>
      <c r="J230" s="1" t="s">
        <v>1</v>
      </c>
      <c r="K230" s="1">
        <f t="shared" si="33"/>
        <v>0</v>
      </c>
      <c r="L230" s="1" t="s">
        <v>2</v>
      </c>
      <c r="M230" s="1">
        <f t="shared" si="34"/>
        <v>1</v>
      </c>
      <c r="N230" s="1" t="s">
        <v>1</v>
      </c>
      <c r="O230" s="8">
        <v>0.41499999999999998</v>
      </c>
      <c r="P230" s="7">
        <f>0.604</f>
        <v>0.60399999999999998</v>
      </c>
      <c r="Q230" s="3">
        <f>10/16</f>
        <v>0.625</v>
      </c>
      <c r="R230" s="10">
        <f t="shared" si="35"/>
        <v>9.3000000000000007</v>
      </c>
      <c r="S230" s="13">
        <v>24.3</v>
      </c>
      <c r="T230" s="13">
        <v>15</v>
      </c>
      <c r="U230" s="10">
        <v>32</v>
      </c>
      <c r="V230" s="10">
        <v>22</v>
      </c>
      <c r="W230" s="10">
        <f t="shared" si="36"/>
        <v>10</v>
      </c>
      <c r="X230" s="9" t="s">
        <v>2</v>
      </c>
      <c r="Y230" s="11">
        <f t="shared" si="37"/>
        <v>1</v>
      </c>
      <c r="Z230" s="14">
        <v>8</v>
      </c>
    </row>
    <row r="231" spans="1:26" x14ac:dyDescent="0.2">
      <c r="A231" s="12">
        <f t="shared" si="39"/>
        <v>2011</v>
      </c>
      <c r="B231" s="1" t="s">
        <v>27</v>
      </c>
      <c r="C231" s="1">
        <v>12</v>
      </c>
      <c r="D231" s="15">
        <v>276000000</v>
      </c>
      <c r="E231" s="15">
        <f>(292.7/224.9)*276000000</f>
        <v>359204979.99110717</v>
      </c>
      <c r="F231" s="10">
        <f t="shared" si="31"/>
        <v>57.4</v>
      </c>
      <c r="G231" s="5">
        <f>4924/16</f>
        <v>307.75</v>
      </c>
      <c r="H231" s="4" t="s">
        <v>2</v>
      </c>
      <c r="I231" s="1">
        <f t="shared" si="32"/>
        <v>1</v>
      </c>
      <c r="J231" s="1" t="s">
        <v>1</v>
      </c>
      <c r="K231" s="1">
        <f t="shared" si="33"/>
        <v>0</v>
      </c>
      <c r="L231" s="1" t="s">
        <v>2</v>
      </c>
      <c r="M231" s="1">
        <f t="shared" si="34"/>
        <v>1</v>
      </c>
      <c r="N231" s="1" t="s">
        <v>1</v>
      </c>
      <c r="O231" s="8">
        <v>0.48099999999999998</v>
      </c>
      <c r="P231" s="7">
        <v>0.65200000000000002</v>
      </c>
      <c r="Q231" s="3">
        <f>15/16</f>
        <v>0.9375</v>
      </c>
      <c r="R231" s="10">
        <f t="shared" si="35"/>
        <v>12.600000000000001</v>
      </c>
      <c r="S231" s="13">
        <v>35</v>
      </c>
      <c r="T231" s="13">
        <v>22.4</v>
      </c>
      <c r="U231" s="10">
        <v>38</v>
      </c>
      <c r="V231" s="10">
        <v>14</v>
      </c>
      <c r="W231" s="10">
        <f t="shared" si="36"/>
        <v>24</v>
      </c>
      <c r="X231" s="9" t="s">
        <v>2</v>
      </c>
      <c r="Y231" s="11">
        <f t="shared" si="37"/>
        <v>1</v>
      </c>
      <c r="Z231" s="14">
        <v>7</v>
      </c>
    </row>
    <row r="232" spans="1:26" x14ac:dyDescent="0.2">
      <c r="A232" s="12">
        <f t="shared" si="39"/>
        <v>2012</v>
      </c>
      <c r="B232" s="1" t="s">
        <v>27</v>
      </c>
      <c r="C232" s="1">
        <v>12</v>
      </c>
      <c r="D232" s="15">
        <v>282000000</v>
      </c>
      <c r="E232" s="15">
        <f>(292.7/229.6)*282000000</f>
        <v>359500871.08013934</v>
      </c>
      <c r="F232" s="10">
        <f t="shared" si="31"/>
        <v>48.1</v>
      </c>
      <c r="G232" s="5">
        <f>4049/16</f>
        <v>253.0625</v>
      </c>
      <c r="H232" s="4" t="s">
        <v>2</v>
      </c>
      <c r="I232" s="1">
        <f t="shared" si="32"/>
        <v>1</v>
      </c>
      <c r="J232" s="1" t="s">
        <v>1</v>
      </c>
      <c r="K232" s="1">
        <f t="shared" si="33"/>
        <v>0</v>
      </c>
      <c r="L232" s="1" t="s">
        <v>2</v>
      </c>
      <c r="M232" s="1">
        <f t="shared" si="34"/>
        <v>1</v>
      </c>
      <c r="N232" s="1" t="s">
        <v>1</v>
      </c>
      <c r="O232" s="8">
        <v>0.42299999999999999</v>
      </c>
      <c r="P232" s="7">
        <v>0.68100000000000005</v>
      </c>
      <c r="Q232" s="3">
        <f>11/16</f>
        <v>0.6875</v>
      </c>
      <c r="R232" s="10">
        <f t="shared" si="35"/>
        <v>6.1000000000000014</v>
      </c>
      <c r="S232" s="13">
        <v>27.1</v>
      </c>
      <c r="T232" s="13">
        <v>21</v>
      </c>
      <c r="U232" s="10">
        <v>23</v>
      </c>
      <c r="V232" s="10">
        <v>16</v>
      </c>
      <c r="W232" s="10">
        <f t="shared" si="36"/>
        <v>7</v>
      </c>
      <c r="X232" s="9" t="s">
        <v>2</v>
      </c>
      <c r="Y232" s="11">
        <f t="shared" si="37"/>
        <v>1</v>
      </c>
      <c r="Z232" s="14">
        <v>4</v>
      </c>
    </row>
    <row r="233" spans="1:26" x14ac:dyDescent="0.2">
      <c r="A233" s="12">
        <f t="shared" si="39"/>
        <v>2013</v>
      </c>
      <c r="B233" s="1" t="s">
        <v>27</v>
      </c>
      <c r="C233" s="1">
        <v>12</v>
      </c>
      <c r="D233" s="15">
        <v>299000000</v>
      </c>
      <c r="E233" s="15">
        <f>(292.7/233)*299000000</f>
        <v>375610729.61373389</v>
      </c>
      <c r="F233" s="10">
        <f t="shared" si="31"/>
        <v>52.900000000000006</v>
      </c>
      <c r="G233" s="5">
        <f>4268/16</f>
        <v>266.75</v>
      </c>
      <c r="H233" s="4" t="s">
        <v>2</v>
      </c>
      <c r="I233" s="1">
        <f t="shared" si="32"/>
        <v>1</v>
      </c>
      <c r="J233" s="1" t="s">
        <v>1</v>
      </c>
      <c r="K233" s="1">
        <f t="shared" si="33"/>
        <v>0</v>
      </c>
      <c r="L233" s="1" t="s">
        <v>2</v>
      </c>
      <c r="M233" s="1">
        <f t="shared" si="34"/>
        <v>1</v>
      </c>
      <c r="N233" s="1" t="s">
        <v>1</v>
      </c>
      <c r="O233" s="8">
        <v>0.41199999999999998</v>
      </c>
      <c r="P233" s="7">
        <v>0.50800000000000001</v>
      </c>
      <c r="Q233" s="3">
        <f>8.5/16</f>
        <v>0.53125</v>
      </c>
      <c r="R233" s="10">
        <f t="shared" si="35"/>
        <v>-0.69999999999999929</v>
      </c>
      <c r="S233" s="13">
        <v>26.1</v>
      </c>
      <c r="T233" s="13">
        <v>26.8</v>
      </c>
      <c r="U233" s="10">
        <v>11</v>
      </c>
      <c r="V233" s="10">
        <v>9</v>
      </c>
      <c r="W233" s="10">
        <f t="shared" si="36"/>
        <v>2</v>
      </c>
      <c r="X233" s="9" t="s">
        <v>2</v>
      </c>
      <c r="Y233" s="11">
        <f t="shared" si="37"/>
        <v>1</v>
      </c>
      <c r="Z233" s="14">
        <v>1</v>
      </c>
    </row>
    <row r="234" spans="1:26" x14ac:dyDescent="0.2">
      <c r="A234" s="12">
        <f t="shared" si="39"/>
        <v>2014</v>
      </c>
      <c r="B234" s="1" t="s">
        <v>27</v>
      </c>
      <c r="C234" s="1">
        <v>12</v>
      </c>
      <c r="D234" s="15">
        <v>347000000</v>
      </c>
      <c r="E234" s="15">
        <f>(292.7/236.7)*347000000</f>
        <v>429095479.50992817</v>
      </c>
      <c r="F234" s="10">
        <f t="shared" si="31"/>
        <v>52.2</v>
      </c>
      <c r="G234" s="5">
        <f>4261/16</f>
        <v>266.3125</v>
      </c>
      <c r="H234" s="4" t="s">
        <v>2</v>
      </c>
      <c r="I234" s="1">
        <f t="shared" si="32"/>
        <v>1</v>
      </c>
      <c r="J234" s="1" t="s">
        <v>1</v>
      </c>
      <c r="K234" s="1">
        <f t="shared" si="33"/>
        <v>0</v>
      </c>
      <c r="L234" s="1" t="s">
        <v>2</v>
      </c>
      <c r="M234" s="1">
        <f t="shared" si="34"/>
        <v>1</v>
      </c>
      <c r="N234" s="1" t="s">
        <v>1</v>
      </c>
      <c r="O234" s="8">
        <v>0.47199999999999998</v>
      </c>
      <c r="P234" s="7">
        <v>0.57799999999999996</v>
      </c>
      <c r="Q234" s="3">
        <v>0.75</v>
      </c>
      <c r="R234" s="10">
        <f t="shared" si="35"/>
        <v>8.5999999999999979</v>
      </c>
      <c r="S234" s="13">
        <v>30.4</v>
      </c>
      <c r="T234" s="13">
        <v>21.8</v>
      </c>
      <c r="U234" s="10">
        <v>27</v>
      </c>
      <c r="V234" s="10">
        <v>13</v>
      </c>
      <c r="W234" s="10">
        <f t="shared" si="36"/>
        <v>14</v>
      </c>
      <c r="X234" s="9" t="s">
        <v>2</v>
      </c>
      <c r="Y234" s="11">
        <f t="shared" si="37"/>
        <v>1</v>
      </c>
      <c r="Z234" s="14">
        <v>7</v>
      </c>
    </row>
    <row r="235" spans="1:26" x14ac:dyDescent="0.2">
      <c r="A235" s="12">
        <f t="shared" si="39"/>
        <v>2015</v>
      </c>
      <c r="B235" s="1" t="s">
        <v>27</v>
      </c>
      <c r="C235" s="1">
        <v>12</v>
      </c>
      <c r="D235" s="15">
        <v>391000000</v>
      </c>
      <c r="E235" s="15">
        <f>(292.7/237)*391000000</f>
        <v>482893248.94514769</v>
      </c>
      <c r="F235" s="10">
        <f t="shared" si="31"/>
        <v>43.2</v>
      </c>
      <c r="G235" s="5">
        <f>3503/16</f>
        <v>218.9375</v>
      </c>
      <c r="H235" s="4" t="s">
        <v>2</v>
      </c>
      <c r="I235" s="1">
        <f t="shared" si="32"/>
        <v>1</v>
      </c>
      <c r="J235" s="1" t="s">
        <v>1</v>
      </c>
      <c r="K235" s="1">
        <f t="shared" si="33"/>
        <v>0</v>
      </c>
      <c r="L235" s="1" t="s">
        <v>2</v>
      </c>
      <c r="M235" s="1">
        <f t="shared" si="34"/>
        <v>1</v>
      </c>
      <c r="N235" s="1" t="s">
        <v>2</v>
      </c>
      <c r="O235" s="8">
        <v>0.33700000000000002</v>
      </c>
      <c r="P235" s="7">
        <v>0.53800000000000003</v>
      </c>
      <c r="Q235" s="3">
        <f>10/16</f>
        <v>0.625</v>
      </c>
      <c r="R235" s="10">
        <f t="shared" si="35"/>
        <v>2.8000000000000007</v>
      </c>
      <c r="S235" s="13">
        <v>23</v>
      </c>
      <c r="T235" s="13">
        <v>20.2</v>
      </c>
      <c r="U235" s="10">
        <v>22</v>
      </c>
      <c r="V235" s="10">
        <v>17</v>
      </c>
      <c r="W235" s="10">
        <f t="shared" si="36"/>
        <v>5</v>
      </c>
      <c r="X235" s="9" t="s">
        <v>2</v>
      </c>
      <c r="Y235" s="11">
        <f t="shared" si="37"/>
        <v>1</v>
      </c>
      <c r="Z235" s="14">
        <v>5</v>
      </c>
    </row>
    <row r="236" spans="1:26" x14ac:dyDescent="0.2">
      <c r="A236" s="12">
        <f t="shared" si="39"/>
        <v>2016</v>
      </c>
      <c r="B236" s="1" t="s">
        <v>27</v>
      </c>
      <c r="C236" s="1">
        <v>12</v>
      </c>
      <c r="D236" s="15">
        <v>421000000</v>
      </c>
      <c r="E236" s="15">
        <f>(292.7/240)*421000000</f>
        <v>513444583.33333331</v>
      </c>
      <c r="F236" s="10">
        <f t="shared" si="31"/>
        <v>51.3</v>
      </c>
      <c r="G236" s="5">
        <f>4199/16</f>
        <v>262.4375</v>
      </c>
      <c r="H236" s="4" t="s">
        <v>2</v>
      </c>
      <c r="I236" s="1">
        <f t="shared" si="32"/>
        <v>1</v>
      </c>
      <c r="J236" s="1" t="s">
        <v>1</v>
      </c>
      <c r="K236" s="1">
        <f t="shared" si="33"/>
        <v>0</v>
      </c>
      <c r="L236" s="1" t="s">
        <v>2</v>
      </c>
      <c r="M236" s="1">
        <f t="shared" si="34"/>
        <v>1</v>
      </c>
      <c r="N236" s="1" t="s">
        <v>2</v>
      </c>
      <c r="O236" s="8">
        <v>0.46700000000000003</v>
      </c>
      <c r="P236" s="7">
        <f>0.606</f>
        <v>0.60599999999999998</v>
      </c>
      <c r="Q236" s="3">
        <f>10/16</f>
        <v>0.625</v>
      </c>
      <c r="R236" s="10">
        <f t="shared" si="35"/>
        <v>2.6999999999999993</v>
      </c>
      <c r="S236" s="13">
        <v>27</v>
      </c>
      <c r="T236" s="13">
        <v>24.3</v>
      </c>
      <c r="U236" s="10">
        <v>25</v>
      </c>
      <c r="V236" s="10">
        <v>17</v>
      </c>
      <c r="W236" s="10">
        <f t="shared" si="36"/>
        <v>8</v>
      </c>
      <c r="X236" s="9" t="s">
        <v>2</v>
      </c>
      <c r="Y236" s="11">
        <f t="shared" si="37"/>
        <v>1</v>
      </c>
      <c r="Z236" s="14">
        <v>4</v>
      </c>
    </row>
    <row r="237" spans="1:26" x14ac:dyDescent="0.2">
      <c r="A237" s="12">
        <f t="shared" si="39"/>
        <v>2017</v>
      </c>
      <c r="B237" s="1" t="s">
        <v>27</v>
      </c>
      <c r="C237" s="1">
        <v>12</v>
      </c>
      <c r="D237" s="15">
        <v>434000000</v>
      </c>
      <c r="E237" s="15">
        <f>(292.7/245.1)*434000000</f>
        <v>518285597.71521831</v>
      </c>
      <c r="F237" s="10">
        <f t="shared" si="31"/>
        <v>44</v>
      </c>
      <c r="G237" s="5">
        <f>3167/16</f>
        <v>197.9375</v>
      </c>
      <c r="H237" s="4" t="s">
        <v>2</v>
      </c>
      <c r="I237" s="1">
        <f t="shared" si="32"/>
        <v>1</v>
      </c>
      <c r="J237" s="1" t="s">
        <v>1</v>
      </c>
      <c r="K237" s="1">
        <f t="shared" si="33"/>
        <v>0</v>
      </c>
      <c r="L237" s="1" t="s">
        <v>2</v>
      </c>
      <c r="M237" s="1">
        <f t="shared" si="34"/>
        <v>1</v>
      </c>
      <c r="N237" s="1" t="s">
        <v>2</v>
      </c>
      <c r="O237" s="8">
        <v>0.39300000000000002</v>
      </c>
      <c r="P237" s="7">
        <v>0.61899999999999999</v>
      </c>
      <c r="Q237" s="3">
        <f>7/16</f>
        <v>0.4375</v>
      </c>
      <c r="R237" s="10">
        <f t="shared" si="35"/>
        <v>-4</v>
      </c>
      <c r="S237" s="13">
        <v>20</v>
      </c>
      <c r="T237" s="13">
        <v>24</v>
      </c>
      <c r="U237" s="10">
        <v>22</v>
      </c>
      <c r="V237" s="10">
        <v>25</v>
      </c>
      <c r="W237" s="10">
        <f t="shared" si="36"/>
        <v>-3</v>
      </c>
      <c r="X237" s="9" t="s">
        <v>1</v>
      </c>
      <c r="Y237" s="11">
        <f t="shared" si="37"/>
        <v>0</v>
      </c>
      <c r="Z237" s="14">
        <v>2</v>
      </c>
    </row>
    <row r="238" spans="1:26" x14ac:dyDescent="0.2">
      <c r="A238" s="12">
        <f t="shared" si="39"/>
        <v>2018</v>
      </c>
      <c r="B238" s="1" t="s">
        <v>27</v>
      </c>
      <c r="C238" s="1">
        <v>12</v>
      </c>
      <c r="D238" s="15">
        <v>456000000</v>
      </c>
      <c r="E238" s="15">
        <f>(292.7/251.1)*456000000</f>
        <v>531545997.61051375</v>
      </c>
      <c r="F238" s="10">
        <f t="shared" si="31"/>
        <v>48.5</v>
      </c>
      <c r="G238" s="5">
        <f>4238/16</f>
        <v>264.875</v>
      </c>
      <c r="H238" s="4" t="s">
        <v>1</v>
      </c>
      <c r="I238" s="1">
        <f t="shared" si="32"/>
        <v>0</v>
      </c>
      <c r="J238" s="1" t="s">
        <v>2</v>
      </c>
      <c r="K238" s="1">
        <f t="shared" si="33"/>
        <v>1</v>
      </c>
      <c r="L238" s="1" t="s">
        <v>2</v>
      </c>
      <c r="M238" s="1">
        <f t="shared" si="34"/>
        <v>1</v>
      </c>
      <c r="N238" s="1" t="s">
        <v>2</v>
      </c>
      <c r="O238" s="8">
        <v>0.36299999999999999</v>
      </c>
      <c r="P238" s="7">
        <v>0.61699999999999999</v>
      </c>
      <c r="Q238" s="3">
        <f>6.5/16</f>
        <v>0.40625</v>
      </c>
      <c r="R238" s="10">
        <f t="shared" si="35"/>
        <v>-1.5</v>
      </c>
      <c r="S238" s="13">
        <v>23.5</v>
      </c>
      <c r="T238" s="13">
        <v>25</v>
      </c>
      <c r="U238" s="10">
        <v>15</v>
      </c>
      <c r="V238" s="10">
        <v>15</v>
      </c>
      <c r="W238" s="10">
        <f t="shared" si="36"/>
        <v>0</v>
      </c>
      <c r="X238" s="9" t="s">
        <v>1</v>
      </c>
      <c r="Y238" s="11">
        <f t="shared" si="37"/>
        <v>0</v>
      </c>
      <c r="Z238" s="14">
        <v>2</v>
      </c>
    </row>
    <row r="239" spans="1:26" x14ac:dyDescent="0.2">
      <c r="A239" s="12">
        <f t="shared" si="39"/>
        <v>2019</v>
      </c>
      <c r="B239" s="1" t="s">
        <v>27</v>
      </c>
      <c r="C239" s="1">
        <v>12</v>
      </c>
      <c r="D239" s="15">
        <v>485000000</v>
      </c>
      <c r="E239" s="16">
        <f>(292.7/255.7)*485000000</f>
        <v>555179898.31834185</v>
      </c>
      <c r="F239" s="10">
        <f t="shared" si="31"/>
        <v>43.1</v>
      </c>
      <c r="G239" s="5">
        <f>3733/16</f>
        <v>233.3125</v>
      </c>
      <c r="H239" s="4" t="s">
        <v>1</v>
      </c>
      <c r="I239" s="1">
        <f t="shared" si="32"/>
        <v>0</v>
      </c>
      <c r="J239" s="1" t="s">
        <v>2</v>
      </c>
      <c r="K239" s="1">
        <f t="shared" si="33"/>
        <v>1</v>
      </c>
      <c r="L239" s="1" t="s">
        <v>2</v>
      </c>
      <c r="M239" s="1">
        <f t="shared" si="34"/>
        <v>1</v>
      </c>
      <c r="N239" s="1" t="s">
        <v>2</v>
      </c>
      <c r="O239" s="8">
        <v>0.36</v>
      </c>
      <c r="P239" s="7">
        <v>0.64</v>
      </c>
      <c r="Q239" s="3">
        <f>13/16</f>
        <v>0.8125</v>
      </c>
      <c r="R239" s="10">
        <f t="shared" si="35"/>
        <v>3.8999999999999986</v>
      </c>
      <c r="S239" s="13">
        <v>23.5</v>
      </c>
      <c r="T239" s="13">
        <v>19.600000000000001</v>
      </c>
      <c r="U239" s="10">
        <v>25</v>
      </c>
      <c r="V239" s="10">
        <v>13</v>
      </c>
      <c r="W239" s="10">
        <f t="shared" si="36"/>
        <v>12</v>
      </c>
      <c r="X239" s="9" t="s">
        <v>1</v>
      </c>
      <c r="Y239" s="11">
        <f t="shared" si="37"/>
        <v>0</v>
      </c>
      <c r="Z239" s="14">
        <v>5</v>
      </c>
    </row>
    <row r="240" spans="1:26" x14ac:dyDescent="0.2">
      <c r="A240" s="12">
        <v>2021</v>
      </c>
      <c r="B240" s="1" t="s">
        <v>27</v>
      </c>
      <c r="C240" s="1">
        <v>12</v>
      </c>
      <c r="D240" s="15">
        <v>543000000</v>
      </c>
      <c r="E240" s="15">
        <f>(292.7/271)*543000000</f>
        <v>586480073.80073798</v>
      </c>
      <c r="F240" s="10">
        <f t="shared" si="31"/>
        <v>48.3</v>
      </c>
      <c r="G240" s="5">
        <f>4315/17</f>
        <v>253.8235294117647</v>
      </c>
      <c r="H240" s="4" t="s">
        <v>1</v>
      </c>
      <c r="I240" s="1">
        <f t="shared" si="32"/>
        <v>0</v>
      </c>
      <c r="J240" s="1" t="s">
        <v>2</v>
      </c>
      <c r="K240" s="1">
        <f t="shared" si="33"/>
        <v>1</v>
      </c>
      <c r="L240" s="1" t="s">
        <v>2</v>
      </c>
      <c r="M240" s="1">
        <f t="shared" si="34"/>
        <v>1</v>
      </c>
      <c r="N240" s="1" t="s">
        <v>2</v>
      </c>
      <c r="O240" s="8">
        <v>0.436</v>
      </c>
      <c r="P240" s="7">
        <v>0.58599999999999997</v>
      </c>
      <c r="Q240" s="3">
        <f>13/17</f>
        <v>0.76470588235294112</v>
      </c>
      <c r="R240" s="10">
        <f t="shared" si="35"/>
        <v>4.6999999999999993</v>
      </c>
      <c r="S240" s="13">
        <v>26.5</v>
      </c>
      <c r="T240" s="13">
        <v>21.8</v>
      </c>
      <c r="U240" s="10">
        <v>26</v>
      </c>
      <c r="V240" s="10">
        <v>13</v>
      </c>
      <c r="W240" s="10">
        <f t="shared" si="36"/>
        <v>13</v>
      </c>
      <c r="X240" s="9" t="s">
        <v>2</v>
      </c>
      <c r="Y240" s="11">
        <f t="shared" si="37"/>
        <v>1</v>
      </c>
      <c r="Z240" s="14">
        <v>3</v>
      </c>
    </row>
    <row r="241" spans="1:26" x14ac:dyDescent="0.2">
      <c r="A241" s="12">
        <f>A240+1</f>
        <v>2022</v>
      </c>
      <c r="B241" s="1" t="s">
        <v>27</v>
      </c>
      <c r="C241" s="1">
        <v>12</v>
      </c>
      <c r="D241" s="15">
        <v>577000000</v>
      </c>
      <c r="E241" s="15">
        <f>(292.7/292.7)*577000000</f>
        <v>577000000</v>
      </c>
      <c r="F241" s="10">
        <f t="shared" si="31"/>
        <v>43.6</v>
      </c>
      <c r="G241" s="5">
        <f>3632/17</f>
        <v>213.64705882352942</v>
      </c>
      <c r="H241" s="4" t="s">
        <v>1</v>
      </c>
      <c r="I241" s="1">
        <f t="shared" si="32"/>
        <v>0</v>
      </c>
      <c r="J241" s="1" t="s">
        <v>2</v>
      </c>
      <c r="K241" s="1">
        <f t="shared" si="33"/>
        <v>1</v>
      </c>
      <c r="L241" s="1" t="s">
        <v>2</v>
      </c>
      <c r="M241" s="1">
        <f t="shared" si="34"/>
        <v>1</v>
      </c>
      <c r="N241" s="1" t="s">
        <v>2</v>
      </c>
      <c r="O241" s="8">
        <v>0.39500000000000002</v>
      </c>
      <c r="P241" s="7">
        <v>0.51900000000000002</v>
      </c>
      <c r="Q241" s="3">
        <f>8/17</f>
        <v>0.47058823529411764</v>
      </c>
      <c r="R241" s="10">
        <f t="shared" si="35"/>
        <v>0</v>
      </c>
      <c r="S241" s="13">
        <v>21.8</v>
      </c>
      <c r="T241" s="13">
        <v>21.8</v>
      </c>
      <c r="U241" s="10">
        <v>24</v>
      </c>
      <c r="V241" s="10">
        <v>22</v>
      </c>
      <c r="W241" s="10">
        <f t="shared" si="36"/>
        <v>2</v>
      </c>
      <c r="X241" s="9" t="s">
        <v>1</v>
      </c>
      <c r="Y241" s="11">
        <f t="shared" si="37"/>
        <v>0</v>
      </c>
      <c r="Z241" s="14">
        <v>2</v>
      </c>
    </row>
    <row r="242" spans="1:26" x14ac:dyDescent="0.2">
      <c r="A242" s="12">
        <v>2002</v>
      </c>
      <c r="B242" s="1" t="s">
        <v>28</v>
      </c>
      <c r="C242" s="1">
        <v>13</v>
      </c>
      <c r="D242" s="15">
        <v>193000000</v>
      </c>
      <c r="E242" s="15">
        <f>(292.7/179.9)*193000000</f>
        <v>314013896.60922736</v>
      </c>
      <c r="F242" s="10">
        <f t="shared" si="31"/>
        <v>35.6</v>
      </c>
      <c r="G242" s="5">
        <f>2225/16</f>
        <v>139.0625</v>
      </c>
      <c r="H242" s="4" t="s">
        <v>1</v>
      </c>
      <c r="I242" s="1">
        <f t="shared" si="32"/>
        <v>0</v>
      </c>
      <c r="J242" s="1" t="s">
        <v>1</v>
      </c>
      <c r="K242" s="1">
        <f t="shared" si="33"/>
        <v>0</v>
      </c>
      <c r="L242" s="1" t="s">
        <v>1</v>
      </c>
      <c r="M242" s="1">
        <f t="shared" si="34"/>
        <v>0</v>
      </c>
      <c r="N242" s="1" t="s">
        <v>1</v>
      </c>
      <c r="O242" s="8">
        <v>0.25800000000000001</v>
      </c>
      <c r="P242" s="7">
        <v>0.41699999999999998</v>
      </c>
      <c r="Q242" s="3">
        <f>4/16</f>
        <v>0.25</v>
      </c>
      <c r="R242" s="10">
        <f t="shared" si="35"/>
        <v>-9</v>
      </c>
      <c r="S242" s="13">
        <v>13.3</v>
      </c>
      <c r="T242" s="13">
        <v>22.3</v>
      </c>
      <c r="U242" s="10">
        <v>21</v>
      </c>
      <c r="V242" s="10">
        <v>29</v>
      </c>
      <c r="W242" s="10">
        <f t="shared" si="36"/>
        <v>-8</v>
      </c>
      <c r="X242" s="9" t="s">
        <v>1</v>
      </c>
      <c r="Y242" s="11">
        <f t="shared" si="37"/>
        <v>0</v>
      </c>
      <c r="Z242" s="14">
        <v>2</v>
      </c>
    </row>
    <row r="243" spans="1:26" x14ac:dyDescent="0.2">
      <c r="A243" s="12">
        <f>A242+1</f>
        <v>2003</v>
      </c>
      <c r="B243" s="1" t="s">
        <v>28</v>
      </c>
      <c r="C243" s="1">
        <v>13</v>
      </c>
      <c r="D243" s="15">
        <v>201000000</v>
      </c>
      <c r="E243" s="15">
        <f>(292.7/184)*201000000</f>
        <v>319742934.78260869</v>
      </c>
      <c r="F243" s="10">
        <f t="shared" si="31"/>
        <v>39.700000000000003</v>
      </c>
      <c r="G243" s="5">
        <f>2655/16</f>
        <v>165.9375</v>
      </c>
      <c r="H243" s="4" t="s">
        <v>1</v>
      </c>
      <c r="I243" s="1">
        <f t="shared" si="32"/>
        <v>0</v>
      </c>
      <c r="J243" s="1" t="s">
        <v>1</v>
      </c>
      <c r="K243" s="1">
        <f t="shared" si="33"/>
        <v>0</v>
      </c>
      <c r="L243" s="1" t="s">
        <v>1</v>
      </c>
      <c r="M243" s="1">
        <f t="shared" si="34"/>
        <v>0</v>
      </c>
      <c r="N243" s="1" t="s">
        <v>1</v>
      </c>
      <c r="O243" s="8">
        <v>0.309</v>
      </c>
      <c r="P243" s="7">
        <v>0.61799999999999999</v>
      </c>
      <c r="Q243" s="3">
        <f>5/16</f>
        <v>0.3125</v>
      </c>
      <c r="R243" s="10">
        <f t="shared" si="35"/>
        <v>-7.9</v>
      </c>
      <c r="S243" s="13">
        <v>15.9</v>
      </c>
      <c r="T243" s="13">
        <v>23.8</v>
      </c>
      <c r="U243" s="10">
        <v>22</v>
      </c>
      <c r="V243" s="10">
        <v>27</v>
      </c>
      <c r="W243" s="10">
        <f t="shared" si="36"/>
        <v>-5</v>
      </c>
      <c r="X243" s="9" t="s">
        <v>1</v>
      </c>
      <c r="Y243" s="11">
        <f t="shared" si="37"/>
        <v>0</v>
      </c>
      <c r="Z243" s="14">
        <v>0</v>
      </c>
    </row>
    <row r="244" spans="1:26" x14ac:dyDescent="0.2">
      <c r="A244" s="12">
        <f>A243+1</f>
        <v>2004</v>
      </c>
      <c r="B244" s="1" t="s">
        <v>28</v>
      </c>
      <c r="C244" s="1">
        <v>13</v>
      </c>
      <c r="D244" s="15">
        <v>215000000</v>
      </c>
      <c r="E244" s="15">
        <f>(292.7/188.9)*215000000</f>
        <v>333141874.0074113</v>
      </c>
      <c r="F244" s="10">
        <f t="shared" si="31"/>
        <v>40.5</v>
      </c>
      <c r="G244" s="5">
        <f>3246/16</f>
        <v>202.875</v>
      </c>
      <c r="H244" s="4" t="s">
        <v>1</v>
      </c>
      <c r="I244" s="1">
        <f t="shared" si="32"/>
        <v>0</v>
      </c>
      <c r="J244" s="1" t="s">
        <v>1</v>
      </c>
      <c r="K244" s="1">
        <f t="shared" si="33"/>
        <v>0</v>
      </c>
      <c r="L244" s="1" t="s">
        <v>1</v>
      </c>
      <c r="M244" s="1">
        <f t="shared" si="34"/>
        <v>0</v>
      </c>
      <c r="N244" s="1" t="s">
        <v>1</v>
      </c>
      <c r="O244" s="8">
        <v>0.38400000000000001</v>
      </c>
      <c r="P244" s="7">
        <v>0.59099999999999997</v>
      </c>
      <c r="Q244" s="3">
        <f>7/16</f>
        <v>0.4375</v>
      </c>
      <c r="R244" s="10">
        <f t="shared" si="35"/>
        <v>-1.8999999999999986</v>
      </c>
      <c r="S244" s="13">
        <v>19.3</v>
      </c>
      <c r="T244" s="13">
        <v>21.2</v>
      </c>
      <c r="U244" s="10">
        <v>30</v>
      </c>
      <c r="V244" s="10">
        <v>25</v>
      </c>
      <c r="W244" s="10">
        <f t="shared" si="36"/>
        <v>5</v>
      </c>
      <c r="X244" s="9" t="s">
        <v>1</v>
      </c>
      <c r="Y244" s="11">
        <f t="shared" si="37"/>
        <v>0</v>
      </c>
      <c r="Z244" s="14">
        <v>1</v>
      </c>
    </row>
    <row r="245" spans="1:26" x14ac:dyDescent="0.2">
      <c r="A245" s="12">
        <f>A244+1</f>
        <v>2005</v>
      </c>
      <c r="B245" s="1" t="s">
        <v>28</v>
      </c>
      <c r="C245" s="1">
        <v>13</v>
      </c>
      <c r="D245" s="15">
        <v>222000000</v>
      </c>
      <c r="E245" s="15">
        <f>(292.7/195.3)*222000000</f>
        <v>332715821.81259596</v>
      </c>
      <c r="F245" s="10">
        <f t="shared" si="31"/>
        <v>43.2</v>
      </c>
      <c r="G245" s="5">
        <f>2237/16</f>
        <v>139.8125</v>
      </c>
      <c r="H245" s="4" t="s">
        <v>1</v>
      </c>
      <c r="I245" s="1">
        <f t="shared" si="32"/>
        <v>0</v>
      </c>
      <c r="J245" s="1" t="s">
        <v>1</v>
      </c>
      <c r="K245" s="1">
        <f t="shared" si="33"/>
        <v>0</v>
      </c>
      <c r="L245" s="1" t="s">
        <v>1</v>
      </c>
      <c r="M245" s="1">
        <f t="shared" si="34"/>
        <v>0</v>
      </c>
      <c r="N245" s="1" t="s">
        <v>1</v>
      </c>
      <c r="O245" s="8">
        <v>0.34200000000000003</v>
      </c>
      <c r="P245" s="7">
        <v>0.432</v>
      </c>
      <c r="Q245" s="3">
        <f>2/16</f>
        <v>0.125</v>
      </c>
      <c r="R245" s="10">
        <f t="shared" si="35"/>
        <v>-10.599999999999998</v>
      </c>
      <c r="S245" s="13">
        <v>16.3</v>
      </c>
      <c r="T245" s="13">
        <v>26.9</v>
      </c>
      <c r="U245" s="10">
        <v>16</v>
      </c>
      <c r="V245" s="10">
        <v>24</v>
      </c>
      <c r="W245" s="10">
        <f t="shared" si="36"/>
        <v>-8</v>
      </c>
      <c r="X245" s="9" t="s">
        <v>1</v>
      </c>
      <c r="Y245" s="11">
        <f t="shared" si="37"/>
        <v>0</v>
      </c>
      <c r="Z245" s="14">
        <v>1</v>
      </c>
    </row>
    <row r="246" spans="1:26" x14ac:dyDescent="0.2">
      <c r="A246" s="12">
        <f>A245+1</f>
        <v>2006</v>
      </c>
      <c r="B246" s="1" t="s">
        <v>28</v>
      </c>
      <c r="C246" s="1">
        <v>13</v>
      </c>
      <c r="D246" s="15">
        <v>225000000</v>
      </c>
      <c r="E246" s="15">
        <f>(292.7/201.6)*225000000</f>
        <v>326674107.14285713</v>
      </c>
      <c r="F246" s="10">
        <f t="shared" si="31"/>
        <v>39.599999999999994</v>
      </c>
      <c r="G246" s="5">
        <f>2778/16</f>
        <v>173.625</v>
      </c>
      <c r="H246" s="4" t="s">
        <v>1</v>
      </c>
      <c r="I246" s="1">
        <f t="shared" si="32"/>
        <v>0</v>
      </c>
      <c r="J246" s="1" t="s">
        <v>1</v>
      </c>
      <c r="K246" s="1">
        <f t="shared" si="33"/>
        <v>0</v>
      </c>
      <c r="L246" s="1" t="s">
        <v>1</v>
      </c>
      <c r="M246" s="1">
        <f t="shared" si="34"/>
        <v>0</v>
      </c>
      <c r="N246" s="1" t="s">
        <v>1</v>
      </c>
      <c r="O246" s="8">
        <v>0.38900000000000001</v>
      </c>
      <c r="P246" s="7">
        <v>0.57099999999999995</v>
      </c>
      <c r="Q246" s="3">
        <f>6/16</f>
        <v>0.375</v>
      </c>
      <c r="R246" s="10">
        <f t="shared" si="35"/>
        <v>-6.1999999999999993</v>
      </c>
      <c r="S246" s="13">
        <v>16.7</v>
      </c>
      <c r="T246" s="13">
        <v>22.9</v>
      </c>
      <c r="U246" s="10">
        <v>22</v>
      </c>
      <c r="V246" s="10">
        <v>25</v>
      </c>
      <c r="W246" s="10">
        <f t="shared" si="36"/>
        <v>-3</v>
      </c>
      <c r="X246" s="9" t="s">
        <v>1</v>
      </c>
      <c r="Y246" s="11">
        <f t="shared" si="37"/>
        <v>0</v>
      </c>
      <c r="Z246" s="14">
        <v>1</v>
      </c>
    </row>
    <row r="247" spans="1:26" x14ac:dyDescent="0.2">
      <c r="A247" s="12">
        <f>A246+1</f>
        <v>2007</v>
      </c>
      <c r="B247" s="1" t="s">
        <v>28</v>
      </c>
      <c r="C247" s="1">
        <v>13</v>
      </c>
      <c r="D247" s="15">
        <v>239000000</v>
      </c>
      <c r="E247" s="15">
        <f>(292.7/207.3)*239000000</f>
        <v>337459237.81958508</v>
      </c>
      <c r="F247" s="10">
        <f t="shared" si="31"/>
        <v>47.7</v>
      </c>
      <c r="G247" s="5">
        <f>3751/16</f>
        <v>234.4375</v>
      </c>
      <c r="H247" s="4" t="s">
        <v>1</v>
      </c>
      <c r="I247" s="1">
        <f t="shared" si="32"/>
        <v>0</v>
      </c>
      <c r="J247" s="1" t="s">
        <v>1</v>
      </c>
      <c r="K247" s="1">
        <f t="shared" si="33"/>
        <v>0</v>
      </c>
      <c r="L247" s="1" t="s">
        <v>1</v>
      </c>
      <c r="M247" s="1">
        <f t="shared" si="34"/>
        <v>0</v>
      </c>
      <c r="N247" s="1" t="s">
        <v>1</v>
      </c>
      <c r="O247" s="8">
        <v>0.44600000000000001</v>
      </c>
      <c r="P247" s="7">
        <v>0.60899999999999999</v>
      </c>
      <c r="Q247" s="3">
        <f>8/16</f>
        <v>0.5</v>
      </c>
      <c r="R247" s="10">
        <f t="shared" si="35"/>
        <v>-0.30000000000000071</v>
      </c>
      <c r="S247" s="13">
        <v>23.7</v>
      </c>
      <c r="T247" s="13">
        <v>24</v>
      </c>
      <c r="U247" s="10">
        <v>25</v>
      </c>
      <c r="V247" s="10">
        <v>38</v>
      </c>
      <c r="W247" s="10">
        <f t="shared" si="36"/>
        <v>-13</v>
      </c>
      <c r="X247" s="9" t="s">
        <v>1</v>
      </c>
      <c r="Y247" s="11">
        <f t="shared" si="37"/>
        <v>0</v>
      </c>
      <c r="Z247" s="14">
        <v>1</v>
      </c>
    </row>
    <row r="248" spans="1:26" x14ac:dyDescent="0.2">
      <c r="A248" s="12">
        <v>2008</v>
      </c>
      <c r="B248" s="1" t="s">
        <v>28</v>
      </c>
      <c r="C248" s="1">
        <v>13</v>
      </c>
      <c r="D248" s="15">
        <v>256000000</v>
      </c>
      <c r="E248" s="15">
        <f>(292.7/215.3)*256000000</f>
        <v>348031583.8365072</v>
      </c>
      <c r="F248" s="10">
        <f t="shared" si="31"/>
        <v>47.5</v>
      </c>
      <c r="G248" s="5">
        <f>4267/16</f>
        <v>266.6875</v>
      </c>
      <c r="H248" s="4" t="s">
        <v>1</v>
      </c>
      <c r="I248" s="1">
        <f t="shared" si="32"/>
        <v>0</v>
      </c>
      <c r="J248" s="1" t="s">
        <v>1</v>
      </c>
      <c r="K248" s="1">
        <f t="shared" si="33"/>
        <v>0</v>
      </c>
      <c r="L248" s="1" t="s">
        <v>1</v>
      </c>
      <c r="M248" s="1">
        <f t="shared" si="34"/>
        <v>0</v>
      </c>
      <c r="N248" s="1" t="s">
        <v>1</v>
      </c>
      <c r="O248" s="8">
        <v>0.42099999999999999</v>
      </c>
      <c r="P248" s="7">
        <v>0.45900000000000002</v>
      </c>
      <c r="Q248" s="3">
        <v>0.5</v>
      </c>
      <c r="R248" s="10">
        <f t="shared" si="35"/>
        <v>-1.7000000000000028</v>
      </c>
      <c r="S248" s="13">
        <v>22.9</v>
      </c>
      <c r="T248" s="13">
        <v>24.6</v>
      </c>
      <c r="U248" s="10">
        <v>10</v>
      </c>
      <c r="V248" s="10">
        <v>12</v>
      </c>
      <c r="W248" s="10">
        <f t="shared" si="36"/>
        <v>-2</v>
      </c>
      <c r="X248" s="9" t="s">
        <v>1</v>
      </c>
      <c r="Y248" s="11">
        <f t="shared" si="37"/>
        <v>0</v>
      </c>
      <c r="Z248" s="14">
        <v>3</v>
      </c>
    </row>
    <row r="249" spans="1:26" x14ac:dyDescent="0.2">
      <c r="A249" s="12">
        <f t="shared" ref="A249:A259" si="40">A248+1</f>
        <v>2009</v>
      </c>
      <c r="B249" s="1" t="s">
        <v>28</v>
      </c>
      <c r="C249" s="1">
        <v>13</v>
      </c>
      <c r="D249" s="15">
        <v>272000000</v>
      </c>
      <c r="E249" s="15">
        <f>(292.7/214.5)*272000000</f>
        <v>371162703.96270394</v>
      </c>
      <c r="F249" s="10">
        <f t="shared" si="31"/>
        <v>45.1</v>
      </c>
      <c r="G249" s="5">
        <f>4654/16</f>
        <v>290.875</v>
      </c>
      <c r="H249" s="4" t="s">
        <v>2</v>
      </c>
      <c r="I249" s="1">
        <f t="shared" si="32"/>
        <v>1</v>
      </c>
      <c r="J249" s="1" t="s">
        <v>1</v>
      </c>
      <c r="K249" s="1">
        <f t="shared" si="33"/>
        <v>0</v>
      </c>
      <c r="L249" s="1" t="s">
        <v>2</v>
      </c>
      <c r="M249" s="1">
        <f t="shared" si="34"/>
        <v>1</v>
      </c>
      <c r="N249" s="1" t="s">
        <v>1</v>
      </c>
      <c r="O249" s="8">
        <v>0.40200000000000002</v>
      </c>
      <c r="P249" s="7">
        <v>0.52400000000000002</v>
      </c>
      <c r="Q249" s="3">
        <f>9/16</f>
        <v>0.5625</v>
      </c>
      <c r="R249" s="10">
        <f t="shared" si="35"/>
        <v>3.5</v>
      </c>
      <c r="S249" s="13">
        <v>24.3</v>
      </c>
      <c r="T249" s="13">
        <v>20.8</v>
      </c>
      <c r="U249" s="10">
        <v>27</v>
      </c>
      <c r="V249" s="10">
        <v>28</v>
      </c>
      <c r="W249" s="10">
        <f t="shared" si="36"/>
        <v>-1</v>
      </c>
      <c r="X249" s="9" t="s">
        <v>1</v>
      </c>
      <c r="Y249" s="11">
        <f t="shared" si="37"/>
        <v>0</v>
      </c>
      <c r="Z249" s="14">
        <v>5</v>
      </c>
    </row>
    <row r="250" spans="1:26" x14ac:dyDescent="0.2">
      <c r="A250" s="12">
        <f t="shared" si="40"/>
        <v>2010</v>
      </c>
      <c r="B250" s="1" t="s">
        <v>28</v>
      </c>
      <c r="C250" s="1">
        <v>13</v>
      </c>
      <c r="D250" s="15">
        <v>283000000</v>
      </c>
      <c r="E250" s="15">
        <f>(292.7/218.1)*283000000</f>
        <v>379798716.18523616</v>
      </c>
      <c r="F250" s="10">
        <f t="shared" si="31"/>
        <v>51.099999999999994</v>
      </c>
      <c r="G250" s="5">
        <f>4144/16</f>
        <v>259</v>
      </c>
      <c r="H250" s="4" t="s">
        <v>2</v>
      </c>
      <c r="I250" s="1">
        <f t="shared" si="32"/>
        <v>1</v>
      </c>
      <c r="J250" s="1" t="s">
        <v>1</v>
      </c>
      <c r="K250" s="1">
        <f t="shared" si="33"/>
        <v>0</v>
      </c>
      <c r="L250" s="1" t="s">
        <v>2</v>
      </c>
      <c r="M250" s="1">
        <f t="shared" si="34"/>
        <v>1</v>
      </c>
      <c r="N250" s="1" t="s">
        <v>1</v>
      </c>
      <c r="O250" s="8">
        <v>0.41099999999999998</v>
      </c>
      <c r="P250" s="7">
        <v>0.623</v>
      </c>
      <c r="Q250" s="3">
        <f>6/16</f>
        <v>0.375</v>
      </c>
      <c r="R250" s="10">
        <f t="shared" si="35"/>
        <v>-2.3000000000000007</v>
      </c>
      <c r="S250" s="13">
        <v>24.4</v>
      </c>
      <c r="T250" s="13">
        <v>26.7</v>
      </c>
      <c r="U250" s="10">
        <v>18</v>
      </c>
      <c r="V250" s="10">
        <v>18</v>
      </c>
      <c r="W250" s="10">
        <f t="shared" si="36"/>
        <v>0</v>
      </c>
      <c r="X250" s="9" t="s">
        <v>1</v>
      </c>
      <c r="Y250" s="11">
        <f t="shared" si="37"/>
        <v>0</v>
      </c>
      <c r="Z250" s="14">
        <v>3</v>
      </c>
    </row>
    <row r="251" spans="1:26" x14ac:dyDescent="0.2">
      <c r="A251" s="12">
        <f t="shared" si="40"/>
        <v>2011</v>
      </c>
      <c r="B251" s="1" t="s">
        <v>28</v>
      </c>
      <c r="C251" s="1">
        <v>13</v>
      </c>
      <c r="D251" s="15">
        <v>304000000</v>
      </c>
      <c r="E251" s="15">
        <f>(292.7/224.9)*304000000</f>
        <v>395646064.91774118</v>
      </c>
      <c r="F251" s="10">
        <f t="shared" si="31"/>
        <v>41.2</v>
      </c>
      <c r="G251" s="5">
        <f>3506/16</f>
        <v>219.125</v>
      </c>
      <c r="H251" s="4" t="s">
        <v>2</v>
      </c>
      <c r="I251" s="1">
        <f t="shared" si="32"/>
        <v>1</v>
      </c>
      <c r="J251" s="1" t="s">
        <v>1</v>
      </c>
      <c r="K251" s="1">
        <f t="shared" si="33"/>
        <v>0</v>
      </c>
      <c r="L251" s="1" t="s">
        <v>2</v>
      </c>
      <c r="M251" s="1">
        <f t="shared" si="34"/>
        <v>1</v>
      </c>
      <c r="N251" s="1" t="s">
        <v>1</v>
      </c>
      <c r="O251" s="8">
        <v>0.41499999999999998</v>
      </c>
      <c r="P251" s="7">
        <v>0.46700000000000003</v>
      </c>
      <c r="Q251" s="3">
        <f>10/16</f>
        <v>0.625</v>
      </c>
      <c r="R251" s="10">
        <f t="shared" si="35"/>
        <v>6.4000000000000021</v>
      </c>
      <c r="S251" s="13">
        <v>23.8</v>
      </c>
      <c r="T251" s="13">
        <v>17.399999999999999</v>
      </c>
      <c r="U251" s="10">
        <v>27</v>
      </c>
      <c r="V251" s="10">
        <v>20</v>
      </c>
      <c r="W251" s="10">
        <f t="shared" si="36"/>
        <v>7</v>
      </c>
      <c r="X251" s="9" t="s">
        <v>2</v>
      </c>
      <c r="Y251" s="11">
        <f t="shared" si="37"/>
        <v>1</v>
      </c>
      <c r="Z251" s="14">
        <v>4</v>
      </c>
    </row>
    <row r="252" spans="1:26" x14ac:dyDescent="0.2">
      <c r="A252" s="12">
        <f t="shared" si="40"/>
        <v>2012</v>
      </c>
      <c r="B252" s="1" t="s">
        <v>28</v>
      </c>
      <c r="C252" s="1">
        <v>13</v>
      </c>
      <c r="D252" s="15">
        <v>320000000</v>
      </c>
      <c r="E252" s="15">
        <f>(292.7/229.6)*320000000</f>
        <v>407944250.8710801</v>
      </c>
      <c r="F252" s="10">
        <f t="shared" si="31"/>
        <v>46.7</v>
      </c>
      <c r="G252" s="5">
        <f>3830/16</f>
        <v>239.375</v>
      </c>
      <c r="H252" s="4" t="s">
        <v>2</v>
      </c>
      <c r="I252" s="1">
        <f t="shared" si="32"/>
        <v>1</v>
      </c>
      <c r="J252" s="1" t="s">
        <v>1</v>
      </c>
      <c r="K252" s="1">
        <f t="shared" si="33"/>
        <v>0</v>
      </c>
      <c r="L252" s="1" t="s">
        <v>2</v>
      </c>
      <c r="M252" s="1">
        <f t="shared" si="34"/>
        <v>1</v>
      </c>
      <c r="N252" s="1" t="s">
        <v>1</v>
      </c>
      <c r="O252" s="8">
        <v>0.376</v>
      </c>
      <c r="P252" s="7">
        <f>0.561</f>
        <v>0.56100000000000005</v>
      </c>
      <c r="Q252" s="3">
        <v>0.75</v>
      </c>
      <c r="R252" s="10">
        <f t="shared" si="35"/>
        <v>5.3000000000000007</v>
      </c>
      <c r="S252" s="13">
        <v>26</v>
      </c>
      <c r="T252" s="13">
        <v>20.7</v>
      </c>
      <c r="U252" s="10">
        <v>29</v>
      </c>
      <c r="V252" s="10">
        <v>17</v>
      </c>
      <c r="W252" s="10">
        <f t="shared" si="36"/>
        <v>12</v>
      </c>
      <c r="X252" s="9" t="s">
        <v>2</v>
      </c>
      <c r="Y252" s="11">
        <f t="shared" si="37"/>
        <v>1</v>
      </c>
      <c r="Z252" s="14">
        <v>9</v>
      </c>
    </row>
    <row r="253" spans="1:26" x14ac:dyDescent="0.2">
      <c r="A253" s="12">
        <f t="shared" si="40"/>
        <v>2013</v>
      </c>
      <c r="B253" s="1" t="s">
        <v>28</v>
      </c>
      <c r="C253" s="1">
        <v>13</v>
      </c>
      <c r="D253" s="15">
        <v>339000000</v>
      </c>
      <c r="E253" s="15">
        <f>(292.7/233)*339000000</f>
        <v>425859656.6523605</v>
      </c>
      <c r="F253" s="10">
        <f t="shared" si="31"/>
        <v>44.1</v>
      </c>
      <c r="G253" s="5">
        <f>3813/16</f>
        <v>238.3125</v>
      </c>
      <c r="H253" s="4" t="s">
        <v>2</v>
      </c>
      <c r="I253" s="1">
        <f t="shared" si="32"/>
        <v>1</v>
      </c>
      <c r="J253" s="1" t="s">
        <v>1</v>
      </c>
      <c r="K253" s="1">
        <f t="shared" si="33"/>
        <v>0</v>
      </c>
      <c r="L253" s="1" t="s">
        <v>2</v>
      </c>
      <c r="M253" s="1">
        <f t="shared" si="34"/>
        <v>1</v>
      </c>
      <c r="N253" s="1" t="s">
        <v>1</v>
      </c>
      <c r="O253" s="8">
        <v>0.35899999999999999</v>
      </c>
      <c r="P253" s="7">
        <v>0.5</v>
      </c>
      <c r="Q253" s="3">
        <f>2/16</f>
        <v>0.125</v>
      </c>
      <c r="R253" s="10">
        <f t="shared" si="35"/>
        <v>-9.5</v>
      </c>
      <c r="S253" s="13">
        <v>17.3</v>
      </c>
      <c r="T253" s="13">
        <v>26.8</v>
      </c>
      <c r="U253" s="10">
        <v>11</v>
      </c>
      <c r="V253" s="10">
        <v>31</v>
      </c>
      <c r="W253" s="10">
        <f t="shared" si="36"/>
        <v>-20</v>
      </c>
      <c r="X253" s="9" t="s">
        <v>1</v>
      </c>
      <c r="Y253" s="11">
        <f t="shared" si="37"/>
        <v>0</v>
      </c>
      <c r="Z253" s="14">
        <v>3</v>
      </c>
    </row>
    <row r="254" spans="1:26" x14ac:dyDescent="0.2">
      <c r="A254" s="12">
        <f t="shared" si="40"/>
        <v>2014</v>
      </c>
      <c r="B254" s="1" t="s">
        <v>28</v>
      </c>
      <c r="C254" s="1">
        <v>13</v>
      </c>
      <c r="D254" s="15">
        <v>383000000</v>
      </c>
      <c r="E254" s="15">
        <f>(292.7/236.7)*383000000</f>
        <v>473612589.77608782</v>
      </c>
      <c r="F254" s="10">
        <f t="shared" si="31"/>
        <v>42.5</v>
      </c>
      <c r="G254" s="5">
        <f>3352/16</f>
        <v>209.5</v>
      </c>
      <c r="H254" s="4" t="s">
        <v>2</v>
      </c>
      <c r="I254" s="1">
        <f t="shared" si="32"/>
        <v>1</v>
      </c>
      <c r="J254" s="1" t="s">
        <v>1</v>
      </c>
      <c r="K254" s="1">
        <f t="shared" si="33"/>
        <v>0</v>
      </c>
      <c r="L254" s="1" t="s">
        <v>2</v>
      </c>
      <c r="M254" s="1">
        <f t="shared" si="34"/>
        <v>1</v>
      </c>
      <c r="N254" s="1" t="s">
        <v>1</v>
      </c>
      <c r="O254" s="8">
        <v>0.38700000000000001</v>
      </c>
      <c r="P254" s="7">
        <v>0.54200000000000004</v>
      </c>
      <c r="Q254" s="3">
        <f>9/16</f>
        <v>0.5625</v>
      </c>
      <c r="R254" s="10">
        <f t="shared" si="35"/>
        <v>4.1000000000000014</v>
      </c>
      <c r="S254" s="13">
        <v>23.3</v>
      </c>
      <c r="T254" s="13">
        <v>19.2</v>
      </c>
      <c r="U254" s="10">
        <v>34</v>
      </c>
      <c r="V254" s="10">
        <v>22</v>
      </c>
      <c r="W254" s="10">
        <f t="shared" si="36"/>
        <v>12</v>
      </c>
      <c r="X254" s="9" t="s">
        <v>1</v>
      </c>
      <c r="Y254" s="11">
        <f t="shared" si="37"/>
        <v>0</v>
      </c>
      <c r="Z254" s="14">
        <v>3</v>
      </c>
    </row>
    <row r="255" spans="1:26" x14ac:dyDescent="0.2">
      <c r="A255" s="12">
        <f t="shared" si="40"/>
        <v>2015</v>
      </c>
      <c r="B255" s="1" t="s">
        <v>28</v>
      </c>
      <c r="C255" s="1">
        <v>13</v>
      </c>
      <c r="D255" s="15">
        <v>416000000</v>
      </c>
      <c r="E255" s="15">
        <f>(292.7/237)*416000000</f>
        <v>513768776.37130803</v>
      </c>
      <c r="F255" s="10">
        <f t="shared" si="31"/>
        <v>40.799999999999997</v>
      </c>
      <c r="G255" s="5">
        <f>3833/16</f>
        <v>239.5625</v>
      </c>
      <c r="H255" s="4" t="s">
        <v>2</v>
      </c>
      <c r="I255" s="1">
        <f t="shared" si="32"/>
        <v>1</v>
      </c>
      <c r="J255" s="1" t="s">
        <v>1</v>
      </c>
      <c r="K255" s="1">
        <f t="shared" si="33"/>
        <v>0</v>
      </c>
      <c r="L255" s="1" t="s">
        <v>2</v>
      </c>
      <c r="M255" s="1">
        <f t="shared" si="34"/>
        <v>1</v>
      </c>
      <c r="N255" s="1" t="s">
        <v>2</v>
      </c>
      <c r="O255" s="8">
        <v>0.38600000000000001</v>
      </c>
      <c r="P255" s="7">
        <v>0.57799999999999996</v>
      </c>
      <c r="Q255" s="3">
        <f>9/16</f>
        <v>0.5625</v>
      </c>
      <c r="R255" s="10">
        <f t="shared" si="35"/>
        <v>1.5999999999999979</v>
      </c>
      <c r="S255" s="13">
        <v>21.2</v>
      </c>
      <c r="T255" s="13">
        <v>19.600000000000001</v>
      </c>
      <c r="U255" s="10">
        <v>25</v>
      </c>
      <c r="V255" s="10">
        <v>20</v>
      </c>
      <c r="W255" s="10">
        <f t="shared" si="36"/>
        <v>5</v>
      </c>
      <c r="X255" s="9" t="s">
        <v>2</v>
      </c>
      <c r="Y255" s="11">
        <f t="shared" si="37"/>
        <v>1</v>
      </c>
      <c r="Z255" s="14">
        <v>3</v>
      </c>
    </row>
    <row r="256" spans="1:26" x14ac:dyDescent="0.2">
      <c r="A256" s="12">
        <f t="shared" si="40"/>
        <v>2016</v>
      </c>
      <c r="B256" s="1" t="s">
        <v>28</v>
      </c>
      <c r="C256" s="1">
        <v>13</v>
      </c>
      <c r="D256" s="15">
        <v>433000000</v>
      </c>
      <c r="E256" s="15">
        <f>(292.7/240)*433000000</f>
        <v>528079583.33333331</v>
      </c>
      <c r="F256" s="10">
        <f t="shared" si="31"/>
        <v>37.9</v>
      </c>
      <c r="G256" s="5">
        <f>3176/16</f>
        <v>198.5</v>
      </c>
      <c r="H256" s="4" t="s">
        <v>2</v>
      </c>
      <c r="I256" s="1">
        <f t="shared" si="32"/>
        <v>1</v>
      </c>
      <c r="J256" s="1" t="s">
        <v>1</v>
      </c>
      <c r="K256" s="1">
        <f t="shared" si="33"/>
        <v>0</v>
      </c>
      <c r="L256" s="1" t="s">
        <v>2</v>
      </c>
      <c r="M256" s="1">
        <f t="shared" si="34"/>
        <v>1</v>
      </c>
      <c r="N256" s="1" t="s">
        <v>2</v>
      </c>
      <c r="O256" s="8">
        <v>0.373</v>
      </c>
      <c r="P256" s="7">
        <v>0.40899999999999997</v>
      </c>
      <c r="Q256" s="3">
        <f>9/16</f>
        <v>0.5625</v>
      </c>
      <c r="R256" s="10">
        <f t="shared" si="35"/>
        <v>-3.1000000000000014</v>
      </c>
      <c r="S256" s="13">
        <v>17.399999999999999</v>
      </c>
      <c r="T256" s="13">
        <v>20.5</v>
      </c>
      <c r="U256" s="10">
        <v>17</v>
      </c>
      <c r="V256" s="10">
        <v>24</v>
      </c>
      <c r="W256" s="10">
        <f t="shared" si="36"/>
        <v>-7</v>
      </c>
      <c r="X256" s="9" t="s">
        <v>2</v>
      </c>
      <c r="Y256" s="11">
        <f t="shared" si="37"/>
        <v>1</v>
      </c>
      <c r="Z256" s="14">
        <v>1</v>
      </c>
    </row>
    <row r="257" spans="1:26" x14ac:dyDescent="0.2">
      <c r="A257" s="12">
        <f t="shared" si="40"/>
        <v>2017</v>
      </c>
      <c r="B257" s="1" t="s">
        <v>28</v>
      </c>
      <c r="C257" s="1">
        <v>13</v>
      </c>
      <c r="D257" s="15">
        <v>464000000</v>
      </c>
      <c r="E257" s="15">
        <f>(292.7/245.1)*464000000</f>
        <v>554111791.10567117</v>
      </c>
      <c r="F257" s="10">
        <f t="shared" si="31"/>
        <v>48.400000000000006</v>
      </c>
      <c r="G257" s="5">
        <f>3278/16</f>
        <v>204.875</v>
      </c>
      <c r="H257" s="4" t="s">
        <v>2</v>
      </c>
      <c r="I257" s="1">
        <f t="shared" si="32"/>
        <v>1</v>
      </c>
      <c r="J257" s="1" t="s">
        <v>1</v>
      </c>
      <c r="K257" s="1">
        <f t="shared" si="33"/>
        <v>0</v>
      </c>
      <c r="L257" s="1" t="s">
        <v>2</v>
      </c>
      <c r="M257" s="1">
        <f t="shared" si="34"/>
        <v>1</v>
      </c>
      <c r="N257" s="1" t="s">
        <v>2</v>
      </c>
      <c r="O257" s="8">
        <v>0.36399999999999999</v>
      </c>
      <c r="P257" s="7">
        <f>0.524</f>
        <v>0.52400000000000002</v>
      </c>
      <c r="Q257" s="3">
        <v>0.25</v>
      </c>
      <c r="R257" s="10">
        <f t="shared" si="35"/>
        <v>-6.1999999999999993</v>
      </c>
      <c r="S257" s="13">
        <v>21.1</v>
      </c>
      <c r="T257" s="13">
        <v>27.3</v>
      </c>
      <c r="U257" s="10">
        <v>5</v>
      </c>
      <c r="V257" s="10">
        <v>11</v>
      </c>
      <c r="W257" s="10">
        <f t="shared" si="36"/>
        <v>-6</v>
      </c>
      <c r="X257" s="9" t="s">
        <v>1</v>
      </c>
      <c r="Y257" s="11">
        <f t="shared" si="37"/>
        <v>0</v>
      </c>
      <c r="Z257" s="14">
        <v>2</v>
      </c>
    </row>
    <row r="258" spans="1:26" x14ac:dyDescent="0.2">
      <c r="A258" s="12">
        <f t="shared" si="40"/>
        <v>2018</v>
      </c>
      <c r="B258" s="1" t="s">
        <v>28</v>
      </c>
      <c r="C258" s="1">
        <v>13</v>
      </c>
      <c r="D258" s="15">
        <v>497000000</v>
      </c>
      <c r="E258" s="15">
        <f>(292.7/251.1)*497000000</f>
        <v>579338510.55356431</v>
      </c>
      <c r="F258" s="10">
        <f t="shared" ref="F258:F321" si="41">S258+T258</f>
        <v>44.900000000000006</v>
      </c>
      <c r="G258" s="5">
        <f>3781/16</f>
        <v>236.3125</v>
      </c>
      <c r="H258" s="4" t="s">
        <v>1</v>
      </c>
      <c r="I258" s="1">
        <f t="shared" ref="I258:I321" si="42">IF(H258="No",0,1)</f>
        <v>0</v>
      </c>
      <c r="J258" s="1" t="s">
        <v>2</v>
      </c>
      <c r="K258" s="1">
        <f t="shared" ref="K258:K321" si="43">IF(J258="No",0,1)</f>
        <v>1</v>
      </c>
      <c r="L258" s="1" t="s">
        <v>2</v>
      </c>
      <c r="M258" s="1">
        <f t="shared" ref="M258:M321" si="44">IF(L258="No",0,1)</f>
        <v>1</v>
      </c>
      <c r="N258" s="1" t="s">
        <v>2</v>
      </c>
      <c r="O258" s="8">
        <v>0.37</v>
      </c>
      <c r="P258" s="7">
        <v>0.5</v>
      </c>
      <c r="Q258" s="3">
        <f>11/16</f>
        <v>0.6875</v>
      </c>
      <c r="R258" s="10">
        <f t="shared" ref="R258:R321" si="45">S258-T258</f>
        <v>5.3000000000000007</v>
      </c>
      <c r="S258" s="13">
        <v>25.1</v>
      </c>
      <c r="T258" s="13">
        <v>19.8</v>
      </c>
      <c r="U258" s="10">
        <v>29</v>
      </c>
      <c r="V258" s="10">
        <v>16</v>
      </c>
      <c r="W258" s="10">
        <f t="shared" ref="W258:W321" si="46">U258-V258</f>
        <v>13</v>
      </c>
      <c r="X258" s="9" t="s">
        <v>2</v>
      </c>
      <c r="Y258" s="11">
        <f t="shared" ref="Y258:Y321" si="47">IF(X258="No",0,1)</f>
        <v>1</v>
      </c>
      <c r="Z258" s="14">
        <v>6</v>
      </c>
    </row>
    <row r="259" spans="1:26" x14ac:dyDescent="0.2">
      <c r="A259" s="12">
        <f t="shared" si="40"/>
        <v>2019</v>
      </c>
      <c r="B259" s="1" t="s">
        <v>28</v>
      </c>
      <c r="C259" s="1">
        <v>13</v>
      </c>
      <c r="D259" s="15">
        <v>530000000</v>
      </c>
      <c r="E259" s="15">
        <f>(292.7/255.7)*530000000</f>
        <v>606691435.2757138</v>
      </c>
      <c r="F259" s="10">
        <f t="shared" si="41"/>
        <v>47.7</v>
      </c>
      <c r="G259" s="5">
        <f>3783/16</f>
        <v>236.4375</v>
      </c>
      <c r="H259" s="4" t="s">
        <v>1</v>
      </c>
      <c r="I259" s="1">
        <f t="shared" si="42"/>
        <v>0</v>
      </c>
      <c r="J259" s="1" t="s">
        <v>2</v>
      </c>
      <c r="K259" s="1">
        <f t="shared" si="43"/>
        <v>1</v>
      </c>
      <c r="L259" s="1" t="s">
        <v>2</v>
      </c>
      <c r="M259" s="1">
        <f t="shared" si="44"/>
        <v>1</v>
      </c>
      <c r="N259" s="1" t="s">
        <v>2</v>
      </c>
      <c r="O259" s="8">
        <v>0.435</v>
      </c>
      <c r="P259" s="7">
        <v>0.64200000000000002</v>
      </c>
      <c r="Q259" s="3">
        <f>10/16</f>
        <v>0.625</v>
      </c>
      <c r="R259" s="10">
        <f t="shared" si="45"/>
        <v>-0.5</v>
      </c>
      <c r="S259" s="13">
        <v>23.6</v>
      </c>
      <c r="T259" s="13">
        <v>24.1</v>
      </c>
      <c r="U259" s="10">
        <v>22</v>
      </c>
      <c r="V259" s="10">
        <v>22</v>
      </c>
      <c r="W259" s="10">
        <f t="shared" si="46"/>
        <v>0</v>
      </c>
      <c r="X259" s="9" t="s">
        <v>2</v>
      </c>
      <c r="Y259" s="11">
        <f t="shared" si="47"/>
        <v>1</v>
      </c>
      <c r="Z259" s="14">
        <v>3</v>
      </c>
    </row>
    <row r="260" spans="1:26" x14ac:dyDescent="0.2">
      <c r="A260" s="12">
        <v>2021</v>
      </c>
      <c r="B260" s="1" t="s">
        <v>28</v>
      </c>
      <c r="C260" s="1">
        <v>13</v>
      </c>
      <c r="D260" s="15">
        <v>571000000</v>
      </c>
      <c r="E260" s="15">
        <f>(292.7/271)*571000000</f>
        <v>616722140.22140217</v>
      </c>
      <c r="F260" s="10">
        <f t="shared" si="41"/>
        <v>43.1</v>
      </c>
      <c r="G260" s="5">
        <f>3305/17</f>
        <v>194.41176470588235</v>
      </c>
      <c r="H260" s="4" t="s">
        <v>1</v>
      </c>
      <c r="I260" s="1">
        <f t="shared" si="42"/>
        <v>0</v>
      </c>
      <c r="J260" s="1" t="s">
        <v>2</v>
      </c>
      <c r="K260" s="1">
        <f t="shared" si="43"/>
        <v>1</v>
      </c>
      <c r="L260" s="1" t="s">
        <v>2</v>
      </c>
      <c r="M260" s="1">
        <f t="shared" si="44"/>
        <v>1</v>
      </c>
      <c r="N260" s="1" t="s">
        <v>2</v>
      </c>
      <c r="O260" s="8">
        <v>0.39700000000000002</v>
      </c>
      <c r="P260" s="7">
        <v>0.51400000000000001</v>
      </c>
      <c r="Q260" s="3">
        <f>4/17</f>
        <v>0.23529411764705882</v>
      </c>
      <c r="R260" s="10">
        <f t="shared" si="45"/>
        <v>-10.100000000000001</v>
      </c>
      <c r="S260" s="13">
        <v>16.5</v>
      </c>
      <c r="T260" s="13">
        <v>26.6</v>
      </c>
      <c r="U260" s="10">
        <v>25</v>
      </c>
      <c r="V260" s="10">
        <v>22</v>
      </c>
      <c r="W260" s="10">
        <f t="shared" si="46"/>
        <v>3</v>
      </c>
      <c r="X260" s="9" t="s">
        <v>2</v>
      </c>
      <c r="Y260" s="11">
        <f t="shared" si="47"/>
        <v>1</v>
      </c>
      <c r="Z260" s="14">
        <v>0</v>
      </c>
    </row>
    <row r="261" spans="1:26" x14ac:dyDescent="0.2">
      <c r="A261" s="12">
        <f>A260+1</f>
        <v>2022</v>
      </c>
      <c r="B261" s="1" t="s">
        <v>28</v>
      </c>
      <c r="C261" s="1">
        <v>13</v>
      </c>
      <c r="D261" s="15">
        <v>605000000</v>
      </c>
      <c r="E261" s="15">
        <f>(292.7/292.7)*605000000</f>
        <v>605000000</v>
      </c>
      <c r="F261" s="10">
        <f t="shared" si="41"/>
        <v>41.7</v>
      </c>
      <c r="G261" s="5">
        <f>3344/17</f>
        <v>196.70588235294119</v>
      </c>
      <c r="H261" s="4" t="s">
        <v>1</v>
      </c>
      <c r="I261" s="1">
        <f t="shared" si="42"/>
        <v>0</v>
      </c>
      <c r="J261" s="1" t="s">
        <v>2</v>
      </c>
      <c r="K261" s="1">
        <f t="shared" si="43"/>
        <v>1</v>
      </c>
      <c r="L261" s="1" t="s">
        <v>2</v>
      </c>
      <c r="M261" s="1">
        <f t="shared" si="44"/>
        <v>1</v>
      </c>
      <c r="N261" s="1" t="s">
        <v>2</v>
      </c>
      <c r="O261" s="8">
        <v>0.30299999999999999</v>
      </c>
      <c r="P261" s="7">
        <v>0.47899999999999998</v>
      </c>
      <c r="Q261" s="3">
        <f>3.5/17</f>
        <v>0.20588235294117646</v>
      </c>
      <c r="R261" s="10">
        <f t="shared" si="45"/>
        <v>-7.6999999999999993</v>
      </c>
      <c r="S261" s="13">
        <v>17</v>
      </c>
      <c r="T261" s="13">
        <v>24.7</v>
      </c>
      <c r="U261" s="10">
        <v>27</v>
      </c>
      <c r="V261" s="10">
        <v>28</v>
      </c>
      <c r="W261" s="10">
        <f t="shared" si="46"/>
        <v>-1</v>
      </c>
      <c r="X261" s="9" t="s">
        <v>1</v>
      </c>
      <c r="Y261" s="11">
        <f t="shared" si="47"/>
        <v>0</v>
      </c>
      <c r="Z261" s="14">
        <v>1</v>
      </c>
    </row>
    <row r="262" spans="1:26" x14ac:dyDescent="0.2">
      <c r="A262" s="12">
        <v>2002</v>
      </c>
      <c r="B262" s="1" t="s">
        <v>29</v>
      </c>
      <c r="C262" s="1">
        <v>14</v>
      </c>
      <c r="D262" s="15">
        <v>137000000</v>
      </c>
      <c r="E262" s="15">
        <f>(292.7/179.9)*137000000</f>
        <v>222901056.14230129</v>
      </c>
      <c r="F262" s="10">
        <f t="shared" si="41"/>
        <v>41.400000000000006</v>
      </c>
      <c r="G262" s="5">
        <f>4055/16</f>
        <v>253.4375</v>
      </c>
      <c r="H262" s="4" t="s">
        <v>1</v>
      </c>
      <c r="I262" s="1">
        <f t="shared" si="42"/>
        <v>0</v>
      </c>
      <c r="J262" s="1" t="s">
        <v>1</v>
      </c>
      <c r="K262" s="1">
        <f t="shared" si="43"/>
        <v>0</v>
      </c>
      <c r="L262" s="1" t="s">
        <v>1</v>
      </c>
      <c r="M262" s="1">
        <f t="shared" si="44"/>
        <v>0</v>
      </c>
      <c r="N262" s="1" t="s">
        <v>1</v>
      </c>
      <c r="O262" s="8">
        <v>0.44900000000000001</v>
      </c>
      <c r="P262" s="7">
        <v>0.52</v>
      </c>
      <c r="Q262" s="3">
        <f>10/16</f>
        <v>0.625</v>
      </c>
      <c r="R262" s="10">
        <f t="shared" si="45"/>
        <v>2.1999999999999993</v>
      </c>
      <c r="S262" s="13">
        <v>21.8</v>
      </c>
      <c r="T262" s="13">
        <v>19.600000000000001</v>
      </c>
      <c r="U262" s="10">
        <v>27</v>
      </c>
      <c r="V262" s="10">
        <v>32</v>
      </c>
      <c r="W262" s="10">
        <f t="shared" si="46"/>
        <v>-5</v>
      </c>
      <c r="X262" s="9" t="s">
        <v>1</v>
      </c>
      <c r="Y262" s="11">
        <f t="shared" si="47"/>
        <v>0</v>
      </c>
      <c r="Z262" s="14">
        <v>2</v>
      </c>
    </row>
    <row r="263" spans="1:26" x14ac:dyDescent="0.2">
      <c r="A263" s="12">
        <f>A262+1</f>
        <v>2003</v>
      </c>
      <c r="B263" s="1" t="s">
        <v>29</v>
      </c>
      <c r="C263" s="1">
        <v>14</v>
      </c>
      <c r="D263" s="15">
        <v>145000000</v>
      </c>
      <c r="E263" s="15">
        <f>(292.7/184)*145000000</f>
        <v>230660326.0869565</v>
      </c>
      <c r="F263" s="10">
        <f t="shared" si="41"/>
        <v>48.9</v>
      </c>
      <c r="G263" s="5">
        <f>4179/16</f>
        <v>261.1875</v>
      </c>
      <c r="H263" s="4" t="s">
        <v>1</v>
      </c>
      <c r="I263" s="1">
        <f t="shared" si="42"/>
        <v>0</v>
      </c>
      <c r="J263" s="1" t="s">
        <v>1</v>
      </c>
      <c r="K263" s="1">
        <f t="shared" si="43"/>
        <v>0</v>
      </c>
      <c r="L263" s="1" t="s">
        <v>1</v>
      </c>
      <c r="M263" s="1">
        <f t="shared" si="44"/>
        <v>0</v>
      </c>
      <c r="N263" s="1" t="s">
        <v>1</v>
      </c>
      <c r="O263" s="8">
        <v>0.41899999999999998</v>
      </c>
      <c r="P263" s="7">
        <v>0.51600000000000001</v>
      </c>
      <c r="Q263" s="3">
        <f>12/16</f>
        <v>0.75</v>
      </c>
      <c r="R263" s="10">
        <f t="shared" si="45"/>
        <v>6.8999999999999986</v>
      </c>
      <c r="S263" s="13">
        <v>27.9</v>
      </c>
      <c r="T263" s="13">
        <v>21</v>
      </c>
      <c r="U263" s="10">
        <v>30</v>
      </c>
      <c r="V263" s="10">
        <v>20</v>
      </c>
      <c r="W263" s="10">
        <f t="shared" si="46"/>
        <v>10</v>
      </c>
      <c r="X263" s="9" t="s">
        <v>2</v>
      </c>
      <c r="Y263" s="11">
        <f t="shared" si="47"/>
        <v>1</v>
      </c>
      <c r="Z263" s="14">
        <v>4</v>
      </c>
    </row>
    <row r="264" spans="1:26" x14ac:dyDescent="0.2">
      <c r="A264" s="12">
        <f>A263+1</f>
        <v>2004</v>
      </c>
      <c r="B264" s="1" t="s">
        <v>29</v>
      </c>
      <c r="C264" s="1">
        <v>14</v>
      </c>
      <c r="D264" s="15">
        <v>166000000</v>
      </c>
      <c r="E264" s="15">
        <f>(292.7/188.9)*166000000</f>
        <v>257216516.67548966</v>
      </c>
      <c r="F264" s="10">
        <f t="shared" si="41"/>
        <v>54.5</v>
      </c>
      <c r="G264" s="5">
        <f>4623/16</f>
        <v>288.9375</v>
      </c>
      <c r="H264" s="4" t="s">
        <v>1</v>
      </c>
      <c r="I264" s="1">
        <f t="shared" si="42"/>
        <v>0</v>
      </c>
      <c r="J264" s="1" t="s">
        <v>1</v>
      </c>
      <c r="K264" s="1">
        <f t="shared" si="43"/>
        <v>0</v>
      </c>
      <c r="L264" s="1" t="s">
        <v>1</v>
      </c>
      <c r="M264" s="1">
        <f t="shared" si="44"/>
        <v>0</v>
      </c>
      <c r="N264" s="1" t="s">
        <v>1</v>
      </c>
      <c r="O264" s="8">
        <v>0.42699999999999999</v>
      </c>
      <c r="P264" s="7">
        <v>0.627</v>
      </c>
      <c r="Q264" s="3">
        <f>12/16</f>
        <v>0.75</v>
      </c>
      <c r="R264" s="10">
        <f t="shared" si="45"/>
        <v>10.700000000000003</v>
      </c>
      <c r="S264" s="13">
        <v>32.6</v>
      </c>
      <c r="T264" s="13">
        <v>21.9</v>
      </c>
      <c r="U264" s="10">
        <v>36</v>
      </c>
      <c r="V264" s="10">
        <v>17</v>
      </c>
      <c r="W264" s="10">
        <f t="shared" si="46"/>
        <v>19</v>
      </c>
      <c r="X264" s="9" t="s">
        <v>2</v>
      </c>
      <c r="Y264" s="11">
        <f t="shared" si="47"/>
        <v>1</v>
      </c>
      <c r="Z264" s="14">
        <v>5</v>
      </c>
    </row>
    <row r="265" spans="1:26" x14ac:dyDescent="0.2">
      <c r="A265" s="12">
        <f>A264+1</f>
        <v>2005</v>
      </c>
      <c r="B265" s="1" t="s">
        <v>29</v>
      </c>
      <c r="C265" s="1">
        <v>14</v>
      </c>
      <c r="D265" s="15">
        <v>167000000</v>
      </c>
      <c r="E265" s="15">
        <f>(292.7/195.3)*167000000</f>
        <v>250286226.31848434</v>
      </c>
      <c r="F265" s="10">
        <f t="shared" si="41"/>
        <v>42.8</v>
      </c>
      <c r="G265" s="5">
        <f>4096/16</f>
        <v>256</v>
      </c>
      <c r="H265" s="4" t="s">
        <v>1</v>
      </c>
      <c r="I265" s="1">
        <f t="shared" si="42"/>
        <v>0</v>
      </c>
      <c r="J265" s="1" t="s">
        <v>1</v>
      </c>
      <c r="K265" s="1">
        <f t="shared" si="43"/>
        <v>0</v>
      </c>
      <c r="L265" s="1" t="s">
        <v>1</v>
      </c>
      <c r="M265" s="1">
        <f t="shared" si="44"/>
        <v>0</v>
      </c>
      <c r="N265" s="1" t="s">
        <v>1</v>
      </c>
      <c r="O265" s="8">
        <v>0.48699999999999999</v>
      </c>
      <c r="P265" s="7">
        <v>0.60699999999999998</v>
      </c>
      <c r="Q265" s="3">
        <f>14/16</f>
        <v>0.875</v>
      </c>
      <c r="R265" s="10">
        <f t="shared" si="45"/>
        <v>11.999999999999998</v>
      </c>
      <c r="S265" s="13">
        <v>27.4</v>
      </c>
      <c r="T265" s="13">
        <v>15.4</v>
      </c>
      <c r="U265" s="10">
        <v>31</v>
      </c>
      <c r="V265" s="10">
        <v>19</v>
      </c>
      <c r="W265" s="10">
        <f t="shared" si="46"/>
        <v>12</v>
      </c>
      <c r="X265" s="9" t="s">
        <v>2</v>
      </c>
      <c r="Y265" s="11">
        <f t="shared" si="47"/>
        <v>1</v>
      </c>
      <c r="Z265" s="14">
        <v>8</v>
      </c>
    </row>
    <row r="266" spans="1:26" x14ac:dyDescent="0.2">
      <c r="A266" s="12">
        <f>A265+1</f>
        <v>2006</v>
      </c>
      <c r="B266" s="1" t="s">
        <v>29</v>
      </c>
      <c r="C266" s="1">
        <v>14</v>
      </c>
      <c r="D266" s="15">
        <v>184000000</v>
      </c>
      <c r="E266" s="15">
        <f>(292.7/201.6)*184000000</f>
        <v>267146825.3968254</v>
      </c>
      <c r="F266" s="10">
        <f t="shared" si="41"/>
        <v>49.2</v>
      </c>
      <c r="G266" s="5">
        <f>4308/16</f>
        <v>269.25</v>
      </c>
      <c r="H266" s="4" t="s">
        <v>1</v>
      </c>
      <c r="I266" s="1">
        <f t="shared" si="42"/>
        <v>0</v>
      </c>
      <c r="J266" s="1" t="s">
        <v>1</v>
      </c>
      <c r="K266" s="1">
        <f t="shared" si="43"/>
        <v>0</v>
      </c>
      <c r="L266" s="1" t="s">
        <v>1</v>
      </c>
      <c r="M266" s="1">
        <f t="shared" si="44"/>
        <v>0</v>
      </c>
      <c r="N266" s="1" t="s">
        <v>1</v>
      </c>
      <c r="O266" s="8">
        <v>0.56100000000000005</v>
      </c>
      <c r="P266" s="7">
        <v>0.66100000000000003</v>
      </c>
      <c r="Q266" s="3">
        <f>12/16</f>
        <v>0.75</v>
      </c>
      <c r="R266" s="10">
        <f t="shared" si="45"/>
        <v>4.1999999999999993</v>
      </c>
      <c r="S266" s="13">
        <v>26.7</v>
      </c>
      <c r="T266" s="13">
        <v>22.5</v>
      </c>
      <c r="U266" s="10">
        <v>26</v>
      </c>
      <c r="V266" s="10">
        <v>19</v>
      </c>
      <c r="W266" s="10">
        <f t="shared" si="46"/>
        <v>7</v>
      </c>
      <c r="X266" s="9" t="s">
        <v>2</v>
      </c>
      <c r="Y266" s="11">
        <f t="shared" si="47"/>
        <v>1</v>
      </c>
      <c r="Z266" s="14">
        <v>5</v>
      </c>
    </row>
    <row r="267" spans="1:26" x14ac:dyDescent="0.2">
      <c r="A267" s="12">
        <f>A266+1</f>
        <v>2007</v>
      </c>
      <c r="B267" s="1" t="s">
        <v>29</v>
      </c>
      <c r="C267" s="1">
        <v>14</v>
      </c>
      <c r="D267" s="15">
        <v>203000000</v>
      </c>
      <c r="E267" s="15">
        <f>(292.7/207.3)*203000000</f>
        <v>286628557.64592373</v>
      </c>
      <c r="F267" s="10">
        <f t="shared" si="41"/>
        <v>44.5</v>
      </c>
      <c r="G267" s="5">
        <f>4033/16</f>
        <v>252.0625</v>
      </c>
      <c r="H267" s="4" t="s">
        <v>1</v>
      </c>
      <c r="I267" s="1">
        <f t="shared" si="42"/>
        <v>0</v>
      </c>
      <c r="J267" s="1" t="s">
        <v>1</v>
      </c>
      <c r="K267" s="1">
        <f t="shared" si="43"/>
        <v>0</v>
      </c>
      <c r="L267" s="1" t="s">
        <v>1</v>
      </c>
      <c r="M267" s="1">
        <f t="shared" si="44"/>
        <v>0</v>
      </c>
      <c r="N267" s="1" t="s">
        <v>1</v>
      </c>
      <c r="O267" s="8">
        <v>0.49299999999999999</v>
      </c>
      <c r="P267" s="7">
        <v>0.56499999999999995</v>
      </c>
      <c r="Q267" s="3">
        <f>13/16</f>
        <v>0.8125</v>
      </c>
      <c r="R267" s="10">
        <f t="shared" si="45"/>
        <v>11.700000000000003</v>
      </c>
      <c r="S267" s="13">
        <v>28.1</v>
      </c>
      <c r="T267" s="13">
        <v>16.399999999999999</v>
      </c>
      <c r="U267" s="10">
        <v>37</v>
      </c>
      <c r="V267" s="10">
        <v>19</v>
      </c>
      <c r="W267" s="10">
        <f t="shared" si="46"/>
        <v>18</v>
      </c>
      <c r="X267" s="9" t="s">
        <v>2</v>
      </c>
      <c r="Y267" s="11">
        <f t="shared" si="47"/>
        <v>1</v>
      </c>
      <c r="Z267" s="14">
        <v>6</v>
      </c>
    </row>
    <row r="268" spans="1:26" x14ac:dyDescent="0.2">
      <c r="A268" s="12">
        <v>2008</v>
      </c>
      <c r="B268" s="1" t="s">
        <v>29</v>
      </c>
      <c r="C268" s="1">
        <v>14</v>
      </c>
      <c r="D268" s="15">
        <v>233000000</v>
      </c>
      <c r="E268" s="15">
        <f>(292.7/215.3)*233000000</f>
        <v>316763121.22619599</v>
      </c>
      <c r="F268" s="10">
        <f t="shared" si="41"/>
        <v>42.2</v>
      </c>
      <c r="G268" s="5">
        <f>4094/16</f>
        <v>255.875</v>
      </c>
      <c r="H268" s="4" t="s">
        <v>1</v>
      </c>
      <c r="I268" s="1">
        <f t="shared" si="42"/>
        <v>0</v>
      </c>
      <c r="J268" s="1" t="s">
        <v>1</v>
      </c>
      <c r="K268" s="1">
        <f t="shared" si="43"/>
        <v>0</v>
      </c>
      <c r="L268" s="1" t="s">
        <v>1</v>
      </c>
      <c r="M268" s="1">
        <f t="shared" si="44"/>
        <v>0</v>
      </c>
      <c r="N268" s="1" t="s">
        <v>1</v>
      </c>
      <c r="O268" s="8">
        <v>0.502</v>
      </c>
      <c r="P268" s="7">
        <v>0.68</v>
      </c>
      <c r="Q268" s="3">
        <v>0.75</v>
      </c>
      <c r="R268" s="10">
        <f t="shared" si="45"/>
        <v>5</v>
      </c>
      <c r="S268" s="13">
        <v>23.6</v>
      </c>
      <c r="T268" s="13">
        <v>18.600000000000001</v>
      </c>
      <c r="U268" s="10">
        <v>26</v>
      </c>
      <c r="V268" s="10">
        <v>17</v>
      </c>
      <c r="W268" s="10">
        <f t="shared" si="46"/>
        <v>9</v>
      </c>
      <c r="X268" s="9" t="s">
        <v>2</v>
      </c>
      <c r="Y268" s="11">
        <f t="shared" si="47"/>
        <v>1</v>
      </c>
      <c r="Z268" s="14">
        <v>4</v>
      </c>
    </row>
    <row r="269" spans="1:26" x14ac:dyDescent="0.2">
      <c r="A269" s="12">
        <f t="shared" ref="A269:A279" si="48">A268+1</f>
        <v>2009</v>
      </c>
      <c r="B269" s="1" t="s">
        <v>29</v>
      </c>
      <c r="C269" s="1">
        <v>14</v>
      </c>
      <c r="D269" s="15">
        <v>248000000</v>
      </c>
      <c r="E269" s="15">
        <f>(292.7/214.5)*248000000</f>
        <v>338413053.61305362</v>
      </c>
      <c r="F269" s="10">
        <f t="shared" si="41"/>
        <v>45.2</v>
      </c>
      <c r="G269" s="5">
        <f>4515/16</f>
        <v>282.1875</v>
      </c>
      <c r="H269" s="4" t="s">
        <v>2</v>
      </c>
      <c r="I269" s="1">
        <f t="shared" si="42"/>
        <v>1</v>
      </c>
      <c r="J269" s="1" t="s">
        <v>1</v>
      </c>
      <c r="K269" s="1">
        <f t="shared" si="43"/>
        <v>0</v>
      </c>
      <c r="L269" s="1" t="s">
        <v>2</v>
      </c>
      <c r="M269" s="1">
        <f t="shared" si="44"/>
        <v>1</v>
      </c>
      <c r="N269" s="1" t="s">
        <v>1</v>
      </c>
      <c r="O269" s="8">
        <v>0.49199999999999999</v>
      </c>
      <c r="P269" s="7">
        <v>0.66</v>
      </c>
      <c r="Q269" s="3">
        <f>14/16</f>
        <v>0.875</v>
      </c>
      <c r="R269" s="10">
        <f t="shared" si="45"/>
        <v>6.8000000000000007</v>
      </c>
      <c r="S269" s="13">
        <v>26</v>
      </c>
      <c r="T269" s="13">
        <v>19.2</v>
      </c>
      <c r="U269" s="10">
        <v>26</v>
      </c>
      <c r="V269" s="10">
        <v>24</v>
      </c>
      <c r="W269" s="10">
        <f t="shared" si="46"/>
        <v>2</v>
      </c>
      <c r="X269" s="9" t="s">
        <v>2</v>
      </c>
      <c r="Y269" s="11">
        <f t="shared" si="47"/>
        <v>1</v>
      </c>
      <c r="Z269" s="14">
        <v>7</v>
      </c>
    </row>
    <row r="270" spans="1:26" x14ac:dyDescent="0.2">
      <c r="A270" s="12">
        <f t="shared" si="48"/>
        <v>2010</v>
      </c>
      <c r="B270" s="1" t="s">
        <v>29</v>
      </c>
      <c r="C270" s="1">
        <v>14</v>
      </c>
      <c r="D270" s="15">
        <v>252000000</v>
      </c>
      <c r="E270" s="15">
        <f>(292.7/218.1)*252000000</f>
        <v>338195323.24621737</v>
      </c>
      <c r="F270" s="10">
        <f t="shared" si="41"/>
        <v>51.5</v>
      </c>
      <c r="G270" s="5">
        <f>4609/16</f>
        <v>288.0625</v>
      </c>
      <c r="H270" s="4" t="s">
        <v>2</v>
      </c>
      <c r="I270" s="1">
        <f t="shared" si="42"/>
        <v>1</v>
      </c>
      <c r="J270" s="1" t="s">
        <v>1</v>
      </c>
      <c r="K270" s="1">
        <f t="shared" si="43"/>
        <v>0</v>
      </c>
      <c r="L270" s="1" t="s">
        <v>2</v>
      </c>
      <c r="M270" s="1">
        <f t="shared" si="44"/>
        <v>1</v>
      </c>
      <c r="N270" s="1" t="s">
        <v>1</v>
      </c>
      <c r="O270" s="8">
        <v>0.44600000000000001</v>
      </c>
      <c r="P270" s="7">
        <v>0.67900000000000005</v>
      </c>
      <c r="Q270" s="3">
        <f>10/16</f>
        <v>0.625</v>
      </c>
      <c r="R270" s="10">
        <f t="shared" si="45"/>
        <v>2.8999999999999986</v>
      </c>
      <c r="S270" s="13">
        <v>27.2</v>
      </c>
      <c r="T270" s="13">
        <v>24.3</v>
      </c>
      <c r="U270" s="10">
        <v>21</v>
      </c>
      <c r="V270" s="10">
        <v>25</v>
      </c>
      <c r="W270" s="10">
        <f t="shared" si="46"/>
        <v>-4</v>
      </c>
      <c r="X270" s="9" t="s">
        <v>2</v>
      </c>
      <c r="Y270" s="11">
        <f t="shared" si="47"/>
        <v>1</v>
      </c>
      <c r="Z270" s="14">
        <v>5</v>
      </c>
    </row>
    <row r="271" spans="1:26" x14ac:dyDescent="0.2">
      <c r="A271" s="12">
        <f t="shared" si="48"/>
        <v>2011</v>
      </c>
      <c r="B271" s="1" t="s">
        <v>29</v>
      </c>
      <c r="C271" s="1">
        <v>14</v>
      </c>
      <c r="D271" s="15">
        <v>268000000</v>
      </c>
      <c r="E271" s="15">
        <f>(292.7/224.9)*268000000</f>
        <v>348793241.44064027</v>
      </c>
      <c r="F271" s="10">
        <f t="shared" si="41"/>
        <v>42.099999999999994</v>
      </c>
      <c r="G271" s="5">
        <f>2995/16</f>
        <v>187.1875</v>
      </c>
      <c r="H271" s="4" t="s">
        <v>2</v>
      </c>
      <c r="I271" s="1">
        <f t="shared" si="42"/>
        <v>1</v>
      </c>
      <c r="J271" s="1" t="s">
        <v>1</v>
      </c>
      <c r="K271" s="1">
        <f t="shared" si="43"/>
        <v>0</v>
      </c>
      <c r="L271" s="1" t="s">
        <v>2</v>
      </c>
      <c r="M271" s="1">
        <f t="shared" si="44"/>
        <v>1</v>
      </c>
      <c r="N271" s="1" t="s">
        <v>1</v>
      </c>
      <c r="O271" s="8">
        <v>0.34599999999999997</v>
      </c>
      <c r="P271" s="7">
        <v>0.42099999999999999</v>
      </c>
      <c r="Q271" s="3">
        <f>2/16</f>
        <v>0.125</v>
      </c>
      <c r="R271" s="10">
        <f t="shared" si="45"/>
        <v>-11.7</v>
      </c>
      <c r="S271" s="13">
        <v>15.2</v>
      </c>
      <c r="T271" s="13">
        <v>26.9</v>
      </c>
      <c r="U271" s="10">
        <v>17</v>
      </c>
      <c r="V271" s="10">
        <v>29</v>
      </c>
      <c r="W271" s="10">
        <f t="shared" si="46"/>
        <v>-12</v>
      </c>
      <c r="X271" s="9" t="s">
        <v>1</v>
      </c>
      <c r="Y271" s="11">
        <f t="shared" si="47"/>
        <v>0</v>
      </c>
      <c r="Z271" s="14">
        <v>1</v>
      </c>
    </row>
    <row r="272" spans="1:26" x14ac:dyDescent="0.2">
      <c r="A272" s="12">
        <f t="shared" si="48"/>
        <v>2012</v>
      </c>
      <c r="B272" s="1" t="s">
        <v>29</v>
      </c>
      <c r="C272" s="1">
        <v>14</v>
      </c>
      <c r="D272" s="15">
        <v>276000000</v>
      </c>
      <c r="E272" s="15">
        <f>(292.7/229.6)*276000000</f>
        <v>351851916.37630659</v>
      </c>
      <c r="F272" s="10">
        <f t="shared" si="41"/>
        <v>46.5</v>
      </c>
      <c r="G272" s="5">
        <f>4128/16</f>
        <v>258</v>
      </c>
      <c r="H272" s="4" t="s">
        <v>2</v>
      </c>
      <c r="I272" s="1">
        <f t="shared" si="42"/>
        <v>1</v>
      </c>
      <c r="J272" s="1" t="s">
        <v>1</v>
      </c>
      <c r="K272" s="1">
        <f t="shared" si="43"/>
        <v>0</v>
      </c>
      <c r="L272" s="1" t="s">
        <v>2</v>
      </c>
      <c r="M272" s="1">
        <f t="shared" si="44"/>
        <v>1</v>
      </c>
      <c r="N272" s="1" t="s">
        <v>1</v>
      </c>
      <c r="O272" s="8">
        <v>0.42799999999999999</v>
      </c>
      <c r="P272" s="7">
        <v>0.54200000000000004</v>
      </c>
      <c r="Q272" s="3">
        <f>11/16</f>
        <v>0.6875</v>
      </c>
      <c r="R272" s="10">
        <f t="shared" si="45"/>
        <v>-1.8999999999999986</v>
      </c>
      <c r="S272" s="13">
        <v>22.3</v>
      </c>
      <c r="T272" s="13">
        <v>24.2</v>
      </c>
      <c r="U272" s="10">
        <v>15</v>
      </c>
      <c r="V272" s="10">
        <v>27</v>
      </c>
      <c r="W272" s="10">
        <f t="shared" si="46"/>
        <v>-12</v>
      </c>
      <c r="X272" s="9" t="s">
        <v>2</v>
      </c>
      <c r="Y272" s="11">
        <f t="shared" si="47"/>
        <v>1</v>
      </c>
      <c r="Z272" s="14">
        <v>3</v>
      </c>
    </row>
    <row r="273" spans="1:26" x14ac:dyDescent="0.2">
      <c r="A273" s="12">
        <f t="shared" si="48"/>
        <v>2013</v>
      </c>
      <c r="B273" s="1" t="s">
        <v>29</v>
      </c>
      <c r="C273" s="1">
        <v>14</v>
      </c>
      <c r="D273" s="15">
        <v>285000000</v>
      </c>
      <c r="E273" s="15">
        <f>(292.7/233)*285000000</f>
        <v>358023605.15021461</v>
      </c>
      <c r="F273" s="10">
        <f t="shared" si="41"/>
        <v>45.4</v>
      </c>
      <c r="G273" s="5">
        <f>3725/16</f>
        <v>232.8125</v>
      </c>
      <c r="H273" s="4" t="s">
        <v>2</v>
      </c>
      <c r="I273" s="1">
        <f t="shared" si="42"/>
        <v>1</v>
      </c>
      <c r="J273" s="1" t="s">
        <v>1</v>
      </c>
      <c r="K273" s="1">
        <f t="shared" si="43"/>
        <v>0</v>
      </c>
      <c r="L273" s="1" t="s">
        <v>2</v>
      </c>
      <c r="M273" s="1">
        <f t="shared" si="44"/>
        <v>1</v>
      </c>
      <c r="N273" s="1" t="s">
        <v>1</v>
      </c>
      <c r="O273" s="8">
        <v>0.376</v>
      </c>
      <c r="P273" s="7">
        <v>0.56000000000000005</v>
      </c>
      <c r="Q273" s="3">
        <f>11/16</f>
        <v>0.6875</v>
      </c>
      <c r="R273" s="10">
        <f t="shared" si="45"/>
        <v>3.3999999999999986</v>
      </c>
      <c r="S273" s="13">
        <v>24.4</v>
      </c>
      <c r="T273" s="13">
        <v>21</v>
      </c>
      <c r="U273" s="10">
        <v>27</v>
      </c>
      <c r="V273" s="10">
        <v>14</v>
      </c>
      <c r="W273" s="10">
        <f t="shared" si="46"/>
        <v>13</v>
      </c>
      <c r="X273" s="9" t="s">
        <v>2</v>
      </c>
      <c r="Y273" s="11">
        <f t="shared" si="47"/>
        <v>1</v>
      </c>
      <c r="Z273" s="14">
        <v>3</v>
      </c>
    </row>
    <row r="274" spans="1:26" x14ac:dyDescent="0.2">
      <c r="A274" s="12">
        <f t="shared" si="48"/>
        <v>2014</v>
      </c>
      <c r="B274" s="1" t="s">
        <v>29</v>
      </c>
      <c r="C274" s="1">
        <v>14</v>
      </c>
      <c r="D274" s="15">
        <v>321000000</v>
      </c>
      <c r="E274" s="15">
        <f>(292.7/236.7)*321000000</f>
        <v>396944233.20659059</v>
      </c>
      <c r="F274" s="10">
        <f t="shared" si="41"/>
        <v>51.7</v>
      </c>
      <c r="G274" s="5">
        <f>4894/16</f>
        <v>305.875</v>
      </c>
      <c r="H274" s="4" t="s">
        <v>2</v>
      </c>
      <c r="I274" s="1">
        <f t="shared" si="42"/>
        <v>1</v>
      </c>
      <c r="J274" s="1" t="s">
        <v>1</v>
      </c>
      <c r="K274" s="1">
        <f t="shared" si="43"/>
        <v>0</v>
      </c>
      <c r="L274" s="1" t="s">
        <v>2</v>
      </c>
      <c r="M274" s="1">
        <f t="shared" si="44"/>
        <v>1</v>
      </c>
      <c r="N274" s="1" t="s">
        <v>1</v>
      </c>
      <c r="O274" s="8">
        <v>0.41</v>
      </c>
      <c r="P274" s="7">
        <v>0.55000000000000004</v>
      </c>
      <c r="Q274" s="3">
        <f>11/16</f>
        <v>0.6875</v>
      </c>
      <c r="R274" s="10">
        <f t="shared" si="45"/>
        <v>5.5</v>
      </c>
      <c r="S274" s="13">
        <v>28.6</v>
      </c>
      <c r="T274" s="13">
        <v>23.1</v>
      </c>
      <c r="U274" s="10">
        <v>26</v>
      </c>
      <c r="V274" s="10">
        <v>31</v>
      </c>
      <c r="W274" s="10">
        <f t="shared" si="46"/>
        <v>-5</v>
      </c>
      <c r="X274" s="9" t="s">
        <v>2</v>
      </c>
      <c r="Y274" s="11">
        <f t="shared" si="47"/>
        <v>1</v>
      </c>
      <c r="Z274" s="14">
        <v>7</v>
      </c>
    </row>
    <row r="275" spans="1:26" x14ac:dyDescent="0.2">
      <c r="A275" s="12">
        <f t="shared" si="48"/>
        <v>2015</v>
      </c>
      <c r="B275" s="1" t="s">
        <v>29</v>
      </c>
      <c r="C275" s="1">
        <v>14</v>
      </c>
      <c r="D275" s="15">
        <v>336000000</v>
      </c>
      <c r="E275" s="15">
        <f>(292.7/237)*336000000</f>
        <v>414967088.60759491</v>
      </c>
      <c r="F275" s="10">
        <f t="shared" si="41"/>
        <v>46.3</v>
      </c>
      <c r="G275" s="5">
        <f>3704/16</f>
        <v>231.5</v>
      </c>
      <c r="H275" s="4" t="s">
        <v>2</v>
      </c>
      <c r="I275" s="1">
        <f t="shared" si="42"/>
        <v>1</v>
      </c>
      <c r="J275" s="1" t="s">
        <v>1</v>
      </c>
      <c r="K275" s="1">
        <f t="shared" si="43"/>
        <v>0</v>
      </c>
      <c r="L275" s="1" t="s">
        <v>2</v>
      </c>
      <c r="M275" s="1">
        <f t="shared" si="44"/>
        <v>1</v>
      </c>
      <c r="N275" s="1" t="s">
        <v>2</v>
      </c>
      <c r="O275" s="8">
        <v>0.4</v>
      </c>
      <c r="P275" s="7">
        <v>0.53100000000000003</v>
      </c>
      <c r="Q275" s="3">
        <v>0.5</v>
      </c>
      <c r="R275" s="10">
        <f t="shared" si="45"/>
        <v>-4.6999999999999993</v>
      </c>
      <c r="S275" s="13">
        <v>20.8</v>
      </c>
      <c r="T275" s="13">
        <v>25.5</v>
      </c>
      <c r="U275" s="10">
        <v>25</v>
      </c>
      <c r="V275" s="10">
        <v>30</v>
      </c>
      <c r="W275" s="10">
        <f t="shared" si="46"/>
        <v>-5</v>
      </c>
      <c r="X275" s="9" t="s">
        <v>1</v>
      </c>
      <c r="Y275" s="11">
        <f t="shared" si="47"/>
        <v>0</v>
      </c>
      <c r="Z275" s="14">
        <v>3</v>
      </c>
    </row>
    <row r="276" spans="1:26" x14ac:dyDescent="0.2">
      <c r="A276" s="12">
        <f t="shared" si="48"/>
        <v>2016</v>
      </c>
      <c r="B276" s="1" t="s">
        <v>29</v>
      </c>
      <c r="C276" s="1">
        <v>14</v>
      </c>
      <c r="D276" s="15">
        <v>360000000</v>
      </c>
      <c r="E276" s="15">
        <f>(292.7/240)*360000000</f>
        <v>439049999.99999994</v>
      </c>
      <c r="F276" s="10">
        <f t="shared" si="41"/>
        <v>50.2</v>
      </c>
      <c r="G276" s="5">
        <f>4202/16</f>
        <v>262.625</v>
      </c>
      <c r="H276" s="4" t="s">
        <v>2</v>
      </c>
      <c r="I276" s="1">
        <f t="shared" si="42"/>
        <v>1</v>
      </c>
      <c r="J276" s="1" t="s">
        <v>1</v>
      </c>
      <c r="K276" s="1">
        <f t="shared" si="43"/>
        <v>0</v>
      </c>
      <c r="L276" s="1" t="s">
        <v>2</v>
      </c>
      <c r="M276" s="1">
        <f t="shared" si="44"/>
        <v>1</v>
      </c>
      <c r="N276" s="1" t="s">
        <v>2</v>
      </c>
      <c r="O276" s="8">
        <v>0.43099999999999999</v>
      </c>
      <c r="P276" s="7">
        <v>0.66</v>
      </c>
      <c r="Q276" s="3">
        <v>0.5</v>
      </c>
      <c r="R276" s="10">
        <f t="shared" si="45"/>
        <v>1.1999999999999993</v>
      </c>
      <c r="S276" s="13">
        <v>25.7</v>
      </c>
      <c r="T276" s="13">
        <v>24.5</v>
      </c>
      <c r="U276" s="10">
        <v>17</v>
      </c>
      <c r="V276" s="10">
        <v>22</v>
      </c>
      <c r="W276" s="10">
        <f t="shared" si="46"/>
        <v>-5</v>
      </c>
      <c r="X276" s="9" t="s">
        <v>1</v>
      </c>
      <c r="Y276" s="11">
        <f t="shared" si="47"/>
        <v>0</v>
      </c>
      <c r="Z276" s="14">
        <v>2</v>
      </c>
    </row>
    <row r="277" spans="1:26" x14ac:dyDescent="0.2">
      <c r="A277" s="12">
        <f t="shared" si="48"/>
        <v>2017</v>
      </c>
      <c r="B277" s="1" t="s">
        <v>29</v>
      </c>
      <c r="C277" s="1">
        <v>14</v>
      </c>
      <c r="D277" s="15">
        <v>373000000</v>
      </c>
      <c r="E277" s="15">
        <f>(292.7/245.1)*373000000</f>
        <v>445439004.48796409</v>
      </c>
      <c r="F277" s="10">
        <f t="shared" si="41"/>
        <v>41.7</v>
      </c>
      <c r="G277" s="5">
        <f>2892/16</f>
        <v>180.75</v>
      </c>
      <c r="H277" s="4" t="s">
        <v>2</v>
      </c>
      <c r="I277" s="1">
        <f t="shared" si="42"/>
        <v>1</v>
      </c>
      <c r="J277" s="1" t="s">
        <v>1</v>
      </c>
      <c r="K277" s="1">
        <f t="shared" si="43"/>
        <v>0</v>
      </c>
      <c r="L277" s="1" t="s">
        <v>2</v>
      </c>
      <c r="M277" s="1">
        <f t="shared" si="44"/>
        <v>1</v>
      </c>
      <c r="N277" s="1" t="s">
        <v>2</v>
      </c>
      <c r="O277" s="8">
        <v>0.38200000000000001</v>
      </c>
      <c r="P277" s="7">
        <v>0.4</v>
      </c>
      <c r="Q277" s="3">
        <v>0.25</v>
      </c>
      <c r="R277" s="10">
        <f t="shared" si="45"/>
        <v>-8.9000000000000021</v>
      </c>
      <c r="S277" s="13">
        <v>16.399999999999999</v>
      </c>
      <c r="T277" s="13">
        <v>25.3</v>
      </c>
      <c r="U277" s="10">
        <v>20</v>
      </c>
      <c r="V277" s="10">
        <v>15</v>
      </c>
      <c r="W277" s="10">
        <f t="shared" si="46"/>
        <v>5</v>
      </c>
      <c r="X277" s="9" t="s">
        <v>1</v>
      </c>
      <c r="Y277" s="11">
        <f t="shared" si="47"/>
        <v>0</v>
      </c>
      <c r="Z277" s="14">
        <v>2</v>
      </c>
    </row>
    <row r="278" spans="1:26" x14ac:dyDescent="0.2">
      <c r="A278" s="12">
        <f t="shared" si="48"/>
        <v>2018</v>
      </c>
      <c r="B278" s="1" t="s">
        <v>29</v>
      </c>
      <c r="C278" s="1">
        <v>14</v>
      </c>
      <c r="D278" s="15">
        <v>393000000</v>
      </c>
      <c r="E278" s="15">
        <f>(292.7/251.1)*393000000</f>
        <v>458108721.62485069</v>
      </c>
      <c r="F278" s="10">
        <f t="shared" si="41"/>
        <v>48.6</v>
      </c>
      <c r="G278" s="5">
        <f>4461/16</f>
        <v>278.8125</v>
      </c>
      <c r="H278" s="4" t="s">
        <v>1</v>
      </c>
      <c r="I278" s="1">
        <f t="shared" si="42"/>
        <v>0</v>
      </c>
      <c r="J278" s="1" t="s">
        <v>2</v>
      </c>
      <c r="K278" s="1">
        <f t="shared" si="43"/>
        <v>1</v>
      </c>
      <c r="L278" s="1" t="s">
        <v>2</v>
      </c>
      <c r="M278" s="1">
        <f t="shared" si="44"/>
        <v>1</v>
      </c>
      <c r="N278" s="1" t="s">
        <v>2</v>
      </c>
      <c r="O278" s="8">
        <v>0.48599999999999999</v>
      </c>
      <c r="P278" s="7">
        <v>0.68799999999999994</v>
      </c>
      <c r="Q278" s="3">
        <f>10/16</f>
        <v>0.625</v>
      </c>
      <c r="R278" s="10">
        <f t="shared" si="45"/>
        <v>5.6000000000000014</v>
      </c>
      <c r="S278" s="13">
        <v>27.1</v>
      </c>
      <c r="T278" s="13">
        <v>21.5</v>
      </c>
      <c r="U278" s="10">
        <v>26</v>
      </c>
      <c r="V278" s="10">
        <v>24</v>
      </c>
      <c r="W278" s="10">
        <f t="shared" si="46"/>
        <v>2</v>
      </c>
      <c r="X278" s="9" t="s">
        <v>2</v>
      </c>
      <c r="Y278" s="11">
        <f t="shared" si="47"/>
        <v>1</v>
      </c>
      <c r="Z278" s="14">
        <v>4</v>
      </c>
    </row>
    <row r="279" spans="1:26" x14ac:dyDescent="0.2">
      <c r="A279" s="12">
        <f t="shared" si="48"/>
        <v>2019</v>
      </c>
      <c r="B279" s="1" t="s">
        <v>29</v>
      </c>
      <c r="C279" s="1">
        <v>14</v>
      </c>
      <c r="D279" s="15">
        <v>426000000</v>
      </c>
      <c r="E279" s="15">
        <f>(292.7/255.7)*426000000</f>
        <v>487642549.86312091</v>
      </c>
      <c r="F279" s="10">
        <f t="shared" si="41"/>
        <v>45.900000000000006</v>
      </c>
      <c r="G279" s="5">
        <f>3108/16</f>
        <v>194.25</v>
      </c>
      <c r="H279" s="4" t="s">
        <v>1</v>
      </c>
      <c r="I279" s="1">
        <f t="shared" si="42"/>
        <v>0</v>
      </c>
      <c r="J279" s="1" t="s">
        <v>2</v>
      </c>
      <c r="K279" s="1">
        <f t="shared" si="43"/>
        <v>1</v>
      </c>
      <c r="L279" s="1" t="s">
        <v>2</v>
      </c>
      <c r="M279" s="1">
        <f t="shared" si="44"/>
        <v>1</v>
      </c>
      <c r="N279" s="1" t="s">
        <v>2</v>
      </c>
      <c r="O279" s="8">
        <v>0.41499999999999998</v>
      </c>
      <c r="P279" s="7">
        <v>0.64300000000000002</v>
      </c>
      <c r="Q279" s="3">
        <f>7/16</f>
        <v>0.4375</v>
      </c>
      <c r="R279" s="10">
        <f t="shared" si="45"/>
        <v>-0.69999999999999929</v>
      </c>
      <c r="S279" s="13">
        <v>22.6</v>
      </c>
      <c r="T279" s="13">
        <v>23.3</v>
      </c>
      <c r="U279" s="10">
        <v>23</v>
      </c>
      <c r="V279" s="10">
        <v>21</v>
      </c>
      <c r="W279" s="10">
        <f t="shared" si="46"/>
        <v>2</v>
      </c>
      <c r="X279" s="9" t="s">
        <v>1</v>
      </c>
      <c r="Y279" s="11">
        <f t="shared" si="47"/>
        <v>0</v>
      </c>
      <c r="Z279" s="14">
        <v>4</v>
      </c>
    </row>
    <row r="280" spans="1:26" x14ac:dyDescent="0.2">
      <c r="A280" s="12">
        <v>2021</v>
      </c>
      <c r="B280" s="1" t="s">
        <v>29</v>
      </c>
      <c r="C280" s="1">
        <v>14</v>
      </c>
      <c r="D280" s="15">
        <v>484000000</v>
      </c>
      <c r="E280" s="15">
        <f>(292.7/271)*484000000</f>
        <v>522755719.55719554</v>
      </c>
      <c r="F280" s="10">
        <f t="shared" si="41"/>
        <v>48</v>
      </c>
      <c r="G280" s="5">
        <f>3361/17</f>
        <v>197.70588235294119</v>
      </c>
      <c r="H280" s="4" t="s">
        <v>1</v>
      </c>
      <c r="I280" s="1">
        <f t="shared" si="42"/>
        <v>0</v>
      </c>
      <c r="J280" s="1" t="s">
        <v>2</v>
      </c>
      <c r="K280" s="1">
        <f t="shared" si="43"/>
        <v>1</v>
      </c>
      <c r="L280" s="1" t="s">
        <v>2</v>
      </c>
      <c r="M280" s="1">
        <f t="shared" si="44"/>
        <v>1</v>
      </c>
      <c r="N280" s="1" t="s">
        <v>2</v>
      </c>
      <c r="O280" s="8">
        <v>0.41</v>
      </c>
      <c r="P280" s="7">
        <v>0.56299999999999994</v>
      </c>
      <c r="Q280" s="3">
        <f>9/17</f>
        <v>0.52941176470588236</v>
      </c>
      <c r="R280" s="10">
        <f t="shared" si="45"/>
        <v>5</v>
      </c>
      <c r="S280" s="13">
        <v>26.5</v>
      </c>
      <c r="T280" s="13">
        <v>21.5</v>
      </c>
      <c r="U280" s="10">
        <v>33</v>
      </c>
      <c r="V280" s="10">
        <v>19</v>
      </c>
      <c r="W280" s="10">
        <f t="shared" si="46"/>
        <v>14</v>
      </c>
      <c r="X280" s="9" t="s">
        <v>1</v>
      </c>
      <c r="Y280" s="11">
        <f t="shared" si="47"/>
        <v>0</v>
      </c>
      <c r="Z280" s="14">
        <v>7</v>
      </c>
    </row>
    <row r="281" spans="1:26" x14ac:dyDescent="0.2">
      <c r="A281" s="12">
        <f>A280+1</f>
        <v>2022</v>
      </c>
      <c r="B281" s="1" t="s">
        <v>29</v>
      </c>
      <c r="C281" s="1">
        <v>14</v>
      </c>
      <c r="D281" s="15">
        <v>545000000</v>
      </c>
      <c r="E281" s="15">
        <f>(292.7/292.7)*545000000</f>
        <v>545000000</v>
      </c>
      <c r="F281" s="10">
        <f t="shared" si="41"/>
        <v>42.1</v>
      </c>
      <c r="G281" s="5">
        <f>3432/17</f>
        <v>201.88235294117646</v>
      </c>
      <c r="H281" s="4" t="s">
        <v>1</v>
      </c>
      <c r="I281" s="1">
        <f t="shared" si="42"/>
        <v>0</v>
      </c>
      <c r="J281" s="1" t="s">
        <v>2</v>
      </c>
      <c r="K281" s="1">
        <f t="shared" si="43"/>
        <v>1</v>
      </c>
      <c r="L281" s="1" t="s">
        <v>2</v>
      </c>
      <c r="M281" s="1">
        <f t="shared" si="44"/>
        <v>1</v>
      </c>
      <c r="N281" s="1" t="s">
        <v>2</v>
      </c>
      <c r="O281" s="8">
        <v>0.32900000000000001</v>
      </c>
      <c r="P281" s="7">
        <v>0.45800000000000002</v>
      </c>
      <c r="Q281" s="3">
        <f>4.5/17</f>
        <v>0.26470588235294118</v>
      </c>
      <c r="R281" s="10">
        <f t="shared" si="45"/>
        <v>-8.1000000000000014</v>
      </c>
      <c r="S281" s="13">
        <v>17</v>
      </c>
      <c r="T281" s="13">
        <v>25.1</v>
      </c>
      <c r="U281" s="10">
        <v>21</v>
      </c>
      <c r="V281" s="10">
        <v>34</v>
      </c>
      <c r="W281" s="10">
        <f t="shared" si="46"/>
        <v>-13</v>
      </c>
      <c r="X281" s="9" t="s">
        <v>1</v>
      </c>
      <c r="Y281" s="11">
        <f t="shared" si="47"/>
        <v>0</v>
      </c>
      <c r="Z281" s="14">
        <v>2</v>
      </c>
    </row>
    <row r="282" spans="1:26" x14ac:dyDescent="0.2">
      <c r="A282" s="12">
        <v>2002</v>
      </c>
      <c r="B282" s="1" t="s">
        <v>30</v>
      </c>
      <c r="C282" s="1">
        <v>15</v>
      </c>
      <c r="D282" s="15">
        <v>142000000</v>
      </c>
      <c r="E282" s="15">
        <f>(292.7/179.9)*142000000</f>
        <v>231036131.1839911</v>
      </c>
      <c r="F282" s="10">
        <f t="shared" si="41"/>
        <v>40.200000000000003</v>
      </c>
      <c r="G282" s="5">
        <f>2762/16</f>
        <v>172.625</v>
      </c>
      <c r="H282" s="4" t="s">
        <v>1</v>
      </c>
      <c r="I282" s="1">
        <f t="shared" si="42"/>
        <v>0</v>
      </c>
      <c r="J282" s="1" t="s">
        <v>1</v>
      </c>
      <c r="K282" s="1">
        <f t="shared" si="43"/>
        <v>0</v>
      </c>
      <c r="L282" s="1" t="s">
        <v>1</v>
      </c>
      <c r="M282" s="1">
        <f t="shared" si="44"/>
        <v>0</v>
      </c>
      <c r="N282" s="1" t="s">
        <v>1</v>
      </c>
      <c r="O282" s="8">
        <v>0.34300000000000003</v>
      </c>
      <c r="P282" s="7">
        <v>0.54900000000000004</v>
      </c>
      <c r="Q282" s="3">
        <f>6/16</f>
        <v>0.375</v>
      </c>
      <c r="R282" s="10">
        <f t="shared" si="45"/>
        <v>0.80000000000000071</v>
      </c>
      <c r="S282" s="13">
        <v>20.5</v>
      </c>
      <c r="T282" s="13">
        <v>19.7</v>
      </c>
      <c r="U282" s="10">
        <v>27</v>
      </c>
      <c r="V282" s="10">
        <v>15</v>
      </c>
      <c r="W282" s="10">
        <f t="shared" si="46"/>
        <v>12</v>
      </c>
      <c r="X282" s="9" t="s">
        <v>1</v>
      </c>
      <c r="Y282" s="11">
        <f t="shared" si="47"/>
        <v>0</v>
      </c>
      <c r="Z282" s="14">
        <v>1</v>
      </c>
    </row>
    <row r="283" spans="1:26" x14ac:dyDescent="0.2">
      <c r="A283" s="12">
        <f>A282+1</f>
        <v>2003</v>
      </c>
      <c r="B283" s="1" t="s">
        <v>30</v>
      </c>
      <c r="C283" s="1">
        <v>15</v>
      </c>
      <c r="D283" s="15">
        <v>153000000</v>
      </c>
      <c r="E283" s="15">
        <f>(292.7/184)*153000000</f>
        <v>243386413.04347825</v>
      </c>
      <c r="F283" s="10">
        <f t="shared" si="41"/>
        <v>38</v>
      </c>
      <c r="G283" s="5">
        <f>3285/16</f>
        <v>205.3125</v>
      </c>
      <c r="H283" s="4" t="s">
        <v>1</v>
      </c>
      <c r="I283" s="1">
        <f t="shared" si="42"/>
        <v>0</v>
      </c>
      <c r="J283" s="1" t="s">
        <v>1</v>
      </c>
      <c r="K283" s="1">
        <f t="shared" si="43"/>
        <v>0</v>
      </c>
      <c r="L283" s="1" t="s">
        <v>1</v>
      </c>
      <c r="M283" s="1">
        <f t="shared" si="44"/>
        <v>0</v>
      </c>
      <c r="N283" s="1" t="s">
        <v>1</v>
      </c>
      <c r="O283" s="8">
        <v>0.37</v>
      </c>
      <c r="P283" s="7">
        <v>0.44400000000000001</v>
      </c>
      <c r="Q283" s="3">
        <f>5/16</f>
        <v>0.3125</v>
      </c>
      <c r="R283" s="10">
        <f t="shared" si="45"/>
        <v>-3.3999999999999986</v>
      </c>
      <c r="S283" s="13">
        <v>17.3</v>
      </c>
      <c r="T283" s="13">
        <v>20.7</v>
      </c>
      <c r="U283" s="10">
        <v>27</v>
      </c>
      <c r="V283" s="10">
        <v>31</v>
      </c>
      <c r="W283" s="10">
        <f t="shared" si="46"/>
        <v>-4</v>
      </c>
      <c r="X283" s="9" t="s">
        <v>1</v>
      </c>
      <c r="Y283" s="11">
        <f t="shared" si="47"/>
        <v>0</v>
      </c>
      <c r="Z283" s="14">
        <v>1</v>
      </c>
    </row>
    <row r="284" spans="1:26" x14ac:dyDescent="0.2">
      <c r="A284" s="12">
        <f>A283+1</f>
        <v>2004</v>
      </c>
      <c r="B284" s="1" t="s">
        <v>30</v>
      </c>
      <c r="C284" s="1">
        <v>15</v>
      </c>
      <c r="D284" s="15">
        <v>169000000</v>
      </c>
      <c r="E284" s="15">
        <f>(292.7/188.9)*169000000</f>
        <v>261865007.94070935</v>
      </c>
      <c r="F284" s="10">
        <f t="shared" si="41"/>
        <v>33.799999999999997</v>
      </c>
      <c r="G284" s="5">
        <f>3159/16</f>
        <v>197.4375</v>
      </c>
      <c r="H284" s="4" t="s">
        <v>1</v>
      </c>
      <c r="I284" s="1">
        <f t="shared" si="42"/>
        <v>0</v>
      </c>
      <c r="J284" s="1" t="s">
        <v>1</v>
      </c>
      <c r="K284" s="1">
        <f t="shared" si="43"/>
        <v>0</v>
      </c>
      <c r="L284" s="1" t="s">
        <v>1</v>
      </c>
      <c r="M284" s="1">
        <f t="shared" si="44"/>
        <v>0</v>
      </c>
      <c r="N284" s="1" t="s">
        <v>1</v>
      </c>
      <c r="O284" s="8">
        <v>0.36899999999999999</v>
      </c>
      <c r="P284" s="7">
        <v>0.42199999999999999</v>
      </c>
      <c r="Q284" s="3">
        <f>9/16</f>
        <v>0.5625</v>
      </c>
      <c r="R284" s="10">
        <f t="shared" si="45"/>
        <v>-1.1999999999999993</v>
      </c>
      <c r="S284" s="13">
        <v>16.3</v>
      </c>
      <c r="T284" s="13">
        <v>17.5</v>
      </c>
      <c r="U284" s="10">
        <v>28</v>
      </c>
      <c r="V284" s="10">
        <v>22</v>
      </c>
      <c r="W284" s="10">
        <f t="shared" si="46"/>
        <v>6</v>
      </c>
      <c r="X284" s="9" t="s">
        <v>1</v>
      </c>
      <c r="Y284" s="11">
        <f t="shared" si="47"/>
        <v>0</v>
      </c>
      <c r="Z284" s="14">
        <v>2</v>
      </c>
    </row>
    <row r="285" spans="1:26" x14ac:dyDescent="0.2">
      <c r="A285" s="12">
        <f>A284+1</f>
        <v>2005</v>
      </c>
      <c r="B285" s="1" t="s">
        <v>30</v>
      </c>
      <c r="C285" s="1">
        <v>15</v>
      </c>
      <c r="D285" s="15">
        <v>173000000</v>
      </c>
      <c r="E285" s="15">
        <f>(292.7/195.3)*173000000</f>
        <v>259278545.82693288</v>
      </c>
      <c r="F285" s="10">
        <f t="shared" si="41"/>
        <v>39.400000000000006</v>
      </c>
      <c r="G285" s="5">
        <f>3190/16</f>
        <v>199.375</v>
      </c>
      <c r="H285" s="4" t="s">
        <v>1</v>
      </c>
      <c r="I285" s="1">
        <f t="shared" si="42"/>
        <v>0</v>
      </c>
      <c r="J285" s="1" t="s">
        <v>1</v>
      </c>
      <c r="K285" s="1">
        <f t="shared" si="43"/>
        <v>0</v>
      </c>
      <c r="L285" s="1" t="s">
        <v>1</v>
      </c>
      <c r="M285" s="1">
        <f t="shared" si="44"/>
        <v>0</v>
      </c>
      <c r="N285" s="1" t="s">
        <v>1</v>
      </c>
      <c r="O285" s="8">
        <v>0.41299999999999998</v>
      </c>
      <c r="P285" s="7">
        <v>0.59199999999999997</v>
      </c>
      <c r="Q285" s="3">
        <f>12/16</f>
        <v>0.75</v>
      </c>
      <c r="R285" s="10">
        <f t="shared" si="45"/>
        <v>5.8000000000000007</v>
      </c>
      <c r="S285" s="13">
        <v>22.6</v>
      </c>
      <c r="T285" s="13">
        <v>16.8</v>
      </c>
      <c r="U285" s="10">
        <v>28</v>
      </c>
      <c r="V285" s="10">
        <v>17</v>
      </c>
      <c r="W285" s="10">
        <f t="shared" si="46"/>
        <v>11</v>
      </c>
      <c r="X285" s="9" t="s">
        <v>2</v>
      </c>
      <c r="Y285" s="11">
        <f t="shared" si="47"/>
        <v>1</v>
      </c>
      <c r="Z285" s="14">
        <v>1</v>
      </c>
    </row>
    <row r="286" spans="1:26" x14ac:dyDescent="0.2">
      <c r="A286" s="12">
        <f>A285+1</f>
        <v>2006</v>
      </c>
      <c r="B286" s="1" t="s">
        <v>30</v>
      </c>
      <c r="C286" s="1">
        <v>15</v>
      </c>
      <c r="D286" s="15">
        <v>189000000</v>
      </c>
      <c r="E286" s="15">
        <f>(292.7/201.6)*189000000</f>
        <v>274406250</v>
      </c>
      <c r="F286" s="10">
        <f t="shared" si="41"/>
        <v>40.299999999999997</v>
      </c>
      <c r="G286" s="5">
        <f>2882/16</f>
        <v>180.125</v>
      </c>
      <c r="H286" s="4" t="s">
        <v>1</v>
      </c>
      <c r="I286" s="1">
        <f t="shared" si="42"/>
        <v>0</v>
      </c>
      <c r="J286" s="1" t="s">
        <v>1</v>
      </c>
      <c r="K286" s="1">
        <f t="shared" si="43"/>
        <v>0</v>
      </c>
      <c r="L286" s="1" t="s">
        <v>1</v>
      </c>
      <c r="M286" s="1">
        <f t="shared" si="44"/>
        <v>0</v>
      </c>
      <c r="N286" s="1" t="s">
        <v>1</v>
      </c>
      <c r="O286" s="8">
        <v>0.39200000000000002</v>
      </c>
      <c r="P286" s="7">
        <v>0.57699999999999996</v>
      </c>
      <c r="Q286" s="3">
        <f>8/16</f>
        <v>0.5</v>
      </c>
      <c r="R286" s="10">
        <f t="shared" si="45"/>
        <v>6.0999999999999979</v>
      </c>
      <c r="S286" s="13">
        <v>23.2</v>
      </c>
      <c r="T286" s="13">
        <v>17.100000000000001</v>
      </c>
      <c r="U286" s="10">
        <v>24</v>
      </c>
      <c r="V286" s="10">
        <v>23</v>
      </c>
      <c r="W286" s="10">
        <f t="shared" si="46"/>
        <v>1</v>
      </c>
      <c r="X286" s="9" t="s">
        <v>1</v>
      </c>
      <c r="Y286" s="11">
        <f t="shared" si="47"/>
        <v>0</v>
      </c>
      <c r="Z286" s="14">
        <v>2</v>
      </c>
    </row>
    <row r="287" spans="1:26" x14ac:dyDescent="0.2">
      <c r="A287" s="12">
        <f>A286+1</f>
        <v>2007</v>
      </c>
      <c r="B287" s="1" t="s">
        <v>30</v>
      </c>
      <c r="C287" s="1">
        <v>15</v>
      </c>
      <c r="D287" s="15">
        <v>204000000</v>
      </c>
      <c r="E287" s="15">
        <f>(292.7/207.3)*204000000</f>
        <v>288040520.98408103</v>
      </c>
      <c r="F287" s="10">
        <f t="shared" si="41"/>
        <v>44.7</v>
      </c>
      <c r="G287" s="5">
        <f>3328/16</f>
        <v>208</v>
      </c>
      <c r="H287" s="4" t="s">
        <v>1</v>
      </c>
      <c r="I287" s="1">
        <f t="shared" si="42"/>
        <v>0</v>
      </c>
      <c r="J287" s="1" t="s">
        <v>1</v>
      </c>
      <c r="K287" s="1">
        <f t="shared" si="43"/>
        <v>0</v>
      </c>
      <c r="L287" s="1" t="s">
        <v>1</v>
      </c>
      <c r="M287" s="1">
        <f t="shared" si="44"/>
        <v>0</v>
      </c>
      <c r="N287" s="1" t="s">
        <v>1</v>
      </c>
      <c r="O287" s="8">
        <v>0.45700000000000002</v>
      </c>
      <c r="P287" s="7">
        <v>0.56899999999999995</v>
      </c>
      <c r="Q287" s="3">
        <f>11/16</f>
        <v>0.6875</v>
      </c>
      <c r="R287" s="10">
        <f t="shared" si="45"/>
        <v>6.6999999999999993</v>
      </c>
      <c r="S287" s="13">
        <v>25.7</v>
      </c>
      <c r="T287" s="13">
        <v>19</v>
      </c>
      <c r="U287" s="10">
        <v>30</v>
      </c>
      <c r="V287" s="10">
        <v>21</v>
      </c>
      <c r="W287" s="10">
        <f t="shared" si="46"/>
        <v>9</v>
      </c>
      <c r="X287" s="9" t="s">
        <v>2</v>
      </c>
      <c r="Y287" s="11">
        <f t="shared" si="47"/>
        <v>1</v>
      </c>
      <c r="Z287" s="14">
        <v>1</v>
      </c>
    </row>
    <row r="288" spans="1:26" x14ac:dyDescent="0.2">
      <c r="A288" s="12">
        <v>2008</v>
      </c>
      <c r="B288" s="1" t="s">
        <v>30</v>
      </c>
      <c r="C288" s="1">
        <v>15</v>
      </c>
      <c r="D288" s="15">
        <v>217000000</v>
      </c>
      <c r="E288" s="15">
        <f>(292.7/215.3)*217000000</f>
        <v>295011147.23641431</v>
      </c>
      <c r="F288" s="10">
        <f t="shared" si="41"/>
        <v>41.8</v>
      </c>
      <c r="G288" s="5">
        <f>3332/16</f>
        <v>208.25</v>
      </c>
      <c r="H288" s="4" t="s">
        <v>1</v>
      </c>
      <c r="I288" s="1">
        <f t="shared" si="42"/>
        <v>0</v>
      </c>
      <c r="J288" s="1" t="s">
        <v>1</v>
      </c>
      <c r="K288" s="1">
        <f t="shared" si="43"/>
        <v>0</v>
      </c>
      <c r="L288" s="1" t="s">
        <v>1</v>
      </c>
      <c r="M288" s="1">
        <f t="shared" si="44"/>
        <v>0</v>
      </c>
      <c r="N288" s="1" t="s">
        <v>1</v>
      </c>
      <c r="O288" s="8">
        <v>0.40799999999999997</v>
      </c>
      <c r="P288" s="7">
        <v>0.55600000000000005</v>
      </c>
      <c r="Q288" s="3">
        <f>5/16</f>
        <v>0.3125</v>
      </c>
      <c r="R288" s="10">
        <f t="shared" si="45"/>
        <v>-4</v>
      </c>
      <c r="S288" s="13">
        <v>18.899999999999999</v>
      </c>
      <c r="T288" s="13">
        <v>22.9</v>
      </c>
      <c r="U288" s="10">
        <v>17</v>
      </c>
      <c r="V288" s="10">
        <v>24</v>
      </c>
      <c r="W288" s="10">
        <f t="shared" si="46"/>
        <v>-7</v>
      </c>
      <c r="X288" s="9" t="s">
        <v>1</v>
      </c>
      <c r="Y288" s="11">
        <f t="shared" si="47"/>
        <v>0</v>
      </c>
      <c r="Z288" s="14">
        <v>0</v>
      </c>
    </row>
    <row r="289" spans="1:26" x14ac:dyDescent="0.2">
      <c r="A289" s="12">
        <f t="shared" ref="A289:A299" si="49">A288+1</f>
        <v>2009</v>
      </c>
      <c r="B289" s="1" t="s">
        <v>30</v>
      </c>
      <c r="C289" s="1">
        <v>15</v>
      </c>
      <c r="D289" s="15">
        <v>220000000</v>
      </c>
      <c r="E289" s="15">
        <f>(292.7/214.5)*220000000</f>
        <v>300205128.20512819</v>
      </c>
      <c r="F289" s="10">
        <f t="shared" si="41"/>
        <v>41.3</v>
      </c>
      <c r="G289" s="5">
        <f>3356/16</f>
        <v>209.75</v>
      </c>
      <c r="H289" s="4" t="s">
        <v>2</v>
      </c>
      <c r="I289" s="1">
        <f t="shared" si="42"/>
        <v>1</v>
      </c>
      <c r="J289" s="1" t="s">
        <v>1</v>
      </c>
      <c r="K289" s="1">
        <f t="shared" si="43"/>
        <v>0</v>
      </c>
      <c r="L289" s="1" t="s">
        <v>2</v>
      </c>
      <c r="M289" s="1">
        <f t="shared" si="44"/>
        <v>1</v>
      </c>
      <c r="N289" s="1" t="s">
        <v>1</v>
      </c>
      <c r="O289" s="8">
        <v>0.45100000000000001</v>
      </c>
      <c r="P289" s="7">
        <v>0.51100000000000001</v>
      </c>
      <c r="Q289" s="3">
        <f>7/16</f>
        <v>0.4375</v>
      </c>
      <c r="R289" s="10">
        <f t="shared" si="45"/>
        <v>-5.0999999999999979</v>
      </c>
      <c r="S289" s="13">
        <v>18.100000000000001</v>
      </c>
      <c r="T289" s="13">
        <v>23.2</v>
      </c>
      <c r="U289" s="10">
        <v>25</v>
      </c>
      <c r="V289" s="10">
        <v>23</v>
      </c>
      <c r="W289" s="10">
        <f t="shared" si="46"/>
        <v>2</v>
      </c>
      <c r="X289" s="9" t="s">
        <v>1</v>
      </c>
      <c r="Y289" s="11">
        <f t="shared" si="47"/>
        <v>0</v>
      </c>
      <c r="Z289" s="14">
        <v>2</v>
      </c>
    </row>
    <row r="290" spans="1:26" x14ac:dyDescent="0.2">
      <c r="A290" s="12">
        <f t="shared" si="49"/>
        <v>2010</v>
      </c>
      <c r="B290" s="1" t="s">
        <v>30</v>
      </c>
      <c r="C290" s="1">
        <v>15</v>
      </c>
      <c r="D290" s="15">
        <v>236000000</v>
      </c>
      <c r="E290" s="15">
        <f>(292.7/218.1)*236000000</f>
        <v>316722604.30994958</v>
      </c>
      <c r="F290" s="10">
        <f t="shared" si="41"/>
        <v>48.3</v>
      </c>
      <c r="G290" s="5">
        <f>3065/16</f>
        <v>191.5625</v>
      </c>
      <c r="H290" s="4" t="s">
        <v>2</v>
      </c>
      <c r="I290" s="1">
        <f t="shared" si="42"/>
        <v>1</v>
      </c>
      <c r="J290" s="1" t="s">
        <v>1</v>
      </c>
      <c r="K290" s="1">
        <f t="shared" si="43"/>
        <v>0</v>
      </c>
      <c r="L290" s="1" t="s">
        <v>2</v>
      </c>
      <c r="M290" s="1">
        <f t="shared" si="44"/>
        <v>1</v>
      </c>
      <c r="N290" s="1" t="s">
        <v>1</v>
      </c>
      <c r="O290" s="8">
        <v>0.39900000000000002</v>
      </c>
      <c r="P290" s="7">
        <v>0.63</v>
      </c>
      <c r="Q290" s="3">
        <v>0.5</v>
      </c>
      <c r="R290" s="10">
        <f t="shared" si="45"/>
        <v>-4.0999999999999979</v>
      </c>
      <c r="S290" s="13">
        <v>22.1</v>
      </c>
      <c r="T290" s="13">
        <v>26.2</v>
      </c>
      <c r="U290" s="10">
        <v>18</v>
      </c>
      <c r="V290" s="10">
        <v>33</v>
      </c>
      <c r="W290" s="10">
        <f t="shared" si="46"/>
        <v>-15</v>
      </c>
      <c r="X290" s="9" t="s">
        <v>1</v>
      </c>
      <c r="Y290" s="11">
        <f t="shared" si="47"/>
        <v>0</v>
      </c>
      <c r="Z290" s="14">
        <v>3</v>
      </c>
    </row>
    <row r="291" spans="1:26" x14ac:dyDescent="0.2">
      <c r="A291" s="12">
        <f t="shared" si="49"/>
        <v>2011</v>
      </c>
      <c r="B291" s="1" t="s">
        <v>30</v>
      </c>
      <c r="C291" s="1">
        <v>15</v>
      </c>
      <c r="D291" s="15">
        <v>238000000</v>
      </c>
      <c r="E291" s="15">
        <f>(292.7/224.9)*238000000</f>
        <v>309749221.8763895</v>
      </c>
      <c r="F291" s="10">
        <f t="shared" si="41"/>
        <v>35.799999999999997</v>
      </c>
      <c r="G291" s="5">
        <f>2179/16</f>
        <v>136.1875</v>
      </c>
      <c r="H291" s="4" t="s">
        <v>2</v>
      </c>
      <c r="I291" s="1">
        <f t="shared" si="42"/>
        <v>1</v>
      </c>
      <c r="J291" s="1" t="s">
        <v>1</v>
      </c>
      <c r="K291" s="1">
        <f t="shared" si="43"/>
        <v>0</v>
      </c>
      <c r="L291" s="1" t="s">
        <v>2</v>
      </c>
      <c r="M291" s="1">
        <f t="shared" si="44"/>
        <v>1</v>
      </c>
      <c r="N291" s="1" t="s">
        <v>1</v>
      </c>
      <c r="O291" s="8">
        <v>0.33600000000000002</v>
      </c>
      <c r="P291" s="7">
        <v>0.48599999999999999</v>
      </c>
      <c r="Q291" s="3">
        <f>5/16</f>
        <v>0.3125</v>
      </c>
      <c r="R291" s="10">
        <f t="shared" si="45"/>
        <v>-5.4000000000000021</v>
      </c>
      <c r="S291" s="13">
        <v>15.2</v>
      </c>
      <c r="T291" s="13">
        <v>20.6</v>
      </c>
      <c r="U291" s="10">
        <v>28</v>
      </c>
      <c r="V291" s="10">
        <v>23</v>
      </c>
      <c r="W291" s="10">
        <f t="shared" si="46"/>
        <v>5</v>
      </c>
      <c r="X291" s="9" t="s">
        <v>1</v>
      </c>
      <c r="Y291" s="11">
        <f t="shared" si="47"/>
        <v>0</v>
      </c>
      <c r="Z291" s="14">
        <v>2</v>
      </c>
    </row>
    <row r="292" spans="1:26" x14ac:dyDescent="0.2">
      <c r="A292" s="12">
        <f t="shared" si="49"/>
        <v>2012</v>
      </c>
      <c r="B292" s="1" t="s">
        <v>30</v>
      </c>
      <c r="C292" s="1">
        <v>15</v>
      </c>
      <c r="D292" s="15">
        <v>260000000</v>
      </c>
      <c r="E292" s="15">
        <f>(292.7/229.6)*260000000</f>
        <v>331454703.83275259</v>
      </c>
      <c r="F292" s="10">
        <f t="shared" si="41"/>
        <v>43.7</v>
      </c>
      <c r="G292" s="5">
        <f>3419/16</f>
        <v>213.6875</v>
      </c>
      <c r="H292" s="4" t="s">
        <v>2</v>
      </c>
      <c r="I292" s="1">
        <f t="shared" si="42"/>
        <v>1</v>
      </c>
      <c r="J292" s="1" t="s">
        <v>1</v>
      </c>
      <c r="K292" s="1">
        <f t="shared" si="43"/>
        <v>0</v>
      </c>
      <c r="L292" s="1" t="s">
        <v>2</v>
      </c>
      <c r="M292" s="1">
        <f t="shared" si="44"/>
        <v>1</v>
      </c>
      <c r="N292" s="1" t="s">
        <v>1</v>
      </c>
      <c r="O292" s="8">
        <v>0.29599999999999999</v>
      </c>
      <c r="P292" s="7">
        <v>0.44400000000000001</v>
      </c>
      <c r="Q292" s="3">
        <f>2/16</f>
        <v>0.125</v>
      </c>
      <c r="R292" s="10">
        <f t="shared" si="45"/>
        <v>-11.9</v>
      </c>
      <c r="S292" s="13">
        <v>15.9</v>
      </c>
      <c r="T292" s="13">
        <v>27.8</v>
      </c>
      <c r="U292" s="10">
        <v>23</v>
      </c>
      <c r="V292" s="10">
        <v>26</v>
      </c>
      <c r="W292" s="10">
        <f t="shared" si="46"/>
        <v>-3</v>
      </c>
      <c r="X292" s="9" t="s">
        <v>1</v>
      </c>
      <c r="Y292" s="11">
        <f t="shared" si="47"/>
        <v>0</v>
      </c>
      <c r="Z292" s="14">
        <v>0</v>
      </c>
    </row>
    <row r="293" spans="1:26" x14ac:dyDescent="0.2">
      <c r="A293" s="12">
        <f t="shared" si="49"/>
        <v>2013</v>
      </c>
      <c r="B293" s="1" t="s">
        <v>30</v>
      </c>
      <c r="C293" s="1">
        <v>15</v>
      </c>
      <c r="D293" s="15">
        <v>263000000</v>
      </c>
      <c r="E293" s="15">
        <f>(292.7/233)*263000000</f>
        <v>330386695.27896994</v>
      </c>
      <c r="F293" s="10">
        <f t="shared" si="41"/>
        <v>43.5</v>
      </c>
      <c r="G293" s="5">
        <f>3441/16</f>
        <v>215.0625</v>
      </c>
      <c r="H293" s="4" t="s">
        <v>2</v>
      </c>
      <c r="I293" s="1">
        <f t="shared" si="42"/>
        <v>1</v>
      </c>
      <c r="J293" s="1" t="s">
        <v>1</v>
      </c>
      <c r="K293" s="1">
        <f t="shared" si="43"/>
        <v>0</v>
      </c>
      <c r="L293" s="1" t="s">
        <v>2</v>
      </c>
      <c r="M293" s="1">
        <f t="shared" si="44"/>
        <v>1</v>
      </c>
      <c r="N293" s="1" t="s">
        <v>1</v>
      </c>
      <c r="O293" s="8">
        <v>0.311</v>
      </c>
      <c r="P293" s="7">
        <v>0.439</v>
      </c>
      <c r="Q293" s="3">
        <v>0.25</v>
      </c>
      <c r="R293" s="10">
        <f t="shared" si="45"/>
        <v>-12.700000000000001</v>
      </c>
      <c r="S293" s="13">
        <v>15.4</v>
      </c>
      <c r="T293" s="13">
        <v>28.1</v>
      </c>
      <c r="U293" s="10">
        <v>21</v>
      </c>
      <c r="V293" s="10">
        <v>27</v>
      </c>
      <c r="W293" s="10">
        <f t="shared" si="46"/>
        <v>-6</v>
      </c>
      <c r="X293" s="9" t="s">
        <v>1</v>
      </c>
      <c r="Y293" s="11">
        <f t="shared" si="47"/>
        <v>0</v>
      </c>
      <c r="Z293" s="14">
        <v>1</v>
      </c>
    </row>
    <row r="294" spans="1:26" x14ac:dyDescent="0.2">
      <c r="A294" s="12">
        <f t="shared" si="49"/>
        <v>2014</v>
      </c>
      <c r="B294" s="1" t="s">
        <v>30</v>
      </c>
      <c r="C294" s="1">
        <v>15</v>
      </c>
      <c r="D294" s="15">
        <v>315000000</v>
      </c>
      <c r="E294" s="15">
        <f>(292.7/236.7)*315000000</f>
        <v>389524714.8288973</v>
      </c>
      <c r="F294" s="10">
        <f t="shared" si="41"/>
        <v>41.4</v>
      </c>
      <c r="G294" s="5">
        <f>3001/16</f>
        <v>187.5625</v>
      </c>
      <c r="H294" s="4" t="s">
        <v>2</v>
      </c>
      <c r="I294" s="1">
        <f t="shared" si="42"/>
        <v>1</v>
      </c>
      <c r="J294" s="1" t="s">
        <v>1</v>
      </c>
      <c r="K294" s="1">
        <f t="shared" si="43"/>
        <v>0</v>
      </c>
      <c r="L294" s="1" t="s">
        <v>2</v>
      </c>
      <c r="M294" s="1">
        <f t="shared" si="44"/>
        <v>1</v>
      </c>
      <c r="N294" s="1" t="s">
        <v>1</v>
      </c>
      <c r="O294" s="8">
        <v>0.31900000000000001</v>
      </c>
      <c r="P294" s="7">
        <v>0.40600000000000003</v>
      </c>
      <c r="Q294" s="3">
        <f>3/16</f>
        <v>0.1875</v>
      </c>
      <c r="R294" s="10">
        <f t="shared" si="45"/>
        <v>-10.200000000000001</v>
      </c>
      <c r="S294" s="13">
        <v>15.6</v>
      </c>
      <c r="T294" s="13">
        <v>25.8</v>
      </c>
      <c r="U294" s="10">
        <v>20</v>
      </c>
      <c r="V294" s="10">
        <v>26</v>
      </c>
      <c r="W294" s="10">
        <f t="shared" si="46"/>
        <v>-6</v>
      </c>
      <c r="X294" s="9" t="s">
        <v>1</v>
      </c>
      <c r="Y294" s="11">
        <f t="shared" si="47"/>
        <v>0</v>
      </c>
      <c r="Z294" s="14">
        <v>0</v>
      </c>
    </row>
    <row r="295" spans="1:26" x14ac:dyDescent="0.2">
      <c r="A295" s="12">
        <f t="shared" si="49"/>
        <v>2015</v>
      </c>
      <c r="B295" s="1" t="s">
        <v>30</v>
      </c>
      <c r="C295" s="1">
        <v>15</v>
      </c>
      <c r="D295" s="15">
        <v>344000000</v>
      </c>
      <c r="E295" s="15">
        <f>(292.7/237)*344000000</f>
        <v>424847257.38396627</v>
      </c>
      <c r="F295" s="10">
        <f t="shared" si="41"/>
        <v>51.5</v>
      </c>
      <c r="G295" s="5">
        <f>4108/16</f>
        <v>256.75</v>
      </c>
      <c r="H295" s="4" t="s">
        <v>2</v>
      </c>
      <c r="I295" s="1">
        <f t="shared" si="42"/>
        <v>1</v>
      </c>
      <c r="J295" s="1" t="s">
        <v>1</v>
      </c>
      <c r="K295" s="1">
        <f t="shared" si="43"/>
        <v>0</v>
      </c>
      <c r="L295" s="1" t="s">
        <v>2</v>
      </c>
      <c r="M295" s="1">
        <f t="shared" si="44"/>
        <v>1</v>
      </c>
      <c r="N295" s="1" t="s">
        <v>2</v>
      </c>
      <c r="O295" s="8">
        <v>0.35099999999999998</v>
      </c>
      <c r="P295" s="7">
        <v>0.53700000000000003</v>
      </c>
      <c r="Q295" s="3">
        <f>5/16</f>
        <v>0.3125</v>
      </c>
      <c r="R295" s="10">
        <f t="shared" si="45"/>
        <v>-4.5</v>
      </c>
      <c r="S295" s="13">
        <v>23.5</v>
      </c>
      <c r="T295" s="13">
        <v>28</v>
      </c>
      <c r="U295" s="10">
        <v>18</v>
      </c>
      <c r="V295" s="10">
        <v>28</v>
      </c>
      <c r="W295" s="10">
        <f t="shared" si="46"/>
        <v>-10</v>
      </c>
      <c r="X295" s="9" t="s">
        <v>1</v>
      </c>
      <c r="Y295" s="11">
        <f t="shared" si="47"/>
        <v>0</v>
      </c>
      <c r="Z295" s="14">
        <v>1</v>
      </c>
    </row>
    <row r="296" spans="1:26" x14ac:dyDescent="0.2">
      <c r="A296" s="12">
        <f t="shared" si="49"/>
        <v>2016</v>
      </c>
      <c r="B296" s="1" t="s">
        <v>30</v>
      </c>
      <c r="C296" s="1">
        <v>15</v>
      </c>
      <c r="D296" s="15">
        <v>377000000</v>
      </c>
      <c r="E296" s="15">
        <f>(292.7/240)*377000000</f>
        <v>459782916.66666663</v>
      </c>
      <c r="F296" s="10">
        <f t="shared" si="41"/>
        <v>44.9</v>
      </c>
      <c r="G296" s="5">
        <f>3728/16</f>
        <v>233</v>
      </c>
      <c r="H296" s="4" t="s">
        <v>2</v>
      </c>
      <c r="I296" s="1">
        <f t="shared" si="42"/>
        <v>1</v>
      </c>
      <c r="J296" s="1" t="s">
        <v>1</v>
      </c>
      <c r="K296" s="1">
        <f t="shared" si="43"/>
        <v>0</v>
      </c>
      <c r="L296" s="1" t="s">
        <v>2</v>
      </c>
      <c r="M296" s="1">
        <f t="shared" si="44"/>
        <v>1</v>
      </c>
      <c r="N296" s="1" t="s">
        <v>2</v>
      </c>
      <c r="O296" s="8">
        <v>0.35299999999999998</v>
      </c>
      <c r="P296" s="7">
        <v>0.6</v>
      </c>
      <c r="Q296" s="3">
        <f>3/16</f>
        <v>0.1875</v>
      </c>
      <c r="R296" s="10">
        <f t="shared" si="45"/>
        <v>-5.1000000000000014</v>
      </c>
      <c r="S296" s="13">
        <v>19.899999999999999</v>
      </c>
      <c r="T296" s="13">
        <v>25</v>
      </c>
      <c r="U296" s="10">
        <v>13</v>
      </c>
      <c r="V296" s="10">
        <v>29</v>
      </c>
      <c r="W296" s="10">
        <f t="shared" si="46"/>
        <v>-16</v>
      </c>
      <c r="X296" s="9" t="s">
        <v>1</v>
      </c>
      <c r="Y296" s="11">
        <f t="shared" si="47"/>
        <v>0</v>
      </c>
      <c r="Z296" s="14">
        <v>0</v>
      </c>
    </row>
    <row r="297" spans="1:26" x14ac:dyDescent="0.2">
      <c r="A297" s="12">
        <f t="shared" si="49"/>
        <v>2017</v>
      </c>
      <c r="B297" s="1" t="s">
        <v>30</v>
      </c>
      <c r="C297" s="1">
        <v>15</v>
      </c>
      <c r="D297" s="15">
        <v>391000000</v>
      </c>
      <c r="E297" s="15">
        <f>(292.7/245.1)*391000000</f>
        <v>466934720.52223581</v>
      </c>
      <c r="F297" s="10">
        <f t="shared" si="41"/>
        <v>42.900000000000006</v>
      </c>
      <c r="G297" s="5">
        <f>3593/16</f>
        <v>224.5625</v>
      </c>
      <c r="H297" s="4" t="s">
        <v>2</v>
      </c>
      <c r="I297" s="1">
        <f t="shared" si="42"/>
        <v>1</v>
      </c>
      <c r="J297" s="1" t="s">
        <v>1</v>
      </c>
      <c r="K297" s="1">
        <f t="shared" si="43"/>
        <v>0</v>
      </c>
      <c r="L297" s="1" t="s">
        <v>2</v>
      </c>
      <c r="M297" s="1">
        <f t="shared" si="44"/>
        <v>1</v>
      </c>
      <c r="N297" s="1" t="s">
        <v>2</v>
      </c>
      <c r="O297" s="8">
        <v>0.374</v>
      </c>
      <c r="P297" s="7">
        <v>0.64</v>
      </c>
      <c r="Q297" s="3">
        <f>10/16</f>
        <v>0.625</v>
      </c>
      <c r="R297" s="10">
        <f t="shared" si="45"/>
        <v>9.3000000000000007</v>
      </c>
      <c r="S297" s="13">
        <v>26.1</v>
      </c>
      <c r="T297" s="13">
        <v>16.8</v>
      </c>
      <c r="U297" s="10">
        <v>33</v>
      </c>
      <c r="V297" s="10">
        <v>23</v>
      </c>
      <c r="W297" s="10">
        <f t="shared" si="46"/>
        <v>10</v>
      </c>
      <c r="X297" s="9" t="s">
        <v>2</v>
      </c>
      <c r="Y297" s="11">
        <f t="shared" si="47"/>
        <v>1</v>
      </c>
      <c r="Z297" s="14">
        <v>6</v>
      </c>
    </row>
    <row r="298" spans="1:26" x14ac:dyDescent="0.2">
      <c r="A298" s="12">
        <f t="shared" si="49"/>
        <v>2018</v>
      </c>
      <c r="B298" s="1" t="s">
        <v>30</v>
      </c>
      <c r="C298" s="1">
        <v>15</v>
      </c>
      <c r="D298" s="15">
        <v>424000000</v>
      </c>
      <c r="E298" s="15">
        <f>(292.7/251.1)*424000000</f>
        <v>494244524.09398645</v>
      </c>
      <c r="F298" s="10">
        <f t="shared" si="41"/>
        <v>35.1</v>
      </c>
      <c r="G298" s="5">
        <f>3109/16</f>
        <v>194.3125</v>
      </c>
      <c r="H298" s="4" t="s">
        <v>1</v>
      </c>
      <c r="I298" s="1">
        <f t="shared" si="42"/>
        <v>0</v>
      </c>
      <c r="J298" s="1" t="s">
        <v>2</v>
      </c>
      <c r="K298" s="1">
        <f t="shared" si="43"/>
        <v>1</v>
      </c>
      <c r="L298" s="1" t="s">
        <v>2</v>
      </c>
      <c r="M298" s="1">
        <f t="shared" si="44"/>
        <v>1</v>
      </c>
      <c r="N298" s="1" t="s">
        <v>2</v>
      </c>
      <c r="O298" s="8">
        <v>0.40400000000000003</v>
      </c>
      <c r="P298" s="7">
        <v>0.441</v>
      </c>
      <c r="Q298" s="3">
        <f>5/16</f>
        <v>0.3125</v>
      </c>
      <c r="R298" s="10">
        <f t="shared" si="45"/>
        <v>-4.5</v>
      </c>
      <c r="S298" s="13">
        <v>15.3</v>
      </c>
      <c r="T298" s="13">
        <v>19.8</v>
      </c>
      <c r="U298" s="10">
        <v>17</v>
      </c>
      <c r="V298" s="10">
        <v>29</v>
      </c>
      <c r="W298" s="10">
        <f t="shared" si="46"/>
        <v>-12</v>
      </c>
      <c r="X298" s="9" t="s">
        <v>1</v>
      </c>
      <c r="Y298" s="11">
        <f t="shared" si="47"/>
        <v>0</v>
      </c>
      <c r="Z298" s="14">
        <v>2</v>
      </c>
    </row>
    <row r="299" spans="1:26" x14ac:dyDescent="0.2">
      <c r="A299" s="12">
        <f t="shared" si="49"/>
        <v>2019</v>
      </c>
      <c r="B299" s="1" t="s">
        <v>30</v>
      </c>
      <c r="C299" s="1">
        <v>15</v>
      </c>
      <c r="D299" s="15">
        <v>443000000</v>
      </c>
      <c r="E299" s="15">
        <f>(292.7/255.7)*443000000</f>
        <v>507102463.82479471</v>
      </c>
      <c r="F299" s="10">
        <f t="shared" si="41"/>
        <v>43.6</v>
      </c>
      <c r="G299" s="5">
        <f>3760/16</f>
        <v>235</v>
      </c>
      <c r="H299" s="4" t="s">
        <v>1</v>
      </c>
      <c r="I299" s="1">
        <f t="shared" si="42"/>
        <v>0</v>
      </c>
      <c r="J299" s="1" t="s">
        <v>2</v>
      </c>
      <c r="K299" s="1">
        <f t="shared" si="43"/>
        <v>1</v>
      </c>
      <c r="L299" s="1" t="s">
        <v>2</v>
      </c>
      <c r="M299" s="1">
        <f t="shared" si="44"/>
        <v>1</v>
      </c>
      <c r="N299" s="1" t="s">
        <v>2</v>
      </c>
      <c r="O299" s="8">
        <v>0.34499999999999997</v>
      </c>
      <c r="P299" s="7">
        <v>0.40400000000000003</v>
      </c>
      <c r="Q299" s="3">
        <f>6/16</f>
        <v>0.375</v>
      </c>
      <c r="R299" s="10">
        <f t="shared" si="45"/>
        <v>-6</v>
      </c>
      <c r="S299" s="13">
        <v>18.8</v>
      </c>
      <c r="T299" s="13">
        <v>24.8</v>
      </c>
      <c r="U299" s="10">
        <v>19</v>
      </c>
      <c r="V299" s="10">
        <v>20</v>
      </c>
      <c r="W299" s="10">
        <f t="shared" si="46"/>
        <v>-1</v>
      </c>
      <c r="X299" s="9" t="s">
        <v>1</v>
      </c>
      <c r="Y299" s="11">
        <f t="shared" si="47"/>
        <v>0</v>
      </c>
      <c r="Z299" s="14">
        <v>3</v>
      </c>
    </row>
    <row r="300" spans="1:26" x14ac:dyDescent="0.2">
      <c r="A300" s="12">
        <v>2021</v>
      </c>
      <c r="B300" s="1" t="s">
        <v>30</v>
      </c>
      <c r="C300" s="1">
        <v>15</v>
      </c>
      <c r="D300" s="15">
        <v>471000000</v>
      </c>
      <c r="E300" s="15">
        <f>(292.7/271)*471000000</f>
        <v>508714760.14760143</v>
      </c>
      <c r="F300" s="10">
        <f t="shared" si="41"/>
        <v>41.8</v>
      </c>
      <c r="G300" s="5">
        <f>3436/17</f>
        <v>202.11764705882354</v>
      </c>
      <c r="H300" s="4" t="s">
        <v>1</v>
      </c>
      <c r="I300" s="1">
        <f t="shared" si="42"/>
        <v>0</v>
      </c>
      <c r="J300" s="1" t="s">
        <v>2</v>
      </c>
      <c r="K300" s="1">
        <f t="shared" si="43"/>
        <v>1</v>
      </c>
      <c r="L300" s="1" t="s">
        <v>2</v>
      </c>
      <c r="M300" s="1">
        <f t="shared" si="44"/>
        <v>1</v>
      </c>
      <c r="N300" s="1" t="s">
        <v>2</v>
      </c>
      <c r="O300" s="8">
        <v>0.35799999999999998</v>
      </c>
      <c r="P300" s="7">
        <v>0.51300000000000001</v>
      </c>
      <c r="Q300" s="3">
        <f>3/17</f>
        <v>0.17647058823529413</v>
      </c>
      <c r="R300" s="10">
        <f t="shared" si="45"/>
        <v>-11.999999999999998</v>
      </c>
      <c r="S300" s="13">
        <v>14.9</v>
      </c>
      <c r="T300" s="13">
        <v>26.9</v>
      </c>
      <c r="U300" s="10">
        <v>9</v>
      </c>
      <c r="V300" s="10">
        <v>29</v>
      </c>
      <c r="W300" s="10">
        <f t="shared" si="46"/>
        <v>-20</v>
      </c>
      <c r="X300" s="9" t="s">
        <v>1</v>
      </c>
      <c r="Y300" s="11">
        <f t="shared" si="47"/>
        <v>0</v>
      </c>
      <c r="Z300" s="14">
        <v>0</v>
      </c>
    </row>
    <row r="301" spans="1:26" x14ac:dyDescent="0.2">
      <c r="A301" s="12">
        <f>A300+1</f>
        <v>2022</v>
      </c>
      <c r="B301" s="1" t="s">
        <v>30</v>
      </c>
      <c r="C301" s="1">
        <v>15</v>
      </c>
      <c r="D301" s="15">
        <v>517000000</v>
      </c>
      <c r="E301" s="15">
        <f>(292.7/292.7)*517000000</f>
        <v>517000000</v>
      </c>
      <c r="F301" s="10">
        <f t="shared" si="41"/>
        <v>44.400000000000006</v>
      </c>
      <c r="G301" s="5">
        <f>3959/17</f>
        <v>232.88235294117646</v>
      </c>
      <c r="H301" s="4" t="s">
        <v>1</v>
      </c>
      <c r="I301" s="1">
        <f t="shared" si="42"/>
        <v>0</v>
      </c>
      <c r="J301" s="1" t="s">
        <v>2</v>
      </c>
      <c r="K301" s="1">
        <f t="shared" si="43"/>
        <v>1</v>
      </c>
      <c r="L301" s="1" t="s">
        <v>2</v>
      </c>
      <c r="M301" s="1">
        <f t="shared" si="44"/>
        <v>1</v>
      </c>
      <c r="N301" s="1" t="s">
        <v>2</v>
      </c>
      <c r="O301" s="8">
        <v>0.41899999999999998</v>
      </c>
      <c r="P301" s="7">
        <v>0.53400000000000003</v>
      </c>
      <c r="Q301" s="3">
        <f>9/17</f>
        <v>0.52941176470588236</v>
      </c>
      <c r="R301" s="10">
        <f t="shared" si="45"/>
        <v>3.1999999999999993</v>
      </c>
      <c r="S301" s="13">
        <v>23.8</v>
      </c>
      <c r="T301" s="13">
        <v>20.6</v>
      </c>
      <c r="U301" s="10">
        <v>27</v>
      </c>
      <c r="V301" s="10">
        <v>22</v>
      </c>
      <c r="W301" s="10">
        <f t="shared" si="46"/>
        <v>5</v>
      </c>
      <c r="X301" s="9" t="s">
        <v>2</v>
      </c>
      <c r="Y301" s="11">
        <f t="shared" si="47"/>
        <v>1</v>
      </c>
      <c r="Z301" s="14">
        <v>2</v>
      </c>
    </row>
    <row r="302" spans="1:26" x14ac:dyDescent="0.2">
      <c r="A302" s="12">
        <v>2002</v>
      </c>
      <c r="B302" s="1" t="s">
        <v>31</v>
      </c>
      <c r="C302" s="1">
        <v>16</v>
      </c>
      <c r="D302" s="15">
        <v>150000000</v>
      </c>
      <c r="E302" s="15">
        <f>(292.7/179.9)*150000000</f>
        <v>244052251.25069484</v>
      </c>
      <c r="F302" s="10">
        <f t="shared" si="41"/>
        <v>54.099999999999994</v>
      </c>
      <c r="G302" s="5">
        <f>3622/16</f>
        <v>226.375</v>
      </c>
      <c r="H302" s="4" t="s">
        <v>1</v>
      </c>
      <c r="I302" s="1">
        <f t="shared" si="42"/>
        <v>0</v>
      </c>
      <c r="J302" s="1" t="s">
        <v>1</v>
      </c>
      <c r="K302" s="1">
        <f t="shared" si="43"/>
        <v>0</v>
      </c>
      <c r="L302" s="1" t="s">
        <v>1</v>
      </c>
      <c r="M302" s="1">
        <f t="shared" si="44"/>
        <v>0</v>
      </c>
      <c r="N302" s="1" t="s">
        <v>1</v>
      </c>
      <c r="O302" s="8">
        <v>0.41599999999999998</v>
      </c>
      <c r="P302" s="7">
        <v>0.65600000000000003</v>
      </c>
      <c r="Q302" s="3">
        <f>8/16</f>
        <v>0.5</v>
      </c>
      <c r="R302" s="10">
        <f t="shared" si="45"/>
        <v>4.3000000000000007</v>
      </c>
      <c r="S302" s="13">
        <v>29.2</v>
      </c>
      <c r="T302" s="13">
        <v>24.9</v>
      </c>
      <c r="U302" s="10">
        <v>31</v>
      </c>
      <c r="V302" s="10">
        <v>15</v>
      </c>
      <c r="W302" s="10">
        <f t="shared" si="46"/>
        <v>16</v>
      </c>
      <c r="X302" s="9" t="s">
        <v>1</v>
      </c>
      <c r="Y302" s="11">
        <f t="shared" si="47"/>
        <v>0</v>
      </c>
      <c r="Z302" s="14">
        <v>5</v>
      </c>
    </row>
    <row r="303" spans="1:26" x14ac:dyDescent="0.2">
      <c r="A303" s="12">
        <f>A302+1</f>
        <v>2003</v>
      </c>
      <c r="B303" s="1" t="s">
        <v>31</v>
      </c>
      <c r="C303" s="1">
        <v>16</v>
      </c>
      <c r="D303" s="15">
        <v>159000000</v>
      </c>
      <c r="E303" s="15">
        <f>(292.7/184)*159000000</f>
        <v>252930978.26086956</v>
      </c>
      <c r="F303" s="10">
        <f t="shared" si="41"/>
        <v>51.1</v>
      </c>
      <c r="G303" s="5">
        <f>3981/16</f>
        <v>248.8125</v>
      </c>
      <c r="H303" s="4" t="s">
        <v>1</v>
      </c>
      <c r="I303" s="1">
        <f t="shared" si="42"/>
        <v>0</v>
      </c>
      <c r="J303" s="1" t="s">
        <v>1</v>
      </c>
      <c r="K303" s="1">
        <f t="shared" si="43"/>
        <v>0</v>
      </c>
      <c r="L303" s="1" t="s">
        <v>1</v>
      </c>
      <c r="M303" s="1">
        <f t="shared" si="44"/>
        <v>0</v>
      </c>
      <c r="N303" s="1" t="s">
        <v>1</v>
      </c>
      <c r="O303" s="8">
        <v>0.41799999999999998</v>
      </c>
      <c r="P303" s="7">
        <v>0.77800000000000002</v>
      </c>
      <c r="Q303" s="3">
        <f>13/16</f>
        <v>0.8125</v>
      </c>
      <c r="R303" s="10">
        <f t="shared" si="45"/>
        <v>9.5</v>
      </c>
      <c r="S303" s="13">
        <v>30.3</v>
      </c>
      <c r="T303" s="13">
        <v>20.8</v>
      </c>
      <c r="U303" s="10">
        <v>37</v>
      </c>
      <c r="V303" s="10">
        <v>18</v>
      </c>
      <c r="W303" s="10">
        <f t="shared" si="46"/>
        <v>19</v>
      </c>
      <c r="X303" s="9" t="s">
        <v>2</v>
      </c>
      <c r="Y303" s="11">
        <f t="shared" si="47"/>
        <v>1</v>
      </c>
      <c r="Z303" s="14">
        <v>9</v>
      </c>
    </row>
    <row r="304" spans="1:26" x14ac:dyDescent="0.2">
      <c r="A304" s="12">
        <f>A303+1</f>
        <v>2004</v>
      </c>
      <c r="B304" s="1" t="s">
        <v>31</v>
      </c>
      <c r="C304" s="1">
        <v>16</v>
      </c>
      <c r="D304" s="15">
        <v>181000000</v>
      </c>
      <c r="E304" s="15">
        <f>(292.7/188.9)*181000000</f>
        <v>280458973.00158811</v>
      </c>
      <c r="F304" s="10">
        <f t="shared" si="41"/>
        <v>57.4</v>
      </c>
      <c r="G304" s="5">
        <f>4406/16</f>
        <v>275.375</v>
      </c>
      <c r="H304" s="4" t="s">
        <v>1</v>
      </c>
      <c r="I304" s="1">
        <f t="shared" si="42"/>
        <v>0</v>
      </c>
      <c r="J304" s="1" t="s">
        <v>1</v>
      </c>
      <c r="K304" s="1">
        <f t="shared" si="43"/>
        <v>0</v>
      </c>
      <c r="L304" s="1" t="s">
        <v>1</v>
      </c>
      <c r="M304" s="1">
        <f t="shared" si="44"/>
        <v>0</v>
      </c>
      <c r="N304" s="1" t="s">
        <v>1</v>
      </c>
      <c r="O304" s="8">
        <v>0.47199999999999998</v>
      </c>
      <c r="P304" s="7">
        <v>0.67800000000000005</v>
      </c>
      <c r="Q304" s="3">
        <f>7/16</f>
        <v>0.4375</v>
      </c>
      <c r="R304" s="10">
        <f t="shared" si="45"/>
        <v>3</v>
      </c>
      <c r="S304" s="13">
        <v>30.2</v>
      </c>
      <c r="T304" s="13">
        <v>27.2</v>
      </c>
      <c r="U304" s="10">
        <v>21</v>
      </c>
      <c r="V304" s="10">
        <v>27</v>
      </c>
      <c r="W304" s="10">
        <f t="shared" si="46"/>
        <v>-6</v>
      </c>
      <c r="X304" s="9" t="s">
        <v>1</v>
      </c>
      <c r="Y304" s="11">
        <f t="shared" si="47"/>
        <v>0</v>
      </c>
      <c r="Z304" s="14">
        <v>6</v>
      </c>
    </row>
    <row r="305" spans="1:26" x14ac:dyDescent="0.2">
      <c r="A305" s="12">
        <f>A304+1</f>
        <v>2005</v>
      </c>
      <c r="B305" s="1" t="s">
        <v>31</v>
      </c>
      <c r="C305" s="1">
        <v>16</v>
      </c>
      <c r="D305" s="15">
        <v>186000000</v>
      </c>
      <c r="E305" s="15">
        <f>(292.7/195.3)*186000000</f>
        <v>278761904.76190472</v>
      </c>
      <c r="F305" s="10">
        <f t="shared" si="41"/>
        <v>45.5</v>
      </c>
      <c r="G305" s="5">
        <f>3810/16</f>
        <v>238.125</v>
      </c>
      <c r="H305" s="4" t="s">
        <v>1</v>
      </c>
      <c r="I305" s="1">
        <f t="shared" si="42"/>
        <v>0</v>
      </c>
      <c r="J305" s="1" t="s">
        <v>1</v>
      </c>
      <c r="K305" s="1">
        <f t="shared" si="43"/>
        <v>0</v>
      </c>
      <c r="L305" s="1" t="s">
        <v>1</v>
      </c>
      <c r="M305" s="1">
        <f t="shared" si="44"/>
        <v>0</v>
      </c>
      <c r="N305" s="1" t="s">
        <v>1</v>
      </c>
      <c r="O305" s="8">
        <v>0.42699999999999999</v>
      </c>
      <c r="P305" s="7">
        <v>0.51900000000000002</v>
      </c>
      <c r="Q305" s="3">
        <f>10/16</f>
        <v>0.625</v>
      </c>
      <c r="R305" s="10">
        <f t="shared" si="45"/>
        <v>4.8999999999999986</v>
      </c>
      <c r="S305" s="13">
        <v>25.2</v>
      </c>
      <c r="T305" s="13">
        <v>20.3</v>
      </c>
      <c r="U305" s="10">
        <v>31</v>
      </c>
      <c r="V305" s="10">
        <v>23</v>
      </c>
      <c r="W305" s="10">
        <f t="shared" si="46"/>
        <v>8</v>
      </c>
      <c r="X305" s="9" t="s">
        <v>1</v>
      </c>
      <c r="Y305" s="11">
        <f t="shared" si="47"/>
        <v>0</v>
      </c>
      <c r="Z305" s="14">
        <v>6</v>
      </c>
    </row>
    <row r="306" spans="1:26" x14ac:dyDescent="0.2">
      <c r="A306" s="12">
        <f>A305+1</f>
        <v>2006</v>
      </c>
      <c r="B306" s="1" t="s">
        <v>31</v>
      </c>
      <c r="C306" s="1">
        <v>16</v>
      </c>
      <c r="D306" s="15">
        <v>196000000</v>
      </c>
      <c r="E306" s="15">
        <f>(292.7/201.6)*196000000</f>
        <v>284569444.44444448</v>
      </c>
      <c r="F306" s="10">
        <f t="shared" si="41"/>
        <v>40.4</v>
      </c>
      <c r="G306" s="5">
        <f>3000/16</f>
        <v>187.5</v>
      </c>
      <c r="H306" s="4" t="s">
        <v>1</v>
      </c>
      <c r="I306" s="1">
        <f t="shared" si="42"/>
        <v>0</v>
      </c>
      <c r="J306" s="1" t="s">
        <v>1</v>
      </c>
      <c r="K306" s="1">
        <f t="shared" si="43"/>
        <v>0</v>
      </c>
      <c r="L306" s="1" t="s">
        <v>1</v>
      </c>
      <c r="M306" s="1">
        <f t="shared" si="44"/>
        <v>0</v>
      </c>
      <c r="N306" s="1" t="s">
        <v>1</v>
      </c>
      <c r="O306" s="8">
        <v>0.40600000000000003</v>
      </c>
      <c r="P306" s="7">
        <v>0.60399999999999998</v>
      </c>
      <c r="Q306" s="3">
        <f>9/16</f>
        <v>0.5625</v>
      </c>
      <c r="R306" s="10">
        <f t="shared" si="45"/>
        <v>1</v>
      </c>
      <c r="S306" s="13">
        <v>20.7</v>
      </c>
      <c r="T306" s="13">
        <v>19.7</v>
      </c>
      <c r="U306" s="10">
        <v>30</v>
      </c>
      <c r="V306" s="10">
        <v>26</v>
      </c>
      <c r="W306" s="10">
        <f t="shared" si="46"/>
        <v>4</v>
      </c>
      <c r="X306" s="9" t="s">
        <v>2</v>
      </c>
      <c r="Y306" s="11">
        <f t="shared" si="47"/>
        <v>1</v>
      </c>
      <c r="Z306" s="14">
        <v>4</v>
      </c>
    </row>
    <row r="307" spans="1:26" x14ac:dyDescent="0.2">
      <c r="A307" s="12">
        <f>A306+1</f>
        <v>2007</v>
      </c>
      <c r="B307" s="1" t="s">
        <v>31</v>
      </c>
      <c r="C307" s="1">
        <v>16</v>
      </c>
      <c r="D307" s="15">
        <v>214000000</v>
      </c>
      <c r="E307" s="15">
        <f>(292.7/207.3)*214000000</f>
        <v>302160154.36565357</v>
      </c>
      <c r="F307" s="10">
        <f t="shared" si="41"/>
        <v>35</v>
      </c>
      <c r="G307" s="5">
        <f>3181/16</f>
        <v>198.8125</v>
      </c>
      <c r="H307" s="4" t="s">
        <v>1</v>
      </c>
      <c r="I307" s="1">
        <f t="shared" si="42"/>
        <v>0</v>
      </c>
      <c r="J307" s="1" t="s">
        <v>1</v>
      </c>
      <c r="K307" s="1">
        <f t="shared" si="43"/>
        <v>0</v>
      </c>
      <c r="L307" s="1" t="s">
        <v>1</v>
      </c>
      <c r="M307" s="1">
        <f t="shared" si="44"/>
        <v>0</v>
      </c>
      <c r="N307" s="1" t="s">
        <v>1</v>
      </c>
      <c r="O307" s="8">
        <v>0.34100000000000003</v>
      </c>
      <c r="P307" s="7">
        <v>0.48599999999999999</v>
      </c>
      <c r="Q307" s="3">
        <f>4/16</f>
        <v>0.25</v>
      </c>
      <c r="R307" s="10">
        <f t="shared" si="45"/>
        <v>-6.7999999999999989</v>
      </c>
      <c r="S307" s="13">
        <v>14.1</v>
      </c>
      <c r="T307" s="13">
        <v>20.9</v>
      </c>
      <c r="U307" s="10">
        <v>22</v>
      </c>
      <c r="V307" s="10">
        <v>33</v>
      </c>
      <c r="W307" s="10">
        <f t="shared" si="46"/>
        <v>-11</v>
      </c>
      <c r="X307" s="9" t="s">
        <v>1</v>
      </c>
      <c r="Y307" s="11">
        <f t="shared" si="47"/>
        <v>0</v>
      </c>
      <c r="Z307" s="14">
        <v>2</v>
      </c>
    </row>
    <row r="308" spans="1:26" x14ac:dyDescent="0.2">
      <c r="A308" s="12">
        <v>2008</v>
      </c>
      <c r="B308" s="1" t="s">
        <v>31</v>
      </c>
      <c r="C308" s="1">
        <v>16</v>
      </c>
      <c r="D308" s="15">
        <v>228000000</v>
      </c>
      <c r="E308" s="15">
        <f>(292.7/215.3)*228000000</f>
        <v>309965629.35438925</v>
      </c>
      <c r="F308" s="10">
        <f t="shared" si="41"/>
        <v>45.7</v>
      </c>
      <c r="G308" s="5">
        <f>3129/16</f>
        <v>195.5625</v>
      </c>
      <c r="H308" s="4" t="s">
        <v>1</v>
      </c>
      <c r="I308" s="1">
        <f t="shared" si="42"/>
        <v>0</v>
      </c>
      <c r="J308" s="1" t="s">
        <v>1</v>
      </c>
      <c r="K308" s="1">
        <f t="shared" si="43"/>
        <v>0</v>
      </c>
      <c r="L308" s="1" t="s">
        <v>1</v>
      </c>
      <c r="M308" s="1">
        <f t="shared" si="44"/>
        <v>0</v>
      </c>
      <c r="N308" s="1" t="s">
        <v>1</v>
      </c>
      <c r="O308" s="8">
        <v>0.38300000000000001</v>
      </c>
      <c r="P308" s="7">
        <v>0.57799999999999996</v>
      </c>
      <c r="Q308" s="3">
        <f>2/16</f>
        <v>0.125</v>
      </c>
      <c r="R308" s="10">
        <f t="shared" si="45"/>
        <v>-9.3000000000000007</v>
      </c>
      <c r="S308" s="13">
        <v>18.2</v>
      </c>
      <c r="T308" s="13">
        <v>27.5</v>
      </c>
      <c r="U308" s="10">
        <v>29</v>
      </c>
      <c r="V308" s="10">
        <v>24</v>
      </c>
      <c r="W308" s="10">
        <f t="shared" si="46"/>
        <v>5</v>
      </c>
      <c r="X308" s="9" t="s">
        <v>1</v>
      </c>
      <c r="Y308" s="11">
        <f t="shared" si="47"/>
        <v>0</v>
      </c>
      <c r="Z308" s="14">
        <v>2</v>
      </c>
    </row>
    <row r="309" spans="1:26" x14ac:dyDescent="0.2">
      <c r="A309" s="12">
        <f t="shared" ref="A309:A319" si="50">A308+1</f>
        <v>2009</v>
      </c>
      <c r="B309" s="1" t="s">
        <v>31</v>
      </c>
      <c r="C309" s="1">
        <v>16</v>
      </c>
      <c r="D309" s="15">
        <v>235000000</v>
      </c>
      <c r="E309" s="15">
        <f>(292.7/214.5)*235000000</f>
        <v>320673659.67365968</v>
      </c>
      <c r="F309" s="10">
        <f t="shared" si="41"/>
        <v>44.9</v>
      </c>
      <c r="G309" s="5">
        <f>2922/16</f>
        <v>182.625</v>
      </c>
      <c r="H309" s="4" t="s">
        <v>2</v>
      </c>
      <c r="I309" s="1">
        <f t="shared" si="42"/>
        <v>1</v>
      </c>
      <c r="J309" s="1" t="s">
        <v>1</v>
      </c>
      <c r="K309" s="1">
        <f t="shared" si="43"/>
        <v>0</v>
      </c>
      <c r="L309" s="1" t="s">
        <v>2</v>
      </c>
      <c r="M309" s="1">
        <f t="shared" si="44"/>
        <v>1</v>
      </c>
      <c r="N309" s="1" t="s">
        <v>1</v>
      </c>
      <c r="O309" s="8">
        <v>0.27300000000000002</v>
      </c>
      <c r="P309" s="7">
        <v>0.47399999999999998</v>
      </c>
      <c r="Q309" s="3">
        <v>0.25</v>
      </c>
      <c r="R309" s="10">
        <f t="shared" si="45"/>
        <v>-8.1000000000000014</v>
      </c>
      <c r="S309" s="13">
        <v>18.399999999999999</v>
      </c>
      <c r="T309" s="13">
        <v>26.5</v>
      </c>
      <c r="U309" s="10">
        <v>28</v>
      </c>
      <c r="V309" s="10">
        <v>27</v>
      </c>
      <c r="W309" s="10">
        <f t="shared" si="46"/>
        <v>1</v>
      </c>
      <c r="X309" s="9" t="s">
        <v>1</v>
      </c>
      <c r="Y309" s="11">
        <f t="shared" si="47"/>
        <v>0</v>
      </c>
      <c r="Z309" s="14">
        <v>0</v>
      </c>
    </row>
    <row r="310" spans="1:26" x14ac:dyDescent="0.2">
      <c r="A310" s="12">
        <f t="shared" si="50"/>
        <v>2010</v>
      </c>
      <c r="B310" s="1" t="s">
        <v>31</v>
      </c>
      <c r="C310" s="1">
        <v>16</v>
      </c>
      <c r="D310" s="15">
        <v>252000000</v>
      </c>
      <c r="E310" s="15">
        <f>(292.7/218.1)*252000000</f>
        <v>338195323.24621737</v>
      </c>
      <c r="F310" s="10">
        <f t="shared" si="41"/>
        <v>43.3</v>
      </c>
      <c r="G310" s="5">
        <f>2968/16</f>
        <v>185.5</v>
      </c>
      <c r="H310" s="4" t="s">
        <v>2</v>
      </c>
      <c r="I310" s="1">
        <f t="shared" si="42"/>
        <v>1</v>
      </c>
      <c r="J310" s="1" t="s">
        <v>1</v>
      </c>
      <c r="K310" s="1">
        <f t="shared" si="43"/>
        <v>0</v>
      </c>
      <c r="L310" s="1" t="s">
        <v>2</v>
      </c>
      <c r="M310" s="1">
        <f t="shared" si="44"/>
        <v>1</v>
      </c>
      <c r="N310" s="1" t="s">
        <v>1</v>
      </c>
      <c r="O310" s="8">
        <v>0.36699999999999999</v>
      </c>
      <c r="P310" s="7">
        <v>0.59599999999999997</v>
      </c>
      <c r="Q310" s="3">
        <f>10/16</f>
        <v>0.625</v>
      </c>
      <c r="R310" s="10">
        <f t="shared" si="45"/>
        <v>2.5</v>
      </c>
      <c r="S310" s="13">
        <v>22.9</v>
      </c>
      <c r="T310" s="13">
        <v>20.399999999999999</v>
      </c>
      <c r="U310" s="10">
        <v>23</v>
      </c>
      <c r="V310" s="10">
        <v>14</v>
      </c>
      <c r="W310" s="10">
        <f t="shared" si="46"/>
        <v>9</v>
      </c>
      <c r="X310" s="9" t="s">
        <v>2</v>
      </c>
      <c r="Y310" s="11">
        <f t="shared" si="47"/>
        <v>1</v>
      </c>
      <c r="Z310" s="14">
        <v>5</v>
      </c>
    </row>
    <row r="311" spans="1:26" x14ac:dyDescent="0.2">
      <c r="A311" s="12">
        <f t="shared" si="50"/>
        <v>2011</v>
      </c>
      <c r="B311" s="1" t="s">
        <v>31</v>
      </c>
      <c r="C311" s="1">
        <v>16</v>
      </c>
      <c r="D311" s="15">
        <v>259000000</v>
      </c>
      <c r="E311" s="15">
        <f>(292.7/224.9)*259000000</f>
        <v>337080035.57136506</v>
      </c>
      <c r="F311" s="10">
        <f t="shared" si="41"/>
        <v>34.400000000000006</v>
      </c>
      <c r="G311" s="5">
        <f>3080/16</f>
        <v>192.5</v>
      </c>
      <c r="H311" s="4" t="s">
        <v>2</v>
      </c>
      <c r="I311" s="1">
        <f t="shared" si="42"/>
        <v>1</v>
      </c>
      <c r="J311" s="1" t="s">
        <v>1</v>
      </c>
      <c r="K311" s="1">
        <f t="shared" si="43"/>
        <v>0</v>
      </c>
      <c r="L311" s="1" t="s">
        <v>2</v>
      </c>
      <c r="M311" s="1">
        <f t="shared" si="44"/>
        <v>1</v>
      </c>
      <c r="N311" s="1" t="s">
        <v>1</v>
      </c>
      <c r="O311" s="8">
        <v>0.36</v>
      </c>
      <c r="P311" s="7">
        <v>0.33300000000000002</v>
      </c>
      <c r="Q311" s="3">
        <f>7/16</f>
        <v>0.4375</v>
      </c>
      <c r="R311" s="10">
        <f t="shared" si="45"/>
        <v>-7.8000000000000007</v>
      </c>
      <c r="S311" s="13">
        <v>13.3</v>
      </c>
      <c r="T311" s="13">
        <v>21.1</v>
      </c>
      <c r="U311" s="10">
        <v>26</v>
      </c>
      <c r="V311" s="10">
        <v>28</v>
      </c>
      <c r="W311" s="10">
        <f t="shared" si="46"/>
        <v>-2</v>
      </c>
      <c r="X311" s="9" t="s">
        <v>1</v>
      </c>
      <c r="Y311" s="11">
        <f t="shared" si="47"/>
        <v>0</v>
      </c>
      <c r="Z311" s="14">
        <v>2</v>
      </c>
    </row>
    <row r="312" spans="1:26" x14ac:dyDescent="0.2">
      <c r="A312" s="12">
        <f t="shared" si="50"/>
        <v>2012</v>
      </c>
      <c r="B312" s="1" t="s">
        <v>31</v>
      </c>
      <c r="C312" s="1">
        <v>16</v>
      </c>
      <c r="D312" s="15">
        <v>245000000</v>
      </c>
      <c r="E312" s="15">
        <f>(292.7/229.6)*245000000</f>
        <v>312332317.07317072</v>
      </c>
      <c r="F312" s="10">
        <f t="shared" si="41"/>
        <v>39.799999999999997</v>
      </c>
      <c r="G312" s="5">
        <f>2713/16</f>
        <v>169.5625</v>
      </c>
      <c r="H312" s="4" t="s">
        <v>2</v>
      </c>
      <c r="I312" s="1">
        <f t="shared" si="42"/>
        <v>1</v>
      </c>
      <c r="J312" s="1" t="s">
        <v>1</v>
      </c>
      <c r="K312" s="1">
        <f t="shared" si="43"/>
        <v>0</v>
      </c>
      <c r="L312" s="1" t="s">
        <v>2</v>
      </c>
      <c r="M312" s="1">
        <f t="shared" si="44"/>
        <v>1</v>
      </c>
      <c r="N312" s="1" t="s">
        <v>1</v>
      </c>
      <c r="O312" s="8">
        <v>0.33</v>
      </c>
      <c r="P312" s="7">
        <v>0.27</v>
      </c>
      <c r="Q312" s="3">
        <f>2/16</f>
        <v>0.125</v>
      </c>
      <c r="R312" s="10">
        <f t="shared" si="45"/>
        <v>-13.400000000000002</v>
      </c>
      <c r="S312" s="13">
        <v>13.2</v>
      </c>
      <c r="T312" s="13">
        <v>26.6</v>
      </c>
      <c r="U312" s="10">
        <v>13</v>
      </c>
      <c r="V312" s="10">
        <v>37</v>
      </c>
      <c r="W312" s="10">
        <f t="shared" si="46"/>
        <v>-24</v>
      </c>
      <c r="X312" s="9" t="s">
        <v>1</v>
      </c>
      <c r="Y312" s="11">
        <f t="shared" si="47"/>
        <v>0</v>
      </c>
      <c r="Z312" s="14">
        <v>6</v>
      </c>
    </row>
    <row r="313" spans="1:26" x14ac:dyDescent="0.2">
      <c r="A313" s="12">
        <f t="shared" si="50"/>
        <v>2013</v>
      </c>
      <c r="B313" s="1" t="s">
        <v>31</v>
      </c>
      <c r="C313" s="1">
        <v>16</v>
      </c>
      <c r="D313" s="15">
        <v>260000000</v>
      </c>
      <c r="E313" s="15">
        <f>(292.7/233)*260000000</f>
        <v>326618025.75107294</v>
      </c>
      <c r="F313" s="10">
        <f t="shared" si="41"/>
        <v>46</v>
      </c>
      <c r="G313" s="5">
        <f>3340/16</f>
        <v>208.75</v>
      </c>
      <c r="H313" s="4" t="s">
        <v>2</v>
      </c>
      <c r="I313" s="1">
        <f t="shared" si="42"/>
        <v>1</v>
      </c>
      <c r="J313" s="1" t="s">
        <v>1</v>
      </c>
      <c r="K313" s="1">
        <f t="shared" si="43"/>
        <v>0</v>
      </c>
      <c r="L313" s="1" t="s">
        <v>2</v>
      </c>
      <c r="M313" s="1">
        <f t="shared" si="44"/>
        <v>1</v>
      </c>
      <c r="N313" s="1" t="s">
        <v>1</v>
      </c>
      <c r="O313" s="8">
        <v>0.34699999999999998</v>
      </c>
      <c r="P313" s="7">
        <v>0.57899999999999996</v>
      </c>
      <c r="Q313" s="3">
        <f>11/16</f>
        <v>0.6875</v>
      </c>
      <c r="R313" s="10">
        <f t="shared" si="45"/>
        <v>7.7999999999999972</v>
      </c>
      <c r="S313" s="13">
        <v>26.9</v>
      </c>
      <c r="T313" s="13">
        <v>19.100000000000001</v>
      </c>
      <c r="U313" s="10">
        <v>36</v>
      </c>
      <c r="V313" s="10">
        <v>18</v>
      </c>
      <c r="W313" s="10">
        <f t="shared" si="46"/>
        <v>18</v>
      </c>
      <c r="X313" s="9" t="s">
        <v>2</v>
      </c>
      <c r="Y313" s="11">
        <f t="shared" si="47"/>
        <v>1</v>
      </c>
      <c r="Z313" s="14">
        <v>10</v>
      </c>
    </row>
    <row r="314" spans="1:26" x14ac:dyDescent="0.2">
      <c r="A314" s="12">
        <f t="shared" si="50"/>
        <v>2014</v>
      </c>
      <c r="B314" s="1" t="s">
        <v>31</v>
      </c>
      <c r="C314" s="1">
        <v>16</v>
      </c>
      <c r="D314" s="15">
        <v>307000000</v>
      </c>
      <c r="E314" s="15">
        <f>(292.7/236.7)*307000000</f>
        <v>379632023.65863961</v>
      </c>
      <c r="F314" s="10">
        <f t="shared" si="41"/>
        <v>39.700000000000003</v>
      </c>
      <c r="G314" s="5">
        <f>3182/16</f>
        <v>198.875</v>
      </c>
      <c r="H314" s="4" t="s">
        <v>2</v>
      </c>
      <c r="I314" s="1">
        <f t="shared" si="42"/>
        <v>1</v>
      </c>
      <c r="J314" s="1" t="s">
        <v>1</v>
      </c>
      <c r="K314" s="1">
        <f t="shared" si="43"/>
        <v>0</v>
      </c>
      <c r="L314" s="1" t="s">
        <v>2</v>
      </c>
      <c r="M314" s="1">
        <f t="shared" si="44"/>
        <v>1</v>
      </c>
      <c r="N314" s="1" t="s">
        <v>1</v>
      </c>
      <c r="O314" s="8">
        <v>0.39800000000000002</v>
      </c>
      <c r="P314" s="7">
        <v>0.58299999999999996</v>
      </c>
      <c r="Q314" s="3">
        <f>9/16</f>
        <v>0.5625</v>
      </c>
      <c r="R314" s="10">
        <f t="shared" si="45"/>
        <v>4.5</v>
      </c>
      <c r="S314" s="13">
        <v>22.1</v>
      </c>
      <c r="T314" s="13">
        <v>17.600000000000001</v>
      </c>
      <c r="U314" s="10">
        <v>14</v>
      </c>
      <c r="V314" s="10">
        <v>17</v>
      </c>
      <c r="W314" s="10">
        <f t="shared" si="46"/>
        <v>-3</v>
      </c>
      <c r="X314" s="9" t="s">
        <v>1</v>
      </c>
      <c r="Y314" s="11">
        <f t="shared" si="47"/>
        <v>0</v>
      </c>
      <c r="Z314" s="14">
        <v>4</v>
      </c>
    </row>
    <row r="315" spans="1:26" x14ac:dyDescent="0.2">
      <c r="A315" s="12">
        <f t="shared" si="50"/>
        <v>2015</v>
      </c>
      <c r="B315" s="1" t="s">
        <v>31</v>
      </c>
      <c r="C315" s="1">
        <v>16</v>
      </c>
      <c r="D315" s="15">
        <v>340000000</v>
      </c>
      <c r="E315" s="15">
        <f>(292.7/237)*340000000</f>
        <v>419907172.99578059</v>
      </c>
      <c r="F315" s="10">
        <f t="shared" si="41"/>
        <v>43.2</v>
      </c>
      <c r="G315" s="5">
        <f>3255/16</f>
        <v>203.4375</v>
      </c>
      <c r="H315" s="4" t="s">
        <v>2</v>
      </c>
      <c r="I315" s="1">
        <f t="shared" si="42"/>
        <v>1</v>
      </c>
      <c r="J315" s="1" t="s">
        <v>1</v>
      </c>
      <c r="K315" s="1">
        <f t="shared" si="43"/>
        <v>0</v>
      </c>
      <c r="L315" s="1" t="s">
        <v>2</v>
      </c>
      <c r="M315" s="1">
        <f t="shared" si="44"/>
        <v>1</v>
      </c>
      <c r="N315" s="1" t="s">
        <v>2</v>
      </c>
      <c r="O315" s="8">
        <v>0.38200000000000001</v>
      </c>
      <c r="P315" s="7">
        <v>0.57399999999999995</v>
      </c>
      <c r="Q315" s="3">
        <f>11/16</f>
        <v>0.6875</v>
      </c>
      <c r="R315" s="10">
        <f t="shared" si="45"/>
        <v>7.4000000000000021</v>
      </c>
      <c r="S315" s="13">
        <v>25.3</v>
      </c>
      <c r="T315" s="13">
        <v>17.899999999999999</v>
      </c>
      <c r="U315" s="10">
        <v>29</v>
      </c>
      <c r="V315" s="10">
        <v>15</v>
      </c>
      <c r="W315" s="10">
        <f t="shared" si="46"/>
        <v>14</v>
      </c>
      <c r="X315" s="9" t="s">
        <v>2</v>
      </c>
      <c r="Y315" s="11">
        <f t="shared" si="47"/>
        <v>1</v>
      </c>
      <c r="Z315" s="14">
        <v>6</v>
      </c>
    </row>
    <row r="316" spans="1:26" x14ac:dyDescent="0.2">
      <c r="A316" s="12">
        <f t="shared" si="50"/>
        <v>2016</v>
      </c>
      <c r="B316" s="1" t="s">
        <v>31</v>
      </c>
      <c r="C316" s="1">
        <v>16</v>
      </c>
      <c r="D316" s="15">
        <v>365000000</v>
      </c>
      <c r="E316" s="15">
        <f>(292.7/240)*365000000</f>
        <v>445147916.66666663</v>
      </c>
      <c r="F316" s="10">
        <f t="shared" si="41"/>
        <v>43.7</v>
      </c>
      <c r="G316" s="5">
        <f>3740/16</f>
        <v>233.75</v>
      </c>
      <c r="H316" s="4" t="s">
        <v>2</v>
      </c>
      <c r="I316" s="1">
        <f t="shared" si="42"/>
        <v>1</v>
      </c>
      <c r="J316" s="1" t="s">
        <v>1</v>
      </c>
      <c r="K316" s="1">
        <f t="shared" si="43"/>
        <v>0</v>
      </c>
      <c r="L316" s="1" t="s">
        <v>2</v>
      </c>
      <c r="M316" s="1">
        <f t="shared" si="44"/>
        <v>1</v>
      </c>
      <c r="N316" s="1" t="s">
        <v>2</v>
      </c>
      <c r="O316" s="8">
        <v>0.38</v>
      </c>
      <c r="P316" s="7">
        <f>0.455</f>
        <v>0.45500000000000002</v>
      </c>
      <c r="Q316" s="3">
        <v>0.75</v>
      </c>
      <c r="R316" s="10">
        <f t="shared" si="45"/>
        <v>4.9000000000000021</v>
      </c>
      <c r="S316" s="13">
        <v>24.3</v>
      </c>
      <c r="T316" s="13">
        <v>19.399999999999999</v>
      </c>
      <c r="U316" s="10">
        <v>33</v>
      </c>
      <c r="V316" s="10">
        <v>17</v>
      </c>
      <c r="W316" s="10">
        <f t="shared" si="46"/>
        <v>16</v>
      </c>
      <c r="X316" s="9" t="s">
        <v>2</v>
      </c>
      <c r="Y316" s="11">
        <f t="shared" si="47"/>
        <v>1</v>
      </c>
      <c r="Z316" s="14">
        <v>7</v>
      </c>
    </row>
    <row r="317" spans="1:26" x14ac:dyDescent="0.2">
      <c r="A317" s="12">
        <f t="shared" si="50"/>
        <v>2017</v>
      </c>
      <c r="B317" s="1" t="s">
        <v>31</v>
      </c>
      <c r="C317" s="1">
        <v>16</v>
      </c>
      <c r="D317" s="15">
        <v>380000000</v>
      </c>
      <c r="E317" s="15">
        <f>(292.7/245.1)*380000000</f>
        <v>453798449.61240309</v>
      </c>
      <c r="F317" s="10">
        <f t="shared" si="41"/>
        <v>47.099999999999994</v>
      </c>
      <c r="G317" s="5">
        <f>4104/16</f>
        <v>256.5</v>
      </c>
      <c r="H317" s="4" t="s">
        <v>2</v>
      </c>
      <c r="I317" s="1">
        <f t="shared" si="42"/>
        <v>1</v>
      </c>
      <c r="J317" s="1" t="s">
        <v>1</v>
      </c>
      <c r="K317" s="1">
        <f t="shared" si="43"/>
        <v>0</v>
      </c>
      <c r="L317" s="1" t="s">
        <v>2</v>
      </c>
      <c r="M317" s="1">
        <f t="shared" si="44"/>
        <v>1</v>
      </c>
      <c r="N317" s="1" t="s">
        <v>2</v>
      </c>
      <c r="O317" s="8">
        <v>0.39200000000000002</v>
      </c>
      <c r="P317" s="7">
        <v>0.42</v>
      </c>
      <c r="Q317" s="3">
        <f>10/16</f>
        <v>0.625</v>
      </c>
      <c r="R317" s="10">
        <f t="shared" si="45"/>
        <v>4.6999999999999993</v>
      </c>
      <c r="S317" s="13">
        <v>25.9</v>
      </c>
      <c r="T317" s="13">
        <v>21.2</v>
      </c>
      <c r="U317" s="10">
        <v>26</v>
      </c>
      <c r="V317" s="10">
        <v>11</v>
      </c>
      <c r="W317" s="10">
        <f t="shared" si="46"/>
        <v>15</v>
      </c>
      <c r="X317" s="9" t="s">
        <v>2</v>
      </c>
      <c r="Y317" s="11">
        <f t="shared" si="47"/>
        <v>1</v>
      </c>
      <c r="Z317" s="14">
        <v>4</v>
      </c>
    </row>
    <row r="318" spans="1:26" x14ac:dyDescent="0.2">
      <c r="A318" s="12">
        <f t="shared" si="50"/>
        <v>2018</v>
      </c>
      <c r="B318" s="1" t="s">
        <v>31</v>
      </c>
      <c r="C318" s="1">
        <v>16</v>
      </c>
      <c r="D318" s="15">
        <v>410000000</v>
      </c>
      <c r="E318" s="15">
        <f>(292.7/251.1)*410000000</f>
        <v>477925129.43050581</v>
      </c>
      <c r="F318" s="10">
        <f t="shared" si="41"/>
        <v>61.599999999999994</v>
      </c>
      <c r="G318" s="5">
        <f>4955/16</f>
        <v>309.6875</v>
      </c>
      <c r="H318" s="4" t="s">
        <v>1</v>
      </c>
      <c r="I318" s="1">
        <f t="shared" si="42"/>
        <v>0</v>
      </c>
      <c r="J318" s="1" t="s">
        <v>2</v>
      </c>
      <c r="K318" s="1">
        <f t="shared" si="43"/>
        <v>1</v>
      </c>
      <c r="L318" s="1" t="s">
        <v>2</v>
      </c>
      <c r="M318" s="1">
        <f t="shared" si="44"/>
        <v>1</v>
      </c>
      <c r="N318" s="1" t="s">
        <v>2</v>
      </c>
      <c r="O318" s="8">
        <v>0.47199999999999998</v>
      </c>
      <c r="P318" s="7">
        <v>0.71799999999999997</v>
      </c>
      <c r="Q318" s="3">
        <v>0.75</v>
      </c>
      <c r="R318" s="10">
        <f t="shared" si="45"/>
        <v>8.9999999999999964</v>
      </c>
      <c r="S318" s="13">
        <v>35.299999999999997</v>
      </c>
      <c r="T318" s="13">
        <v>26.3</v>
      </c>
      <c r="U318" s="10">
        <v>27</v>
      </c>
      <c r="V318" s="10">
        <v>12</v>
      </c>
      <c r="W318" s="10">
        <f t="shared" si="46"/>
        <v>15</v>
      </c>
      <c r="X318" s="9" t="s">
        <v>2</v>
      </c>
      <c r="Y318" s="11">
        <f t="shared" si="47"/>
        <v>1</v>
      </c>
      <c r="Z318" s="14">
        <v>6</v>
      </c>
    </row>
    <row r="319" spans="1:26" x14ac:dyDescent="0.2">
      <c r="A319" s="12">
        <f t="shared" si="50"/>
        <v>2019</v>
      </c>
      <c r="B319" s="1" t="s">
        <v>31</v>
      </c>
      <c r="C319" s="1">
        <v>16</v>
      </c>
      <c r="D319" s="15">
        <v>435000000</v>
      </c>
      <c r="E319" s="15">
        <f>(292.7/255.7)*435000000</f>
        <v>497944857.25459528</v>
      </c>
      <c r="F319" s="10">
        <f t="shared" si="41"/>
        <v>47.5</v>
      </c>
      <c r="G319" s="5">
        <f>4498/16</f>
        <v>281.125</v>
      </c>
      <c r="H319" s="4" t="s">
        <v>1</v>
      </c>
      <c r="I319" s="1">
        <f t="shared" si="42"/>
        <v>0</v>
      </c>
      <c r="J319" s="1" t="s">
        <v>2</v>
      </c>
      <c r="K319" s="1">
        <f t="shared" si="43"/>
        <v>1</v>
      </c>
      <c r="L319" s="1" t="s">
        <v>2</v>
      </c>
      <c r="M319" s="1">
        <f t="shared" si="44"/>
        <v>1</v>
      </c>
      <c r="N319" s="1" t="s">
        <v>2</v>
      </c>
      <c r="O319" s="8">
        <v>0.47599999999999998</v>
      </c>
      <c r="P319" s="7">
        <v>0.54</v>
      </c>
      <c r="Q319" s="3">
        <v>0.75</v>
      </c>
      <c r="R319" s="10">
        <f t="shared" si="45"/>
        <v>8.8999999999999986</v>
      </c>
      <c r="S319" s="13">
        <v>28.2</v>
      </c>
      <c r="T319" s="13">
        <v>19.3</v>
      </c>
      <c r="U319" s="10">
        <v>7</v>
      </c>
      <c r="V319" s="10">
        <v>10</v>
      </c>
      <c r="W319" s="10">
        <f t="shared" si="46"/>
        <v>-3</v>
      </c>
      <c r="X319" s="9" t="s">
        <v>2</v>
      </c>
      <c r="Y319" s="11">
        <f t="shared" si="47"/>
        <v>1</v>
      </c>
      <c r="Z319" s="14">
        <v>7</v>
      </c>
    </row>
    <row r="320" spans="1:26" x14ac:dyDescent="0.2">
      <c r="A320" s="12">
        <v>2021</v>
      </c>
      <c r="B320" s="1" t="s">
        <v>31</v>
      </c>
      <c r="C320" s="1">
        <v>16</v>
      </c>
      <c r="D320" s="15">
        <v>495000000</v>
      </c>
      <c r="E320" s="15">
        <f>(292.7/271)*495000000</f>
        <v>534636531.36531359</v>
      </c>
      <c r="F320" s="10">
        <f t="shared" si="41"/>
        <v>49.599999999999994</v>
      </c>
      <c r="G320" s="5">
        <f>4791/17</f>
        <v>281.8235294117647</v>
      </c>
      <c r="H320" s="4" t="s">
        <v>1</v>
      </c>
      <c r="I320" s="1">
        <f t="shared" si="42"/>
        <v>0</v>
      </c>
      <c r="J320" s="1" t="s">
        <v>2</v>
      </c>
      <c r="K320" s="1">
        <f t="shared" si="43"/>
        <v>1</v>
      </c>
      <c r="L320" s="1" t="s">
        <v>2</v>
      </c>
      <c r="M320" s="1">
        <f t="shared" si="44"/>
        <v>1</v>
      </c>
      <c r="N320" s="1" t="s">
        <v>2</v>
      </c>
      <c r="O320" s="8">
        <v>0.52200000000000002</v>
      </c>
      <c r="P320" s="7">
        <v>0.59399999999999997</v>
      </c>
      <c r="Q320" s="3">
        <f>12/17</f>
        <v>0.70588235294117652</v>
      </c>
      <c r="R320" s="10">
        <f t="shared" si="45"/>
        <v>6.8000000000000007</v>
      </c>
      <c r="S320" s="13">
        <v>28.2</v>
      </c>
      <c r="T320" s="13">
        <v>21.4</v>
      </c>
      <c r="U320" s="10">
        <v>29</v>
      </c>
      <c r="V320" s="10">
        <v>25</v>
      </c>
      <c r="W320" s="10">
        <f t="shared" si="46"/>
        <v>4</v>
      </c>
      <c r="X320" s="9" t="s">
        <v>2</v>
      </c>
      <c r="Y320" s="11">
        <f t="shared" si="47"/>
        <v>1</v>
      </c>
      <c r="Z320" s="14">
        <v>7</v>
      </c>
    </row>
    <row r="321" spans="1:26" x14ac:dyDescent="0.2">
      <c r="A321" s="12">
        <f>A320+1</f>
        <v>2022</v>
      </c>
      <c r="B321" s="1" t="s">
        <v>31</v>
      </c>
      <c r="C321" s="1">
        <v>16</v>
      </c>
      <c r="D321" s="15">
        <v>540000000</v>
      </c>
      <c r="E321" s="15">
        <f>(292.7/292.7)*540000000</f>
        <v>540000000</v>
      </c>
      <c r="F321" s="10">
        <f t="shared" si="41"/>
        <v>50.9</v>
      </c>
      <c r="G321" s="5">
        <f>5062/17</f>
        <v>297.76470588235293</v>
      </c>
      <c r="H321" s="4" t="s">
        <v>1</v>
      </c>
      <c r="I321" s="1">
        <f t="shared" si="42"/>
        <v>0</v>
      </c>
      <c r="J321" s="1" t="s">
        <v>2</v>
      </c>
      <c r="K321" s="1">
        <f t="shared" si="43"/>
        <v>1</v>
      </c>
      <c r="L321" s="1" t="s">
        <v>2</v>
      </c>
      <c r="M321" s="1">
        <f t="shared" si="44"/>
        <v>1</v>
      </c>
      <c r="N321" s="1" t="s">
        <v>2</v>
      </c>
      <c r="O321" s="8">
        <v>0.48699999999999999</v>
      </c>
      <c r="P321" s="7">
        <v>0.69399999999999995</v>
      </c>
      <c r="Q321" s="3">
        <f>14/17</f>
        <v>0.82352941176470584</v>
      </c>
      <c r="R321" s="10">
        <f t="shared" si="45"/>
        <v>7.5</v>
      </c>
      <c r="S321" s="13">
        <v>29.2</v>
      </c>
      <c r="T321" s="13">
        <v>21.7</v>
      </c>
      <c r="U321" s="10">
        <v>20</v>
      </c>
      <c r="V321" s="10">
        <v>23</v>
      </c>
      <c r="W321" s="10">
        <f t="shared" si="46"/>
        <v>-3</v>
      </c>
      <c r="X321" s="9" t="s">
        <v>2</v>
      </c>
      <c r="Y321" s="11">
        <f t="shared" si="47"/>
        <v>1</v>
      </c>
      <c r="Z321" s="14">
        <v>8</v>
      </c>
    </row>
    <row r="322" spans="1:26" x14ac:dyDescent="0.2">
      <c r="A322" s="12">
        <v>2002</v>
      </c>
      <c r="B322" s="1" t="s">
        <v>32</v>
      </c>
      <c r="C322" s="1">
        <v>17</v>
      </c>
      <c r="D322" s="15">
        <v>144000000</v>
      </c>
      <c r="E322" s="15">
        <f>(292.7/179.9)*144000000</f>
        <v>234290161.20066702</v>
      </c>
      <c r="F322" s="10">
        <f t="shared" ref="F322:F385" si="51">S322+T322</f>
        <v>47.1</v>
      </c>
      <c r="G322" s="5">
        <f>4475/16</f>
        <v>279.6875</v>
      </c>
      <c r="H322" s="4" t="s">
        <v>1</v>
      </c>
      <c r="I322" s="1">
        <f t="shared" ref="I322:I385" si="52">IF(H322="No",0,1)</f>
        <v>0</v>
      </c>
      <c r="J322" s="1" t="s">
        <v>1</v>
      </c>
      <c r="K322" s="1">
        <f t="shared" ref="K322:K385" si="53">IF(J322="No",0,1)</f>
        <v>0</v>
      </c>
      <c r="L322" s="1" t="s">
        <v>1</v>
      </c>
      <c r="M322" s="1">
        <f t="shared" ref="M322:M385" si="54">IF(L322="No",0,1)</f>
        <v>0</v>
      </c>
      <c r="N322" s="1" t="s">
        <v>1</v>
      </c>
      <c r="O322" s="8">
        <v>0.45300000000000001</v>
      </c>
      <c r="P322" s="7">
        <v>0.56699999999999995</v>
      </c>
      <c r="Q322" s="3">
        <f>11/16</f>
        <v>0.6875</v>
      </c>
      <c r="R322" s="10">
        <f t="shared" ref="R322:R385" si="55">S322-T322</f>
        <v>9.1000000000000014</v>
      </c>
      <c r="S322" s="13">
        <v>28.1</v>
      </c>
      <c r="T322" s="13">
        <v>19</v>
      </c>
      <c r="U322" s="10">
        <v>31</v>
      </c>
      <c r="V322" s="10">
        <v>19</v>
      </c>
      <c r="W322" s="10">
        <f t="shared" ref="W322:W385" si="56">U322-V322</f>
        <v>12</v>
      </c>
      <c r="X322" s="9" t="s">
        <v>2</v>
      </c>
      <c r="Y322" s="11">
        <f t="shared" ref="Y322:Y385" si="57">IF(X322="No",0,1)</f>
        <v>1</v>
      </c>
      <c r="Z322" s="14">
        <v>5</v>
      </c>
    </row>
    <row r="323" spans="1:26" x14ac:dyDescent="0.2">
      <c r="A323" s="12">
        <f>A322+1</f>
        <v>2003</v>
      </c>
      <c r="B323" s="1" t="s">
        <v>32</v>
      </c>
      <c r="C323" s="1">
        <v>17</v>
      </c>
      <c r="D323" s="15">
        <v>149000000</v>
      </c>
      <c r="E323" s="15">
        <f>(292.7/184)*149000000</f>
        <v>237023369.56521738</v>
      </c>
      <c r="F323" s="10">
        <f t="shared" si="51"/>
        <v>40.599999999999994</v>
      </c>
      <c r="G323" s="5">
        <f>2751/16</f>
        <v>171.9375</v>
      </c>
      <c r="H323" s="4" t="s">
        <v>1</v>
      </c>
      <c r="I323" s="1">
        <f t="shared" si="52"/>
        <v>0</v>
      </c>
      <c r="J323" s="1" t="s">
        <v>1</v>
      </c>
      <c r="K323" s="1">
        <f t="shared" si="53"/>
        <v>0</v>
      </c>
      <c r="L323" s="1" t="s">
        <v>1</v>
      </c>
      <c r="M323" s="1">
        <f t="shared" si="54"/>
        <v>0</v>
      </c>
      <c r="N323" s="1" t="s">
        <v>1</v>
      </c>
      <c r="O323" s="8">
        <v>0.30399999999999999</v>
      </c>
      <c r="P323" s="7">
        <v>0.441</v>
      </c>
      <c r="Q323" s="3">
        <f>4/16</f>
        <v>0.25</v>
      </c>
      <c r="R323" s="10">
        <f t="shared" si="55"/>
        <v>-6.8000000000000007</v>
      </c>
      <c r="S323" s="13">
        <v>16.899999999999999</v>
      </c>
      <c r="T323" s="13">
        <v>23.7</v>
      </c>
      <c r="U323" s="10">
        <v>25</v>
      </c>
      <c r="V323" s="10">
        <v>26</v>
      </c>
      <c r="W323" s="10">
        <f t="shared" si="56"/>
        <v>-1</v>
      </c>
      <c r="X323" s="9" t="s">
        <v>2</v>
      </c>
      <c r="Y323" s="11">
        <f t="shared" si="57"/>
        <v>1</v>
      </c>
      <c r="Z323" s="14">
        <v>0</v>
      </c>
    </row>
    <row r="324" spans="1:26" x14ac:dyDescent="0.2">
      <c r="A324" s="12">
        <f>A323+1</f>
        <v>2004</v>
      </c>
      <c r="B324" s="1" t="s">
        <v>32</v>
      </c>
      <c r="C324" s="1">
        <v>17</v>
      </c>
      <c r="D324" s="15">
        <v>169000000</v>
      </c>
      <c r="E324" s="15">
        <f>(292.7/188.9)*169000000</f>
        <v>261865007.94070935</v>
      </c>
      <c r="F324" s="10">
        <f t="shared" si="51"/>
        <v>47.6</v>
      </c>
      <c r="G324" s="5">
        <f>3858/16</f>
        <v>241.125</v>
      </c>
      <c r="H324" s="4" t="s">
        <v>1</v>
      </c>
      <c r="I324" s="1">
        <f t="shared" si="52"/>
        <v>0</v>
      </c>
      <c r="J324" s="1" t="s">
        <v>1</v>
      </c>
      <c r="K324" s="1">
        <f t="shared" si="53"/>
        <v>0</v>
      </c>
      <c r="L324" s="1" t="s">
        <v>1</v>
      </c>
      <c r="M324" s="1">
        <f t="shared" si="54"/>
        <v>0</v>
      </c>
      <c r="N324" s="1" t="s">
        <v>1</v>
      </c>
      <c r="O324" s="8">
        <v>0.35499999999999998</v>
      </c>
      <c r="P324" s="7">
        <v>0.48799999999999999</v>
      </c>
      <c r="Q324" s="3">
        <f>5/16</f>
        <v>0.3125</v>
      </c>
      <c r="R324" s="10">
        <f t="shared" si="55"/>
        <v>-7.6000000000000014</v>
      </c>
      <c r="S324" s="13">
        <v>20</v>
      </c>
      <c r="T324" s="13">
        <v>27.6</v>
      </c>
      <c r="U324" s="10">
        <v>18</v>
      </c>
      <c r="V324" s="10">
        <v>35</v>
      </c>
      <c r="W324" s="10">
        <f t="shared" si="56"/>
        <v>-17</v>
      </c>
      <c r="X324" s="9" t="s">
        <v>1</v>
      </c>
      <c r="Y324" s="11">
        <f t="shared" si="57"/>
        <v>0</v>
      </c>
      <c r="Z324" s="14">
        <v>1</v>
      </c>
    </row>
    <row r="325" spans="1:26" x14ac:dyDescent="0.2">
      <c r="A325" s="12">
        <f>A324+1</f>
        <v>2005</v>
      </c>
      <c r="B325" s="1" t="s">
        <v>32</v>
      </c>
      <c r="C325" s="1">
        <v>17</v>
      </c>
      <c r="D325" s="15">
        <v>171000000</v>
      </c>
      <c r="E325" s="15">
        <f>(292.7/195.3)*171000000</f>
        <v>256281105.99078336</v>
      </c>
      <c r="F325" s="10">
        <f t="shared" si="51"/>
        <v>42</v>
      </c>
      <c r="G325" s="5">
        <f>3582/16</f>
        <v>223.875</v>
      </c>
      <c r="H325" s="4" t="s">
        <v>1</v>
      </c>
      <c r="I325" s="1">
        <f t="shared" si="52"/>
        <v>0</v>
      </c>
      <c r="J325" s="1" t="s">
        <v>1</v>
      </c>
      <c r="K325" s="1">
        <f t="shared" si="53"/>
        <v>0</v>
      </c>
      <c r="L325" s="1" t="s">
        <v>1</v>
      </c>
      <c r="M325" s="1">
        <f t="shared" si="54"/>
        <v>0</v>
      </c>
      <c r="N325" s="1" t="s">
        <v>1</v>
      </c>
      <c r="O325" s="8">
        <v>0.39700000000000002</v>
      </c>
      <c r="P325" s="7">
        <v>0.46700000000000003</v>
      </c>
      <c r="Q325" s="3">
        <f>4/16</f>
        <v>0.25</v>
      </c>
      <c r="R325" s="10">
        <f t="shared" si="55"/>
        <v>-5.7999999999999972</v>
      </c>
      <c r="S325" s="13">
        <v>18.100000000000001</v>
      </c>
      <c r="T325" s="13">
        <v>23.9</v>
      </c>
      <c r="U325" s="10">
        <v>19</v>
      </c>
      <c r="V325" s="10">
        <v>24</v>
      </c>
      <c r="W325" s="10">
        <f t="shared" si="56"/>
        <v>-5</v>
      </c>
      <c r="X325" s="9" t="s">
        <v>1</v>
      </c>
      <c r="Y325" s="11">
        <f t="shared" si="57"/>
        <v>0</v>
      </c>
      <c r="Z325" s="14">
        <v>1</v>
      </c>
    </row>
    <row r="326" spans="1:26" x14ac:dyDescent="0.2">
      <c r="A326" s="12">
        <f>A325+1</f>
        <v>2006</v>
      </c>
      <c r="B326" s="1" t="s">
        <v>32</v>
      </c>
      <c r="C326" s="1">
        <v>17</v>
      </c>
      <c r="D326" s="15">
        <v>189000000</v>
      </c>
      <c r="E326" s="15">
        <f>(292.7/201.6)*189000000</f>
        <v>274406250</v>
      </c>
      <c r="F326" s="10">
        <f t="shared" si="51"/>
        <v>31.3</v>
      </c>
      <c r="G326" s="5">
        <f>2420/16</f>
        <v>151.25</v>
      </c>
      <c r="H326" s="4" t="s">
        <v>1</v>
      </c>
      <c r="I326" s="1">
        <f t="shared" si="52"/>
        <v>0</v>
      </c>
      <c r="J326" s="1" t="s">
        <v>1</v>
      </c>
      <c r="K326" s="1">
        <f t="shared" si="53"/>
        <v>0</v>
      </c>
      <c r="L326" s="1" t="s">
        <v>1</v>
      </c>
      <c r="M326" s="1">
        <f t="shared" si="54"/>
        <v>0</v>
      </c>
      <c r="N326" s="1" t="s">
        <v>1</v>
      </c>
      <c r="O326" s="8">
        <v>0.36299999999999999</v>
      </c>
      <c r="P326" s="7">
        <v>0.28599999999999998</v>
      </c>
      <c r="Q326" s="3">
        <f>2/16</f>
        <v>0.125</v>
      </c>
      <c r="R326" s="10">
        <f t="shared" si="55"/>
        <v>-10.3</v>
      </c>
      <c r="S326" s="13">
        <v>10.5</v>
      </c>
      <c r="T326" s="13">
        <v>20.8</v>
      </c>
      <c r="U326" s="10">
        <v>23</v>
      </c>
      <c r="V326" s="10">
        <v>46</v>
      </c>
      <c r="W326" s="10">
        <f t="shared" si="56"/>
        <v>-23</v>
      </c>
      <c r="X326" s="9" t="s">
        <v>1</v>
      </c>
      <c r="Y326" s="11">
        <f t="shared" si="57"/>
        <v>0</v>
      </c>
      <c r="Z326" s="14">
        <v>1</v>
      </c>
    </row>
    <row r="327" spans="1:26" x14ac:dyDescent="0.2">
      <c r="A327" s="12">
        <f>A326+1</f>
        <v>2007</v>
      </c>
      <c r="B327" s="1" t="s">
        <v>32</v>
      </c>
      <c r="C327" s="1">
        <v>17</v>
      </c>
      <c r="D327" s="15">
        <v>205000000</v>
      </c>
      <c r="E327" s="15">
        <f>(292.7/207.3)*205000000</f>
        <v>289452484.32223827</v>
      </c>
      <c r="F327" s="10">
        <f t="shared" si="51"/>
        <v>42.599999999999994</v>
      </c>
      <c r="G327" s="5">
        <f>2631/16</f>
        <v>164.4375</v>
      </c>
      <c r="H327" s="4" t="s">
        <v>1</v>
      </c>
      <c r="I327" s="1">
        <f t="shared" si="52"/>
        <v>0</v>
      </c>
      <c r="J327" s="1" t="s">
        <v>1</v>
      </c>
      <c r="K327" s="1">
        <f t="shared" si="53"/>
        <v>0</v>
      </c>
      <c r="L327" s="1" t="s">
        <v>1</v>
      </c>
      <c r="M327" s="1">
        <f t="shared" si="54"/>
        <v>0</v>
      </c>
      <c r="N327" s="1" t="s">
        <v>1</v>
      </c>
      <c r="O327" s="8">
        <v>0.35799999999999998</v>
      </c>
      <c r="P327" s="7">
        <v>0.6</v>
      </c>
      <c r="Q327" s="3">
        <f>4/16</f>
        <v>0.25</v>
      </c>
      <c r="R327" s="10">
        <f t="shared" si="55"/>
        <v>-7.1999999999999993</v>
      </c>
      <c r="S327" s="13">
        <v>17.7</v>
      </c>
      <c r="T327" s="13">
        <v>24.9</v>
      </c>
      <c r="U327" s="10">
        <v>26</v>
      </c>
      <c r="V327" s="10">
        <v>37</v>
      </c>
      <c r="W327" s="10">
        <f t="shared" si="56"/>
        <v>-11</v>
      </c>
      <c r="X327" s="9" t="s">
        <v>1</v>
      </c>
      <c r="Y327" s="11">
        <f t="shared" si="57"/>
        <v>0</v>
      </c>
      <c r="Z327" s="14">
        <v>1</v>
      </c>
    </row>
    <row r="328" spans="1:26" x14ac:dyDescent="0.2">
      <c r="A328" s="12">
        <v>2008</v>
      </c>
      <c r="B328" s="1" t="s">
        <v>32</v>
      </c>
      <c r="C328" s="1">
        <v>17</v>
      </c>
      <c r="D328" s="15">
        <v>215000000</v>
      </c>
      <c r="E328" s="15">
        <f>(292.7/215.3)*215000000</f>
        <v>292292150.48769158</v>
      </c>
      <c r="F328" s="10">
        <f t="shared" si="51"/>
        <v>40.700000000000003</v>
      </c>
      <c r="G328" s="5">
        <f>2369/16</f>
        <v>148.0625</v>
      </c>
      <c r="H328" s="4" t="s">
        <v>1</v>
      </c>
      <c r="I328" s="1">
        <f t="shared" si="52"/>
        <v>0</v>
      </c>
      <c r="J328" s="1" t="s">
        <v>1</v>
      </c>
      <c r="K328" s="1">
        <f t="shared" si="53"/>
        <v>0</v>
      </c>
      <c r="L328" s="1" t="s">
        <v>1</v>
      </c>
      <c r="M328" s="1">
        <f t="shared" si="54"/>
        <v>0</v>
      </c>
      <c r="N328" s="1" t="s">
        <v>1</v>
      </c>
      <c r="O328" s="8">
        <v>0.28499999999999998</v>
      </c>
      <c r="P328" s="7">
        <v>0.40500000000000003</v>
      </c>
      <c r="Q328" s="3">
        <f>5/16</f>
        <v>0.3125</v>
      </c>
      <c r="R328" s="10">
        <f t="shared" si="55"/>
        <v>-7.9000000000000021</v>
      </c>
      <c r="S328" s="13">
        <v>16.399999999999999</v>
      </c>
      <c r="T328" s="13">
        <v>24.3</v>
      </c>
      <c r="U328" s="10">
        <v>24</v>
      </c>
      <c r="V328" s="10">
        <v>23</v>
      </c>
      <c r="W328" s="10">
        <f t="shared" si="56"/>
        <v>1</v>
      </c>
      <c r="X328" s="9" t="s">
        <v>1</v>
      </c>
      <c r="Y328" s="11">
        <f t="shared" si="57"/>
        <v>0</v>
      </c>
      <c r="Z328" s="14">
        <v>2</v>
      </c>
    </row>
    <row r="329" spans="1:26" x14ac:dyDescent="0.2">
      <c r="A329" s="12">
        <f t="shared" ref="A329:A339" si="58">A328+1</f>
        <v>2009</v>
      </c>
      <c r="B329" s="1" t="s">
        <v>32</v>
      </c>
      <c r="C329" s="1">
        <v>17</v>
      </c>
      <c r="D329" s="15">
        <v>217000000</v>
      </c>
      <c r="E329" s="15">
        <f>(292.7/214.5)*217000000</f>
        <v>296111421.9114219</v>
      </c>
      <c r="F329" s="10">
        <f t="shared" si="51"/>
        <v>36</v>
      </c>
      <c r="G329" s="5">
        <f>2557/16</f>
        <v>159.8125</v>
      </c>
      <c r="H329" s="4" t="s">
        <v>2</v>
      </c>
      <c r="I329" s="1">
        <f t="shared" si="52"/>
        <v>1</v>
      </c>
      <c r="J329" s="1" t="s">
        <v>1</v>
      </c>
      <c r="K329" s="1">
        <f t="shared" si="53"/>
        <v>0</v>
      </c>
      <c r="L329" s="1" t="s">
        <v>2</v>
      </c>
      <c r="M329" s="1">
        <f t="shared" si="54"/>
        <v>1</v>
      </c>
      <c r="N329" s="1" t="s">
        <v>1</v>
      </c>
      <c r="O329" s="8">
        <v>0.29599999999999999</v>
      </c>
      <c r="P329" s="7">
        <v>0.41399999999999998</v>
      </c>
      <c r="Q329" s="3">
        <f>5/16</f>
        <v>0.3125</v>
      </c>
      <c r="R329" s="10">
        <f t="shared" si="55"/>
        <v>-11.399999999999999</v>
      </c>
      <c r="S329" s="13">
        <v>12.3</v>
      </c>
      <c r="T329" s="13">
        <v>23.7</v>
      </c>
      <c r="U329" s="10">
        <v>20</v>
      </c>
      <c r="V329" s="10">
        <v>33</v>
      </c>
      <c r="W329" s="10">
        <f t="shared" si="56"/>
        <v>-13</v>
      </c>
      <c r="X329" s="9" t="s">
        <v>1</v>
      </c>
      <c r="Y329" s="11">
        <f t="shared" si="57"/>
        <v>0</v>
      </c>
      <c r="Z329" s="14">
        <v>3</v>
      </c>
    </row>
    <row r="330" spans="1:26" x14ac:dyDescent="0.2">
      <c r="A330" s="12">
        <f t="shared" si="58"/>
        <v>2010</v>
      </c>
      <c r="B330" s="1" t="s">
        <v>32</v>
      </c>
      <c r="C330" s="1">
        <v>17</v>
      </c>
      <c r="D330" s="15">
        <v>217000000</v>
      </c>
      <c r="E330" s="15">
        <f>(292.7/218.1)*217000000</f>
        <v>291223750.57313162</v>
      </c>
      <c r="F330" s="10">
        <f t="shared" si="51"/>
        <v>48.8</v>
      </c>
      <c r="G330" s="5">
        <f>3180/16</f>
        <v>198.75</v>
      </c>
      <c r="H330" s="4" t="s">
        <v>2</v>
      </c>
      <c r="I330" s="1">
        <f t="shared" si="52"/>
        <v>1</v>
      </c>
      <c r="J330" s="1" t="s">
        <v>1</v>
      </c>
      <c r="K330" s="1">
        <f t="shared" si="53"/>
        <v>0</v>
      </c>
      <c r="L330" s="1" t="s">
        <v>2</v>
      </c>
      <c r="M330" s="1">
        <f t="shared" si="54"/>
        <v>1</v>
      </c>
      <c r="N330" s="1" t="s">
        <v>1</v>
      </c>
      <c r="O330" s="8">
        <v>0.34100000000000003</v>
      </c>
      <c r="P330" s="7">
        <v>0.52100000000000002</v>
      </c>
      <c r="Q330" s="3">
        <f>8/16</f>
        <v>0.5</v>
      </c>
      <c r="R330" s="10">
        <f t="shared" si="55"/>
        <v>2.4000000000000021</v>
      </c>
      <c r="S330" s="13">
        <v>25.6</v>
      </c>
      <c r="T330" s="13">
        <v>23.2</v>
      </c>
      <c r="U330" s="10">
        <v>24</v>
      </c>
      <c r="V330" s="10">
        <v>26</v>
      </c>
      <c r="W330" s="10">
        <f t="shared" si="56"/>
        <v>-2</v>
      </c>
      <c r="X330" s="9" t="s">
        <v>1</v>
      </c>
      <c r="Y330" s="11">
        <f t="shared" si="57"/>
        <v>0</v>
      </c>
      <c r="Z330" s="14">
        <v>4</v>
      </c>
    </row>
    <row r="331" spans="1:26" x14ac:dyDescent="0.2">
      <c r="A331" s="12">
        <f t="shared" si="58"/>
        <v>2011</v>
      </c>
      <c r="B331" s="1" t="s">
        <v>32</v>
      </c>
      <c r="C331" s="1">
        <v>17</v>
      </c>
      <c r="D331" s="15">
        <v>226000000</v>
      </c>
      <c r="E331" s="15">
        <f>(292.7/224.9)*226000000</f>
        <v>294131614.05068916</v>
      </c>
      <c r="F331" s="10">
        <f t="shared" si="51"/>
        <v>49.5</v>
      </c>
      <c r="G331" s="5">
        <f>3962/16</f>
        <v>247.625</v>
      </c>
      <c r="H331" s="4" t="s">
        <v>2</v>
      </c>
      <c r="I331" s="1">
        <f t="shared" si="52"/>
        <v>1</v>
      </c>
      <c r="J331" s="1" t="s">
        <v>1</v>
      </c>
      <c r="K331" s="1">
        <f t="shared" si="53"/>
        <v>0</v>
      </c>
      <c r="L331" s="1" t="s">
        <v>2</v>
      </c>
      <c r="M331" s="1">
        <f t="shared" si="54"/>
        <v>1</v>
      </c>
      <c r="N331" s="1" t="s">
        <v>1</v>
      </c>
      <c r="O331" s="8">
        <v>0.35699999999999998</v>
      </c>
      <c r="P331" s="7">
        <v>0.51100000000000001</v>
      </c>
      <c r="Q331" s="3">
        <v>0.5</v>
      </c>
      <c r="R331" s="10">
        <f t="shared" si="55"/>
        <v>-4.7000000000000028</v>
      </c>
      <c r="S331" s="13">
        <v>22.4</v>
      </c>
      <c r="T331" s="13">
        <v>27.1</v>
      </c>
      <c r="U331" s="10">
        <v>26</v>
      </c>
      <c r="V331" s="10">
        <v>30</v>
      </c>
      <c r="W331" s="10">
        <f t="shared" si="56"/>
        <v>-4</v>
      </c>
      <c r="X331" s="9" t="s">
        <v>1</v>
      </c>
      <c r="Y331" s="11">
        <f t="shared" si="57"/>
        <v>0</v>
      </c>
      <c r="Z331" s="14">
        <v>4</v>
      </c>
    </row>
    <row r="332" spans="1:26" x14ac:dyDescent="0.2">
      <c r="A332" s="12">
        <f t="shared" si="58"/>
        <v>2012</v>
      </c>
      <c r="B332" s="1" t="s">
        <v>32</v>
      </c>
      <c r="C332" s="1">
        <v>17</v>
      </c>
      <c r="D332" s="15">
        <v>229000000</v>
      </c>
      <c r="E332" s="15">
        <f>(292.7/229.6)*229000000</f>
        <v>291935104.52961671</v>
      </c>
      <c r="F332" s="10">
        <f t="shared" si="51"/>
        <v>45.8</v>
      </c>
      <c r="G332" s="5">
        <f>4084/16</f>
        <v>255.25</v>
      </c>
      <c r="H332" s="4" t="s">
        <v>2</v>
      </c>
      <c r="I332" s="1">
        <f t="shared" si="52"/>
        <v>1</v>
      </c>
      <c r="J332" s="1" t="s">
        <v>1</v>
      </c>
      <c r="K332" s="1">
        <f t="shared" si="53"/>
        <v>0</v>
      </c>
      <c r="L332" s="1" t="s">
        <v>2</v>
      </c>
      <c r="M332" s="1">
        <f t="shared" si="54"/>
        <v>1</v>
      </c>
      <c r="N332" s="1" t="s">
        <v>1</v>
      </c>
      <c r="O332" s="8">
        <v>0.35</v>
      </c>
      <c r="P332" s="7">
        <v>0.42899999999999999</v>
      </c>
      <c r="Q332" s="3">
        <f>4/16</f>
        <v>0.25</v>
      </c>
      <c r="R332" s="10">
        <f t="shared" si="55"/>
        <v>-9.5999999999999979</v>
      </c>
      <c r="S332" s="13">
        <v>18.100000000000001</v>
      </c>
      <c r="T332" s="13">
        <v>27.7</v>
      </c>
      <c r="U332" s="10">
        <v>19</v>
      </c>
      <c r="V332" s="10">
        <v>26</v>
      </c>
      <c r="W332" s="10">
        <f t="shared" si="56"/>
        <v>-7</v>
      </c>
      <c r="X332" s="9" t="s">
        <v>1</v>
      </c>
      <c r="Y332" s="11">
        <f t="shared" si="57"/>
        <v>0</v>
      </c>
      <c r="Z332" s="14">
        <v>1</v>
      </c>
    </row>
    <row r="333" spans="1:26" x14ac:dyDescent="0.2">
      <c r="A333" s="12">
        <f t="shared" si="58"/>
        <v>2013</v>
      </c>
      <c r="B333" s="1" t="s">
        <v>32</v>
      </c>
      <c r="C333" s="1">
        <v>17</v>
      </c>
      <c r="D333" s="15">
        <v>244000000</v>
      </c>
      <c r="E333" s="15">
        <f>(292.7/233)*244000000</f>
        <v>306518454.93562233</v>
      </c>
      <c r="F333" s="10">
        <f t="shared" si="51"/>
        <v>48.400000000000006</v>
      </c>
      <c r="G333" s="5">
        <f>3340/16</f>
        <v>208.75</v>
      </c>
      <c r="H333" s="4" t="s">
        <v>2</v>
      </c>
      <c r="I333" s="1">
        <f t="shared" si="52"/>
        <v>1</v>
      </c>
      <c r="J333" s="1" t="s">
        <v>1</v>
      </c>
      <c r="K333" s="1">
        <f t="shared" si="53"/>
        <v>0</v>
      </c>
      <c r="L333" s="1" t="s">
        <v>2</v>
      </c>
      <c r="M333" s="1">
        <f t="shared" si="54"/>
        <v>1</v>
      </c>
      <c r="N333" s="1" t="s">
        <v>1</v>
      </c>
      <c r="O333" s="8">
        <v>0.35</v>
      </c>
      <c r="P333" s="7">
        <v>0.59499999999999997</v>
      </c>
      <c r="Q333" s="3">
        <f>4/16</f>
        <v>0.25</v>
      </c>
      <c r="R333" s="10">
        <f t="shared" si="55"/>
        <v>-8.1999999999999993</v>
      </c>
      <c r="S333" s="13">
        <v>20.100000000000001</v>
      </c>
      <c r="T333" s="13">
        <v>28.3</v>
      </c>
      <c r="U333" s="10">
        <v>22</v>
      </c>
      <c r="V333" s="10">
        <v>31</v>
      </c>
      <c r="W333" s="10">
        <f t="shared" si="56"/>
        <v>-9</v>
      </c>
      <c r="X333" s="9" t="s">
        <v>1</v>
      </c>
      <c r="Y333" s="11">
        <f t="shared" si="57"/>
        <v>0</v>
      </c>
      <c r="Z333" s="14">
        <v>1</v>
      </c>
    </row>
    <row r="334" spans="1:26" x14ac:dyDescent="0.2">
      <c r="A334" s="12">
        <f t="shared" si="58"/>
        <v>2014</v>
      </c>
      <c r="B334" s="1" t="s">
        <v>32</v>
      </c>
      <c r="C334" s="1">
        <v>17</v>
      </c>
      <c r="D334" s="15">
        <v>285000000</v>
      </c>
      <c r="E334" s="15">
        <f>(292.7/236.7)*285000000</f>
        <v>352427122.94043088</v>
      </c>
      <c r="F334" s="10">
        <f t="shared" si="51"/>
        <v>44.1</v>
      </c>
      <c r="G334" s="5">
        <f>3275/16</f>
        <v>204.6875</v>
      </c>
      <c r="H334" s="4" t="s">
        <v>2</v>
      </c>
      <c r="I334" s="1">
        <f t="shared" si="52"/>
        <v>1</v>
      </c>
      <c r="J334" s="1" t="s">
        <v>1</v>
      </c>
      <c r="K334" s="1">
        <f t="shared" si="53"/>
        <v>0</v>
      </c>
      <c r="L334" s="1" t="s">
        <v>2</v>
      </c>
      <c r="M334" s="1">
        <f t="shared" si="54"/>
        <v>1</v>
      </c>
      <c r="N334" s="1" t="s">
        <v>1</v>
      </c>
      <c r="O334" s="8">
        <v>0.33900000000000002</v>
      </c>
      <c r="P334" s="7">
        <v>0.72399999999999998</v>
      </c>
      <c r="Q334" s="3">
        <f>3/16</f>
        <v>0.1875</v>
      </c>
      <c r="R334" s="10">
        <f t="shared" si="55"/>
        <v>-12.5</v>
      </c>
      <c r="S334" s="13">
        <v>15.8</v>
      </c>
      <c r="T334" s="13">
        <v>28.3</v>
      </c>
      <c r="U334" s="10">
        <v>5</v>
      </c>
      <c r="V334" s="10">
        <v>13</v>
      </c>
      <c r="W334" s="10">
        <f t="shared" si="56"/>
        <v>-8</v>
      </c>
      <c r="X334" s="9" t="s">
        <v>1</v>
      </c>
      <c r="Y334" s="11">
        <f t="shared" si="57"/>
        <v>0</v>
      </c>
      <c r="Z334" s="14">
        <v>1</v>
      </c>
    </row>
    <row r="335" spans="1:26" x14ac:dyDescent="0.2">
      <c r="A335" s="12">
        <f t="shared" si="58"/>
        <v>2015</v>
      </c>
      <c r="B335" s="1" t="s">
        <v>32</v>
      </c>
      <c r="C335" s="1">
        <v>17</v>
      </c>
      <c r="D335" s="15">
        <v>301000000</v>
      </c>
      <c r="E335" s="15">
        <f>(292.7/237)*301000000</f>
        <v>371741350.21097046</v>
      </c>
      <c r="F335" s="10">
        <f t="shared" si="51"/>
        <v>47.3</v>
      </c>
      <c r="G335" s="5">
        <f>3879/16</f>
        <v>242.4375</v>
      </c>
      <c r="H335" s="4" t="s">
        <v>2</v>
      </c>
      <c r="I335" s="1">
        <f t="shared" si="52"/>
        <v>1</v>
      </c>
      <c r="J335" s="1" t="s">
        <v>1</v>
      </c>
      <c r="K335" s="1">
        <f t="shared" si="53"/>
        <v>0</v>
      </c>
      <c r="L335" s="1" t="s">
        <v>2</v>
      </c>
      <c r="M335" s="1">
        <f t="shared" si="54"/>
        <v>1</v>
      </c>
      <c r="N335" s="1" t="s">
        <v>2</v>
      </c>
      <c r="O335" s="8">
        <v>0.39100000000000001</v>
      </c>
      <c r="P335" s="7">
        <v>0.61</v>
      </c>
      <c r="Q335" s="3">
        <f>7/16</f>
        <v>0.4375</v>
      </c>
      <c r="R335" s="10">
        <f t="shared" si="55"/>
        <v>-2.5</v>
      </c>
      <c r="S335" s="13">
        <v>22.4</v>
      </c>
      <c r="T335" s="13">
        <v>24.9</v>
      </c>
      <c r="U335" s="10">
        <v>25</v>
      </c>
      <c r="V335" s="10">
        <v>24</v>
      </c>
      <c r="W335" s="10">
        <f t="shared" si="56"/>
        <v>1</v>
      </c>
      <c r="X335" s="9" t="s">
        <v>1</v>
      </c>
      <c r="Y335" s="11">
        <f t="shared" si="57"/>
        <v>0</v>
      </c>
      <c r="Z335" s="14">
        <v>5</v>
      </c>
    </row>
    <row r="336" spans="1:26" x14ac:dyDescent="0.2">
      <c r="A336" s="12">
        <f t="shared" si="58"/>
        <v>2016</v>
      </c>
      <c r="B336" s="1" t="s">
        <v>32</v>
      </c>
      <c r="C336" s="1">
        <v>17</v>
      </c>
      <c r="D336" s="15">
        <v>321000000</v>
      </c>
      <c r="E336" s="15">
        <f>(292.7/240)*321000000</f>
        <v>391486250</v>
      </c>
      <c r="F336" s="10">
        <f t="shared" si="51"/>
        <v>50.1</v>
      </c>
      <c r="G336" s="5">
        <f>4051/16</f>
        <v>253.1875</v>
      </c>
      <c r="H336" s="4" t="s">
        <v>2</v>
      </c>
      <c r="I336" s="1">
        <f t="shared" si="52"/>
        <v>1</v>
      </c>
      <c r="J336" s="1" t="s">
        <v>1</v>
      </c>
      <c r="K336" s="1">
        <f t="shared" si="53"/>
        <v>0</v>
      </c>
      <c r="L336" s="1" t="s">
        <v>2</v>
      </c>
      <c r="M336" s="1">
        <f t="shared" si="54"/>
        <v>1</v>
      </c>
      <c r="N336" s="1" t="s">
        <v>2</v>
      </c>
      <c r="O336" s="8">
        <v>0.38100000000000001</v>
      </c>
      <c r="P336" s="7">
        <v>0.57099999999999995</v>
      </c>
      <c r="Q336" s="3">
        <f>12/16</f>
        <v>0.75</v>
      </c>
      <c r="R336" s="10">
        <f t="shared" si="55"/>
        <v>1.8999999999999986</v>
      </c>
      <c r="S336" s="13">
        <v>26</v>
      </c>
      <c r="T336" s="13">
        <v>24.1</v>
      </c>
      <c r="U336" s="10">
        <v>30</v>
      </c>
      <c r="V336" s="10">
        <v>14</v>
      </c>
      <c r="W336" s="10">
        <f t="shared" si="56"/>
        <v>16</v>
      </c>
      <c r="X336" s="9" t="s">
        <v>2</v>
      </c>
      <c r="Y336" s="11">
        <f t="shared" si="57"/>
        <v>1</v>
      </c>
      <c r="Z336" s="14">
        <v>7</v>
      </c>
    </row>
    <row r="337" spans="1:26" x14ac:dyDescent="0.2">
      <c r="A337" s="12">
        <f t="shared" si="58"/>
        <v>2017</v>
      </c>
      <c r="B337" s="1" t="s">
        <v>32</v>
      </c>
      <c r="C337" s="1">
        <v>17</v>
      </c>
      <c r="D337" s="15">
        <v>335000000</v>
      </c>
      <c r="E337" s="15">
        <f>(292.7/245.1)*335000000</f>
        <v>400059159.5267238</v>
      </c>
      <c r="F337" s="10">
        <f t="shared" si="51"/>
        <v>42.1</v>
      </c>
      <c r="G337" s="5">
        <f>3631/16</f>
        <v>226.9375</v>
      </c>
      <c r="H337" s="4" t="s">
        <v>2</v>
      </c>
      <c r="I337" s="1">
        <f t="shared" si="52"/>
        <v>1</v>
      </c>
      <c r="J337" s="1" t="s">
        <v>1</v>
      </c>
      <c r="K337" s="1">
        <f t="shared" si="53"/>
        <v>0</v>
      </c>
      <c r="L337" s="1" t="s">
        <v>2</v>
      </c>
      <c r="M337" s="1">
        <f t="shared" si="54"/>
        <v>1</v>
      </c>
      <c r="N337" s="1" t="s">
        <v>2</v>
      </c>
      <c r="O337" s="8">
        <v>0.40200000000000002</v>
      </c>
      <c r="P337" s="7">
        <v>0.58799999999999997</v>
      </c>
      <c r="Q337" s="3">
        <f>6/16</f>
        <v>0.375</v>
      </c>
      <c r="R337" s="10">
        <f t="shared" si="55"/>
        <v>-4.5</v>
      </c>
      <c r="S337" s="13">
        <v>18.8</v>
      </c>
      <c r="T337" s="13">
        <v>23.3</v>
      </c>
      <c r="U337" s="10">
        <v>14</v>
      </c>
      <c r="V337" s="10">
        <v>28</v>
      </c>
      <c r="W337" s="10">
        <f t="shared" si="56"/>
        <v>-14</v>
      </c>
      <c r="X337" s="9" t="s">
        <v>1</v>
      </c>
      <c r="Y337" s="11">
        <f t="shared" si="57"/>
        <v>0</v>
      </c>
      <c r="Z337" s="14">
        <v>5</v>
      </c>
    </row>
    <row r="338" spans="1:26" x14ac:dyDescent="0.2">
      <c r="A338" s="12">
        <f t="shared" si="58"/>
        <v>2018</v>
      </c>
      <c r="B338" s="1" t="s">
        <v>32</v>
      </c>
      <c r="C338" s="1">
        <v>17</v>
      </c>
      <c r="D338" s="15">
        <v>357000000</v>
      </c>
      <c r="E338" s="15">
        <f>(292.7/251.1)*357000000</f>
        <v>416144563.9187575</v>
      </c>
      <c r="F338" s="10">
        <f t="shared" si="51"/>
        <v>47.3</v>
      </c>
      <c r="G338" s="5">
        <f>3751/16</f>
        <v>234.4375</v>
      </c>
      <c r="H338" s="4" t="s">
        <v>1</v>
      </c>
      <c r="I338" s="1">
        <f t="shared" si="52"/>
        <v>0</v>
      </c>
      <c r="J338" s="1" t="s">
        <v>2</v>
      </c>
      <c r="K338" s="1">
        <f t="shared" si="53"/>
        <v>1</v>
      </c>
      <c r="L338" s="1" t="s">
        <v>2</v>
      </c>
      <c r="M338" s="1">
        <f t="shared" si="54"/>
        <v>1</v>
      </c>
      <c r="N338" s="1" t="s">
        <v>2</v>
      </c>
      <c r="O338" s="8">
        <v>0.371</v>
      </c>
      <c r="P338" s="7">
        <v>0.53500000000000003</v>
      </c>
      <c r="Q338" s="3">
        <f>4/16</f>
        <v>0.25</v>
      </c>
      <c r="R338" s="10">
        <f t="shared" si="55"/>
        <v>-11.099999999999998</v>
      </c>
      <c r="S338" s="13">
        <v>18.100000000000001</v>
      </c>
      <c r="T338" s="13">
        <v>29.2</v>
      </c>
      <c r="U338" s="10">
        <v>17</v>
      </c>
      <c r="V338" s="10">
        <v>24</v>
      </c>
      <c r="W338" s="10">
        <f t="shared" si="56"/>
        <v>-7</v>
      </c>
      <c r="X338" s="9" t="s">
        <v>1</v>
      </c>
      <c r="Y338" s="11">
        <f t="shared" si="57"/>
        <v>0</v>
      </c>
      <c r="Z338" s="14">
        <v>1</v>
      </c>
    </row>
    <row r="339" spans="1:26" x14ac:dyDescent="0.2">
      <c r="A339" s="12">
        <f t="shared" si="58"/>
        <v>2019</v>
      </c>
      <c r="B339" s="1" t="s">
        <v>32</v>
      </c>
      <c r="C339" s="1">
        <v>17</v>
      </c>
      <c r="D339" s="15">
        <v>383000000</v>
      </c>
      <c r="E339" s="15">
        <f>(292.7/255.7)*383000000</f>
        <v>438420414.54829884</v>
      </c>
      <c r="F339" s="10">
        <f t="shared" si="51"/>
        <v>45.8</v>
      </c>
      <c r="G339" s="5">
        <f>3926/16</f>
        <v>245.375</v>
      </c>
      <c r="H339" s="4" t="s">
        <v>1</v>
      </c>
      <c r="I339" s="1">
        <f t="shared" si="52"/>
        <v>0</v>
      </c>
      <c r="J339" s="1" t="s">
        <v>2</v>
      </c>
      <c r="K339" s="1">
        <f t="shared" si="53"/>
        <v>1</v>
      </c>
      <c r="L339" s="1" t="s">
        <v>2</v>
      </c>
      <c r="M339" s="1">
        <f t="shared" si="54"/>
        <v>1</v>
      </c>
      <c r="N339" s="1" t="s">
        <v>2</v>
      </c>
      <c r="O339" s="8">
        <v>0.438</v>
      </c>
      <c r="P339" s="7">
        <v>0.52800000000000002</v>
      </c>
      <c r="Q339" s="3">
        <f>7/16</f>
        <v>0.4375</v>
      </c>
      <c r="R339" s="10">
        <f t="shared" si="55"/>
        <v>-6.5999999999999979</v>
      </c>
      <c r="S339" s="13">
        <v>19.600000000000001</v>
      </c>
      <c r="T339" s="13">
        <v>26.2</v>
      </c>
      <c r="U339" s="10">
        <v>15</v>
      </c>
      <c r="V339" s="10">
        <v>17</v>
      </c>
      <c r="W339" s="10">
        <f t="shared" si="56"/>
        <v>-2</v>
      </c>
      <c r="X339" s="9" t="s">
        <v>1</v>
      </c>
      <c r="Y339" s="11">
        <f t="shared" si="57"/>
        <v>0</v>
      </c>
      <c r="Z339" s="14">
        <v>2</v>
      </c>
    </row>
    <row r="340" spans="1:26" x14ac:dyDescent="0.2">
      <c r="A340" s="12">
        <v>2021</v>
      </c>
      <c r="B340" s="1" t="s">
        <v>33</v>
      </c>
      <c r="C340" s="1">
        <v>17</v>
      </c>
      <c r="D340" s="15">
        <v>563000000</v>
      </c>
      <c r="E340" s="15">
        <f>(292.7/271)*563000000</f>
        <v>608081549.81549811</v>
      </c>
      <c r="F340" s="10">
        <f t="shared" si="51"/>
        <v>47.8</v>
      </c>
      <c r="G340" s="5">
        <f>4567/17</f>
        <v>268.64705882352939</v>
      </c>
      <c r="H340" s="4" t="s">
        <v>1</v>
      </c>
      <c r="I340" s="1">
        <f t="shared" si="52"/>
        <v>0</v>
      </c>
      <c r="J340" s="1" t="s">
        <v>2</v>
      </c>
      <c r="K340" s="1">
        <f t="shared" si="53"/>
        <v>1</v>
      </c>
      <c r="L340" s="1" t="s">
        <v>2</v>
      </c>
      <c r="M340" s="1">
        <f t="shared" si="54"/>
        <v>1</v>
      </c>
      <c r="N340" s="1" t="s">
        <v>2</v>
      </c>
      <c r="O340" s="8">
        <v>0.374</v>
      </c>
      <c r="P340" s="7">
        <v>0.51700000000000002</v>
      </c>
      <c r="Q340" s="3">
        <f>10/17</f>
        <v>0.58823529411764708</v>
      </c>
      <c r="R340" s="10">
        <f t="shared" si="55"/>
        <v>-3.8000000000000007</v>
      </c>
      <c r="S340" s="13">
        <v>22</v>
      </c>
      <c r="T340" s="13">
        <v>25.8</v>
      </c>
      <c r="U340" s="10">
        <v>15</v>
      </c>
      <c r="V340" s="10">
        <v>24</v>
      </c>
      <c r="W340" s="10">
        <f t="shared" si="56"/>
        <v>-9</v>
      </c>
      <c r="X340" s="9" t="s">
        <v>2</v>
      </c>
      <c r="Y340" s="11">
        <f t="shared" si="57"/>
        <v>1</v>
      </c>
      <c r="Z340" s="14">
        <v>4</v>
      </c>
    </row>
    <row r="341" spans="1:26" x14ac:dyDescent="0.2">
      <c r="A341" s="12">
        <f>A340+1</f>
        <v>2022</v>
      </c>
      <c r="B341" s="1" t="s">
        <v>33</v>
      </c>
      <c r="C341" s="1">
        <v>17</v>
      </c>
      <c r="D341" s="15">
        <v>729000000</v>
      </c>
      <c r="E341" s="15">
        <f>(292.7/292.7)*729000000</f>
        <v>729000000</v>
      </c>
      <c r="F341" s="10">
        <f t="shared" si="51"/>
        <v>47.8</v>
      </c>
      <c r="G341" s="5">
        <f>3934/17</f>
        <v>231.41176470588235</v>
      </c>
      <c r="H341" s="4" t="s">
        <v>1</v>
      </c>
      <c r="I341" s="1">
        <f t="shared" si="52"/>
        <v>0</v>
      </c>
      <c r="J341" s="1" t="s">
        <v>2</v>
      </c>
      <c r="K341" s="1">
        <f t="shared" si="53"/>
        <v>1</v>
      </c>
      <c r="L341" s="1" t="s">
        <v>2</v>
      </c>
      <c r="M341" s="1">
        <f t="shared" si="54"/>
        <v>1</v>
      </c>
      <c r="N341" s="1" t="s">
        <v>2</v>
      </c>
      <c r="O341" s="8">
        <v>0.39900000000000002</v>
      </c>
      <c r="P341" s="7">
        <v>0.47899999999999998</v>
      </c>
      <c r="Q341" s="3">
        <f>6/17</f>
        <v>0.35294117647058826</v>
      </c>
      <c r="R341" s="10">
        <f t="shared" si="55"/>
        <v>-1.4000000000000021</v>
      </c>
      <c r="S341" s="13">
        <v>23.2</v>
      </c>
      <c r="T341" s="13">
        <v>24.6</v>
      </c>
      <c r="U341" s="10">
        <v>13</v>
      </c>
      <c r="V341" s="10">
        <v>21</v>
      </c>
      <c r="W341" s="10">
        <f t="shared" si="56"/>
        <v>-8</v>
      </c>
      <c r="X341" s="9" t="s">
        <v>1</v>
      </c>
      <c r="Y341" s="11">
        <f t="shared" si="57"/>
        <v>0</v>
      </c>
      <c r="Z341" s="14">
        <v>5</v>
      </c>
    </row>
    <row r="342" spans="1:26" x14ac:dyDescent="0.2">
      <c r="A342" s="12">
        <v>2002</v>
      </c>
      <c r="B342" s="1" t="s">
        <v>34</v>
      </c>
      <c r="C342" s="1">
        <v>18</v>
      </c>
      <c r="D342" s="15">
        <v>140000000</v>
      </c>
      <c r="E342" s="15">
        <f>(292.7/179.9)*140000000</f>
        <v>227782101.16731519</v>
      </c>
      <c r="F342" s="10">
        <f t="shared" si="51"/>
        <v>43.7</v>
      </c>
      <c r="G342" s="5">
        <f>3188/16</f>
        <v>199.25</v>
      </c>
      <c r="H342" s="4" t="s">
        <v>1</v>
      </c>
      <c r="I342" s="1">
        <f t="shared" si="52"/>
        <v>0</v>
      </c>
      <c r="J342" s="1" t="s">
        <v>1</v>
      </c>
      <c r="K342" s="1">
        <f t="shared" si="53"/>
        <v>0</v>
      </c>
      <c r="L342" s="1" t="s">
        <v>1</v>
      </c>
      <c r="M342" s="1">
        <f t="shared" si="54"/>
        <v>0</v>
      </c>
      <c r="N342" s="1" t="s">
        <v>1</v>
      </c>
      <c r="O342" s="8">
        <v>0.371</v>
      </c>
      <c r="P342" s="7">
        <v>0.61199999999999999</v>
      </c>
      <c r="Q342" s="3">
        <f>8/16</f>
        <v>0.5</v>
      </c>
      <c r="R342" s="10">
        <f t="shared" si="55"/>
        <v>-2.0999999999999979</v>
      </c>
      <c r="S342" s="13">
        <v>20.8</v>
      </c>
      <c r="T342" s="13">
        <v>22.9</v>
      </c>
      <c r="U342" s="10">
        <v>27</v>
      </c>
      <c r="V342" s="10">
        <v>24</v>
      </c>
      <c r="W342" s="10">
        <f t="shared" si="56"/>
        <v>3</v>
      </c>
      <c r="X342" s="9" t="s">
        <v>1</v>
      </c>
      <c r="Y342" s="11">
        <f t="shared" si="57"/>
        <v>0</v>
      </c>
      <c r="Z342" s="14">
        <v>3</v>
      </c>
    </row>
    <row r="343" spans="1:26" x14ac:dyDescent="0.2">
      <c r="A343" s="12">
        <f>A342+1</f>
        <v>2003</v>
      </c>
      <c r="B343" s="1" t="s">
        <v>34</v>
      </c>
      <c r="C343" s="1">
        <v>18</v>
      </c>
      <c r="D343" s="15">
        <v>148000000</v>
      </c>
      <c r="E343" s="15">
        <f>(292.7/184)*148000000</f>
        <v>235432608.69565216</v>
      </c>
      <c r="F343" s="10">
        <f t="shared" si="51"/>
        <v>47.2</v>
      </c>
      <c r="G343" s="5">
        <f>3021/16</f>
        <v>188.8125</v>
      </c>
      <c r="H343" s="4" t="s">
        <v>1</v>
      </c>
      <c r="I343" s="1">
        <f t="shared" si="52"/>
        <v>0</v>
      </c>
      <c r="J343" s="1" t="s">
        <v>1</v>
      </c>
      <c r="K343" s="1">
        <f t="shared" si="53"/>
        <v>0</v>
      </c>
      <c r="L343" s="1" t="s">
        <v>1</v>
      </c>
      <c r="M343" s="1">
        <f t="shared" si="54"/>
        <v>0</v>
      </c>
      <c r="N343" s="1" t="s">
        <v>1</v>
      </c>
      <c r="O343" s="8">
        <v>0.315</v>
      </c>
      <c r="P343" s="7">
        <v>0.47799999999999998</v>
      </c>
      <c r="Q343" s="3">
        <f>4/16</f>
        <v>0.25</v>
      </c>
      <c r="R343" s="10">
        <f t="shared" si="55"/>
        <v>-8</v>
      </c>
      <c r="S343" s="13">
        <v>19.600000000000001</v>
      </c>
      <c r="T343" s="13">
        <v>27.6</v>
      </c>
      <c r="U343" s="10">
        <v>20</v>
      </c>
      <c r="V343" s="10">
        <v>31</v>
      </c>
      <c r="W343" s="10">
        <f t="shared" si="56"/>
        <v>-11</v>
      </c>
      <c r="X343" s="9" t="s">
        <v>1</v>
      </c>
      <c r="Y343" s="11">
        <f t="shared" si="57"/>
        <v>0</v>
      </c>
      <c r="Z343" s="14">
        <v>0</v>
      </c>
    </row>
    <row r="344" spans="1:26" x14ac:dyDescent="0.2">
      <c r="A344" s="12">
        <f>A343+1</f>
        <v>2004</v>
      </c>
      <c r="B344" s="1" t="s">
        <v>34</v>
      </c>
      <c r="C344" s="1">
        <v>18</v>
      </c>
      <c r="D344" s="15">
        <v>165000000</v>
      </c>
      <c r="E344" s="15">
        <f>(292.7/188.9)*165000000</f>
        <v>255667019.5870831</v>
      </c>
      <c r="F344" s="10">
        <f t="shared" si="51"/>
        <v>47.5</v>
      </c>
      <c r="G344" s="5">
        <f>3357/16</f>
        <v>209.8125</v>
      </c>
      <c r="H344" s="4" t="s">
        <v>1</v>
      </c>
      <c r="I344" s="1">
        <f t="shared" si="52"/>
        <v>0</v>
      </c>
      <c r="J344" s="1" t="s">
        <v>1</v>
      </c>
      <c r="K344" s="1">
        <f t="shared" si="53"/>
        <v>0</v>
      </c>
      <c r="L344" s="1" t="s">
        <v>1</v>
      </c>
      <c r="M344" s="1">
        <f t="shared" si="54"/>
        <v>0</v>
      </c>
      <c r="N344" s="1" t="s">
        <v>1</v>
      </c>
      <c r="O344" s="8">
        <v>0.46600000000000003</v>
      </c>
      <c r="P344" s="7">
        <v>0.69799999999999995</v>
      </c>
      <c r="Q344" s="3">
        <f>12/16</f>
        <v>0.75</v>
      </c>
      <c r="R344" s="10">
        <f t="shared" si="55"/>
        <v>8.2999999999999972</v>
      </c>
      <c r="S344" s="13">
        <v>27.9</v>
      </c>
      <c r="T344" s="13">
        <v>19.600000000000001</v>
      </c>
      <c r="U344" s="10">
        <v>33</v>
      </c>
      <c r="V344" s="10">
        <v>18</v>
      </c>
      <c r="W344" s="10">
        <f t="shared" si="56"/>
        <v>15</v>
      </c>
      <c r="X344" s="9" t="s">
        <v>2</v>
      </c>
      <c r="Y344" s="11">
        <f t="shared" si="57"/>
        <v>1</v>
      </c>
      <c r="Z344" s="14">
        <v>3</v>
      </c>
    </row>
    <row r="345" spans="1:26" x14ac:dyDescent="0.2">
      <c r="A345" s="12">
        <f>A344+1</f>
        <v>2005</v>
      </c>
      <c r="B345" s="1" t="s">
        <v>34</v>
      </c>
      <c r="C345" s="1">
        <v>18</v>
      </c>
      <c r="D345" s="15">
        <v>170000000</v>
      </c>
      <c r="E345" s="15">
        <f>(292.7/195.3)*170000000</f>
        <v>254782386.07270861</v>
      </c>
      <c r="F345" s="10">
        <f t="shared" si="51"/>
        <v>45.6</v>
      </c>
      <c r="G345" s="5">
        <f>3495/16</f>
        <v>218.4375</v>
      </c>
      <c r="H345" s="4" t="s">
        <v>1</v>
      </c>
      <c r="I345" s="1">
        <f t="shared" si="52"/>
        <v>0</v>
      </c>
      <c r="J345" s="1" t="s">
        <v>1</v>
      </c>
      <c r="K345" s="1">
        <f t="shared" si="53"/>
        <v>0</v>
      </c>
      <c r="L345" s="1" t="s">
        <v>1</v>
      </c>
      <c r="M345" s="1">
        <f t="shared" si="54"/>
        <v>0</v>
      </c>
      <c r="N345" s="1" t="s">
        <v>1</v>
      </c>
      <c r="O345" s="8">
        <v>0.42299999999999999</v>
      </c>
      <c r="P345" s="7">
        <v>0.7</v>
      </c>
      <c r="Q345" s="3">
        <f>9/16</f>
        <v>0.5625</v>
      </c>
      <c r="R345" s="10">
        <f t="shared" si="55"/>
        <v>6.6000000000000014</v>
      </c>
      <c r="S345" s="13">
        <v>26.1</v>
      </c>
      <c r="T345" s="13">
        <v>19.5</v>
      </c>
      <c r="U345" s="10">
        <v>20</v>
      </c>
      <c r="V345" s="10">
        <v>28</v>
      </c>
      <c r="W345" s="10">
        <f t="shared" si="56"/>
        <v>-8</v>
      </c>
      <c r="X345" s="9" t="s">
        <v>1</v>
      </c>
      <c r="Y345" s="11">
        <f t="shared" si="57"/>
        <v>0</v>
      </c>
      <c r="Z345" s="14">
        <v>6</v>
      </c>
    </row>
    <row r="346" spans="1:26" x14ac:dyDescent="0.2">
      <c r="A346" s="12">
        <f>A345+1</f>
        <v>2006</v>
      </c>
      <c r="B346" s="1" t="s">
        <v>34</v>
      </c>
      <c r="C346" s="1">
        <v>18</v>
      </c>
      <c r="D346" s="15">
        <v>192000000</v>
      </c>
      <c r="E346" s="15">
        <f>(292.7/201.6)*192000000</f>
        <v>278761904.76190478</v>
      </c>
      <c r="F346" s="10">
        <f t="shared" si="51"/>
        <v>49.7</v>
      </c>
      <c r="G346" s="5">
        <f>3262/16</f>
        <v>203.875</v>
      </c>
      <c r="H346" s="4" t="s">
        <v>1</v>
      </c>
      <c r="I346" s="1">
        <f t="shared" si="52"/>
        <v>0</v>
      </c>
      <c r="J346" s="1" t="s">
        <v>1</v>
      </c>
      <c r="K346" s="1">
        <f t="shared" si="53"/>
        <v>0</v>
      </c>
      <c r="L346" s="1" t="s">
        <v>1</v>
      </c>
      <c r="M346" s="1">
        <f t="shared" si="54"/>
        <v>0</v>
      </c>
      <c r="N346" s="1" t="s">
        <v>1</v>
      </c>
      <c r="O346" s="8">
        <v>0.432</v>
      </c>
      <c r="P346" s="7">
        <v>0.67700000000000005</v>
      </c>
      <c r="Q346" s="3">
        <f>14/16</f>
        <v>0.875</v>
      </c>
      <c r="R346" s="10">
        <f t="shared" si="55"/>
        <v>11.900000000000002</v>
      </c>
      <c r="S346" s="13">
        <v>30.8</v>
      </c>
      <c r="T346" s="13">
        <v>18.899999999999999</v>
      </c>
      <c r="U346" s="10">
        <v>28</v>
      </c>
      <c r="V346" s="10">
        <v>15</v>
      </c>
      <c r="W346" s="10">
        <f t="shared" si="56"/>
        <v>13</v>
      </c>
      <c r="X346" s="9" t="s">
        <v>2</v>
      </c>
      <c r="Y346" s="11">
        <f t="shared" si="57"/>
        <v>1</v>
      </c>
      <c r="Z346" s="14">
        <v>11</v>
      </c>
    </row>
    <row r="347" spans="1:26" x14ac:dyDescent="0.2">
      <c r="A347" s="12">
        <f>A346+1</f>
        <v>2007</v>
      </c>
      <c r="B347" s="1" t="s">
        <v>34</v>
      </c>
      <c r="C347" s="1">
        <v>18</v>
      </c>
      <c r="D347" s="15">
        <v>207000000</v>
      </c>
      <c r="E347" s="15">
        <f>(292.7/207.3)*207000000</f>
        <v>292276410.9985528</v>
      </c>
      <c r="F347" s="10">
        <f t="shared" si="51"/>
        <v>43.6</v>
      </c>
      <c r="G347" s="5">
        <f>3005/16</f>
        <v>187.8125</v>
      </c>
      <c r="H347" s="4" t="s">
        <v>1</v>
      </c>
      <c r="I347" s="1">
        <f t="shared" si="52"/>
        <v>0</v>
      </c>
      <c r="J347" s="1" t="s">
        <v>1</v>
      </c>
      <c r="K347" s="1">
        <f t="shared" si="53"/>
        <v>0</v>
      </c>
      <c r="L347" s="1" t="s">
        <v>1</v>
      </c>
      <c r="M347" s="1">
        <f t="shared" si="54"/>
        <v>0</v>
      </c>
      <c r="N347" s="1" t="s">
        <v>1</v>
      </c>
      <c r="O347" s="8">
        <v>0.39300000000000002</v>
      </c>
      <c r="P347" s="7">
        <v>0.55800000000000005</v>
      </c>
      <c r="Q347" s="3">
        <f>11/16</f>
        <v>0.6875</v>
      </c>
      <c r="R347" s="10">
        <f t="shared" si="55"/>
        <v>8</v>
      </c>
      <c r="S347" s="13">
        <v>25.8</v>
      </c>
      <c r="T347" s="13">
        <v>17.8</v>
      </c>
      <c r="U347" s="10">
        <v>48</v>
      </c>
      <c r="V347" s="10">
        <v>24</v>
      </c>
      <c r="W347" s="10">
        <f t="shared" si="56"/>
        <v>24</v>
      </c>
      <c r="X347" s="9" t="s">
        <v>2</v>
      </c>
      <c r="Y347" s="11">
        <f t="shared" si="57"/>
        <v>1</v>
      </c>
      <c r="Z347" s="14">
        <v>9</v>
      </c>
    </row>
    <row r="348" spans="1:26" x14ac:dyDescent="0.2">
      <c r="A348" s="12">
        <v>2008</v>
      </c>
      <c r="B348" s="1" t="s">
        <v>34</v>
      </c>
      <c r="C348" s="1">
        <v>18</v>
      </c>
      <c r="D348" s="15">
        <v>224000000</v>
      </c>
      <c r="E348" s="15">
        <f>(292.7/215.3)*224000000</f>
        <v>304527635.85694379</v>
      </c>
      <c r="F348" s="10">
        <f t="shared" si="51"/>
        <v>49.099999999999994</v>
      </c>
      <c r="G348" s="5">
        <f>3858/16</f>
        <v>241.125</v>
      </c>
      <c r="H348" s="4" t="s">
        <v>1</v>
      </c>
      <c r="I348" s="1">
        <f t="shared" si="52"/>
        <v>0</v>
      </c>
      <c r="J348" s="1" t="s">
        <v>1</v>
      </c>
      <c r="K348" s="1">
        <f t="shared" si="53"/>
        <v>0</v>
      </c>
      <c r="L348" s="1" t="s">
        <v>1</v>
      </c>
      <c r="M348" s="1">
        <f t="shared" si="54"/>
        <v>0</v>
      </c>
      <c r="N348" s="1" t="s">
        <v>1</v>
      </c>
      <c r="O348" s="8">
        <v>0.45900000000000002</v>
      </c>
      <c r="P348" s="7">
        <v>0.56899999999999995</v>
      </c>
      <c r="Q348" s="3">
        <f>8/16</f>
        <v>0.5</v>
      </c>
      <c r="R348" s="10">
        <f t="shared" si="55"/>
        <v>5.6999999999999993</v>
      </c>
      <c r="S348" s="13">
        <v>27.4</v>
      </c>
      <c r="T348" s="13">
        <v>21.7</v>
      </c>
      <c r="U348" s="10">
        <v>24</v>
      </c>
      <c r="V348" s="10">
        <v>20</v>
      </c>
      <c r="W348" s="10">
        <f t="shared" si="56"/>
        <v>4</v>
      </c>
      <c r="X348" s="9" t="s">
        <v>2</v>
      </c>
      <c r="Y348" s="11">
        <f t="shared" si="57"/>
        <v>1</v>
      </c>
      <c r="Z348" s="14">
        <v>2</v>
      </c>
    </row>
    <row r="349" spans="1:26" x14ac:dyDescent="0.2">
      <c r="A349" s="12">
        <f t="shared" ref="A349:A359" si="59">A348+1</f>
        <v>2009</v>
      </c>
      <c r="B349" s="1" t="s">
        <v>34</v>
      </c>
      <c r="C349" s="1">
        <v>18</v>
      </c>
      <c r="D349" s="15">
        <v>233000000</v>
      </c>
      <c r="E349" s="15">
        <f>(292.7/214.5)*233000000</f>
        <v>317944522.14452213</v>
      </c>
      <c r="F349" s="10">
        <f t="shared" si="51"/>
        <v>48.4</v>
      </c>
      <c r="G349" s="5">
        <f>4338/16</f>
        <v>271.125</v>
      </c>
      <c r="H349" s="4" t="s">
        <v>2</v>
      </c>
      <c r="I349" s="1">
        <f t="shared" si="52"/>
        <v>1</v>
      </c>
      <c r="J349" s="1" t="s">
        <v>1</v>
      </c>
      <c r="K349" s="1">
        <f t="shared" si="53"/>
        <v>0</v>
      </c>
      <c r="L349" s="1" t="s">
        <v>2</v>
      </c>
      <c r="M349" s="1">
        <f t="shared" si="54"/>
        <v>1</v>
      </c>
      <c r="N349" s="1" t="s">
        <v>1</v>
      </c>
      <c r="O349" s="8">
        <v>0.44400000000000001</v>
      </c>
      <c r="P349" s="7">
        <v>0.54</v>
      </c>
      <c r="Q349" s="3">
        <f>13/16</f>
        <v>0.8125</v>
      </c>
      <c r="R349" s="10">
        <f t="shared" si="55"/>
        <v>8.3999999999999986</v>
      </c>
      <c r="S349" s="13">
        <v>28.4</v>
      </c>
      <c r="T349" s="13">
        <v>20</v>
      </c>
      <c r="U349" s="10">
        <v>25</v>
      </c>
      <c r="V349" s="10">
        <v>17</v>
      </c>
      <c r="W349" s="10">
        <f t="shared" si="56"/>
        <v>8</v>
      </c>
      <c r="X349" s="9" t="s">
        <v>2</v>
      </c>
      <c r="Y349" s="11">
        <f t="shared" si="57"/>
        <v>1</v>
      </c>
      <c r="Z349" s="14">
        <v>6</v>
      </c>
    </row>
    <row r="350" spans="1:26" x14ac:dyDescent="0.2">
      <c r="A350" s="12">
        <f t="shared" si="59"/>
        <v>2010</v>
      </c>
      <c r="B350" s="1" t="s">
        <v>34</v>
      </c>
      <c r="C350" s="1">
        <v>18</v>
      </c>
      <c r="D350" s="15">
        <v>241000000</v>
      </c>
      <c r="E350" s="15">
        <f>(292.7/218.1)*241000000</f>
        <v>323432828.97753328</v>
      </c>
      <c r="F350" s="10">
        <f t="shared" si="51"/>
        <v>47.7</v>
      </c>
      <c r="G350" s="5">
        <f>4519/16</f>
        <v>282.4375</v>
      </c>
      <c r="H350" s="4" t="s">
        <v>2</v>
      </c>
      <c r="I350" s="1">
        <f t="shared" si="52"/>
        <v>1</v>
      </c>
      <c r="J350" s="1" t="s">
        <v>1</v>
      </c>
      <c r="K350" s="1">
        <f t="shared" si="53"/>
        <v>0</v>
      </c>
      <c r="L350" s="1" t="s">
        <v>2</v>
      </c>
      <c r="M350" s="1">
        <f t="shared" si="54"/>
        <v>1</v>
      </c>
      <c r="N350" s="1" t="s">
        <v>1</v>
      </c>
      <c r="O350" s="8">
        <v>0.44900000000000001</v>
      </c>
      <c r="P350" s="7">
        <v>0.55900000000000005</v>
      </c>
      <c r="Q350" s="3">
        <f>9/16</f>
        <v>0.5625</v>
      </c>
      <c r="R350" s="10">
        <f t="shared" si="55"/>
        <v>7.5</v>
      </c>
      <c r="S350" s="13">
        <v>27.6</v>
      </c>
      <c r="T350" s="13">
        <v>20.100000000000001</v>
      </c>
      <c r="U350" s="10">
        <v>23</v>
      </c>
      <c r="V350" s="10">
        <v>29</v>
      </c>
      <c r="W350" s="10">
        <f t="shared" si="56"/>
        <v>-6</v>
      </c>
      <c r="X350" s="9" t="s">
        <v>1</v>
      </c>
      <c r="Y350" s="11">
        <f t="shared" si="57"/>
        <v>0</v>
      </c>
      <c r="Z350" s="14">
        <v>4</v>
      </c>
    </row>
    <row r="351" spans="1:26" x14ac:dyDescent="0.2">
      <c r="A351" s="12">
        <f t="shared" si="59"/>
        <v>2011</v>
      </c>
      <c r="B351" s="1" t="s">
        <v>34</v>
      </c>
      <c r="C351" s="1">
        <v>18</v>
      </c>
      <c r="D351" s="15">
        <v>246000000</v>
      </c>
      <c r="E351" s="15">
        <f>(292.7/224.9)*246000000</f>
        <v>320160960.42685634</v>
      </c>
      <c r="F351" s="10">
        <f t="shared" si="51"/>
        <v>49</v>
      </c>
      <c r="G351" s="5">
        <f>4426/16</f>
        <v>276.625</v>
      </c>
      <c r="H351" s="4" t="s">
        <v>2</v>
      </c>
      <c r="I351" s="1">
        <f t="shared" si="52"/>
        <v>1</v>
      </c>
      <c r="J351" s="1" t="s">
        <v>1</v>
      </c>
      <c r="K351" s="1">
        <f t="shared" si="53"/>
        <v>0</v>
      </c>
      <c r="L351" s="1" t="s">
        <v>2</v>
      </c>
      <c r="M351" s="1">
        <f t="shared" si="54"/>
        <v>1</v>
      </c>
      <c r="N351" s="1" t="s">
        <v>1</v>
      </c>
      <c r="O351" s="8">
        <v>0.48799999999999999</v>
      </c>
      <c r="P351" s="7">
        <v>0.53700000000000003</v>
      </c>
      <c r="Q351" s="3">
        <f>8/16</f>
        <v>0.5</v>
      </c>
      <c r="R351" s="10">
        <f t="shared" si="55"/>
        <v>1.7999999999999972</v>
      </c>
      <c r="S351" s="13">
        <v>25.4</v>
      </c>
      <c r="T351" s="13">
        <v>23.6</v>
      </c>
      <c r="U351" s="10">
        <v>21</v>
      </c>
      <c r="V351" s="10">
        <v>28</v>
      </c>
      <c r="W351" s="10">
        <f t="shared" si="56"/>
        <v>-7</v>
      </c>
      <c r="X351" s="9" t="s">
        <v>1</v>
      </c>
      <c r="Y351" s="11">
        <f t="shared" si="57"/>
        <v>0</v>
      </c>
      <c r="Z351" s="14">
        <v>5</v>
      </c>
    </row>
    <row r="352" spans="1:26" x14ac:dyDescent="0.2">
      <c r="A352" s="12">
        <f t="shared" si="59"/>
        <v>2012</v>
      </c>
      <c r="B352" s="1" t="s">
        <v>34</v>
      </c>
      <c r="C352" s="1">
        <v>18</v>
      </c>
      <c r="D352" s="15">
        <v>250000000</v>
      </c>
      <c r="E352" s="15">
        <f>(292.7/229.6)*250000000</f>
        <v>318706445.99303132</v>
      </c>
      <c r="F352" s="10">
        <f t="shared" si="51"/>
        <v>43.8</v>
      </c>
      <c r="G352" s="5">
        <f>3295/16</f>
        <v>205.9375</v>
      </c>
      <c r="H352" s="4" t="s">
        <v>2</v>
      </c>
      <c r="I352" s="1">
        <f t="shared" si="52"/>
        <v>1</v>
      </c>
      <c r="J352" s="1" t="s">
        <v>1</v>
      </c>
      <c r="K352" s="1">
        <f t="shared" si="53"/>
        <v>0</v>
      </c>
      <c r="L352" s="1" t="s">
        <v>2</v>
      </c>
      <c r="M352" s="1">
        <f t="shared" si="54"/>
        <v>1</v>
      </c>
      <c r="N352" s="1" t="s">
        <v>1</v>
      </c>
      <c r="O352" s="8">
        <v>0.378</v>
      </c>
      <c r="P352" s="7">
        <v>0.46800000000000003</v>
      </c>
      <c r="Q352" s="3">
        <f>7/16</f>
        <v>0.4375</v>
      </c>
      <c r="R352" s="10">
        <f t="shared" si="55"/>
        <v>0</v>
      </c>
      <c r="S352" s="13">
        <v>21.9</v>
      </c>
      <c r="T352" s="13">
        <v>21.9</v>
      </c>
      <c r="U352" s="10">
        <v>28</v>
      </c>
      <c r="V352" s="10">
        <v>26</v>
      </c>
      <c r="W352" s="10">
        <f t="shared" si="56"/>
        <v>2</v>
      </c>
      <c r="X352" s="9" t="s">
        <v>1</v>
      </c>
      <c r="Y352" s="11">
        <f t="shared" si="57"/>
        <v>0</v>
      </c>
      <c r="Z352" s="14">
        <v>0</v>
      </c>
    </row>
    <row r="353" spans="1:26" x14ac:dyDescent="0.2">
      <c r="A353" s="12">
        <f t="shared" si="59"/>
        <v>2013</v>
      </c>
      <c r="B353" s="1" t="s">
        <v>34</v>
      </c>
      <c r="C353" s="1">
        <v>18</v>
      </c>
      <c r="D353" s="15">
        <v>262000000</v>
      </c>
      <c r="E353" s="15">
        <f>(292.7/233)*262000000</f>
        <v>329130472.10300428</v>
      </c>
      <c r="F353" s="10">
        <f t="shared" si="51"/>
        <v>46.6</v>
      </c>
      <c r="G353" s="5">
        <f>4328/16</f>
        <v>270.5</v>
      </c>
      <c r="H353" s="4" t="s">
        <v>2</v>
      </c>
      <c r="I353" s="1">
        <f t="shared" si="52"/>
        <v>1</v>
      </c>
      <c r="J353" s="1" t="s">
        <v>1</v>
      </c>
      <c r="K353" s="1">
        <f t="shared" si="53"/>
        <v>0</v>
      </c>
      <c r="L353" s="1" t="s">
        <v>2</v>
      </c>
      <c r="M353" s="1">
        <f t="shared" si="54"/>
        <v>1</v>
      </c>
      <c r="N353" s="1" t="s">
        <v>1</v>
      </c>
      <c r="O353" s="8">
        <v>0.49</v>
      </c>
      <c r="P353" s="7">
        <v>0.50800000000000001</v>
      </c>
      <c r="Q353" s="3">
        <f>9/16</f>
        <v>0.5625</v>
      </c>
      <c r="R353" s="10">
        <f t="shared" si="55"/>
        <v>3</v>
      </c>
      <c r="S353" s="13">
        <v>24.8</v>
      </c>
      <c r="T353" s="13">
        <v>21.8</v>
      </c>
      <c r="U353" s="10">
        <v>17</v>
      </c>
      <c r="V353" s="10">
        <v>21</v>
      </c>
      <c r="W353" s="10">
        <f t="shared" si="56"/>
        <v>-4</v>
      </c>
      <c r="X353" s="9" t="s">
        <v>2</v>
      </c>
      <c r="Y353" s="11">
        <f t="shared" si="57"/>
        <v>1</v>
      </c>
      <c r="Z353" s="14">
        <v>2</v>
      </c>
    </row>
    <row r="354" spans="1:26" x14ac:dyDescent="0.2">
      <c r="A354" s="12">
        <f t="shared" si="59"/>
        <v>2014</v>
      </c>
      <c r="B354" s="1" t="s">
        <v>34</v>
      </c>
      <c r="C354" s="1">
        <v>18</v>
      </c>
      <c r="D354" s="15">
        <v>304000000</v>
      </c>
      <c r="E354" s="15">
        <f>(292.7/236.7)*304000000</f>
        <v>375922264.46979296</v>
      </c>
      <c r="F354" s="10">
        <f t="shared" si="51"/>
        <v>43.6</v>
      </c>
      <c r="G354" s="5">
        <f>4098/16</f>
        <v>256.125</v>
      </c>
      <c r="H354" s="4" t="s">
        <v>2</v>
      </c>
      <c r="I354" s="1">
        <f t="shared" si="52"/>
        <v>1</v>
      </c>
      <c r="J354" s="1" t="s">
        <v>1</v>
      </c>
      <c r="K354" s="1">
        <f t="shared" si="53"/>
        <v>0</v>
      </c>
      <c r="L354" s="1" t="s">
        <v>2</v>
      </c>
      <c r="M354" s="1">
        <f t="shared" si="54"/>
        <v>1</v>
      </c>
      <c r="N354" s="1" t="s">
        <v>1</v>
      </c>
      <c r="O354" s="8">
        <v>0.45100000000000001</v>
      </c>
      <c r="P354" s="7">
        <v>0.54200000000000004</v>
      </c>
      <c r="Q354" s="3">
        <f>9/16</f>
        <v>0.5625</v>
      </c>
      <c r="R354" s="10">
        <f t="shared" si="55"/>
        <v>0</v>
      </c>
      <c r="S354" s="13">
        <v>21.8</v>
      </c>
      <c r="T354" s="13">
        <v>21.8</v>
      </c>
      <c r="U354" s="10">
        <v>18</v>
      </c>
      <c r="V354" s="10">
        <v>23</v>
      </c>
      <c r="W354" s="10">
        <f t="shared" si="56"/>
        <v>-5</v>
      </c>
      <c r="X354" s="9" t="s">
        <v>1</v>
      </c>
      <c r="Y354" s="11">
        <f t="shared" si="57"/>
        <v>0</v>
      </c>
      <c r="Z354" s="14">
        <v>2</v>
      </c>
    </row>
    <row r="355" spans="1:26" x14ac:dyDescent="0.2">
      <c r="A355" s="12">
        <f t="shared" si="59"/>
        <v>2015</v>
      </c>
      <c r="B355" s="1" t="s">
        <v>34</v>
      </c>
      <c r="C355" s="1">
        <v>18</v>
      </c>
      <c r="D355" s="15">
        <v>344000000</v>
      </c>
      <c r="E355" s="15">
        <f>(292.7/237)*344000000</f>
        <v>424847257.38396627</v>
      </c>
      <c r="F355" s="10">
        <f t="shared" si="51"/>
        <v>44.9</v>
      </c>
      <c r="G355" s="5">
        <f>4591/16</f>
        <v>286.9375</v>
      </c>
      <c r="H355" s="4" t="s">
        <v>2</v>
      </c>
      <c r="I355" s="1">
        <f t="shared" si="52"/>
        <v>1</v>
      </c>
      <c r="J355" s="1" t="s">
        <v>1</v>
      </c>
      <c r="K355" s="1">
        <f t="shared" si="53"/>
        <v>0</v>
      </c>
      <c r="L355" s="1" t="s">
        <v>2</v>
      </c>
      <c r="M355" s="1">
        <f t="shared" si="54"/>
        <v>1</v>
      </c>
      <c r="N355" s="1" t="s">
        <v>2</v>
      </c>
      <c r="O355" s="8">
        <v>0.42</v>
      </c>
      <c r="P355" s="7">
        <v>0.63600000000000001</v>
      </c>
      <c r="Q355" s="3">
        <f>4/16</f>
        <v>0.25</v>
      </c>
      <c r="R355" s="10">
        <f t="shared" si="55"/>
        <v>-4.8999999999999986</v>
      </c>
      <c r="S355" s="13">
        <v>20</v>
      </c>
      <c r="T355" s="13">
        <v>24.9</v>
      </c>
      <c r="U355" s="10">
        <v>20</v>
      </c>
      <c r="V355" s="10">
        <v>24</v>
      </c>
      <c r="W355" s="10">
        <f t="shared" si="56"/>
        <v>-4</v>
      </c>
      <c r="X355" s="9" t="s">
        <v>1</v>
      </c>
      <c r="Y355" s="11">
        <f t="shared" si="57"/>
        <v>0</v>
      </c>
      <c r="Z355" s="14">
        <v>1</v>
      </c>
    </row>
    <row r="356" spans="1:26" x14ac:dyDescent="0.2">
      <c r="A356" s="12">
        <f t="shared" si="59"/>
        <v>2016</v>
      </c>
      <c r="B356" s="1" t="s">
        <v>34</v>
      </c>
      <c r="C356" s="1">
        <v>18</v>
      </c>
      <c r="D356" s="15">
        <v>355000000</v>
      </c>
      <c r="E356" s="15">
        <f>(292.7/240)*355000000</f>
        <v>432952083.33333331</v>
      </c>
      <c r="F356" s="10">
        <f t="shared" si="51"/>
        <v>52</v>
      </c>
      <c r="G356" s="5">
        <f>4198/16</f>
        <v>262.375</v>
      </c>
      <c r="H356" s="4" t="s">
        <v>2</v>
      </c>
      <c r="I356" s="1">
        <f t="shared" si="52"/>
        <v>1</v>
      </c>
      <c r="J356" s="1" t="s">
        <v>1</v>
      </c>
      <c r="K356" s="1">
        <f t="shared" si="53"/>
        <v>0</v>
      </c>
      <c r="L356" s="1" t="s">
        <v>2</v>
      </c>
      <c r="M356" s="1">
        <f t="shared" si="54"/>
        <v>1</v>
      </c>
      <c r="N356" s="1" t="s">
        <v>2</v>
      </c>
      <c r="O356" s="8">
        <v>0.42499999999999999</v>
      </c>
      <c r="P356" s="7">
        <v>0.51600000000000001</v>
      </c>
      <c r="Q356" s="3">
        <f>5/16</f>
        <v>0.3125</v>
      </c>
      <c r="R356" s="10">
        <f t="shared" si="55"/>
        <v>-0.79999999999999716</v>
      </c>
      <c r="S356" s="13">
        <v>25.6</v>
      </c>
      <c r="T356" s="13">
        <v>26.4</v>
      </c>
      <c r="U356" s="10">
        <v>28</v>
      </c>
      <c r="V356" s="10">
        <v>35</v>
      </c>
      <c r="W356" s="10">
        <f t="shared" si="56"/>
        <v>-7</v>
      </c>
      <c r="X356" s="9" t="s">
        <v>1</v>
      </c>
      <c r="Y356" s="11">
        <f t="shared" si="57"/>
        <v>0</v>
      </c>
      <c r="Z356" s="14">
        <v>3</v>
      </c>
    </row>
    <row r="357" spans="1:26" x14ac:dyDescent="0.2">
      <c r="A357" s="12">
        <f t="shared" si="59"/>
        <v>2017</v>
      </c>
      <c r="B357" s="1" t="s">
        <v>35</v>
      </c>
      <c r="C357" s="1">
        <v>18</v>
      </c>
      <c r="D357" s="15">
        <v>346000000</v>
      </c>
      <c r="E357" s="15">
        <f>(292.7/245.1)*346000000</f>
        <v>413195430.43655652</v>
      </c>
      <c r="F357" s="10">
        <f t="shared" si="51"/>
        <v>39.200000000000003</v>
      </c>
      <c r="G357" s="5">
        <f>4437/16</f>
        <v>277.3125</v>
      </c>
      <c r="H357" s="4" t="s">
        <v>2</v>
      </c>
      <c r="I357" s="1">
        <f t="shared" si="52"/>
        <v>1</v>
      </c>
      <c r="J357" s="1" t="s">
        <v>1</v>
      </c>
      <c r="K357" s="1">
        <f t="shared" si="53"/>
        <v>0</v>
      </c>
      <c r="L357" s="1" t="s">
        <v>2</v>
      </c>
      <c r="M357" s="1">
        <f t="shared" si="54"/>
        <v>1</v>
      </c>
      <c r="N357" s="1" t="s">
        <v>2</v>
      </c>
      <c r="O357" s="8">
        <v>0.40200000000000002</v>
      </c>
      <c r="P357" s="7">
        <v>0.46800000000000003</v>
      </c>
      <c r="Q357" s="3">
        <f>9/16</f>
        <v>0.5625</v>
      </c>
      <c r="R357" s="10">
        <f t="shared" si="55"/>
        <v>5.1999999999999993</v>
      </c>
      <c r="S357" s="13">
        <v>22.2</v>
      </c>
      <c r="T357" s="13">
        <v>17</v>
      </c>
      <c r="U357" s="10">
        <v>27</v>
      </c>
      <c r="V357" s="10">
        <v>15</v>
      </c>
      <c r="W357" s="10">
        <f t="shared" si="56"/>
        <v>12</v>
      </c>
      <c r="X357" s="9" t="s">
        <v>1</v>
      </c>
      <c r="Y357" s="11">
        <f t="shared" si="57"/>
        <v>0</v>
      </c>
      <c r="Z357" s="14">
        <v>6</v>
      </c>
    </row>
    <row r="358" spans="1:26" x14ac:dyDescent="0.2">
      <c r="A358" s="12">
        <f t="shared" si="59"/>
        <v>2018</v>
      </c>
      <c r="B358" s="1" t="s">
        <v>35</v>
      </c>
      <c r="C358" s="1">
        <v>18</v>
      </c>
      <c r="D358" s="15">
        <v>375000000</v>
      </c>
      <c r="E358" s="15">
        <f>(292.7/251.1)*375000000</f>
        <v>437126642.77180409</v>
      </c>
      <c r="F358" s="10">
        <f t="shared" si="51"/>
        <v>47.400000000000006</v>
      </c>
      <c r="G358" s="5">
        <f>4089/16</f>
        <v>255.5625</v>
      </c>
      <c r="H358" s="4" t="s">
        <v>1</v>
      </c>
      <c r="I358" s="1">
        <f t="shared" si="52"/>
        <v>0</v>
      </c>
      <c r="J358" s="1" t="s">
        <v>2</v>
      </c>
      <c r="K358" s="1">
        <f t="shared" si="53"/>
        <v>1</v>
      </c>
      <c r="L358" s="1" t="s">
        <v>2</v>
      </c>
      <c r="M358" s="1">
        <f t="shared" si="54"/>
        <v>1</v>
      </c>
      <c r="N358" s="1" t="s">
        <v>2</v>
      </c>
      <c r="O358" s="8">
        <v>0.39500000000000002</v>
      </c>
      <c r="P358" s="7">
        <v>0.64200000000000002</v>
      </c>
      <c r="Q358" s="3">
        <f>12/16</f>
        <v>0.75</v>
      </c>
      <c r="R358" s="10">
        <f t="shared" si="55"/>
        <v>6.1999999999999993</v>
      </c>
      <c r="S358" s="13">
        <v>26.8</v>
      </c>
      <c r="T358" s="13">
        <v>20.6</v>
      </c>
      <c r="U358" s="10">
        <v>20</v>
      </c>
      <c r="V358" s="10">
        <v>19</v>
      </c>
      <c r="W358" s="10">
        <f t="shared" si="56"/>
        <v>1</v>
      </c>
      <c r="X358" s="9" t="s">
        <v>2</v>
      </c>
      <c r="Y358" s="11">
        <f t="shared" si="57"/>
        <v>1</v>
      </c>
      <c r="Z358" s="14">
        <v>7</v>
      </c>
    </row>
    <row r="359" spans="1:26" x14ac:dyDescent="0.2">
      <c r="A359" s="12">
        <f t="shared" si="59"/>
        <v>2019</v>
      </c>
      <c r="B359" s="1" t="s">
        <v>35</v>
      </c>
      <c r="C359" s="1">
        <v>18</v>
      </c>
      <c r="D359" s="15">
        <v>392000000</v>
      </c>
      <c r="E359" s="15">
        <f>(292.7/255.7)*392000000</f>
        <v>448722721.9397732</v>
      </c>
      <c r="F359" s="10">
        <f t="shared" si="51"/>
        <v>42.7</v>
      </c>
      <c r="G359" s="5">
        <f>4426/16</f>
        <v>276.625</v>
      </c>
      <c r="H359" s="4" t="s">
        <v>1</v>
      </c>
      <c r="I359" s="1">
        <f t="shared" si="52"/>
        <v>0</v>
      </c>
      <c r="J359" s="1" t="s">
        <v>2</v>
      </c>
      <c r="K359" s="1">
        <f t="shared" si="53"/>
        <v>1</v>
      </c>
      <c r="L359" s="1" t="s">
        <v>2</v>
      </c>
      <c r="M359" s="1">
        <f t="shared" si="54"/>
        <v>1</v>
      </c>
      <c r="N359" s="1" t="s">
        <v>2</v>
      </c>
      <c r="O359" s="8">
        <v>0.443</v>
      </c>
      <c r="P359" s="7">
        <v>0.52800000000000002</v>
      </c>
      <c r="Q359" s="3">
        <f>5/16</f>
        <v>0.3125</v>
      </c>
      <c r="R359" s="10">
        <f t="shared" si="55"/>
        <v>-0.5</v>
      </c>
      <c r="S359" s="13">
        <v>21.1</v>
      </c>
      <c r="T359" s="13">
        <v>21.6</v>
      </c>
      <c r="U359" s="10">
        <v>14</v>
      </c>
      <c r="V359" s="10">
        <v>31</v>
      </c>
      <c r="W359" s="10">
        <f t="shared" si="56"/>
        <v>-17</v>
      </c>
      <c r="X359" s="9" t="s">
        <v>1</v>
      </c>
      <c r="Y359" s="11">
        <f t="shared" si="57"/>
        <v>0</v>
      </c>
      <c r="Z359" s="14">
        <v>3</v>
      </c>
    </row>
    <row r="360" spans="1:26" x14ac:dyDescent="0.2">
      <c r="A360" s="12">
        <v>2021</v>
      </c>
      <c r="B360" s="1" t="s">
        <v>35</v>
      </c>
      <c r="C360" s="1">
        <v>18</v>
      </c>
      <c r="D360" s="15">
        <v>491000000</v>
      </c>
      <c r="E360" s="15">
        <f>(292.7/271)*491000000</f>
        <v>530316236.16236156</v>
      </c>
      <c r="F360" s="10">
        <f t="shared" si="51"/>
        <v>54.9</v>
      </c>
      <c r="G360" s="5">
        <f>4800/17</f>
        <v>282.35294117647061</v>
      </c>
      <c r="H360" s="4" t="s">
        <v>1</v>
      </c>
      <c r="I360" s="1">
        <f t="shared" si="52"/>
        <v>0</v>
      </c>
      <c r="J360" s="1" t="s">
        <v>2</v>
      </c>
      <c r="K360" s="1">
        <f t="shared" si="53"/>
        <v>1</v>
      </c>
      <c r="L360" s="1" t="s">
        <v>2</v>
      </c>
      <c r="M360" s="1">
        <f t="shared" si="54"/>
        <v>1</v>
      </c>
      <c r="N360" s="1" t="s">
        <v>2</v>
      </c>
      <c r="O360" s="8">
        <v>0.45200000000000001</v>
      </c>
      <c r="P360" s="7">
        <v>0.64</v>
      </c>
      <c r="Q360" s="3">
        <f>9/17</f>
        <v>0.52941176470588236</v>
      </c>
      <c r="R360" s="10">
        <f t="shared" si="55"/>
        <v>0.89999999999999858</v>
      </c>
      <c r="S360" s="13">
        <v>27.9</v>
      </c>
      <c r="T360" s="13">
        <v>27</v>
      </c>
      <c r="U360" s="10">
        <v>21</v>
      </c>
      <c r="V360" s="10">
        <v>22</v>
      </c>
      <c r="W360" s="10">
        <f t="shared" si="56"/>
        <v>-1</v>
      </c>
      <c r="X360" s="9" t="s">
        <v>1</v>
      </c>
      <c r="Y360" s="11">
        <f t="shared" si="57"/>
        <v>0</v>
      </c>
      <c r="Z360" s="14">
        <v>6</v>
      </c>
    </row>
    <row r="361" spans="1:26" x14ac:dyDescent="0.2">
      <c r="A361" s="12">
        <f>A360+1</f>
        <v>2022</v>
      </c>
      <c r="B361" s="1" t="s">
        <v>35</v>
      </c>
      <c r="C361" s="1">
        <v>18</v>
      </c>
      <c r="D361" s="15">
        <v>518000000</v>
      </c>
      <c r="E361" s="15">
        <f>(292.7/292.7)*518000000</f>
        <v>518000000</v>
      </c>
      <c r="F361" s="10">
        <f t="shared" si="51"/>
        <v>45.6</v>
      </c>
      <c r="G361" s="5">
        <f>4584/17</f>
        <v>269.64705882352939</v>
      </c>
      <c r="H361" s="4" t="s">
        <v>1</v>
      </c>
      <c r="I361" s="1">
        <f t="shared" si="52"/>
        <v>0</v>
      </c>
      <c r="J361" s="1" t="s">
        <v>2</v>
      </c>
      <c r="K361" s="1">
        <f t="shared" si="53"/>
        <v>1</v>
      </c>
      <c r="L361" s="1" t="s">
        <v>2</v>
      </c>
      <c r="M361" s="1">
        <f t="shared" si="54"/>
        <v>1</v>
      </c>
      <c r="N361" s="1" t="s">
        <v>2</v>
      </c>
      <c r="O361" s="8">
        <v>0.436</v>
      </c>
      <c r="P361" s="7">
        <v>0.53200000000000003</v>
      </c>
      <c r="Q361" s="3">
        <f>10/17</f>
        <v>0.58823529411764708</v>
      </c>
      <c r="R361" s="10">
        <f t="shared" si="55"/>
        <v>0.39999999999999858</v>
      </c>
      <c r="S361" s="13">
        <v>23</v>
      </c>
      <c r="T361" s="13">
        <v>22.6</v>
      </c>
      <c r="U361" s="10">
        <v>24</v>
      </c>
      <c r="V361" s="10">
        <v>19</v>
      </c>
      <c r="W361" s="10">
        <f t="shared" si="56"/>
        <v>5</v>
      </c>
      <c r="X361" s="9" t="s">
        <v>2</v>
      </c>
      <c r="Y361" s="11">
        <f t="shared" si="57"/>
        <v>1</v>
      </c>
      <c r="Z361" s="14">
        <v>2</v>
      </c>
    </row>
    <row r="362" spans="1:26" x14ac:dyDescent="0.2">
      <c r="A362" s="12">
        <v>2002</v>
      </c>
      <c r="B362" s="1" t="s">
        <v>36</v>
      </c>
      <c r="C362" s="1">
        <v>19</v>
      </c>
      <c r="D362" s="15">
        <v>150000000</v>
      </c>
      <c r="E362" s="15">
        <f>(292.7/179.9)*150000000</f>
        <v>244052251.25069484</v>
      </c>
      <c r="F362" s="10">
        <f t="shared" si="51"/>
        <v>42.900000000000006</v>
      </c>
      <c r="G362" s="5">
        <f>4154/16</f>
        <v>259.625</v>
      </c>
      <c r="H362" s="4" t="s">
        <v>1</v>
      </c>
      <c r="I362" s="1">
        <f t="shared" si="52"/>
        <v>0</v>
      </c>
      <c r="J362" s="1" t="s">
        <v>1</v>
      </c>
      <c r="K362" s="1">
        <f t="shared" si="53"/>
        <v>0</v>
      </c>
      <c r="L362" s="1" t="s">
        <v>1</v>
      </c>
      <c r="M362" s="1">
        <f t="shared" si="54"/>
        <v>0</v>
      </c>
      <c r="N362" s="1" t="s">
        <v>1</v>
      </c>
      <c r="O362" s="8">
        <v>0.39300000000000002</v>
      </c>
      <c r="P362" s="7">
        <v>0.54900000000000004</v>
      </c>
      <c r="Q362" s="3">
        <f>7/16</f>
        <v>0.4375</v>
      </c>
      <c r="R362" s="10">
        <f t="shared" si="55"/>
        <v>-3.3000000000000007</v>
      </c>
      <c r="S362" s="13">
        <v>19.8</v>
      </c>
      <c r="T362" s="13">
        <v>23.1</v>
      </c>
      <c r="U362" s="10">
        <v>26</v>
      </c>
      <c r="V362" s="10">
        <v>45</v>
      </c>
      <c r="W362" s="10">
        <f t="shared" si="56"/>
        <v>-19</v>
      </c>
      <c r="X362" s="9" t="s">
        <v>1</v>
      </c>
      <c r="Y362" s="11">
        <f t="shared" si="57"/>
        <v>0</v>
      </c>
      <c r="Z362" s="14">
        <v>2</v>
      </c>
    </row>
    <row r="363" spans="1:26" x14ac:dyDescent="0.2">
      <c r="A363" s="12">
        <f>A362+1</f>
        <v>2003</v>
      </c>
      <c r="B363" s="1" t="s">
        <v>36</v>
      </c>
      <c r="C363" s="1">
        <v>19</v>
      </c>
      <c r="D363" s="15">
        <v>157000000</v>
      </c>
      <c r="E363" s="15">
        <f>(292.7/184)*157000000</f>
        <v>249749456.52173913</v>
      </c>
      <c r="F363" s="10">
        <f t="shared" si="51"/>
        <v>48.4</v>
      </c>
      <c r="G363" s="5">
        <f>3961/16</f>
        <v>247.5625</v>
      </c>
      <c r="H363" s="4" t="s">
        <v>1</v>
      </c>
      <c r="I363" s="1">
        <f t="shared" si="52"/>
        <v>0</v>
      </c>
      <c r="J363" s="1" t="s">
        <v>1</v>
      </c>
      <c r="K363" s="1">
        <f t="shared" si="53"/>
        <v>0</v>
      </c>
      <c r="L363" s="1" t="s">
        <v>1</v>
      </c>
      <c r="M363" s="1">
        <f t="shared" si="54"/>
        <v>0</v>
      </c>
      <c r="N363" s="1" t="s">
        <v>1</v>
      </c>
      <c r="O363" s="8">
        <v>0.42599999999999999</v>
      </c>
      <c r="P363" s="7">
        <v>0.5</v>
      </c>
      <c r="Q363" s="3">
        <f>12/16</f>
        <v>0.75</v>
      </c>
      <c r="R363" s="10">
        <f t="shared" si="55"/>
        <v>7.3999999999999986</v>
      </c>
      <c r="S363" s="13">
        <v>27.9</v>
      </c>
      <c r="T363" s="13">
        <v>20.5</v>
      </c>
      <c r="U363" s="10">
        <v>46</v>
      </c>
      <c r="V363" s="10">
        <v>39</v>
      </c>
      <c r="W363" s="10">
        <f t="shared" si="56"/>
        <v>7</v>
      </c>
      <c r="X363" s="9" t="s">
        <v>2</v>
      </c>
      <c r="Y363" s="11">
        <f t="shared" si="57"/>
        <v>1</v>
      </c>
      <c r="Z363" s="14">
        <v>6</v>
      </c>
    </row>
    <row r="364" spans="1:26" x14ac:dyDescent="0.2">
      <c r="A364" s="12">
        <f>A363+1</f>
        <v>2004</v>
      </c>
      <c r="B364" s="1" t="s">
        <v>36</v>
      </c>
      <c r="C364" s="1">
        <v>19</v>
      </c>
      <c r="D364" s="15">
        <v>176000000</v>
      </c>
      <c r="E364" s="15">
        <f>(292.7/188.9)*176000000</f>
        <v>272711487.55955529</v>
      </c>
      <c r="F364" s="10">
        <f t="shared" si="51"/>
        <v>44.4</v>
      </c>
      <c r="G364" s="5">
        <f>4253/16</f>
        <v>265.8125</v>
      </c>
      <c r="H364" s="4" t="s">
        <v>1</v>
      </c>
      <c r="I364" s="1">
        <f t="shared" si="52"/>
        <v>0</v>
      </c>
      <c r="J364" s="1" t="s">
        <v>1</v>
      </c>
      <c r="K364" s="1">
        <f t="shared" si="53"/>
        <v>0</v>
      </c>
      <c r="L364" s="1" t="s">
        <v>1</v>
      </c>
      <c r="M364" s="1">
        <f t="shared" si="54"/>
        <v>0</v>
      </c>
      <c r="N364" s="1" t="s">
        <v>1</v>
      </c>
      <c r="O364" s="8">
        <v>0.42199999999999999</v>
      </c>
      <c r="P364" s="7">
        <v>0.54800000000000004</v>
      </c>
      <c r="Q364" s="3">
        <f>8/16</f>
        <v>0.5</v>
      </c>
      <c r="R364" s="10">
        <f t="shared" si="55"/>
        <v>-4.6000000000000014</v>
      </c>
      <c r="S364" s="13">
        <v>19.899999999999999</v>
      </c>
      <c r="T364" s="13">
        <v>24.5</v>
      </c>
      <c r="U364" s="10">
        <v>15</v>
      </c>
      <c r="V364" s="10">
        <v>39</v>
      </c>
      <c r="W364" s="10">
        <f t="shared" si="56"/>
        <v>-24</v>
      </c>
      <c r="X364" s="9" t="s">
        <v>1</v>
      </c>
      <c r="Y364" s="11">
        <f t="shared" si="57"/>
        <v>0</v>
      </c>
      <c r="Z364" s="14">
        <v>2</v>
      </c>
    </row>
    <row r="365" spans="1:26" x14ac:dyDescent="0.2">
      <c r="A365" s="12">
        <f>A364+1</f>
        <v>2005</v>
      </c>
      <c r="B365" s="1" t="s">
        <v>36</v>
      </c>
      <c r="C365" s="1">
        <v>19</v>
      </c>
      <c r="D365" s="15">
        <v>179000000</v>
      </c>
      <c r="E365" s="15">
        <f>(292.7/195.3)*179000000</f>
        <v>268270865.33538142</v>
      </c>
      <c r="F365" s="10">
        <f t="shared" si="51"/>
        <v>49.5</v>
      </c>
      <c r="G365" s="5">
        <f>4036/16</f>
        <v>252.25</v>
      </c>
      <c r="H365" s="4" t="s">
        <v>1</v>
      </c>
      <c r="I365" s="1">
        <f t="shared" si="52"/>
        <v>0</v>
      </c>
      <c r="J365" s="1" t="s">
        <v>1</v>
      </c>
      <c r="K365" s="1">
        <f t="shared" si="53"/>
        <v>0</v>
      </c>
      <c r="L365" s="1" t="s">
        <v>1</v>
      </c>
      <c r="M365" s="1">
        <f t="shared" si="54"/>
        <v>0</v>
      </c>
      <c r="N365" s="1" t="s">
        <v>1</v>
      </c>
      <c r="O365" s="8">
        <v>0.36499999999999999</v>
      </c>
      <c r="P365" s="7">
        <v>0.47099999999999997</v>
      </c>
      <c r="Q365" s="3">
        <f>6/16</f>
        <v>0.375</v>
      </c>
      <c r="R365" s="10">
        <f t="shared" si="55"/>
        <v>-4.1000000000000014</v>
      </c>
      <c r="S365" s="13">
        <v>22.7</v>
      </c>
      <c r="T365" s="13">
        <v>26.8</v>
      </c>
      <c r="U365" s="10">
        <v>27</v>
      </c>
      <c r="V365" s="10">
        <v>37</v>
      </c>
      <c r="W365" s="10">
        <f t="shared" si="56"/>
        <v>-10</v>
      </c>
      <c r="X365" s="9" t="s">
        <v>1</v>
      </c>
      <c r="Y365" s="11">
        <f t="shared" si="57"/>
        <v>0</v>
      </c>
      <c r="Z365" s="14">
        <v>2</v>
      </c>
    </row>
    <row r="366" spans="1:26" x14ac:dyDescent="0.2">
      <c r="A366" s="12">
        <f>A365+1</f>
        <v>2006</v>
      </c>
      <c r="B366" s="1" t="s">
        <v>36</v>
      </c>
      <c r="C366" s="1">
        <v>19</v>
      </c>
      <c r="D366" s="15">
        <v>193000000</v>
      </c>
      <c r="E366" s="15">
        <f>(292.7/201.6)*193000000</f>
        <v>280213789.6825397</v>
      </c>
      <c r="F366" s="10">
        <f t="shared" si="51"/>
        <v>46.7</v>
      </c>
      <c r="G366" s="5">
        <f>3962/16</f>
        <v>247.625</v>
      </c>
      <c r="H366" s="4" t="s">
        <v>1</v>
      </c>
      <c r="I366" s="1">
        <f t="shared" si="52"/>
        <v>0</v>
      </c>
      <c r="J366" s="1" t="s">
        <v>1</v>
      </c>
      <c r="K366" s="1">
        <f t="shared" si="53"/>
        <v>0</v>
      </c>
      <c r="L366" s="1" t="s">
        <v>1</v>
      </c>
      <c r="M366" s="1">
        <f t="shared" si="54"/>
        <v>0</v>
      </c>
      <c r="N366" s="1" t="s">
        <v>1</v>
      </c>
      <c r="O366" s="8">
        <v>0.374</v>
      </c>
      <c r="P366" s="7">
        <v>0.57399999999999995</v>
      </c>
      <c r="Q366" s="3">
        <f>8/16</f>
        <v>0.5</v>
      </c>
      <c r="R366" s="10">
        <f t="shared" si="55"/>
        <v>-0.90000000000000213</v>
      </c>
      <c r="S366" s="13">
        <v>22.9</v>
      </c>
      <c r="T366" s="13">
        <v>23.8</v>
      </c>
      <c r="U366" s="10">
        <v>32</v>
      </c>
      <c r="V366" s="10">
        <v>18</v>
      </c>
      <c r="W366" s="10">
        <f t="shared" si="56"/>
        <v>14</v>
      </c>
      <c r="X366" s="9" t="s">
        <v>1</v>
      </c>
      <c r="Y366" s="11">
        <f t="shared" si="57"/>
        <v>0</v>
      </c>
      <c r="Z366" s="14">
        <v>3</v>
      </c>
    </row>
    <row r="367" spans="1:26" x14ac:dyDescent="0.2">
      <c r="A367" s="12">
        <f>A366+1</f>
        <v>2007</v>
      </c>
      <c r="B367" s="1" t="s">
        <v>36</v>
      </c>
      <c r="C367" s="1">
        <v>19</v>
      </c>
      <c r="D367" s="15">
        <v>206000000</v>
      </c>
      <c r="E367" s="15">
        <f>(292.7/207.3)*206000000</f>
        <v>290864447.6603955</v>
      </c>
      <c r="F367" s="10">
        <f t="shared" si="51"/>
        <v>43.8</v>
      </c>
      <c r="G367" s="5">
        <f>3233/16</f>
        <v>202.0625</v>
      </c>
      <c r="H367" s="4" t="s">
        <v>1</v>
      </c>
      <c r="I367" s="1">
        <f t="shared" si="52"/>
        <v>0</v>
      </c>
      <c r="J367" s="1" t="s">
        <v>1</v>
      </c>
      <c r="K367" s="1">
        <f t="shared" si="53"/>
        <v>0</v>
      </c>
      <c r="L367" s="1" t="s">
        <v>1</v>
      </c>
      <c r="M367" s="1">
        <f t="shared" si="54"/>
        <v>0</v>
      </c>
      <c r="N367" s="1" t="s">
        <v>1</v>
      </c>
      <c r="O367" s="8">
        <v>0.36299999999999999</v>
      </c>
      <c r="P367" s="7">
        <v>0.436</v>
      </c>
      <c r="Q367" s="3">
        <f>3/16</f>
        <v>0.1875</v>
      </c>
      <c r="R367" s="10">
        <f t="shared" si="55"/>
        <v>-11</v>
      </c>
      <c r="S367" s="13">
        <v>16.399999999999999</v>
      </c>
      <c r="T367" s="13">
        <v>27.4</v>
      </c>
      <c r="U367" s="10">
        <v>27</v>
      </c>
      <c r="V367" s="10">
        <v>37</v>
      </c>
      <c r="W367" s="10">
        <f t="shared" si="56"/>
        <v>-10</v>
      </c>
      <c r="X367" s="9" t="s">
        <v>1</v>
      </c>
      <c r="Y367" s="11">
        <f t="shared" si="57"/>
        <v>0</v>
      </c>
      <c r="Z367" s="14">
        <v>1</v>
      </c>
    </row>
    <row r="368" spans="1:26" x14ac:dyDescent="0.2">
      <c r="A368" s="12">
        <v>2008</v>
      </c>
      <c r="B368" s="1" t="s">
        <v>36</v>
      </c>
      <c r="C368" s="1">
        <v>19</v>
      </c>
      <c r="D368" s="15">
        <v>217000000</v>
      </c>
      <c r="E368" s="15">
        <f>(292.7/215.3)*217000000</f>
        <v>295011147.23641431</v>
      </c>
      <c r="F368" s="10">
        <f t="shared" si="51"/>
        <v>43.6</v>
      </c>
      <c r="G368" s="5">
        <f>2947/16</f>
        <v>184.1875</v>
      </c>
      <c r="H368" s="4" t="s">
        <v>1</v>
      </c>
      <c r="I368" s="1">
        <f t="shared" si="52"/>
        <v>0</v>
      </c>
      <c r="J368" s="1" t="s">
        <v>1</v>
      </c>
      <c r="K368" s="1">
        <f t="shared" si="53"/>
        <v>0</v>
      </c>
      <c r="L368" s="1" t="s">
        <v>1</v>
      </c>
      <c r="M368" s="1">
        <f t="shared" si="54"/>
        <v>0</v>
      </c>
      <c r="N368" s="1" t="s">
        <v>1</v>
      </c>
      <c r="O368" s="8">
        <v>0.31900000000000001</v>
      </c>
      <c r="P368" s="7">
        <v>0.34499999999999997</v>
      </c>
      <c r="Q368" s="3">
        <f>2/16</f>
        <v>0.125</v>
      </c>
      <c r="R368" s="10">
        <f t="shared" si="55"/>
        <v>-14.600000000000001</v>
      </c>
      <c r="S368" s="13">
        <v>14.5</v>
      </c>
      <c r="T368" s="13">
        <v>29.1</v>
      </c>
      <c r="U368" s="10">
        <v>26</v>
      </c>
      <c r="V368" s="10">
        <v>31</v>
      </c>
      <c r="W368" s="10">
        <f t="shared" si="56"/>
        <v>-5</v>
      </c>
      <c r="X368" s="9" t="s">
        <v>1</v>
      </c>
      <c r="Y368" s="11">
        <f t="shared" si="57"/>
        <v>0</v>
      </c>
      <c r="Z368" s="14">
        <v>0</v>
      </c>
    </row>
    <row r="369" spans="1:26" x14ac:dyDescent="0.2">
      <c r="A369" s="12">
        <f t="shared" ref="A369:A379" si="60">A368+1</f>
        <v>2009</v>
      </c>
      <c r="B369" s="1" t="s">
        <v>36</v>
      </c>
      <c r="C369" s="1">
        <v>19</v>
      </c>
      <c r="D369" s="15">
        <v>223000000</v>
      </c>
      <c r="E369" s="15">
        <f>(292.7/214.5)*223000000</f>
        <v>304298834.49883449</v>
      </c>
      <c r="F369" s="10">
        <f t="shared" si="51"/>
        <v>38.200000000000003</v>
      </c>
      <c r="G369" s="5">
        <f>2686/16</f>
        <v>167.875</v>
      </c>
      <c r="H369" s="4" t="s">
        <v>2</v>
      </c>
      <c r="I369" s="1">
        <f t="shared" si="52"/>
        <v>1</v>
      </c>
      <c r="J369" s="1" t="s">
        <v>1</v>
      </c>
      <c r="K369" s="1">
        <f t="shared" si="53"/>
        <v>0</v>
      </c>
      <c r="L369" s="1" t="s">
        <v>2</v>
      </c>
      <c r="M369" s="1">
        <f t="shared" si="54"/>
        <v>1</v>
      </c>
      <c r="N369" s="1" t="s">
        <v>1</v>
      </c>
      <c r="O369" s="8">
        <v>0.32900000000000001</v>
      </c>
      <c r="P369" s="7">
        <v>0.32400000000000001</v>
      </c>
      <c r="Q369" s="3">
        <f>1/16</f>
        <v>6.25E-2</v>
      </c>
      <c r="R369" s="10">
        <f t="shared" si="55"/>
        <v>-16.399999999999999</v>
      </c>
      <c r="S369" s="13">
        <v>10.9</v>
      </c>
      <c r="T369" s="13">
        <v>27.3</v>
      </c>
      <c r="U369" s="10">
        <v>20</v>
      </c>
      <c r="V369" s="10">
        <v>33</v>
      </c>
      <c r="W369" s="10">
        <f t="shared" si="56"/>
        <v>-13</v>
      </c>
      <c r="X369" s="9" t="s">
        <v>1</v>
      </c>
      <c r="Y369" s="11">
        <f t="shared" si="57"/>
        <v>0</v>
      </c>
      <c r="Z369" s="14">
        <v>1</v>
      </c>
    </row>
    <row r="370" spans="1:26" x14ac:dyDescent="0.2">
      <c r="A370" s="12">
        <f t="shared" si="60"/>
        <v>2010</v>
      </c>
      <c r="B370" s="1" t="s">
        <v>36</v>
      </c>
      <c r="C370" s="1">
        <v>19</v>
      </c>
      <c r="D370" s="15">
        <v>228000000</v>
      </c>
      <c r="E370" s="15">
        <f>(292.7/218.1)*228000000</f>
        <v>305986244.84181571</v>
      </c>
      <c r="F370" s="10">
        <f t="shared" si="51"/>
        <v>38.6</v>
      </c>
      <c r="G370" s="5">
        <f>3268/16</f>
        <v>204.25</v>
      </c>
      <c r="H370" s="4" t="s">
        <v>2</v>
      </c>
      <c r="I370" s="1">
        <f t="shared" si="52"/>
        <v>1</v>
      </c>
      <c r="J370" s="1" t="s">
        <v>1</v>
      </c>
      <c r="K370" s="1">
        <f t="shared" si="53"/>
        <v>0</v>
      </c>
      <c r="L370" s="1" t="s">
        <v>2</v>
      </c>
      <c r="M370" s="1">
        <f t="shared" si="54"/>
        <v>1</v>
      </c>
      <c r="N370" s="1" t="s">
        <v>1</v>
      </c>
      <c r="O370" s="8">
        <v>0.33200000000000002</v>
      </c>
      <c r="P370" s="7">
        <v>0.35699999999999998</v>
      </c>
      <c r="Q370" s="3">
        <f>7/16</f>
        <v>0.4375</v>
      </c>
      <c r="R370" s="10">
        <f t="shared" si="55"/>
        <v>-2.3999999999999986</v>
      </c>
      <c r="S370" s="13">
        <v>18.100000000000001</v>
      </c>
      <c r="T370" s="13">
        <v>20.5</v>
      </c>
      <c r="U370" s="10">
        <v>26</v>
      </c>
      <c r="V370" s="10">
        <v>21</v>
      </c>
      <c r="W370" s="10">
        <f t="shared" si="56"/>
        <v>5</v>
      </c>
      <c r="X370" s="9" t="s">
        <v>1</v>
      </c>
      <c r="Y370" s="11">
        <f t="shared" si="57"/>
        <v>0</v>
      </c>
      <c r="Z370" s="14">
        <v>1</v>
      </c>
    </row>
    <row r="371" spans="1:26" x14ac:dyDescent="0.2">
      <c r="A371" s="12">
        <f t="shared" si="60"/>
        <v>2011</v>
      </c>
      <c r="B371" s="1" t="s">
        <v>36</v>
      </c>
      <c r="C371" s="1">
        <v>19</v>
      </c>
      <c r="D371" s="15">
        <v>231000000</v>
      </c>
      <c r="E371" s="15">
        <f>(292.7/224.9)*231000000</f>
        <v>300638950.64473099</v>
      </c>
      <c r="F371" s="10">
        <f t="shared" si="51"/>
        <v>37.5</v>
      </c>
      <c r="G371" s="5">
        <f>2870/16</f>
        <v>179.375</v>
      </c>
      <c r="H371" s="4" t="s">
        <v>2</v>
      </c>
      <c r="I371" s="1">
        <f t="shared" si="52"/>
        <v>1</v>
      </c>
      <c r="J371" s="1" t="s">
        <v>1</v>
      </c>
      <c r="K371" s="1">
        <f t="shared" si="53"/>
        <v>0</v>
      </c>
      <c r="L371" s="1" t="s">
        <v>2</v>
      </c>
      <c r="M371" s="1">
        <f t="shared" si="54"/>
        <v>1</v>
      </c>
      <c r="N371" s="1" t="s">
        <v>1</v>
      </c>
      <c r="O371" s="8">
        <v>0.28100000000000003</v>
      </c>
      <c r="P371" s="7">
        <v>0.38700000000000001</v>
      </c>
      <c r="Q371" s="3">
        <f>2/16</f>
        <v>0.125</v>
      </c>
      <c r="R371" s="10">
        <f t="shared" si="55"/>
        <v>-13.299999999999999</v>
      </c>
      <c r="S371" s="13">
        <v>12.1</v>
      </c>
      <c r="T371" s="13">
        <v>25.4</v>
      </c>
      <c r="U371" s="10">
        <v>18</v>
      </c>
      <c r="V371" s="10">
        <v>23</v>
      </c>
      <c r="W371" s="10">
        <f t="shared" si="56"/>
        <v>-5</v>
      </c>
      <c r="X371" s="9" t="s">
        <v>1</v>
      </c>
      <c r="Y371" s="11">
        <f t="shared" si="57"/>
        <v>0</v>
      </c>
      <c r="Z371" s="14">
        <v>0</v>
      </c>
    </row>
    <row r="372" spans="1:26" x14ac:dyDescent="0.2">
      <c r="A372" s="12">
        <f t="shared" si="60"/>
        <v>2012</v>
      </c>
      <c r="B372" s="1" t="s">
        <v>36</v>
      </c>
      <c r="C372" s="1">
        <v>19</v>
      </c>
      <c r="D372" s="15">
        <v>239000000</v>
      </c>
      <c r="E372" s="15">
        <f>(292.7/229.6)*239000000</f>
        <v>304683362.36933798</v>
      </c>
      <c r="F372" s="10">
        <f t="shared" si="51"/>
        <v>40.5</v>
      </c>
      <c r="G372" s="5">
        <f>3550/16</f>
        <v>221.875</v>
      </c>
      <c r="H372" s="4" t="s">
        <v>2</v>
      </c>
      <c r="I372" s="1">
        <f t="shared" si="52"/>
        <v>1</v>
      </c>
      <c r="J372" s="1" t="s">
        <v>1</v>
      </c>
      <c r="K372" s="1">
        <f t="shared" si="53"/>
        <v>0</v>
      </c>
      <c r="L372" s="1" t="s">
        <v>2</v>
      </c>
      <c r="M372" s="1">
        <f t="shared" si="54"/>
        <v>1</v>
      </c>
      <c r="N372" s="1" t="s">
        <v>1</v>
      </c>
      <c r="O372" s="8">
        <v>0.32100000000000001</v>
      </c>
      <c r="P372" s="7">
        <v>0.51400000000000001</v>
      </c>
      <c r="Q372" s="3">
        <f>7.5/16</f>
        <v>0.46875</v>
      </c>
      <c r="R372" s="10">
        <f t="shared" si="55"/>
        <v>-3.1000000000000014</v>
      </c>
      <c r="S372" s="13">
        <v>18.7</v>
      </c>
      <c r="T372" s="13">
        <v>21.8</v>
      </c>
      <c r="U372" s="10">
        <v>21</v>
      </c>
      <c r="V372" s="10">
        <v>22</v>
      </c>
      <c r="W372" s="10">
        <f t="shared" si="56"/>
        <v>-1</v>
      </c>
      <c r="X372" s="9" t="s">
        <v>1</v>
      </c>
      <c r="Y372" s="11">
        <f t="shared" si="57"/>
        <v>0</v>
      </c>
      <c r="Z372" s="14">
        <v>0</v>
      </c>
    </row>
    <row r="373" spans="1:26" x14ac:dyDescent="0.2">
      <c r="A373" s="12">
        <f t="shared" si="60"/>
        <v>2013</v>
      </c>
      <c r="B373" s="1" t="s">
        <v>36</v>
      </c>
      <c r="C373" s="1">
        <v>19</v>
      </c>
      <c r="D373" s="15">
        <v>250000000</v>
      </c>
      <c r="E373" s="15">
        <f>(292.7/233)*250000000</f>
        <v>314055793.99141634</v>
      </c>
      <c r="F373" s="10">
        <f t="shared" si="51"/>
        <v>44.6</v>
      </c>
      <c r="G373" s="5">
        <f>3125/16</f>
        <v>195.3125</v>
      </c>
      <c r="H373" s="4" t="s">
        <v>2</v>
      </c>
      <c r="I373" s="1">
        <f t="shared" si="52"/>
        <v>1</v>
      </c>
      <c r="J373" s="1" t="s">
        <v>1</v>
      </c>
      <c r="K373" s="1">
        <f t="shared" si="53"/>
        <v>0</v>
      </c>
      <c r="L373" s="1" t="s">
        <v>2</v>
      </c>
      <c r="M373" s="1">
        <f t="shared" si="54"/>
        <v>1</v>
      </c>
      <c r="N373" s="1" t="s">
        <v>1</v>
      </c>
      <c r="O373" s="8">
        <v>0.34399999999999997</v>
      </c>
      <c r="P373" s="7">
        <v>0.51</v>
      </c>
      <c r="Q373" s="3">
        <f>7/16</f>
        <v>0.4375</v>
      </c>
      <c r="R373" s="10">
        <f t="shared" si="55"/>
        <v>-1</v>
      </c>
      <c r="S373" s="13">
        <v>21.8</v>
      </c>
      <c r="T373" s="13">
        <v>22.8</v>
      </c>
      <c r="U373" s="10">
        <v>29</v>
      </c>
      <c r="V373" s="10">
        <v>21</v>
      </c>
      <c r="W373" s="10">
        <f t="shared" si="56"/>
        <v>8</v>
      </c>
      <c r="X373" s="9" t="s">
        <v>1</v>
      </c>
      <c r="Y373" s="11">
        <f t="shared" si="57"/>
        <v>0</v>
      </c>
      <c r="Z373" s="14">
        <v>2</v>
      </c>
    </row>
    <row r="374" spans="1:26" x14ac:dyDescent="0.2">
      <c r="A374" s="12">
        <f t="shared" si="60"/>
        <v>2014</v>
      </c>
      <c r="B374" s="1" t="s">
        <v>36</v>
      </c>
      <c r="C374" s="1">
        <v>19</v>
      </c>
      <c r="D374" s="15">
        <v>290000000</v>
      </c>
      <c r="E374" s="15">
        <f>(292.7/236.7)*290000000</f>
        <v>358610054.92184198</v>
      </c>
      <c r="F374" s="10">
        <f t="shared" si="51"/>
        <v>42.400000000000006</v>
      </c>
      <c r="G374" s="5">
        <f>3400/16</f>
        <v>212.5</v>
      </c>
      <c r="H374" s="4" t="s">
        <v>2</v>
      </c>
      <c r="I374" s="1">
        <f t="shared" si="52"/>
        <v>1</v>
      </c>
      <c r="J374" s="1" t="s">
        <v>1</v>
      </c>
      <c r="K374" s="1">
        <f t="shared" si="53"/>
        <v>0</v>
      </c>
      <c r="L374" s="1" t="s">
        <v>2</v>
      </c>
      <c r="M374" s="1">
        <f t="shared" si="54"/>
        <v>1</v>
      </c>
      <c r="N374" s="1" t="s">
        <v>1</v>
      </c>
      <c r="O374" s="8">
        <v>0.35399999999999998</v>
      </c>
      <c r="P374" s="7">
        <v>0.5</v>
      </c>
      <c r="Q374" s="3">
        <f>6/16</f>
        <v>0.375</v>
      </c>
      <c r="R374" s="10">
        <f t="shared" si="55"/>
        <v>-1.8000000000000007</v>
      </c>
      <c r="S374" s="13">
        <v>20.3</v>
      </c>
      <c r="T374" s="13">
        <v>22.1</v>
      </c>
      <c r="U374" s="10">
        <v>25</v>
      </c>
      <c r="V374" s="10">
        <v>27</v>
      </c>
      <c r="W374" s="10">
        <f t="shared" si="56"/>
        <v>-2</v>
      </c>
      <c r="X374" s="9" t="s">
        <v>1</v>
      </c>
      <c r="Y374" s="11">
        <f t="shared" si="57"/>
        <v>0</v>
      </c>
      <c r="Z374" s="14">
        <v>2</v>
      </c>
    </row>
    <row r="375" spans="1:26" x14ac:dyDescent="0.2">
      <c r="A375" s="12">
        <f t="shared" si="60"/>
        <v>2015</v>
      </c>
      <c r="B375" s="1" t="s">
        <v>36</v>
      </c>
      <c r="C375" s="1">
        <v>19</v>
      </c>
      <c r="D375" s="15">
        <v>317000000</v>
      </c>
      <c r="E375" s="15">
        <f>(292.7/237)*317000000</f>
        <v>391501687.76371306</v>
      </c>
      <c r="F375" s="10">
        <f t="shared" si="51"/>
        <v>38.1</v>
      </c>
      <c r="G375" s="5">
        <f>2805/16</f>
        <v>175.3125</v>
      </c>
      <c r="H375" s="4" t="s">
        <v>2</v>
      </c>
      <c r="I375" s="1">
        <f t="shared" si="52"/>
        <v>1</v>
      </c>
      <c r="J375" s="1" t="s">
        <v>1</v>
      </c>
      <c r="K375" s="1">
        <f t="shared" si="53"/>
        <v>0</v>
      </c>
      <c r="L375" s="1" t="s">
        <v>2</v>
      </c>
      <c r="M375" s="1">
        <f t="shared" si="54"/>
        <v>1</v>
      </c>
      <c r="N375" s="1" t="s">
        <v>2</v>
      </c>
      <c r="O375" s="8">
        <v>0.25900000000000001</v>
      </c>
      <c r="P375" s="7">
        <v>0.52800000000000002</v>
      </c>
      <c r="Q375" s="3">
        <f>7/16</f>
        <v>0.4375</v>
      </c>
      <c r="R375" s="10">
        <f t="shared" si="55"/>
        <v>-3.1000000000000014</v>
      </c>
      <c r="S375" s="13">
        <v>17.5</v>
      </c>
      <c r="T375" s="13">
        <v>20.6</v>
      </c>
      <c r="U375" s="10">
        <v>26</v>
      </c>
      <c r="V375" s="10">
        <v>22</v>
      </c>
      <c r="W375" s="10">
        <f t="shared" si="56"/>
        <v>4</v>
      </c>
      <c r="X375" s="9" t="s">
        <v>1</v>
      </c>
      <c r="Y375" s="11">
        <f t="shared" si="57"/>
        <v>0</v>
      </c>
      <c r="Z375" s="14">
        <v>3</v>
      </c>
    </row>
    <row r="376" spans="1:26" x14ac:dyDescent="0.2">
      <c r="A376" s="12">
        <f t="shared" si="60"/>
        <v>2016</v>
      </c>
      <c r="B376" s="1" t="s">
        <v>36</v>
      </c>
      <c r="C376" s="1">
        <v>19</v>
      </c>
      <c r="D376" s="15">
        <v>370000000</v>
      </c>
      <c r="E376" s="15">
        <f>(292.7/240)*370000000</f>
        <v>451245833.33333331</v>
      </c>
      <c r="F376" s="10">
        <f t="shared" si="51"/>
        <v>38.6</v>
      </c>
      <c r="G376" s="5">
        <f>2951/16</f>
        <v>184.4375</v>
      </c>
      <c r="H376" s="4" t="s">
        <v>2</v>
      </c>
      <c r="I376" s="1">
        <f t="shared" si="52"/>
        <v>1</v>
      </c>
      <c r="J376" s="1" t="s">
        <v>1</v>
      </c>
      <c r="K376" s="1">
        <f t="shared" si="53"/>
        <v>0</v>
      </c>
      <c r="L376" s="1" t="s">
        <v>2</v>
      </c>
      <c r="M376" s="1">
        <f t="shared" si="54"/>
        <v>1</v>
      </c>
      <c r="N376" s="1" t="s">
        <v>2</v>
      </c>
      <c r="O376" s="8">
        <v>0.315</v>
      </c>
      <c r="P376" s="7">
        <v>0.47099999999999997</v>
      </c>
      <c r="Q376" s="3">
        <f>4/16</f>
        <v>0.25</v>
      </c>
      <c r="R376" s="10">
        <f t="shared" si="55"/>
        <v>-10.600000000000001</v>
      </c>
      <c r="S376" s="13">
        <v>14</v>
      </c>
      <c r="T376" s="13">
        <v>24.6</v>
      </c>
      <c r="U376" s="10">
        <v>18</v>
      </c>
      <c r="V376" s="10">
        <v>29</v>
      </c>
      <c r="W376" s="10">
        <f t="shared" si="56"/>
        <v>-11</v>
      </c>
      <c r="X376" s="9" t="s">
        <v>1</v>
      </c>
      <c r="Y376" s="11">
        <f t="shared" si="57"/>
        <v>0</v>
      </c>
      <c r="Z376" s="14">
        <v>3</v>
      </c>
    </row>
    <row r="377" spans="1:26" x14ac:dyDescent="0.2">
      <c r="A377" s="12">
        <f t="shared" si="60"/>
        <v>2017</v>
      </c>
      <c r="B377" s="1" t="s">
        <v>37</v>
      </c>
      <c r="C377" s="1">
        <v>19</v>
      </c>
      <c r="D377" s="15">
        <v>366000000</v>
      </c>
      <c r="E377" s="15">
        <f>(292.7/245.1)*366000000</f>
        <v>437079559.36352509</v>
      </c>
      <c r="F377" s="10">
        <f t="shared" si="51"/>
        <v>50.5</v>
      </c>
      <c r="G377" s="5">
        <f>3831/16</f>
        <v>239.4375</v>
      </c>
      <c r="H377" s="4" t="s">
        <v>2</v>
      </c>
      <c r="I377" s="1">
        <f t="shared" si="52"/>
        <v>1</v>
      </c>
      <c r="J377" s="1" t="s">
        <v>1</v>
      </c>
      <c r="K377" s="1">
        <f t="shared" si="53"/>
        <v>0</v>
      </c>
      <c r="L377" s="1" t="s">
        <v>2</v>
      </c>
      <c r="M377" s="1">
        <f t="shared" si="54"/>
        <v>1</v>
      </c>
      <c r="N377" s="1" t="s">
        <v>2</v>
      </c>
      <c r="O377" s="8">
        <v>0.41099999999999998</v>
      </c>
      <c r="P377" s="7">
        <v>0.55100000000000005</v>
      </c>
      <c r="Q377" s="3">
        <f>11/16</f>
        <v>0.6875</v>
      </c>
      <c r="R377" s="10">
        <f t="shared" si="55"/>
        <v>9.2999999999999972</v>
      </c>
      <c r="S377" s="13">
        <v>29.9</v>
      </c>
      <c r="T377" s="13">
        <v>20.6</v>
      </c>
      <c r="U377" s="10">
        <v>28</v>
      </c>
      <c r="V377" s="10">
        <v>21</v>
      </c>
      <c r="W377" s="10">
        <f t="shared" si="56"/>
        <v>7</v>
      </c>
      <c r="X377" s="9" t="s">
        <v>2</v>
      </c>
      <c r="Y377" s="11">
        <f t="shared" si="57"/>
        <v>1</v>
      </c>
      <c r="Z377" s="14">
        <v>8</v>
      </c>
    </row>
    <row r="378" spans="1:26" x14ac:dyDescent="0.2">
      <c r="A378" s="12">
        <f t="shared" si="60"/>
        <v>2018</v>
      </c>
      <c r="B378" s="1" t="s">
        <v>37</v>
      </c>
      <c r="C378" s="1">
        <v>19</v>
      </c>
      <c r="D378" s="15">
        <v>401000000</v>
      </c>
      <c r="E378" s="15">
        <f>(292.7/251.1)*401000000</f>
        <v>467434090.00398248</v>
      </c>
      <c r="F378" s="10">
        <f t="shared" si="51"/>
        <v>56.9</v>
      </c>
      <c r="G378" s="5">
        <f>4507/16</f>
        <v>281.6875</v>
      </c>
      <c r="H378" s="4" t="s">
        <v>1</v>
      </c>
      <c r="I378" s="1">
        <f t="shared" si="52"/>
        <v>0</v>
      </c>
      <c r="J378" s="1" t="s">
        <v>2</v>
      </c>
      <c r="K378" s="1">
        <f t="shared" si="53"/>
        <v>1</v>
      </c>
      <c r="L378" s="1" t="s">
        <v>2</v>
      </c>
      <c r="M378" s="1">
        <f t="shared" si="54"/>
        <v>1</v>
      </c>
      <c r="N378" s="1" t="s">
        <v>2</v>
      </c>
      <c r="O378" s="8">
        <v>0.45</v>
      </c>
      <c r="P378" s="7">
        <v>0.57499999999999996</v>
      </c>
      <c r="Q378" s="3">
        <f>13/16</f>
        <v>0.8125</v>
      </c>
      <c r="R378" s="10">
        <f t="shared" si="55"/>
        <v>8.8999999999999986</v>
      </c>
      <c r="S378" s="13">
        <v>32.9</v>
      </c>
      <c r="T378" s="13">
        <v>24</v>
      </c>
      <c r="U378" s="10">
        <v>30</v>
      </c>
      <c r="V378" s="10">
        <v>19</v>
      </c>
      <c r="W378" s="10">
        <f t="shared" si="56"/>
        <v>11</v>
      </c>
      <c r="X378" s="9" t="s">
        <v>2</v>
      </c>
      <c r="Y378" s="11">
        <f t="shared" si="57"/>
        <v>1</v>
      </c>
      <c r="Z378" s="14">
        <v>4</v>
      </c>
    </row>
    <row r="379" spans="1:26" x14ac:dyDescent="0.2">
      <c r="A379" s="12">
        <f t="shared" si="60"/>
        <v>2019</v>
      </c>
      <c r="B379" s="1" t="s">
        <v>37</v>
      </c>
      <c r="C379" s="1">
        <v>19</v>
      </c>
      <c r="D379" s="15">
        <v>423000000</v>
      </c>
      <c r="E379" s="15">
        <f>(292.7/255.7)*423000000</f>
        <v>484208447.3992961</v>
      </c>
      <c r="F379" s="10">
        <f t="shared" si="51"/>
        <v>47.400000000000006</v>
      </c>
      <c r="G379" s="5">
        <f>4499/16</f>
        <v>281.1875</v>
      </c>
      <c r="H379" s="4" t="s">
        <v>1</v>
      </c>
      <c r="I379" s="1">
        <f t="shared" si="52"/>
        <v>0</v>
      </c>
      <c r="J379" s="1" t="s">
        <v>2</v>
      </c>
      <c r="K379" s="1">
        <f t="shared" si="53"/>
        <v>1</v>
      </c>
      <c r="L379" s="1" t="s">
        <v>2</v>
      </c>
      <c r="M379" s="1">
        <f t="shared" si="54"/>
        <v>1</v>
      </c>
      <c r="N379" s="1" t="s">
        <v>2</v>
      </c>
      <c r="O379" s="8">
        <v>0.39900000000000002</v>
      </c>
      <c r="P379" s="7">
        <v>0.64400000000000002</v>
      </c>
      <c r="Q379" s="3">
        <f>9/16</f>
        <v>0.5625</v>
      </c>
      <c r="R379" s="10">
        <f t="shared" si="55"/>
        <v>1.8000000000000007</v>
      </c>
      <c r="S379" s="13">
        <v>24.6</v>
      </c>
      <c r="T379" s="13">
        <v>22.8</v>
      </c>
      <c r="U379" s="10">
        <v>24</v>
      </c>
      <c r="V379" s="10">
        <v>24</v>
      </c>
      <c r="W379" s="10">
        <f t="shared" si="56"/>
        <v>0</v>
      </c>
      <c r="X379" s="9" t="s">
        <v>1</v>
      </c>
      <c r="Y379" s="11">
        <f t="shared" si="57"/>
        <v>0</v>
      </c>
      <c r="Z379" s="14">
        <v>1</v>
      </c>
    </row>
    <row r="380" spans="1:26" x14ac:dyDescent="0.2">
      <c r="A380" s="12">
        <v>2021</v>
      </c>
      <c r="B380" s="1" t="s">
        <v>37</v>
      </c>
      <c r="C380" s="1">
        <v>19</v>
      </c>
      <c r="D380" s="15">
        <v>628000000</v>
      </c>
      <c r="E380" s="15">
        <f>(292.7/271)*628000000</f>
        <v>678286346.86346853</v>
      </c>
      <c r="F380" s="10">
        <f t="shared" si="51"/>
        <v>49</v>
      </c>
      <c r="G380" s="5">
        <f>4642/17</f>
        <v>273.05882352941177</v>
      </c>
      <c r="H380" s="4" t="s">
        <v>1</v>
      </c>
      <c r="I380" s="1">
        <f t="shared" si="52"/>
        <v>0</v>
      </c>
      <c r="J380" s="1" t="s">
        <v>2</v>
      </c>
      <c r="K380" s="1">
        <f t="shared" si="53"/>
        <v>1</v>
      </c>
      <c r="L380" s="1" t="s">
        <v>2</v>
      </c>
      <c r="M380" s="1">
        <f t="shared" si="54"/>
        <v>1</v>
      </c>
      <c r="N380" s="1" t="s">
        <v>2</v>
      </c>
      <c r="O380" s="8">
        <v>0.439</v>
      </c>
      <c r="P380" s="7">
        <v>0.6</v>
      </c>
      <c r="Q380" s="3">
        <f>12/17</f>
        <v>0.70588235294117652</v>
      </c>
      <c r="R380" s="10">
        <f t="shared" si="55"/>
        <v>5.2000000000000028</v>
      </c>
      <c r="S380" s="13">
        <v>27.1</v>
      </c>
      <c r="T380" s="13">
        <v>21.9</v>
      </c>
      <c r="U380" s="10">
        <v>25</v>
      </c>
      <c r="V380" s="10">
        <v>23</v>
      </c>
      <c r="W380" s="10">
        <f t="shared" si="56"/>
        <v>2</v>
      </c>
      <c r="X380" s="9" t="s">
        <v>2</v>
      </c>
      <c r="Y380" s="11">
        <f t="shared" si="57"/>
        <v>1</v>
      </c>
      <c r="Z380" s="14">
        <v>4</v>
      </c>
    </row>
    <row r="381" spans="1:26" x14ac:dyDescent="0.2">
      <c r="A381" s="12">
        <f>A380+1</f>
        <v>2022</v>
      </c>
      <c r="B381" s="1" t="s">
        <v>37</v>
      </c>
      <c r="C381" s="1">
        <v>19</v>
      </c>
      <c r="D381" s="15">
        <v>686000000</v>
      </c>
      <c r="E381" s="15">
        <f>(292.7/292.7)*686000000</f>
        <v>686000000</v>
      </c>
      <c r="F381" s="10">
        <f t="shared" si="51"/>
        <v>40.700000000000003</v>
      </c>
      <c r="G381" s="5">
        <f>3108/17</f>
        <v>182.8235294117647</v>
      </c>
      <c r="H381" s="4" t="s">
        <v>1</v>
      </c>
      <c r="I381" s="1">
        <f t="shared" si="52"/>
        <v>0</v>
      </c>
      <c r="J381" s="1" t="s">
        <v>2</v>
      </c>
      <c r="K381" s="1">
        <f t="shared" si="53"/>
        <v>1</v>
      </c>
      <c r="L381" s="1" t="s">
        <v>2</v>
      </c>
      <c r="M381" s="1">
        <f t="shared" si="54"/>
        <v>1</v>
      </c>
      <c r="N381" s="1" t="s">
        <v>2</v>
      </c>
      <c r="O381" s="8">
        <v>0.39300000000000002</v>
      </c>
      <c r="P381" s="7">
        <v>0.55600000000000005</v>
      </c>
      <c r="Q381" s="3">
        <f>5/17</f>
        <v>0.29411764705882354</v>
      </c>
      <c r="R381" s="10">
        <f t="shared" si="55"/>
        <v>-4.5</v>
      </c>
      <c r="S381" s="13">
        <v>18.100000000000001</v>
      </c>
      <c r="T381" s="13">
        <v>22.6</v>
      </c>
      <c r="U381" s="10">
        <v>22</v>
      </c>
      <c r="V381" s="10">
        <v>23</v>
      </c>
      <c r="W381" s="10">
        <f t="shared" si="56"/>
        <v>-1</v>
      </c>
      <c r="X381" s="9" t="s">
        <v>2</v>
      </c>
      <c r="Y381" s="11">
        <f t="shared" si="57"/>
        <v>1</v>
      </c>
      <c r="Z381" s="14">
        <v>2</v>
      </c>
    </row>
    <row r="382" spans="1:26" x14ac:dyDescent="0.2">
      <c r="A382" s="12">
        <v>2002</v>
      </c>
      <c r="B382" s="1" t="s">
        <v>38</v>
      </c>
      <c r="C382" s="1">
        <v>20</v>
      </c>
      <c r="D382" s="15">
        <v>159000000</v>
      </c>
      <c r="E382" s="15">
        <f>(292.7/179.9)*159000000</f>
        <v>258695386.32573652</v>
      </c>
      <c r="F382" s="10">
        <f t="shared" si="51"/>
        <v>42.400000000000006</v>
      </c>
      <c r="G382" s="5">
        <f>2890/16</f>
        <v>180.625</v>
      </c>
      <c r="H382" s="4" t="s">
        <v>1</v>
      </c>
      <c r="I382" s="1">
        <f t="shared" si="52"/>
        <v>0</v>
      </c>
      <c r="J382" s="1" t="s">
        <v>1</v>
      </c>
      <c r="K382" s="1">
        <f t="shared" si="53"/>
        <v>0</v>
      </c>
      <c r="L382" s="1" t="s">
        <v>1</v>
      </c>
      <c r="M382" s="1">
        <f t="shared" si="54"/>
        <v>0</v>
      </c>
      <c r="N382" s="1" t="s">
        <v>1</v>
      </c>
      <c r="O382" s="8">
        <v>0.38200000000000001</v>
      </c>
      <c r="P382" s="7">
        <v>0.64300000000000002</v>
      </c>
      <c r="Q382" s="3">
        <f>9/16</f>
        <v>0.5625</v>
      </c>
      <c r="R382" s="10">
        <f t="shared" si="55"/>
        <v>4.8000000000000007</v>
      </c>
      <c r="S382" s="13">
        <v>23.6</v>
      </c>
      <c r="T382" s="13">
        <v>18.8</v>
      </c>
      <c r="U382" s="10">
        <v>30</v>
      </c>
      <c r="V382" s="10">
        <v>30</v>
      </c>
      <c r="W382" s="10">
        <f t="shared" si="56"/>
        <v>0</v>
      </c>
      <c r="X382" s="9" t="s">
        <v>1</v>
      </c>
      <c r="Y382" s="11">
        <f t="shared" si="57"/>
        <v>0</v>
      </c>
      <c r="Z382" s="14">
        <v>7</v>
      </c>
    </row>
    <row r="383" spans="1:26" x14ac:dyDescent="0.2">
      <c r="A383" s="12">
        <f>A382+1</f>
        <v>2003</v>
      </c>
      <c r="B383" s="1" t="s">
        <v>38</v>
      </c>
      <c r="C383" s="1">
        <v>20</v>
      </c>
      <c r="D383" s="15">
        <v>170000000</v>
      </c>
      <c r="E383" s="15">
        <f>(292.7/184)*170000000</f>
        <v>270429347.82608694</v>
      </c>
      <c r="F383" s="10">
        <f t="shared" si="51"/>
        <v>35.700000000000003</v>
      </c>
      <c r="G383" s="5">
        <f>2792/16</f>
        <v>174.5</v>
      </c>
      <c r="H383" s="4" t="s">
        <v>1</v>
      </c>
      <c r="I383" s="1">
        <f t="shared" si="52"/>
        <v>0</v>
      </c>
      <c r="J383" s="1" t="s">
        <v>1</v>
      </c>
      <c r="K383" s="1">
        <f t="shared" si="53"/>
        <v>0</v>
      </c>
      <c r="L383" s="1" t="s">
        <v>1</v>
      </c>
      <c r="M383" s="1">
        <f t="shared" si="54"/>
        <v>0</v>
      </c>
      <c r="N383" s="1" t="s">
        <v>1</v>
      </c>
      <c r="O383" s="8">
        <v>0.32700000000000001</v>
      </c>
      <c r="P383" s="7">
        <v>0.48799999999999999</v>
      </c>
      <c r="Q383" s="3">
        <f>10/16</f>
        <v>0.625</v>
      </c>
      <c r="R383" s="10">
        <f t="shared" si="55"/>
        <v>3.0999999999999979</v>
      </c>
      <c r="S383" s="13">
        <v>19.399999999999999</v>
      </c>
      <c r="T383" s="13">
        <v>16.3</v>
      </c>
      <c r="U383" s="10">
        <v>36</v>
      </c>
      <c r="V383" s="10">
        <v>34</v>
      </c>
      <c r="W383" s="10">
        <f t="shared" si="56"/>
        <v>2</v>
      </c>
      <c r="X383" s="9" t="s">
        <v>1</v>
      </c>
      <c r="Y383" s="11">
        <f t="shared" si="57"/>
        <v>0</v>
      </c>
      <c r="Z383" s="14">
        <v>4</v>
      </c>
    </row>
    <row r="384" spans="1:26" x14ac:dyDescent="0.2">
      <c r="A384" s="12">
        <f>A383+1</f>
        <v>2004</v>
      </c>
      <c r="B384" s="1" t="s">
        <v>38</v>
      </c>
      <c r="C384" s="1">
        <v>20</v>
      </c>
      <c r="D384" s="15">
        <v>190000000</v>
      </c>
      <c r="E384" s="15">
        <f>(292.7/188.9)*190000000</f>
        <v>294404446.79724717</v>
      </c>
      <c r="F384" s="10">
        <f t="shared" si="51"/>
        <v>39.299999999999997</v>
      </c>
      <c r="G384" s="5">
        <f>3065/16</f>
        <v>191.5625</v>
      </c>
      <c r="H384" s="4" t="s">
        <v>1</v>
      </c>
      <c r="I384" s="1">
        <f t="shared" si="52"/>
        <v>0</v>
      </c>
      <c r="J384" s="1" t="s">
        <v>1</v>
      </c>
      <c r="K384" s="1">
        <f t="shared" si="53"/>
        <v>0</v>
      </c>
      <c r="L384" s="1" t="s">
        <v>1</v>
      </c>
      <c r="M384" s="1">
        <f t="shared" si="54"/>
        <v>0</v>
      </c>
      <c r="N384" s="1" t="s">
        <v>1</v>
      </c>
      <c r="O384" s="8">
        <v>0.34499999999999997</v>
      </c>
      <c r="P384" s="7">
        <v>0.47399999999999998</v>
      </c>
      <c r="Q384" s="3">
        <f>4/16</f>
        <v>0.25</v>
      </c>
      <c r="R384" s="10">
        <f t="shared" si="55"/>
        <v>-4.9000000000000021</v>
      </c>
      <c r="S384" s="13">
        <v>17.2</v>
      </c>
      <c r="T384" s="13">
        <v>22.1</v>
      </c>
      <c r="U384" s="10">
        <v>25</v>
      </c>
      <c r="V384" s="10">
        <v>42</v>
      </c>
      <c r="W384" s="10">
        <f t="shared" si="56"/>
        <v>-17</v>
      </c>
      <c r="X384" s="9" t="s">
        <v>1</v>
      </c>
      <c r="Y384" s="11">
        <f t="shared" si="57"/>
        <v>0</v>
      </c>
      <c r="Z384" s="14">
        <v>3</v>
      </c>
    </row>
    <row r="385" spans="1:26" x14ac:dyDescent="0.2">
      <c r="A385" s="12">
        <f>A384+1</f>
        <v>2005</v>
      </c>
      <c r="B385" s="1" t="s">
        <v>38</v>
      </c>
      <c r="C385" s="1">
        <v>20</v>
      </c>
      <c r="D385" s="15">
        <v>194000000</v>
      </c>
      <c r="E385" s="15">
        <f>(292.7/195.3)*194000000</f>
        <v>290751664.10650277</v>
      </c>
      <c r="F385" s="10">
        <f t="shared" si="51"/>
        <v>39.700000000000003</v>
      </c>
      <c r="G385" s="5">
        <f>3300/16</f>
        <v>206.25</v>
      </c>
      <c r="H385" s="4" t="s">
        <v>1</v>
      </c>
      <c r="I385" s="1">
        <f t="shared" si="52"/>
        <v>0</v>
      </c>
      <c r="J385" s="1" t="s">
        <v>1</v>
      </c>
      <c r="K385" s="1">
        <f t="shared" si="53"/>
        <v>0</v>
      </c>
      <c r="L385" s="1" t="s">
        <v>1</v>
      </c>
      <c r="M385" s="1">
        <f t="shared" si="54"/>
        <v>0</v>
      </c>
      <c r="N385" s="1" t="s">
        <v>1</v>
      </c>
      <c r="O385" s="8">
        <v>0.35099999999999998</v>
      </c>
      <c r="P385" s="7">
        <v>0.4</v>
      </c>
      <c r="Q385" s="3">
        <f>9/16</f>
        <v>0.5625</v>
      </c>
      <c r="R385" s="10">
        <f t="shared" si="55"/>
        <v>9.9999999999997868E-2</v>
      </c>
      <c r="S385" s="13">
        <v>19.899999999999999</v>
      </c>
      <c r="T385" s="13">
        <v>19.8</v>
      </c>
      <c r="U385" s="10">
        <v>31</v>
      </c>
      <c r="V385" s="10">
        <v>30</v>
      </c>
      <c r="W385" s="10">
        <f t="shared" si="56"/>
        <v>1</v>
      </c>
      <c r="X385" s="9" t="s">
        <v>1</v>
      </c>
      <c r="Y385" s="11">
        <f t="shared" si="57"/>
        <v>0</v>
      </c>
      <c r="Z385" s="14">
        <v>3</v>
      </c>
    </row>
    <row r="386" spans="1:26" x14ac:dyDescent="0.2">
      <c r="A386" s="12">
        <f>A385+1</f>
        <v>2006</v>
      </c>
      <c r="B386" s="1" t="s">
        <v>38</v>
      </c>
      <c r="C386" s="1">
        <v>20</v>
      </c>
      <c r="D386" s="15">
        <v>215000000</v>
      </c>
      <c r="E386" s="15">
        <f>(292.7/201.6)*215000000</f>
        <v>312155257.93650794</v>
      </c>
      <c r="F386" s="10">
        <f t="shared" ref="F386:F449" si="61">S386+T386</f>
        <v>34</v>
      </c>
      <c r="G386" s="5">
        <f>3287/16</f>
        <v>205.4375</v>
      </c>
      <c r="H386" s="4" t="s">
        <v>1</v>
      </c>
      <c r="I386" s="1">
        <f t="shared" ref="I386:I449" si="62">IF(H386="No",0,1)</f>
        <v>0</v>
      </c>
      <c r="J386" s="1" t="s">
        <v>1</v>
      </c>
      <c r="K386" s="1">
        <f t="shared" ref="K386:K449" si="63">IF(J386="No",0,1)</f>
        <v>0</v>
      </c>
      <c r="L386" s="1" t="s">
        <v>1</v>
      </c>
      <c r="M386" s="1">
        <f t="shared" ref="M386:M449" si="64">IF(L386="No",0,1)</f>
        <v>0</v>
      </c>
      <c r="N386" s="1" t="s">
        <v>1</v>
      </c>
      <c r="O386" s="8">
        <v>0.376</v>
      </c>
      <c r="P386" s="7">
        <v>0.435</v>
      </c>
      <c r="Q386" s="3">
        <f>6/16</f>
        <v>0.375</v>
      </c>
      <c r="R386" s="10">
        <f t="shared" ref="R386:R449" si="65">S386-T386</f>
        <v>-1.3999999999999986</v>
      </c>
      <c r="S386" s="13">
        <v>16.3</v>
      </c>
      <c r="T386" s="13">
        <v>17.7</v>
      </c>
      <c r="U386" s="10">
        <v>27</v>
      </c>
      <c r="V386" s="10">
        <v>25</v>
      </c>
      <c r="W386" s="10">
        <f t="shared" ref="W386:W449" si="66">U386-V386</f>
        <v>2</v>
      </c>
      <c r="X386" s="9" t="s">
        <v>1</v>
      </c>
      <c r="Y386" s="11">
        <f t="shared" ref="Y386:Y449" si="67">IF(X386="No",0,1)</f>
        <v>0</v>
      </c>
      <c r="Z386" s="14">
        <v>2</v>
      </c>
    </row>
    <row r="387" spans="1:26" x14ac:dyDescent="0.2">
      <c r="A387" s="12">
        <f>A386+1</f>
        <v>2007</v>
      </c>
      <c r="B387" s="1" t="s">
        <v>38</v>
      </c>
      <c r="C387" s="1">
        <v>20</v>
      </c>
      <c r="D387" s="15">
        <v>232000000</v>
      </c>
      <c r="E387" s="15">
        <f>(292.7/207.3)*232000000</f>
        <v>327575494.45248431</v>
      </c>
      <c r="F387" s="10">
        <f t="shared" si="61"/>
        <v>44</v>
      </c>
      <c r="G387" s="5">
        <f>3031/16</f>
        <v>189.4375</v>
      </c>
      <c r="H387" s="4" t="s">
        <v>1</v>
      </c>
      <c r="I387" s="1">
        <f t="shared" si="62"/>
        <v>0</v>
      </c>
      <c r="J387" s="1" t="s">
        <v>1</v>
      </c>
      <c r="K387" s="1">
        <f t="shared" si="63"/>
        <v>0</v>
      </c>
      <c r="L387" s="1" t="s">
        <v>1</v>
      </c>
      <c r="M387" s="1">
        <f t="shared" si="64"/>
        <v>0</v>
      </c>
      <c r="N387" s="1" t="s">
        <v>1</v>
      </c>
      <c r="O387" s="8">
        <v>0.372</v>
      </c>
      <c r="P387" s="7">
        <v>0.51300000000000001</v>
      </c>
      <c r="Q387" s="3">
        <f>1/16</f>
        <v>6.25E-2</v>
      </c>
      <c r="R387" s="10">
        <f t="shared" si="65"/>
        <v>-10.600000000000001</v>
      </c>
      <c r="S387" s="13">
        <v>16.7</v>
      </c>
      <c r="T387" s="13">
        <v>27.3</v>
      </c>
      <c r="U387" s="10">
        <v>22</v>
      </c>
      <c r="V387" s="10">
        <v>29</v>
      </c>
      <c r="W387" s="10">
        <f t="shared" si="66"/>
        <v>-7</v>
      </c>
      <c r="X387" s="9" t="s">
        <v>1</v>
      </c>
      <c r="Y387" s="11">
        <f t="shared" si="67"/>
        <v>0</v>
      </c>
      <c r="Z387" s="14">
        <v>1</v>
      </c>
    </row>
    <row r="388" spans="1:26" x14ac:dyDescent="0.2">
      <c r="A388" s="12">
        <v>2008</v>
      </c>
      <c r="B388" s="1" t="s">
        <v>38</v>
      </c>
      <c r="C388" s="1">
        <v>20</v>
      </c>
      <c r="D388" s="15">
        <v>242000000</v>
      </c>
      <c r="E388" s="15">
        <f>(292.7/215.3)*242000000</f>
        <v>328998606.5954482</v>
      </c>
      <c r="F388" s="10">
        <f t="shared" si="61"/>
        <v>41.400000000000006</v>
      </c>
      <c r="G388" s="5">
        <f>3632/16</f>
        <v>227</v>
      </c>
      <c r="H388" s="4" t="s">
        <v>1</v>
      </c>
      <c r="I388" s="1">
        <f t="shared" si="62"/>
        <v>0</v>
      </c>
      <c r="J388" s="1" t="s">
        <v>1</v>
      </c>
      <c r="K388" s="1">
        <f t="shared" si="63"/>
        <v>0</v>
      </c>
      <c r="L388" s="1" t="s">
        <v>1</v>
      </c>
      <c r="M388" s="1">
        <f t="shared" si="64"/>
        <v>0</v>
      </c>
      <c r="N388" s="1" t="s">
        <v>1</v>
      </c>
      <c r="O388" s="8">
        <v>0.37</v>
      </c>
      <c r="P388" s="7">
        <v>0.6</v>
      </c>
      <c r="Q388" s="3">
        <f>11/16</f>
        <v>0.6875</v>
      </c>
      <c r="R388" s="10">
        <f t="shared" si="65"/>
        <v>1.8000000000000007</v>
      </c>
      <c r="S388" s="13">
        <v>21.6</v>
      </c>
      <c r="T388" s="13">
        <v>19.8</v>
      </c>
      <c r="U388" s="10">
        <v>30</v>
      </c>
      <c r="V388" s="10">
        <v>13</v>
      </c>
      <c r="W388" s="10">
        <f t="shared" si="66"/>
        <v>17</v>
      </c>
      <c r="X388" s="9" t="s">
        <v>2</v>
      </c>
      <c r="Y388" s="11">
        <f t="shared" si="67"/>
        <v>1</v>
      </c>
      <c r="Z388" s="14">
        <v>3</v>
      </c>
    </row>
    <row r="389" spans="1:26" x14ac:dyDescent="0.2">
      <c r="A389" s="12">
        <f t="shared" ref="A389:A399" si="68">A388+1</f>
        <v>2009</v>
      </c>
      <c r="B389" s="1" t="s">
        <v>38</v>
      </c>
      <c r="C389" s="1">
        <v>20</v>
      </c>
      <c r="D389" s="15">
        <v>247000000</v>
      </c>
      <c r="E389" s="15">
        <f>(292.7/214.5)*247000000</f>
        <v>337048484.84848481</v>
      </c>
      <c r="F389" s="10">
        <f t="shared" si="61"/>
        <v>46.9</v>
      </c>
      <c r="G389" s="5">
        <f>3170/16</f>
        <v>198.125</v>
      </c>
      <c r="H389" s="4" t="s">
        <v>2</v>
      </c>
      <c r="I389" s="1">
        <f t="shared" si="62"/>
        <v>1</v>
      </c>
      <c r="J389" s="1" t="s">
        <v>1</v>
      </c>
      <c r="K389" s="1">
        <f t="shared" si="63"/>
        <v>0</v>
      </c>
      <c r="L389" s="1" t="s">
        <v>2</v>
      </c>
      <c r="M389" s="1">
        <f t="shared" si="64"/>
        <v>1</v>
      </c>
      <c r="N389" s="1" t="s">
        <v>1</v>
      </c>
      <c r="O389" s="8">
        <v>0.49</v>
      </c>
      <c r="P389" s="7">
        <v>0.61099999999999999</v>
      </c>
      <c r="Q389" s="3">
        <f>7/16</f>
        <v>0.4375</v>
      </c>
      <c r="R389" s="10">
        <f t="shared" si="65"/>
        <v>-1.8999999999999986</v>
      </c>
      <c r="S389" s="13">
        <v>22.5</v>
      </c>
      <c r="T389" s="13">
        <v>24.4</v>
      </c>
      <c r="U389" s="10">
        <v>21</v>
      </c>
      <c r="V389" s="10">
        <v>29</v>
      </c>
      <c r="W389" s="10">
        <f t="shared" si="66"/>
        <v>-8</v>
      </c>
      <c r="X389" s="9" t="s">
        <v>1</v>
      </c>
      <c r="Y389" s="11">
        <f t="shared" si="67"/>
        <v>0</v>
      </c>
      <c r="Z389" s="14">
        <v>3</v>
      </c>
    </row>
    <row r="390" spans="1:26" x14ac:dyDescent="0.2">
      <c r="A390" s="12">
        <f t="shared" si="68"/>
        <v>2010</v>
      </c>
      <c r="B390" s="1" t="s">
        <v>38</v>
      </c>
      <c r="C390" s="1">
        <v>20</v>
      </c>
      <c r="D390" s="15">
        <v>253000000</v>
      </c>
      <c r="E390" s="15">
        <f>(292.7/218.1)*253000000</f>
        <v>339537368.17973405</v>
      </c>
      <c r="F390" s="10">
        <f t="shared" si="61"/>
        <v>37.900000000000006</v>
      </c>
      <c r="G390" s="5">
        <f>3527/16</f>
        <v>220.4375</v>
      </c>
      <c r="H390" s="4" t="s">
        <v>2</v>
      </c>
      <c r="I390" s="1">
        <f t="shared" si="62"/>
        <v>1</v>
      </c>
      <c r="J390" s="1" t="s">
        <v>1</v>
      </c>
      <c r="K390" s="1">
        <f t="shared" si="63"/>
        <v>0</v>
      </c>
      <c r="L390" s="1" t="s">
        <v>2</v>
      </c>
      <c r="M390" s="1">
        <f t="shared" si="64"/>
        <v>1</v>
      </c>
      <c r="N390" s="1" t="s">
        <v>1</v>
      </c>
      <c r="O390" s="8">
        <v>0.4</v>
      </c>
      <c r="P390" s="7">
        <v>0.52900000000000003</v>
      </c>
      <c r="Q390" s="3">
        <f>7/16</f>
        <v>0.4375</v>
      </c>
      <c r="R390" s="10">
        <f t="shared" si="65"/>
        <v>-3.6999999999999993</v>
      </c>
      <c r="S390" s="13">
        <v>17.100000000000001</v>
      </c>
      <c r="T390" s="13">
        <v>20.8</v>
      </c>
      <c r="U390" s="10">
        <v>19</v>
      </c>
      <c r="V390" s="10">
        <v>31</v>
      </c>
      <c r="W390" s="10">
        <f t="shared" si="66"/>
        <v>-12</v>
      </c>
      <c r="X390" s="9" t="s">
        <v>1</v>
      </c>
      <c r="Y390" s="11">
        <f t="shared" si="67"/>
        <v>0</v>
      </c>
      <c r="Z390" s="14">
        <v>4</v>
      </c>
    </row>
    <row r="391" spans="1:26" x14ac:dyDescent="0.2">
      <c r="A391" s="12">
        <f t="shared" si="68"/>
        <v>2011</v>
      </c>
      <c r="B391" s="1" t="s">
        <v>38</v>
      </c>
      <c r="C391" s="1">
        <v>20</v>
      </c>
      <c r="D391" s="15">
        <v>265000000</v>
      </c>
      <c r="E391" s="15">
        <f>(292.7/224.9)*265000000</f>
        <v>344888839.4842152</v>
      </c>
      <c r="F391" s="10">
        <f t="shared" si="61"/>
        <v>40.200000000000003</v>
      </c>
      <c r="G391" s="5">
        <f>3091/16</f>
        <v>193.1875</v>
      </c>
      <c r="H391" s="4" t="s">
        <v>2</v>
      </c>
      <c r="I391" s="1">
        <f t="shared" si="62"/>
        <v>1</v>
      </c>
      <c r="J391" s="1" t="s">
        <v>1</v>
      </c>
      <c r="K391" s="1">
        <f t="shared" si="63"/>
        <v>0</v>
      </c>
      <c r="L391" s="1" t="s">
        <v>2</v>
      </c>
      <c r="M391" s="1">
        <f t="shared" si="64"/>
        <v>1</v>
      </c>
      <c r="N391" s="1" t="s">
        <v>1</v>
      </c>
      <c r="O391" s="8">
        <v>0.33300000000000002</v>
      </c>
      <c r="P391" s="7">
        <v>0.47199999999999998</v>
      </c>
      <c r="Q391" s="3">
        <f>6/16</f>
        <v>0.375</v>
      </c>
      <c r="R391" s="10">
        <f t="shared" si="65"/>
        <v>1</v>
      </c>
      <c r="S391" s="13">
        <v>20.6</v>
      </c>
      <c r="T391" s="13">
        <v>19.600000000000001</v>
      </c>
      <c r="U391" s="10">
        <v>19</v>
      </c>
      <c r="V391" s="10">
        <v>25</v>
      </c>
      <c r="W391" s="10">
        <f t="shared" si="66"/>
        <v>-6</v>
      </c>
      <c r="X391" s="9" t="s">
        <v>1</v>
      </c>
      <c r="Y391" s="11">
        <f t="shared" si="67"/>
        <v>0</v>
      </c>
      <c r="Z391" s="14">
        <v>3</v>
      </c>
    </row>
    <row r="392" spans="1:26" x14ac:dyDescent="0.2">
      <c r="A392" s="12">
        <f t="shared" si="68"/>
        <v>2012</v>
      </c>
      <c r="B392" s="1" t="s">
        <v>38</v>
      </c>
      <c r="C392" s="1">
        <v>20</v>
      </c>
      <c r="D392" s="15">
        <v>268000000</v>
      </c>
      <c r="E392" s="15">
        <f>(292.7/229.6)*268000000</f>
        <v>341653310.10452956</v>
      </c>
      <c r="F392" s="10">
        <f t="shared" si="61"/>
        <v>37.799999999999997</v>
      </c>
      <c r="G392" s="5">
        <f>3182/16</f>
        <v>198.875</v>
      </c>
      <c r="H392" s="4" t="s">
        <v>2</v>
      </c>
      <c r="I392" s="1">
        <f t="shared" si="62"/>
        <v>1</v>
      </c>
      <c r="J392" s="1" t="s">
        <v>1</v>
      </c>
      <c r="K392" s="1">
        <f t="shared" si="63"/>
        <v>0</v>
      </c>
      <c r="L392" s="1" t="s">
        <v>2</v>
      </c>
      <c r="M392" s="1">
        <f t="shared" si="64"/>
        <v>1</v>
      </c>
      <c r="N392" s="1" t="s">
        <v>1</v>
      </c>
      <c r="O392" s="8">
        <v>0.377</v>
      </c>
      <c r="P392" s="7">
        <v>0.55300000000000005</v>
      </c>
      <c r="Q392" s="3">
        <f>7/16</f>
        <v>0.4375</v>
      </c>
      <c r="R392" s="10">
        <f t="shared" si="65"/>
        <v>-1.8000000000000007</v>
      </c>
      <c r="S392" s="13">
        <v>18</v>
      </c>
      <c r="T392" s="13">
        <v>19.8</v>
      </c>
      <c r="U392" s="10">
        <v>16</v>
      </c>
      <c r="V392" s="10">
        <v>26</v>
      </c>
      <c r="W392" s="10">
        <f t="shared" si="66"/>
        <v>-10</v>
      </c>
      <c r="X392" s="9" t="s">
        <v>1</v>
      </c>
      <c r="Y392" s="11">
        <f t="shared" si="67"/>
        <v>0</v>
      </c>
      <c r="Z392" s="14">
        <v>4</v>
      </c>
    </row>
    <row r="393" spans="1:26" x14ac:dyDescent="0.2">
      <c r="A393" s="12">
        <f t="shared" si="68"/>
        <v>2013</v>
      </c>
      <c r="B393" s="1" t="s">
        <v>38</v>
      </c>
      <c r="C393" s="1">
        <v>20</v>
      </c>
      <c r="D393" s="15">
        <v>281000000</v>
      </c>
      <c r="E393" s="15">
        <f>(292.7/233)*281000000</f>
        <v>352998712.44635195</v>
      </c>
      <c r="F393" s="10">
        <f t="shared" si="61"/>
        <v>40.700000000000003</v>
      </c>
      <c r="G393" s="5">
        <f>3567/16</f>
        <v>222.9375</v>
      </c>
      <c r="H393" s="4" t="s">
        <v>2</v>
      </c>
      <c r="I393" s="1">
        <f t="shared" si="62"/>
        <v>1</v>
      </c>
      <c r="J393" s="1" t="s">
        <v>1</v>
      </c>
      <c r="K393" s="1">
        <f t="shared" si="63"/>
        <v>0</v>
      </c>
      <c r="L393" s="1" t="s">
        <v>2</v>
      </c>
      <c r="M393" s="1">
        <f t="shared" si="64"/>
        <v>1</v>
      </c>
      <c r="N393" s="1" t="s">
        <v>1</v>
      </c>
      <c r="O393" s="8">
        <v>0.35</v>
      </c>
      <c r="P393" s="7">
        <v>0.56499999999999995</v>
      </c>
      <c r="Q393" s="3">
        <f>8/16</f>
        <v>0.5</v>
      </c>
      <c r="R393" s="10">
        <f t="shared" si="65"/>
        <v>-1.0999999999999979</v>
      </c>
      <c r="S393" s="13">
        <v>19.8</v>
      </c>
      <c r="T393" s="13">
        <v>20.9</v>
      </c>
      <c r="U393" s="10">
        <v>24</v>
      </c>
      <c r="V393" s="10">
        <v>26</v>
      </c>
      <c r="W393" s="10">
        <f t="shared" si="66"/>
        <v>-2</v>
      </c>
      <c r="X393" s="9" t="s">
        <v>1</v>
      </c>
      <c r="Y393" s="11">
        <f t="shared" si="67"/>
        <v>0</v>
      </c>
      <c r="Z393" s="14">
        <v>4</v>
      </c>
    </row>
    <row r="394" spans="1:26" x14ac:dyDescent="0.2">
      <c r="A394" s="12">
        <f t="shared" si="68"/>
        <v>2014</v>
      </c>
      <c r="B394" s="1" t="s">
        <v>38</v>
      </c>
      <c r="C394" s="1">
        <v>20</v>
      </c>
      <c r="D394" s="15">
        <v>322000000</v>
      </c>
      <c r="E394" s="15">
        <f>(292.7/236.7)*322000000</f>
        <v>398180819.60287279</v>
      </c>
      <c r="F394" s="10">
        <f t="shared" si="61"/>
        <v>47.6</v>
      </c>
      <c r="G394" s="5">
        <f>3729/16</f>
        <v>233.0625</v>
      </c>
      <c r="H394" s="4" t="s">
        <v>2</v>
      </c>
      <c r="I394" s="1">
        <f t="shared" si="62"/>
        <v>1</v>
      </c>
      <c r="J394" s="1" t="s">
        <v>1</v>
      </c>
      <c r="K394" s="1">
        <f t="shared" si="63"/>
        <v>0</v>
      </c>
      <c r="L394" s="1" t="s">
        <v>2</v>
      </c>
      <c r="M394" s="1">
        <f t="shared" si="64"/>
        <v>1</v>
      </c>
      <c r="N394" s="1" t="s">
        <v>1</v>
      </c>
      <c r="O394" s="8">
        <v>0.4</v>
      </c>
      <c r="P394" s="7">
        <v>0.51500000000000001</v>
      </c>
      <c r="Q394" s="3">
        <f>8/16</f>
        <v>0.5</v>
      </c>
      <c r="R394" s="10">
        <f t="shared" si="65"/>
        <v>1</v>
      </c>
      <c r="S394" s="13">
        <v>24.3</v>
      </c>
      <c r="T394" s="13">
        <v>23.3</v>
      </c>
      <c r="U394" s="10">
        <v>25</v>
      </c>
      <c r="V394" s="10">
        <v>23</v>
      </c>
      <c r="W394" s="10">
        <f t="shared" si="66"/>
        <v>2</v>
      </c>
      <c r="X394" s="9" t="s">
        <v>1</v>
      </c>
      <c r="Y394" s="11">
        <f t="shared" si="67"/>
        <v>0</v>
      </c>
      <c r="Z394" s="14">
        <v>3</v>
      </c>
    </row>
    <row r="395" spans="1:26" x14ac:dyDescent="0.2">
      <c r="A395" s="12">
        <f t="shared" si="68"/>
        <v>2015</v>
      </c>
      <c r="B395" s="1" t="s">
        <v>38</v>
      </c>
      <c r="C395" s="1">
        <v>20</v>
      </c>
      <c r="D395" s="15">
        <v>359000000</v>
      </c>
      <c r="E395" s="15">
        <f>(292.7/237)*359000000</f>
        <v>443372573.83966243</v>
      </c>
      <c r="F395" s="10">
        <f t="shared" si="61"/>
        <v>43.7</v>
      </c>
      <c r="G395" s="5">
        <f>3811/16</f>
        <v>238.1875</v>
      </c>
      <c r="H395" s="4" t="s">
        <v>2</v>
      </c>
      <c r="I395" s="1">
        <f t="shared" si="62"/>
        <v>1</v>
      </c>
      <c r="J395" s="1" t="s">
        <v>1</v>
      </c>
      <c r="K395" s="1">
        <f t="shared" si="63"/>
        <v>0</v>
      </c>
      <c r="L395" s="1" t="s">
        <v>2</v>
      </c>
      <c r="M395" s="1">
        <f t="shared" si="64"/>
        <v>1</v>
      </c>
      <c r="N395" s="1" t="s">
        <v>2</v>
      </c>
      <c r="O395" s="8">
        <v>0.307</v>
      </c>
      <c r="P395" s="7">
        <v>0.53500000000000003</v>
      </c>
      <c r="Q395" s="3">
        <f>6/16</f>
        <v>0.375</v>
      </c>
      <c r="R395" s="10">
        <f t="shared" si="65"/>
        <v>-4.9000000000000021</v>
      </c>
      <c r="S395" s="13">
        <v>19.399999999999999</v>
      </c>
      <c r="T395" s="13">
        <v>24.3</v>
      </c>
      <c r="U395" s="10">
        <v>16</v>
      </c>
      <c r="V395" s="10">
        <v>19</v>
      </c>
      <c r="W395" s="10">
        <f t="shared" si="66"/>
        <v>-3</v>
      </c>
      <c r="X395" s="9" t="s">
        <v>1</v>
      </c>
      <c r="Y395" s="11">
        <f t="shared" si="67"/>
        <v>0</v>
      </c>
      <c r="Z395" s="14">
        <v>5</v>
      </c>
    </row>
    <row r="396" spans="1:26" x14ac:dyDescent="0.2">
      <c r="A396" s="12">
        <f t="shared" si="68"/>
        <v>2016</v>
      </c>
      <c r="B396" s="1" t="s">
        <v>38</v>
      </c>
      <c r="C396" s="1">
        <v>20</v>
      </c>
      <c r="D396" s="15">
        <v>376000000</v>
      </c>
      <c r="E396" s="15">
        <f>(292.7/240)*376000000</f>
        <v>458563333.33333331</v>
      </c>
      <c r="F396" s="10">
        <f t="shared" si="61"/>
        <v>46.5</v>
      </c>
      <c r="G396" s="5">
        <f>3500/16</f>
        <v>218.75</v>
      </c>
      <c r="H396" s="4" t="s">
        <v>2</v>
      </c>
      <c r="I396" s="1">
        <f t="shared" si="62"/>
        <v>1</v>
      </c>
      <c r="J396" s="1" t="s">
        <v>1</v>
      </c>
      <c r="K396" s="1">
        <f t="shared" si="63"/>
        <v>0</v>
      </c>
      <c r="L396" s="1" t="s">
        <v>2</v>
      </c>
      <c r="M396" s="1">
        <f t="shared" si="64"/>
        <v>1</v>
      </c>
      <c r="N396" s="1" t="s">
        <v>2</v>
      </c>
      <c r="O396" s="8">
        <v>0.36699999999999999</v>
      </c>
      <c r="P396" s="7">
        <v>0.55300000000000005</v>
      </c>
      <c r="Q396" s="3">
        <f>10/16</f>
        <v>0.625</v>
      </c>
      <c r="R396" s="10">
        <f t="shared" si="65"/>
        <v>-1.1000000000000014</v>
      </c>
      <c r="S396" s="13">
        <v>22.7</v>
      </c>
      <c r="T396" s="13">
        <v>23.8</v>
      </c>
      <c r="U396" s="10">
        <v>25</v>
      </c>
      <c r="V396" s="10">
        <v>23</v>
      </c>
      <c r="W396" s="10">
        <f t="shared" si="66"/>
        <v>2</v>
      </c>
      <c r="X396" s="9" t="s">
        <v>2</v>
      </c>
      <c r="Y396" s="11">
        <f t="shared" si="67"/>
        <v>1</v>
      </c>
      <c r="Z396" s="14">
        <v>4</v>
      </c>
    </row>
    <row r="397" spans="1:26" x14ac:dyDescent="0.2">
      <c r="A397" s="12">
        <f t="shared" si="68"/>
        <v>2017</v>
      </c>
      <c r="B397" s="1" t="s">
        <v>38</v>
      </c>
      <c r="C397" s="1">
        <v>20</v>
      </c>
      <c r="D397" s="15">
        <v>414000000</v>
      </c>
      <c r="E397" s="15">
        <f>(292.7/245.1)*414000000</f>
        <v>494401468.78824967</v>
      </c>
      <c r="F397" s="10">
        <f t="shared" si="61"/>
        <v>42.2</v>
      </c>
      <c r="G397" s="5">
        <f>3535/16</f>
        <v>220.9375</v>
      </c>
      <c r="H397" s="4" t="s">
        <v>2</v>
      </c>
      <c r="I397" s="1">
        <f t="shared" si="62"/>
        <v>1</v>
      </c>
      <c r="J397" s="1" t="s">
        <v>1</v>
      </c>
      <c r="K397" s="1">
        <f t="shared" si="63"/>
        <v>0</v>
      </c>
      <c r="L397" s="1" t="s">
        <v>2</v>
      </c>
      <c r="M397" s="1">
        <f t="shared" si="64"/>
        <v>1</v>
      </c>
      <c r="N397" s="1" t="s">
        <v>2</v>
      </c>
      <c r="O397" s="8">
        <v>0.317</v>
      </c>
      <c r="P397" s="7">
        <v>0.52600000000000002</v>
      </c>
      <c r="Q397" s="3">
        <f>6/16</f>
        <v>0.375</v>
      </c>
      <c r="R397" s="10">
        <f t="shared" si="65"/>
        <v>-7</v>
      </c>
      <c r="S397" s="13">
        <v>17.600000000000001</v>
      </c>
      <c r="T397" s="13">
        <v>24.6</v>
      </c>
      <c r="U397" s="10">
        <v>15</v>
      </c>
      <c r="V397" s="10">
        <v>29</v>
      </c>
      <c r="W397" s="10">
        <f t="shared" si="66"/>
        <v>-14</v>
      </c>
      <c r="X397" s="9" t="s">
        <v>1</v>
      </c>
      <c r="Y397" s="11">
        <f t="shared" si="67"/>
        <v>0</v>
      </c>
      <c r="Z397" s="14">
        <v>2</v>
      </c>
    </row>
    <row r="398" spans="1:26" x14ac:dyDescent="0.2">
      <c r="A398" s="12">
        <f t="shared" si="68"/>
        <v>2018</v>
      </c>
      <c r="B398" s="1" t="s">
        <v>38</v>
      </c>
      <c r="C398" s="1">
        <v>20</v>
      </c>
      <c r="D398" s="15">
        <v>443000000</v>
      </c>
      <c r="E398" s="15">
        <f>(292.7/251.1)*443000000</f>
        <v>516392273.99442452</v>
      </c>
      <c r="F398" s="10">
        <f t="shared" si="61"/>
        <v>47</v>
      </c>
      <c r="G398" s="5">
        <f>2900/16</f>
        <v>181.25</v>
      </c>
      <c r="H398" s="4" t="s">
        <v>1</v>
      </c>
      <c r="I398" s="1">
        <f t="shared" si="62"/>
        <v>0</v>
      </c>
      <c r="J398" s="1" t="s">
        <v>2</v>
      </c>
      <c r="K398" s="1">
        <f t="shared" si="63"/>
        <v>1</v>
      </c>
      <c r="L398" s="1" t="s">
        <v>2</v>
      </c>
      <c r="M398" s="1">
        <f t="shared" si="64"/>
        <v>1</v>
      </c>
      <c r="N398" s="1" t="s">
        <v>2</v>
      </c>
      <c r="O398" s="8">
        <v>0.30099999999999999</v>
      </c>
      <c r="P398" s="7">
        <v>0.51600000000000001</v>
      </c>
      <c r="Q398" s="3">
        <f>7/16</f>
        <v>0.4375</v>
      </c>
      <c r="R398" s="10">
        <f t="shared" si="65"/>
        <v>-7.2000000000000028</v>
      </c>
      <c r="S398" s="13">
        <v>19.899999999999999</v>
      </c>
      <c r="T398" s="13">
        <v>27.1</v>
      </c>
      <c r="U398" s="10">
        <v>28</v>
      </c>
      <c r="V398" s="10">
        <v>23</v>
      </c>
      <c r="W398" s="10">
        <f t="shared" si="66"/>
        <v>5</v>
      </c>
      <c r="X398" s="9" t="s">
        <v>1</v>
      </c>
      <c r="Y398" s="11">
        <f t="shared" si="67"/>
        <v>0</v>
      </c>
      <c r="Z398" s="14">
        <v>1</v>
      </c>
    </row>
    <row r="399" spans="1:26" x14ac:dyDescent="0.2">
      <c r="A399" s="12">
        <f t="shared" si="68"/>
        <v>2019</v>
      </c>
      <c r="B399" s="1" t="s">
        <v>38</v>
      </c>
      <c r="C399" s="1">
        <v>20</v>
      </c>
      <c r="D399" s="15">
        <v>461000000</v>
      </c>
      <c r="E399" s="15">
        <f>(292.7/255.7)*461000000</f>
        <v>527707078.6077435</v>
      </c>
      <c r="F399" s="10">
        <f t="shared" si="61"/>
        <v>50</v>
      </c>
      <c r="G399" s="5">
        <f>3804/16</f>
        <v>237.75</v>
      </c>
      <c r="H399" s="4" t="s">
        <v>1</v>
      </c>
      <c r="I399" s="1">
        <f t="shared" si="62"/>
        <v>0</v>
      </c>
      <c r="J399" s="1" t="s">
        <v>2</v>
      </c>
      <c r="K399" s="1">
        <f t="shared" si="63"/>
        <v>1</v>
      </c>
      <c r="L399" s="1" t="s">
        <v>2</v>
      </c>
      <c r="M399" s="1">
        <f t="shared" si="64"/>
        <v>1</v>
      </c>
      <c r="N399" s="1" t="s">
        <v>2</v>
      </c>
      <c r="O399" s="8">
        <v>0.34300000000000003</v>
      </c>
      <c r="P399" s="7">
        <v>0.56299999999999994</v>
      </c>
      <c r="Q399" s="3">
        <f>5/16</f>
        <v>0.3125</v>
      </c>
      <c r="R399" s="10">
        <f t="shared" si="65"/>
        <v>-11.799999999999997</v>
      </c>
      <c r="S399" s="13">
        <v>19.100000000000001</v>
      </c>
      <c r="T399" s="13">
        <v>30.9</v>
      </c>
      <c r="U399" s="10">
        <v>16</v>
      </c>
      <c r="V399" s="10">
        <v>26</v>
      </c>
      <c r="W399" s="10">
        <f t="shared" si="66"/>
        <v>-10</v>
      </c>
      <c r="X399" s="9" t="s">
        <v>1</v>
      </c>
      <c r="Y399" s="11">
        <f t="shared" si="67"/>
        <v>0</v>
      </c>
      <c r="Z399" s="14">
        <v>0</v>
      </c>
    </row>
    <row r="400" spans="1:26" x14ac:dyDescent="0.2">
      <c r="A400" s="12">
        <v>2021</v>
      </c>
      <c r="B400" s="1" t="s">
        <v>38</v>
      </c>
      <c r="C400" s="1">
        <v>20</v>
      </c>
      <c r="D400" s="15">
        <v>533000000</v>
      </c>
      <c r="E400" s="15">
        <f>(292.7/271)*533000000</f>
        <v>575679335.79335785</v>
      </c>
      <c r="F400" s="10">
        <f t="shared" si="61"/>
        <v>42</v>
      </c>
      <c r="G400" s="5">
        <f>3651/17</f>
        <v>214.76470588235293</v>
      </c>
      <c r="H400" s="4" t="s">
        <v>1</v>
      </c>
      <c r="I400" s="1">
        <f t="shared" si="62"/>
        <v>0</v>
      </c>
      <c r="J400" s="1" t="s">
        <v>2</v>
      </c>
      <c r="K400" s="1">
        <f t="shared" si="63"/>
        <v>1</v>
      </c>
      <c r="L400" s="1" t="s">
        <v>2</v>
      </c>
      <c r="M400" s="1">
        <f t="shared" si="64"/>
        <v>1</v>
      </c>
      <c r="N400" s="1" t="s">
        <v>2</v>
      </c>
      <c r="O400" s="8">
        <v>0.40799999999999997</v>
      </c>
      <c r="P400" s="7">
        <v>0.61199999999999999</v>
      </c>
      <c r="Q400" s="3">
        <f>9/17</f>
        <v>0.52941176470588236</v>
      </c>
      <c r="R400" s="10">
        <f t="shared" si="65"/>
        <v>-1.7999999999999972</v>
      </c>
      <c r="S400" s="13">
        <v>20.100000000000001</v>
      </c>
      <c r="T400" s="13">
        <v>21.9</v>
      </c>
      <c r="U400" s="10">
        <v>26</v>
      </c>
      <c r="V400" s="10">
        <v>26</v>
      </c>
      <c r="W400" s="10">
        <f t="shared" si="66"/>
        <v>0</v>
      </c>
      <c r="X400" s="9" t="s">
        <v>1</v>
      </c>
      <c r="Y400" s="11">
        <f t="shared" si="67"/>
        <v>0</v>
      </c>
      <c r="Z400" s="14">
        <v>1</v>
      </c>
    </row>
    <row r="401" spans="1:26" x14ac:dyDescent="0.2">
      <c r="A401" s="12">
        <f>A400+1</f>
        <v>2022</v>
      </c>
      <c r="B401" s="1" t="s">
        <v>38</v>
      </c>
      <c r="C401" s="1">
        <v>20</v>
      </c>
      <c r="D401" s="15">
        <v>600000000</v>
      </c>
      <c r="E401" s="15">
        <f>(292.7/292.7)*600000000</f>
        <v>600000000</v>
      </c>
      <c r="F401" s="10">
        <f t="shared" si="61"/>
        <v>46.9</v>
      </c>
      <c r="G401" s="5">
        <f>4511/17</f>
        <v>265.35294117647061</v>
      </c>
      <c r="H401" s="4" t="s">
        <v>1</v>
      </c>
      <c r="I401" s="1">
        <f t="shared" si="62"/>
        <v>0</v>
      </c>
      <c r="J401" s="1" t="s">
        <v>2</v>
      </c>
      <c r="K401" s="1">
        <f t="shared" si="63"/>
        <v>1</v>
      </c>
      <c r="L401" s="1" t="s">
        <v>2</v>
      </c>
      <c r="M401" s="1">
        <f t="shared" si="64"/>
        <v>1</v>
      </c>
      <c r="N401" s="1" t="s">
        <v>2</v>
      </c>
      <c r="O401" s="8">
        <v>0.36199999999999999</v>
      </c>
      <c r="P401" s="7">
        <v>0.6</v>
      </c>
      <c r="Q401" s="3">
        <f>9/17</f>
        <v>0.52941176470588236</v>
      </c>
      <c r="R401" s="10">
        <f t="shared" si="65"/>
        <v>-0.10000000000000142</v>
      </c>
      <c r="S401" s="13">
        <v>23.4</v>
      </c>
      <c r="T401" s="13">
        <v>23.5</v>
      </c>
      <c r="U401" s="10">
        <v>14</v>
      </c>
      <c r="V401" s="10">
        <v>21</v>
      </c>
      <c r="W401" s="10">
        <f t="shared" si="66"/>
        <v>-7</v>
      </c>
      <c r="X401" s="9" t="s">
        <v>2</v>
      </c>
      <c r="Y401" s="11">
        <f t="shared" si="67"/>
        <v>1</v>
      </c>
      <c r="Z401" s="14">
        <v>3</v>
      </c>
    </row>
    <row r="402" spans="1:26" x14ac:dyDescent="0.2">
      <c r="A402" s="12">
        <v>2002</v>
      </c>
      <c r="B402" s="1" t="s">
        <v>39</v>
      </c>
      <c r="C402" s="1">
        <v>21</v>
      </c>
      <c r="D402" s="15">
        <v>135000000</v>
      </c>
      <c r="E402" s="15">
        <f>(292.7/179.9)*135000000</f>
        <v>219647026.12562534</v>
      </c>
      <c r="F402" s="10">
        <f t="shared" si="61"/>
        <v>52</v>
      </c>
      <c r="G402" s="5">
        <f>3685/16</f>
        <v>230.3125</v>
      </c>
      <c r="H402" s="4" t="s">
        <v>1</v>
      </c>
      <c r="I402" s="1">
        <f t="shared" si="62"/>
        <v>0</v>
      </c>
      <c r="J402" s="1" t="s">
        <v>1</v>
      </c>
      <c r="K402" s="1">
        <f t="shared" si="63"/>
        <v>0</v>
      </c>
      <c r="L402" s="1" t="s">
        <v>1</v>
      </c>
      <c r="M402" s="1">
        <f t="shared" si="64"/>
        <v>0</v>
      </c>
      <c r="N402" s="1" t="s">
        <v>1</v>
      </c>
      <c r="O402" s="8">
        <v>0.44</v>
      </c>
      <c r="P402" s="7">
        <v>0.56299999999999994</v>
      </c>
      <c r="Q402" s="3">
        <f>6/16</f>
        <v>0.375</v>
      </c>
      <c r="R402" s="10">
        <f t="shared" si="65"/>
        <v>-3.2000000000000028</v>
      </c>
      <c r="S402" s="13">
        <v>24.4</v>
      </c>
      <c r="T402" s="13">
        <v>27.6</v>
      </c>
      <c r="U402" s="10">
        <v>23</v>
      </c>
      <c r="V402" s="10">
        <v>41</v>
      </c>
      <c r="W402" s="10">
        <f t="shared" si="66"/>
        <v>-18</v>
      </c>
      <c r="X402" s="9" t="s">
        <v>1</v>
      </c>
      <c r="Y402" s="11">
        <f t="shared" si="67"/>
        <v>0</v>
      </c>
      <c r="Z402" s="14">
        <v>2</v>
      </c>
    </row>
    <row r="403" spans="1:26" x14ac:dyDescent="0.2">
      <c r="A403" s="12">
        <f>A402+1</f>
        <v>2003</v>
      </c>
      <c r="B403" s="1" t="s">
        <v>39</v>
      </c>
      <c r="C403" s="1">
        <v>21</v>
      </c>
      <c r="D403" s="15">
        <v>144000000</v>
      </c>
      <c r="E403" s="15">
        <f>(292.7/184)*144000000</f>
        <v>229069565.21739128</v>
      </c>
      <c r="F403" s="10">
        <f t="shared" si="61"/>
        <v>48.1</v>
      </c>
      <c r="G403" s="5">
        <f>3951/16</f>
        <v>246.9375</v>
      </c>
      <c r="H403" s="4" t="s">
        <v>1</v>
      </c>
      <c r="I403" s="1">
        <f t="shared" si="62"/>
        <v>0</v>
      </c>
      <c r="J403" s="1" t="s">
        <v>1</v>
      </c>
      <c r="K403" s="1">
        <f t="shared" si="63"/>
        <v>0</v>
      </c>
      <c r="L403" s="1" t="s">
        <v>1</v>
      </c>
      <c r="M403" s="1">
        <f t="shared" si="64"/>
        <v>0</v>
      </c>
      <c r="N403" s="1" t="s">
        <v>1</v>
      </c>
      <c r="O403" s="8">
        <v>0.46600000000000003</v>
      </c>
      <c r="P403" s="7">
        <v>0.56399999999999995</v>
      </c>
      <c r="Q403" s="3">
        <f>9/16</f>
        <v>0.5625</v>
      </c>
      <c r="R403" s="10">
        <f t="shared" si="65"/>
        <v>3.8999999999999986</v>
      </c>
      <c r="S403" s="13">
        <v>26</v>
      </c>
      <c r="T403" s="13">
        <v>22.1</v>
      </c>
      <c r="U403" s="10">
        <v>35</v>
      </c>
      <c r="V403" s="10">
        <v>24</v>
      </c>
      <c r="W403" s="10">
        <f t="shared" si="66"/>
        <v>11</v>
      </c>
      <c r="X403" s="9" t="s">
        <v>1</v>
      </c>
      <c r="Y403" s="11">
        <f t="shared" si="67"/>
        <v>0</v>
      </c>
      <c r="Z403" s="14">
        <v>4</v>
      </c>
    </row>
    <row r="404" spans="1:26" x14ac:dyDescent="0.2">
      <c r="A404" s="12">
        <f>A403+1</f>
        <v>2004</v>
      </c>
      <c r="B404" s="1" t="s">
        <v>39</v>
      </c>
      <c r="C404" s="1">
        <v>21</v>
      </c>
      <c r="D404" s="15">
        <v>164000000</v>
      </c>
      <c r="E404" s="15">
        <f>(292.7/188.9)*164000000</f>
        <v>254117522.49867654</v>
      </c>
      <c r="F404" s="10">
        <f t="shared" si="61"/>
        <v>50</v>
      </c>
      <c r="G404" s="5">
        <f>4516/16</f>
        <v>282.25</v>
      </c>
      <c r="H404" s="4" t="s">
        <v>1</v>
      </c>
      <c r="I404" s="1">
        <f t="shared" si="62"/>
        <v>0</v>
      </c>
      <c r="J404" s="1" t="s">
        <v>1</v>
      </c>
      <c r="K404" s="1">
        <f t="shared" si="63"/>
        <v>0</v>
      </c>
      <c r="L404" s="1" t="s">
        <v>1</v>
      </c>
      <c r="M404" s="1">
        <f t="shared" si="64"/>
        <v>0</v>
      </c>
      <c r="N404" s="1" t="s">
        <v>1</v>
      </c>
      <c r="O404" s="8">
        <v>0.52300000000000002</v>
      </c>
      <c r="P404" s="7">
        <v>0.56899999999999995</v>
      </c>
      <c r="Q404" s="3">
        <f>8/16</f>
        <v>0.5</v>
      </c>
      <c r="R404" s="10">
        <f t="shared" si="65"/>
        <v>0.60000000000000142</v>
      </c>
      <c r="S404" s="13">
        <v>25.3</v>
      </c>
      <c r="T404" s="13">
        <v>24.7</v>
      </c>
      <c r="U404" s="10">
        <v>22</v>
      </c>
      <c r="V404" s="10">
        <v>21</v>
      </c>
      <c r="W404" s="10">
        <f t="shared" si="66"/>
        <v>1</v>
      </c>
      <c r="X404" s="9" t="s">
        <v>2</v>
      </c>
      <c r="Y404" s="11">
        <f t="shared" si="67"/>
        <v>1</v>
      </c>
      <c r="Z404" s="14">
        <v>3</v>
      </c>
    </row>
    <row r="405" spans="1:26" x14ac:dyDescent="0.2">
      <c r="A405" s="12">
        <f>A404+1</f>
        <v>2005</v>
      </c>
      <c r="B405" s="1" t="s">
        <v>39</v>
      </c>
      <c r="C405" s="1">
        <v>21</v>
      </c>
      <c r="D405" s="15">
        <v>167000000</v>
      </c>
      <c r="E405" s="15">
        <f>(292.7/195.3)*167000000</f>
        <v>250286226.31848434</v>
      </c>
      <c r="F405" s="10">
        <f t="shared" si="61"/>
        <v>40.6</v>
      </c>
      <c r="G405" s="5">
        <f>3146/16</f>
        <v>196.625</v>
      </c>
      <c r="H405" s="4" t="s">
        <v>1</v>
      </c>
      <c r="I405" s="1">
        <f t="shared" si="62"/>
        <v>0</v>
      </c>
      <c r="J405" s="1" t="s">
        <v>1</v>
      </c>
      <c r="K405" s="1">
        <f t="shared" si="63"/>
        <v>0</v>
      </c>
      <c r="L405" s="1" t="s">
        <v>1</v>
      </c>
      <c r="M405" s="1">
        <f t="shared" si="64"/>
        <v>0</v>
      </c>
      <c r="N405" s="1" t="s">
        <v>1</v>
      </c>
      <c r="O405" s="8">
        <v>0.32700000000000001</v>
      </c>
      <c r="P405" s="7">
        <v>0.45100000000000001</v>
      </c>
      <c r="Q405" s="3">
        <f>9/16</f>
        <v>0.5625</v>
      </c>
      <c r="R405" s="10">
        <f t="shared" si="65"/>
        <v>-2.3999999999999986</v>
      </c>
      <c r="S405" s="13">
        <v>19.100000000000001</v>
      </c>
      <c r="T405" s="13">
        <v>21.5</v>
      </c>
      <c r="U405" s="10">
        <v>35</v>
      </c>
      <c r="V405" s="10">
        <v>30</v>
      </c>
      <c r="W405" s="10">
        <f t="shared" si="66"/>
        <v>5</v>
      </c>
      <c r="X405" s="9" t="s">
        <v>1</v>
      </c>
      <c r="Y405" s="11">
        <f t="shared" si="67"/>
        <v>0</v>
      </c>
      <c r="Z405" s="14">
        <v>2</v>
      </c>
    </row>
    <row r="406" spans="1:26" x14ac:dyDescent="0.2">
      <c r="A406" s="12">
        <f>A405+1</f>
        <v>2006</v>
      </c>
      <c r="B406" s="1" t="s">
        <v>39</v>
      </c>
      <c r="C406" s="1">
        <v>21</v>
      </c>
      <c r="D406" s="15">
        <v>182000000</v>
      </c>
      <c r="E406" s="15">
        <f>(292.7/201.6)*182000000</f>
        <v>264243055.55555555</v>
      </c>
      <c r="F406" s="10">
        <f t="shared" si="61"/>
        <v>38</v>
      </c>
      <c r="G406" s="5">
        <f>3123/16</f>
        <v>195.1875</v>
      </c>
      <c r="H406" s="4" t="s">
        <v>1</v>
      </c>
      <c r="I406" s="1">
        <f t="shared" si="62"/>
        <v>0</v>
      </c>
      <c r="J406" s="1" t="s">
        <v>1</v>
      </c>
      <c r="K406" s="1">
        <f t="shared" si="63"/>
        <v>0</v>
      </c>
      <c r="L406" s="1" t="s">
        <v>1</v>
      </c>
      <c r="M406" s="1">
        <f t="shared" si="64"/>
        <v>0</v>
      </c>
      <c r="N406" s="1" t="s">
        <v>1</v>
      </c>
      <c r="O406" s="8">
        <v>0.33</v>
      </c>
      <c r="P406" s="7">
        <v>0.45200000000000001</v>
      </c>
      <c r="Q406" s="3">
        <f>6/16</f>
        <v>0.375</v>
      </c>
      <c r="R406" s="10">
        <f t="shared" si="65"/>
        <v>-2.7999999999999972</v>
      </c>
      <c r="S406" s="13">
        <v>17.600000000000001</v>
      </c>
      <c r="T406" s="13">
        <v>20.399999999999999</v>
      </c>
      <c r="U406" s="10">
        <v>15</v>
      </c>
      <c r="V406" s="10">
        <v>12</v>
      </c>
      <c r="W406" s="10">
        <f t="shared" si="66"/>
        <v>3</v>
      </c>
      <c r="X406" s="9" t="s">
        <v>1</v>
      </c>
      <c r="Y406" s="11">
        <f t="shared" si="67"/>
        <v>0</v>
      </c>
      <c r="Z406" s="14">
        <v>4</v>
      </c>
    </row>
    <row r="407" spans="1:26" x14ac:dyDescent="0.2">
      <c r="A407" s="12">
        <f>A406+1</f>
        <v>2007</v>
      </c>
      <c r="B407" s="1" t="s">
        <v>39</v>
      </c>
      <c r="C407" s="1">
        <v>21</v>
      </c>
      <c r="D407" s="15">
        <v>195000000</v>
      </c>
      <c r="E407" s="15">
        <f>(292.7/207.3)*195000000</f>
        <v>275332850.94066566</v>
      </c>
      <c r="F407" s="10">
        <f t="shared" si="61"/>
        <v>42.2</v>
      </c>
      <c r="G407" s="5">
        <f>2745/16</f>
        <v>171.5625</v>
      </c>
      <c r="H407" s="4" t="s">
        <v>1</v>
      </c>
      <c r="I407" s="1">
        <f t="shared" si="62"/>
        <v>0</v>
      </c>
      <c r="J407" s="1" t="s">
        <v>1</v>
      </c>
      <c r="K407" s="1">
        <f t="shared" si="63"/>
        <v>0</v>
      </c>
      <c r="L407" s="1" t="s">
        <v>1</v>
      </c>
      <c r="M407" s="1">
        <f t="shared" si="64"/>
        <v>0</v>
      </c>
      <c r="N407" s="1" t="s">
        <v>1</v>
      </c>
      <c r="O407" s="8">
        <v>0.34499999999999997</v>
      </c>
      <c r="P407" s="7">
        <v>0.6</v>
      </c>
      <c r="Q407" s="3">
        <f>8/16</f>
        <v>0.5</v>
      </c>
      <c r="R407" s="10">
        <f t="shared" si="65"/>
        <v>3.4000000000000021</v>
      </c>
      <c r="S407" s="13">
        <v>22.8</v>
      </c>
      <c r="T407" s="13">
        <v>19.399999999999999</v>
      </c>
      <c r="U407" s="10">
        <v>31</v>
      </c>
      <c r="V407" s="10">
        <v>30</v>
      </c>
      <c r="W407" s="10">
        <f t="shared" si="66"/>
        <v>1</v>
      </c>
      <c r="X407" s="9" t="s">
        <v>1</v>
      </c>
      <c r="Y407" s="11">
        <f t="shared" si="67"/>
        <v>0</v>
      </c>
      <c r="Z407" s="14">
        <v>7</v>
      </c>
    </row>
    <row r="408" spans="1:26" x14ac:dyDescent="0.2">
      <c r="A408" s="12">
        <v>2008</v>
      </c>
      <c r="B408" s="1" t="s">
        <v>39</v>
      </c>
      <c r="C408" s="1">
        <v>21</v>
      </c>
      <c r="D408" s="15">
        <v>209000000</v>
      </c>
      <c r="E408" s="15">
        <f>(292.7/215.3)*209000000</f>
        <v>284135160.24152344</v>
      </c>
      <c r="F408" s="10">
        <f t="shared" si="61"/>
        <v>44.5</v>
      </c>
      <c r="G408" s="5">
        <f>2956/16</f>
        <v>184.75</v>
      </c>
      <c r="H408" s="4" t="s">
        <v>1</v>
      </c>
      <c r="I408" s="1">
        <f t="shared" si="62"/>
        <v>0</v>
      </c>
      <c r="J408" s="1" t="s">
        <v>1</v>
      </c>
      <c r="K408" s="1">
        <f t="shared" si="63"/>
        <v>0</v>
      </c>
      <c r="L408" s="1" t="s">
        <v>1</v>
      </c>
      <c r="M408" s="1">
        <f t="shared" si="64"/>
        <v>0</v>
      </c>
      <c r="N408" s="1" t="s">
        <v>1</v>
      </c>
      <c r="O408" s="8">
        <v>0.39400000000000002</v>
      </c>
      <c r="P408" s="7">
        <v>0.432</v>
      </c>
      <c r="Q408" s="3">
        <f>10/16</f>
        <v>0.625</v>
      </c>
      <c r="R408" s="10">
        <f t="shared" si="65"/>
        <v>2.8999999999999986</v>
      </c>
      <c r="S408" s="13">
        <v>23.7</v>
      </c>
      <c r="T408" s="13">
        <v>20.8</v>
      </c>
      <c r="U408" s="10">
        <v>25</v>
      </c>
      <c r="V408" s="10">
        <v>31</v>
      </c>
      <c r="W408" s="10">
        <f t="shared" si="66"/>
        <v>-6</v>
      </c>
      <c r="X408" s="9" t="s">
        <v>2</v>
      </c>
      <c r="Y408" s="11">
        <f t="shared" si="67"/>
        <v>1</v>
      </c>
      <c r="Z408" s="14">
        <v>6</v>
      </c>
    </row>
    <row r="409" spans="1:26" x14ac:dyDescent="0.2">
      <c r="A409" s="12">
        <f t="shared" ref="A409:A419" si="69">A408+1</f>
        <v>2009</v>
      </c>
      <c r="B409" s="1" t="s">
        <v>39</v>
      </c>
      <c r="C409" s="1">
        <v>21</v>
      </c>
      <c r="D409" s="15">
        <v>221000000</v>
      </c>
      <c r="E409" s="15">
        <f>(292.7/214.5)*221000000</f>
        <v>301569696.96969694</v>
      </c>
      <c r="F409" s="10">
        <f t="shared" si="61"/>
        <v>48.9</v>
      </c>
      <c r="G409" s="5">
        <f>4156/16</f>
        <v>259.75</v>
      </c>
      <c r="H409" s="4" t="s">
        <v>2</v>
      </c>
      <c r="I409" s="1">
        <f t="shared" si="62"/>
        <v>1</v>
      </c>
      <c r="J409" s="1" t="s">
        <v>1</v>
      </c>
      <c r="K409" s="1">
        <f t="shared" si="63"/>
        <v>0</v>
      </c>
      <c r="L409" s="1" t="s">
        <v>2</v>
      </c>
      <c r="M409" s="1">
        <f t="shared" si="64"/>
        <v>1</v>
      </c>
      <c r="N409" s="1" t="s">
        <v>1</v>
      </c>
      <c r="O409" s="8">
        <v>0.44800000000000001</v>
      </c>
      <c r="P409" s="7">
        <v>0.623</v>
      </c>
      <c r="Q409" s="3">
        <f>12/16</f>
        <v>0.75</v>
      </c>
      <c r="R409" s="10">
        <f t="shared" si="65"/>
        <v>9.8999999999999986</v>
      </c>
      <c r="S409" s="13">
        <v>29.4</v>
      </c>
      <c r="T409" s="13">
        <v>19.5</v>
      </c>
      <c r="U409" s="10">
        <v>24</v>
      </c>
      <c r="V409" s="10">
        <v>18</v>
      </c>
      <c r="W409" s="10">
        <f t="shared" si="66"/>
        <v>6</v>
      </c>
      <c r="X409" s="9" t="s">
        <v>2</v>
      </c>
      <c r="Y409" s="11">
        <f t="shared" si="67"/>
        <v>1</v>
      </c>
      <c r="Z409" s="14">
        <v>10</v>
      </c>
    </row>
    <row r="410" spans="1:26" x14ac:dyDescent="0.2">
      <c r="A410" s="12">
        <f t="shared" si="69"/>
        <v>2010</v>
      </c>
      <c r="B410" s="1" t="s">
        <v>39</v>
      </c>
      <c r="C410" s="1">
        <v>21</v>
      </c>
      <c r="D410" s="15">
        <v>227000000</v>
      </c>
      <c r="E410" s="15">
        <f>(292.7/218.1)*227000000</f>
        <v>304644199.90829897</v>
      </c>
      <c r="F410" s="10">
        <f t="shared" si="61"/>
        <v>39.400000000000006</v>
      </c>
      <c r="G410" s="5">
        <f>3097/16</f>
        <v>193.5625</v>
      </c>
      <c r="H410" s="4" t="s">
        <v>2</v>
      </c>
      <c r="I410" s="1">
        <f t="shared" si="62"/>
        <v>1</v>
      </c>
      <c r="J410" s="1" t="s">
        <v>1</v>
      </c>
      <c r="K410" s="1">
        <f t="shared" si="63"/>
        <v>0</v>
      </c>
      <c r="L410" s="1" t="s">
        <v>2</v>
      </c>
      <c r="M410" s="1">
        <f t="shared" si="64"/>
        <v>1</v>
      </c>
      <c r="N410" s="1" t="s">
        <v>1</v>
      </c>
      <c r="O410" s="8">
        <v>0.34599999999999997</v>
      </c>
      <c r="P410" s="7">
        <v>0.435</v>
      </c>
      <c r="Q410" s="3">
        <f>6/16</f>
        <v>0.375</v>
      </c>
      <c r="R410" s="10">
        <f t="shared" si="65"/>
        <v>-4.1999999999999993</v>
      </c>
      <c r="S410" s="13">
        <v>17.600000000000001</v>
      </c>
      <c r="T410" s="13">
        <v>21.8</v>
      </c>
      <c r="U410" s="10">
        <v>26</v>
      </c>
      <c r="V410" s="10">
        <v>37</v>
      </c>
      <c r="W410" s="10">
        <f t="shared" si="66"/>
        <v>-11</v>
      </c>
      <c r="X410" s="9" t="s">
        <v>1</v>
      </c>
      <c r="Y410" s="11">
        <f t="shared" si="67"/>
        <v>0</v>
      </c>
      <c r="Z410" s="14">
        <v>4</v>
      </c>
    </row>
    <row r="411" spans="1:26" x14ac:dyDescent="0.2">
      <c r="A411" s="12">
        <f t="shared" si="69"/>
        <v>2011</v>
      </c>
      <c r="B411" s="1" t="s">
        <v>39</v>
      </c>
      <c r="C411" s="1">
        <v>21</v>
      </c>
      <c r="D411" s="15">
        <v>227000000</v>
      </c>
      <c r="E411" s="15">
        <f>(292.7/224.9)*227000000</f>
        <v>295433081.36949754</v>
      </c>
      <c r="F411" s="10">
        <f t="shared" si="61"/>
        <v>49.400000000000006</v>
      </c>
      <c r="G411" s="5">
        <f>2957/16</f>
        <v>184.8125</v>
      </c>
      <c r="H411" s="4" t="s">
        <v>2</v>
      </c>
      <c r="I411" s="1">
        <f t="shared" si="62"/>
        <v>1</v>
      </c>
      <c r="J411" s="1" t="s">
        <v>1</v>
      </c>
      <c r="K411" s="1">
        <f t="shared" si="63"/>
        <v>0</v>
      </c>
      <c r="L411" s="1" t="s">
        <v>2</v>
      </c>
      <c r="M411" s="1">
        <f t="shared" si="64"/>
        <v>1</v>
      </c>
      <c r="N411" s="1" t="s">
        <v>1</v>
      </c>
      <c r="O411" s="8">
        <v>0.38400000000000001</v>
      </c>
      <c r="P411" s="7">
        <v>0.56599999999999995</v>
      </c>
      <c r="Q411" s="3">
        <f>3/16</f>
        <v>0.1875</v>
      </c>
      <c r="R411" s="10">
        <f t="shared" si="65"/>
        <v>-6.8000000000000007</v>
      </c>
      <c r="S411" s="13">
        <v>21.3</v>
      </c>
      <c r="T411" s="13">
        <v>28.1</v>
      </c>
      <c r="U411" s="10">
        <v>23</v>
      </c>
      <c r="V411" s="10">
        <v>26</v>
      </c>
      <c r="W411" s="10">
        <f t="shared" si="66"/>
        <v>-3</v>
      </c>
      <c r="X411" s="9" t="s">
        <v>1</v>
      </c>
      <c r="Y411" s="11">
        <f t="shared" si="67"/>
        <v>0</v>
      </c>
      <c r="Z411" s="14">
        <v>2</v>
      </c>
    </row>
    <row r="412" spans="1:26" x14ac:dyDescent="0.2">
      <c r="A412" s="12">
        <f t="shared" si="69"/>
        <v>2012</v>
      </c>
      <c r="B412" s="1" t="s">
        <v>39</v>
      </c>
      <c r="C412" s="1">
        <v>21</v>
      </c>
      <c r="D412" s="15">
        <v>234000000</v>
      </c>
      <c r="E412" s="15">
        <f>(292.7/229.6)*234000000</f>
        <v>298309233.44947731</v>
      </c>
      <c r="F412" s="10">
        <f t="shared" si="61"/>
        <v>45.5</v>
      </c>
      <c r="G412" s="5">
        <f>2751/16</f>
        <v>171.9375</v>
      </c>
      <c r="H412" s="4" t="s">
        <v>2</v>
      </c>
      <c r="I412" s="1">
        <f t="shared" si="62"/>
        <v>1</v>
      </c>
      <c r="J412" s="1" t="s">
        <v>1</v>
      </c>
      <c r="K412" s="1">
        <f t="shared" si="63"/>
        <v>0</v>
      </c>
      <c r="L412" s="1" t="s">
        <v>2</v>
      </c>
      <c r="M412" s="1">
        <f t="shared" si="64"/>
        <v>1</v>
      </c>
      <c r="N412" s="1" t="s">
        <v>1</v>
      </c>
      <c r="O412" s="8">
        <v>0.371</v>
      </c>
      <c r="P412" s="7">
        <v>0.53800000000000003</v>
      </c>
      <c r="Q412" s="3">
        <f>10/16</f>
        <v>0.625</v>
      </c>
      <c r="R412" s="10">
        <f t="shared" si="65"/>
        <v>1.8999999999999986</v>
      </c>
      <c r="S412" s="13">
        <v>23.7</v>
      </c>
      <c r="T412" s="13">
        <v>21.8</v>
      </c>
      <c r="U412" s="10">
        <v>22</v>
      </c>
      <c r="V412" s="10">
        <v>23</v>
      </c>
      <c r="W412" s="10">
        <f t="shared" si="66"/>
        <v>-1</v>
      </c>
      <c r="X412" s="9" t="s">
        <v>2</v>
      </c>
      <c r="Y412" s="11">
        <f t="shared" si="67"/>
        <v>1</v>
      </c>
      <c r="Z412" s="14">
        <v>7</v>
      </c>
    </row>
    <row r="413" spans="1:26" x14ac:dyDescent="0.2">
      <c r="A413" s="12">
        <f t="shared" si="69"/>
        <v>2013</v>
      </c>
      <c r="B413" s="1" t="s">
        <v>39</v>
      </c>
      <c r="C413" s="1">
        <v>21</v>
      </c>
      <c r="D413" s="15">
        <v>250000000</v>
      </c>
      <c r="E413" s="15">
        <f>(292.7/233)*250000000</f>
        <v>314055793.99141634</v>
      </c>
      <c r="F413" s="10">
        <f t="shared" si="61"/>
        <v>54.4</v>
      </c>
      <c r="G413" s="5">
        <f>3427/16</f>
        <v>214.1875</v>
      </c>
      <c r="H413" s="4" t="s">
        <v>2</v>
      </c>
      <c r="I413" s="1">
        <f t="shared" si="62"/>
        <v>1</v>
      </c>
      <c r="J413" s="1" t="s">
        <v>1</v>
      </c>
      <c r="K413" s="1">
        <f t="shared" si="63"/>
        <v>0</v>
      </c>
      <c r="L413" s="1" t="s">
        <v>2</v>
      </c>
      <c r="M413" s="1">
        <f t="shared" si="64"/>
        <v>1</v>
      </c>
      <c r="N413" s="1" t="s">
        <v>1</v>
      </c>
      <c r="O413" s="8">
        <v>0.36399999999999999</v>
      </c>
      <c r="P413" s="7">
        <v>0.52100000000000002</v>
      </c>
      <c r="Q413" s="3">
        <f>5.5/16</f>
        <v>0.34375</v>
      </c>
      <c r="R413" s="10">
        <f t="shared" si="65"/>
        <v>-5.6000000000000014</v>
      </c>
      <c r="S413" s="13">
        <v>24.4</v>
      </c>
      <c r="T413" s="13">
        <v>30</v>
      </c>
      <c r="U413" s="10">
        <v>20</v>
      </c>
      <c r="V413" s="10">
        <v>32</v>
      </c>
      <c r="W413" s="10">
        <f t="shared" si="66"/>
        <v>-12</v>
      </c>
      <c r="X413" s="9" t="s">
        <v>1</v>
      </c>
      <c r="Y413" s="11">
        <f t="shared" si="67"/>
        <v>0</v>
      </c>
      <c r="Z413" s="14">
        <v>2</v>
      </c>
    </row>
    <row r="414" spans="1:26" x14ac:dyDescent="0.2">
      <c r="A414" s="12">
        <f t="shared" si="69"/>
        <v>2014</v>
      </c>
      <c r="B414" s="1" t="s">
        <v>39</v>
      </c>
      <c r="C414" s="1">
        <v>21</v>
      </c>
      <c r="D414" s="15">
        <v>281000000</v>
      </c>
      <c r="E414" s="15">
        <f>(292.7/236.7)*281000000</f>
        <v>347480777.35530204</v>
      </c>
      <c r="F414" s="10">
        <f t="shared" si="61"/>
        <v>41.7</v>
      </c>
      <c r="G414" s="5">
        <f>3244/16</f>
        <v>202.75</v>
      </c>
      <c r="H414" s="4" t="s">
        <v>2</v>
      </c>
      <c r="I414" s="1">
        <f t="shared" si="62"/>
        <v>1</v>
      </c>
      <c r="J414" s="1" t="s">
        <v>1</v>
      </c>
      <c r="K414" s="1">
        <f t="shared" si="63"/>
        <v>0</v>
      </c>
      <c r="L414" s="1" t="s">
        <v>2</v>
      </c>
      <c r="M414" s="1">
        <f t="shared" si="64"/>
        <v>1</v>
      </c>
      <c r="N414" s="1" t="s">
        <v>1</v>
      </c>
      <c r="O414" s="8">
        <v>0.38900000000000001</v>
      </c>
      <c r="P414" s="7">
        <v>0.53800000000000003</v>
      </c>
      <c r="Q414" s="3">
        <f>7/16</f>
        <v>0.4375</v>
      </c>
      <c r="R414" s="10">
        <f t="shared" si="65"/>
        <v>-1.0999999999999979</v>
      </c>
      <c r="S414" s="13">
        <v>20.3</v>
      </c>
      <c r="T414" s="13">
        <v>21.4</v>
      </c>
      <c r="U414" s="10">
        <v>19</v>
      </c>
      <c r="V414" s="10">
        <v>20</v>
      </c>
      <c r="W414" s="10">
        <f t="shared" si="66"/>
        <v>-1</v>
      </c>
      <c r="X414" s="9" t="s">
        <v>1</v>
      </c>
      <c r="Y414" s="11">
        <f t="shared" si="67"/>
        <v>0</v>
      </c>
      <c r="Z414" s="14">
        <v>0</v>
      </c>
    </row>
    <row r="415" spans="1:26" x14ac:dyDescent="0.2">
      <c r="A415" s="12">
        <f t="shared" si="69"/>
        <v>2015</v>
      </c>
      <c r="B415" s="1" t="s">
        <v>39</v>
      </c>
      <c r="C415" s="1">
        <v>21</v>
      </c>
      <c r="D415" s="15">
        <v>306000000</v>
      </c>
      <c r="E415" s="15">
        <f>(292.7/237)*306000000</f>
        <v>377916455.69620252</v>
      </c>
      <c r="F415" s="10">
        <f t="shared" si="61"/>
        <v>41.7</v>
      </c>
      <c r="G415" s="5">
        <f>2928/16</f>
        <v>183</v>
      </c>
      <c r="H415" s="4" t="s">
        <v>2</v>
      </c>
      <c r="I415" s="1">
        <f t="shared" si="62"/>
        <v>1</v>
      </c>
      <c r="J415" s="1" t="s">
        <v>1</v>
      </c>
      <c r="K415" s="1">
        <f t="shared" si="63"/>
        <v>0</v>
      </c>
      <c r="L415" s="1" t="s">
        <v>2</v>
      </c>
      <c r="M415" s="1">
        <f t="shared" si="64"/>
        <v>1</v>
      </c>
      <c r="N415" s="1" t="s">
        <v>2</v>
      </c>
      <c r="O415" s="8">
        <v>0.38200000000000001</v>
      </c>
      <c r="P415" s="7">
        <v>0.5</v>
      </c>
      <c r="Q415" s="3">
        <f>11/16</f>
        <v>0.6875</v>
      </c>
      <c r="R415" s="10">
        <f t="shared" si="65"/>
        <v>3.9000000000000021</v>
      </c>
      <c r="S415" s="13">
        <v>22.8</v>
      </c>
      <c r="T415" s="13">
        <v>18.899999999999999</v>
      </c>
      <c r="U415" s="10">
        <v>22</v>
      </c>
      <c r="V415" s="10">
        <v>17</v>
      </c>
      <c r="W415" s="10">
        <f t="shared" si="66"/>
        <v>5</v>
      </c>
      <c r="X415" s="9" t="s">
        <v>2</v>
      </c>
      <c r="Y415" s="11">
        <f t="shared" si="67"/>
        <v>1</v>
      </c>
      <c r="Z415" s="14">
        <v>5</v>
      </c>
    </row>
    <row r="416" spans="1:26" x14ac:dyDescent="0.2">
      <c r="A416" s="12">
        <f t="shared" si="69"/>
        <v>2016</v>
      </c>
      <c r="B416" s="1" t="s">
        <v>39</v>
      </c>
      <c r="C416" s="1">
        <v>21</v>
      </c>
      <c r="D416" s="15">
        <v>392000000</v>
      </c>
      <c r="E416" s="15">
        <f>(292.7/240)*392000000</f>
        <v>478076666.66666663</v>
      </c>
      <c r="F416" s="10">
        <f t="shared" si="61"/>
        <v>39.599999999999994</v>
      </c>
      <c r="G416" s="5">
        <f>3836/16</f>
        <v>239.75</v>
      </c>
      <c r="H416" s="4" t="s">
        <v>2</v>
      </c>
      <c r="I416" s="1">
        <f t="shared" si="62"/>
        <v>1</v>
      </c>
      <c r="J416" s="1" t="s">
        <v>1</v>
      </c>
      <c r="K416" s="1">
        <f t="shared" si="63"/>
        <v>0</v>
      </c>
      <c r="L416" s="1" t="s">
        <v>2</v>
      </c>
      <c r="M416" s="1">
        <f t="shared" si="64"/>
        <v>1</v>
      </c>
      <c r="N416" s="1" t="s">
        <v>2</v>
      </c>
      <c r="O416" s="8">
        <v>0.38</v>
      </c>
      <c r="P416" s="7">
        <v>0.46</v>
      </c>
      <c r="Q416" s="3">
        <f>8/16</f>
        <v>0.5</v>
      </c>
      <c r="R416" s="10">
        <f t="shared" si="65"/>
        <v>1.1999999999999993</v>
      </c>
      <c r="S416" s="13">
        <v>20.399999999999999</v>
      </c>
      <c r="T416" s="13">
        <v>19.2</v>
      </c>
      <c r="U416" s="10">
        <v>27</v>
      </c>
      <c r="V416" s="10">
        <v>16</v>
      </c>
      <c r="W416" s="10">
        <f t="shared" si="66"/>
        <v>11</v>
      </c>
      <c r="X416" s="9" t="s">
        <v>1</v>
      </c>
      <c r="Y416" s="11">
        <f t="shared" si="67"/>
        <v>0</v>
      </c>
      <c r="Z416" s="14">
        <v>6</v>
      </c>
    </row>
    <row r="417" spans="1:26" x14ac:dyDescent="0.2">
      <c r="A417" s="12">
        <f t="shared" si="69"/>
        <v>2017</v>
      </c>
      <c r="B417" s="1" t="s">
        <v>39</v>
      </c>
      <c r="C417" s="1">
        <v>21</v>
      </c>
      <c r="D417" s="15">
        <v>408000000</v>
      </c>
      <c r="E417" s="15">
        <f>(292.7/245.1)*408000000</f>
        <v>487236230.1101591</v>
      </c>
      <c r="F417" s="10">
        <f t="shared" si="61"/>
        <v>39.700000000000003</v>
      </c>
      <c r="G417" s="5">
        <f>3753/16</f>
        <v>234.5625</v>
      </c>
      <c r="H417" s="4" t="s">
        <v>2</v>
      </c>
      <c r="I417" s="1">
        <f t="shared" si="62"/>
        <v>1</v>
      </c>
      <c r="J417" s="1" t="s">
        <v>1</v>
      </c>
      <c r="K417" s="1">
        <f t="shared" si="63"/>
        <v>0</v>
      </c>
      <c r="L417" s="1" t="s">
        <v>2</v>
      </c>
      <c r="M417" s="1">
        <f t="shared" si="64"/>
        <v>1</v>
      </c>
      <c r="N417" s="1" t="s">
        <v>2</v>
      </c>
      <c r="O417" s="8">
        <v>0.435</v>
      </c>
      <c r="P417" s="7">
        <v>0.57899999999999996</v>
      </c>
      <c r="Q417" s="3">
        <f>13/16</f>
        <v>0.8125</v>
      </c>
      <c r="R417" s="10">
        <f t="shared" si="65"/>
        <v>8.0999999999999979</v>
      </c>
      <c r="S417" s="13">
        <v>23.9</v>
      </c>
      <c r="T417" s="13">
        <v>15.8</v>
      </c>
      <c r="U417" s="10">
        <v>19</v>
      </c>
      <c r="V417" s="10">
        <v>14</v>
      </c>
      <c r="W417" s="10">
        <f t="shared" si="66"/>
        <v>5</v>
      </c>
      <c r="X417" s="9" t="s">
        <v>2</v>
      </c>
      <c r="Y417" s="11">
        <f t="shared" si="67"/>
        <v>1</v>
      </c>
      <c r="Z417" s="14">
        <v>7</v>
      </c>
    </row>
    <row r="418" spans="1:26" x14ac:dyDescent="0.2">
      <c r="A418" s="12">
        <f t="shared" si="69"/>
        <v>2018</v>
      </c>
      <c r="B418" s="1" t="s">
        <v>39</v>
      </c>
      <c r="C418" s="1">
        <v>21</v>
      </c>
      <c r="D418" s="15">
        <v>427000000</v>
      </c>
      <c r="E418" s="15">
        <f>(292.7/251.1)*427000000</f>
        <v>497741537.23616093</v>
      </c>
      <c r="F418" s="10">
        <f t="shared" si="61"/>
        <v>43.8</v>
      </c>
      <c r="G418" s="5">
        <f>4036/16</f>
        <v>252.25</v>
      </c>
      <c r="H418" s="4" t="s">
        <v>1</v>
      </c>
      <c r="I418" s="1">
        <f t="shared" si="62"/>
        <v>0</v>
      </c>
      <c r="J418" s="1" t="s">
        <v>2</v>
      </c>
      <c r="K418" s="1">
        <f t="shared" si="63"/>
        <v>1</v>
      </c>
      <c r="L418" s="1" t="s">
        <v>2</v>
      </c>
      <c r="M418" s="1">
        <f t="shared" si="64"/>
        <v>1</v>
      </c>
      <c r="N418" s="1" t="s">
        <v>2</v>
      </c>
      <c r="O418" s="8">
        <v>0.35799999999999998</v>
      </c>
      <c r="P418" s="7">
        <v>0.54</v>
      </c>
      <c r="Q418" s="3">
        <f>8.5/16</f>
        <v>0.53125</v>
      </c>
      <c r="R418" s="10">
        <f t="shared" si="65"/>
        <v>1.1999999999999993</v>
      </c>
      <c r="S418" s="13">
        <v>22.5</v>
      </c>
      <c r="T418" s="13">
        <v>21.3</v>
      </c>
      <c r="U418" s="10">
        <v>20</v>
      </c>
      <c r="V418" s="10">
        <v>20</v>
      </c>
      <c r="W418" s="10">
        <f t="shared" si="66"/>
        <v>0</v>
      </c>
      <c r="X418" s="9" t="s">
        <v>1</v>
      </c>
      <c r="Y418" s="11">
        <f t="shared" si="67"/>
        <v>0</v>
      </c>
      <c r="Z418" s="14">
        <v>4</v>
      </c>
    </row>
    <row r="419" spans="1:26" x14ac:dyDescent="0.2">
      <c r="A419" s="12">
        <f t="shared" si="69"/>
        <v>2019</v>
      </c>
      <c r="B419" s="1" t="s">
        <v>39</v>
      </c>
      <c r="C419" s="1">
        <v>21</v>
      </c>
      <c r="D419" s="15">
        <v>448000000</v>
      </c>
      <c r="E419" s="15">
        <f>(292.7/255.7)*448000000</f>
        <v>512825967.93116939</v>
      </c>
      <c r="F419" s="10">
        <f t="shared" si="61"/>
        <v>44.3</v>
      </c>
      <c r="G419" s="5">
        <f>3523/16</f>
        <v>220.1875</v>
      </c>
      <c r="H419" s="4" t="s">
        <v>1</v>
      </c>
      <c r="I419" s="1">
        <f t="shared" si="62"/>
        <v>0</v>
      </c>
      <c r="J419" s="1" t="s">
        <v>2</v>
      </c>
      <c r="K419" s="1">
        <f t="shared" si="63"/>
        <v>1</v>
      </c>
      <c r="L419" s="1" t="s">
        <v>2</v>
      </c>
      <c r="M419" s="1">
        <f t="shared" si="64"/>
        <v>1</v>
      </c>
      <c r="N419" s="1" t="s">
        <v>2</v>
      </c>
      <c r="O419" s="8">
        <v>0.42799999999999999</v>
      </c>
      <c r="P419" s="7">
        <v>0.60699999999999998</v>
      </c>
      <c r="Q419" s="3">
        <f>10/16</f>
        <v>0.625</v>
      </c>
      <c r="R419" s="10">
        <f t="shared" si="65"/>
        <v>6.5</v>
      </c>
      <c r="S419" s="13">
        <v>25.4</v>
      </c>
      <c r="T419" s="13">
        <v>18.899999999999999</v>
      </c>
      <c r="U419" s="10">
        <v>31</v>
      </c>
      <c r="V419" s="10">
        <v>20</v>
      </c>
      <c r="W419" s="10">
        <f t="shared" si="66"/>
        <v>11</v>
      </c>
      <c r="X419" s="9" t="s">
        <v>2</v>
      </c>
      <c r="Y419" s="11">
        <f t="shared" si="67"/>
        <v>1</v>
      </c>
      <c r="Z419" s="14">
        <v>8</v>
      </c>
    </row>
    <row r="420" spans="1:26" x14ac:dyDescent="0.2">
      <c r="A420" s="12">
        <v>2021</v>
      </c>
      <c r="B420" s="1" t="s">
        <v>39</v>
      </c>
      <c r="C420" s="1">
        <v>21</v>
      </c>
      <c r="D420" s="15">
        <v>500000000</v>
      </c>
      <c r="E420" s="15">
        <f>(292.7/271)*500000000</f>
        <v>540036900.36900365</v>
      </c>
      <c r="F420" s="10">
        <f t="shared" si="61"/>
        <v>50.1</v>
      </c>
      <c r="G420" s="5">
        <f>4238/17</f>
        <v>249.29411764705881</v>
      </c>
      <c r="H420" s="4" t="s">
        <v>1</v>
      </c>
      <c r="I420" s="1">
        <f t="shared" si="62"/>
        <v>0</v>
      </c>
      <c r="J420" s="1" t="s">
        <v>2</v>
      </c>
      <c r="K420" s="1">
        <f t="shared" si="63"/>
        <v>1</v>
      </c>
      <c r="L420" s="1" t="s">
        <v>2</v>
      </c>
      <c r="M420" s="1">
        <f t="shared" si="64"/>
        <v>1</v>
      </c>
      <c r="N420" s="1" t="s">
        <v>2</v>
      </c>
      <c r="O420" s="8">
        <v>0.36399999999999999</v>
      </c>
      <c r="P420" s="7">
        <v>0.623</v>
      </c>
      <c r="Q420" s="3">
        <f>8/17</f>
        <v>0.47058823529411764</v>
      </c>
      <c r="R420" s="10">
        <f t="shared" si="65"/>
        <v>-0.10000000000000142</v>
      </c>
      <c r="S420" s="13">
        <v>25</v>
      </c>
      <c r="T420" s="13">
        <v>25.1</v>
      </c>
      <c r="U420" s="10">
        <v>24</v>
      </c>
      <c r="V420" s="10">
        <v>13</v>
      </c>
      <c r="W420" s="10">
        <f t="shared" si="66"/>
        <v>11</v>
      </c>
      <c r="X420" s="9" t="s">
        <v>1</v>
      </c>
      <c r="Y420" s="11">
        <f t="shared" si="67"/>
        <v>0</v>
      </c>
      <c r="Z420" s="14">
        <v>5</v>
      </c>
    </row>
    <row r="421" spans="1:26" x14ac:dyDescent="0.2">
      <c r="A421" s="12">
        <f>A420+1</f>
        <v>2022</v>
      </c>
      <c r="B421" s="1" t="s">
        <v>39</v>
      </c>
      <c r="C421" s="1">
        <v>21</v>
      </c>
      <c r="D421" s="15">
        <v>540000000</v>
      </c>
      <c r="E421" s="15">
        <f>(292.7/292.7)*540000000</f>
        <v>540000000</v>
      </c>
      <c r="F421" s="10">
        <f t="shared" si="61"/>
        <v>50</v>
      </c>
      <c r="G421" s="5">
        <f>4484/17</f>
        <v>263.76470588235293</v>
      </c>
      <c r="H421" s="4" t="s">
        <v>1</v>
      </c>
      <c r="I421" s="1">
        <f t="shared" si="62"/>
        <v>0</v>
      </c>
      <c r="J421" s="1" t="s">
        <v>2</v>
      </c>
      <c r="K421" s="1">
        <f t="shared" si="63"/>
        <v>1</v>
      </c>
      <c r="L421" s="1" t="s">
        <v>2</v>
      </c>
      <c r="M421" s="1">
        <f t="shared" si="64"/>
        <v>1</v>
      </c>
      <c r="N421" s="1" t="s">
        <v>2</v>
      </c>
      <c r="O421" s="8">
        <v>0.41199999999999998</v>
      </c>
      <c r="P421" s="7">
        <v>0.625</v>
      </c>
      <c r="Q421" s="3">
        <f>13/17</f>
        <v>0.76470588235294112</v>
      </c>
      <c r="R421" s="10">
        <f t="shared" si="65"/>
        <v>-0.20000000000000284</v>
      </c>
      <c r="S421" s="13">
        <v>24.9</v>
      </c>
      <c r="T421" s="13">
        <v>25.1</v>
      </c>
      <c r="U421" s="10">
        <v>25</v>
      </c>
      <c r="V421" s="10">
        <v>23</v>
      </c>
      <c r="W421" s="10">
        <f t="shared" si="66"/>
        <v>2</v>
      </c>
      <c r="X421" s="9" t="s">
        <v>2</v>
      </c>
      <c r="Y421" s="11">
        <f t="shared" si="67"/>
        <v>1</v>
      </c>
      <c r="Z421" s="14">
        <v>6</v>
      </c>
    </row>
    <row r="422" spans="1:26" x14ac:dyDescent="0.2">
      <c r="A422" s="12">
        <v>2002</v>
      </c>
      <c r="B422" s="1" t="s">
        <v>40</v>
      </c>
      <c r="C422" s="1">
        <v>22</v>
      </c>
      <c r="D422" s="15">
        <v>189000000</v>
      </c>
      <c r="E422" s="15">
        <f>(292.7/179.9)*189000000</f>
        <v>307505836.57587546</v>
      </c>
      <c r="F422" s="10">
        <f t="shared" si="61"/>
        <v>45.400000000000006</v>
      </c>
      <c r="G422" s="5">
        <f>3577/16</f>
        <v>223.5625</v>
      </c>
      <c r="H422" s="4" t="s">
        <v>1</v>
      </c>
      <c r="I422" s="1">
        <f t="shared" si="62"/>
        <v>0</v>
      </c>
      <c r="J422" s="1" t="s">
        <v>1</v>
      </c>
      <c r="K422" s="1">
        <f t="shared" si="63"/>
        <v>0</v>
      </c>
      <c r="L422" s="1" t="s">
        <v>1</v>
      </c>
      <c r="M422" s="1">
        <f t="shared" si="64"/>
        <v>0</v>
      </c>
      <c r="N422" s="1" t="s">
        <v>1</v>
      </c>
      <c r="O422" s="8">
        <v>0.42699999999999999</v>
      </c>
      <c r="P422" s="7">
        <v>0.53100000000000003</v>
      </c>
      <c r="Q422" s="3">
        <f>9/16</f>
        <v>0.5625</v>
      </c>
      <c r="R422" s="10">
        <f t="shared" si="65"/>
        <v>2.1999999999999993</v>
      </c>
      <c r="S422" s="13">
        <v>23.8</v>
      </c>
      <c r="T422" s="13">
        <v>21.6</v>
      </c>
      <c r="U422" s="10">
        <v>29</v>
      </c>
      <c r="V422" s="10">
        <v>24</v>
      </c>
      <c r="W422" s="10">
        <f t="shared" si="66"/>
        <v>5</v>
      </c>
      <c r="X422" s="9" t="s">
        <v>1</v>
      </c>
      <c r="Y422" s="11">
        <f t="shared" si="67"/>
        <v>0</v>
      </c>
      <c r="Z422" s="14">
        <v>6</v>
      </c>
    </row>
    <row r="423" spans="1:26" x14ac:dyDescent="0.2">
      <c r="A423" s="12">
        <f>A422+1</f>
        <v>2003</v>
      </c>
      <c r="B423" s="1" t="s">
        <v>40</v>
      </c>
      <c r="C423" s="1">
        <v>22</v>
      </c>
      <c r="D423" s="15">
        <v>191000000</v>
      </c>
      <c r="E423" s="15">
        <f>(292.7/184)*191000000</f>
        <v>303835326.0869565</v>
      </c>
      <c r="F423" s="10">
        <f t="shared" si="61"/>
        <v>36.700000000000003</v>
      </c>
      <c r="G423" s="5">
        <f>3432/16</f>
        <v>214.5</v>
      </c>
      <c r="H423" s="4" t="s">
        <v>1</v>
      </c>
      <c r="I423" s="1">
        <f t="shared" si="62"/>
        <v>0</v>
      </c>
      <c r="J423" s="1" t="s">
        <v>1</v>
      </c>
      <c r="K423" s="1">
        <f t="shared" si="63"/>
        <v>0</v>
      </c>
      <c r="L423" s="1" t="s">
        <v>1</v>
      </c>
      <c r="M423" s="1">
        <f t="shared" si="64"/>
        <v>0</v>
      </c>
      <c r="N423" s="1" t="s">
        <v>1</v>
      </c>
      <c r="O423" s="8">
        <v>0.37</v>
      </c>
      <c r="P423" s="7">
        <v>0.44</v>
      </c>
      <c r="Q423" s="3">
        <f>14/16</f>
        <v>0.875</v>
      </c>
      <c r="R423" s="10">
        <f t="shared" si="65"/>
        <v>6.9</v>
      </c>
      <c r="S423" s="13">
        <v>21.8</v>
      </c>
      <c r="T423" s="13">
        <v>14.9</v>
      </c>
      <c r="U423" s="10">
        <v>41</v>
      </c>
      <c r="V423" s="10">
        <v>24</v>
      </c>
      <c r="W423" s="10">
        <f t="shared" si="66"/>
        <v>17</v>
      </c>
      <c r="X423" s="9" t="s">
        <v>2</v>
      </c>
      <c r="Y423" s="11">
        <f t="shared" si="67"/>
        <v>1</v>
      </c>
      <c r="Z423" s="14">
        <v>3</v>
      </c>
    </row>
    <row r="424" spans="1:26" x14ac:dyDescent="0.2">
      <c r="A424" s="12">
        <f>A423+1</f>
        <v>2004</v>
      </c>
      <c r="B424" s="1" t="s">
        <v>40</v>
      </c>
      <c r="C424" s="1">
        <v>22</v>
      </c>
      <c r="D424" s="15">
        <v>236000000</v>
      </c>
      <c r="E424" s="15">
        <f>(292.7/188.9)*236000000</f>
        <v>365681312.86394912</v>
      </c>
      <c r="F424" s="10">
        <f t="shared" si="61"/>
        <v>43.6</v>
      </c>
      <c r="G424" s="5">
        <f>3588/16</f>
        <v>224.25</v>
      </c>
      <c r="H424" s="4" t="s">
        <v>1</v>
      </c>
      <c r="I424" s="1">
        <f t="shared" si="62"/>
        <v>0</v>
      </c>
      <c r="J424" s="1" t="s">
        <v>1</v>
      </c>
      <c r="K424" s="1">
        <f t="shared" si="63"/>
        <v>0</v>
      </c>
      <c r="L424" s="1" t="s">
        <v>1</v>
      </c>
      <c r="M424" s="1">
        <f t="shared" si="64"/>
        <v>0</v>
      </c>
      <c r="N424" s="1" t="s">
        <v>1</v>
      </c>
      <c r="O424" s="8">
        <v>0.45100000000000001</v>
      </c>
      <c r="P424" s="7">
        <v>0.58699999999999997</v>
      </c>
      <c r="Q424" s="3">
        <f>14/16</f>
        <v>0.875</v>
      </c>
      <c r="R424" s="10">
        <f t="shared" si="65"/>
        <v>11</v>
      </c>
      <c r="S424" s="13">
        <v>27.3</v>
      </c>
      <c r="T424" s="13">
        <v>16.3</v>
      </c>
      <c r="U424" s="10">
        <v>36</v>
      </c>
      <c r="V424" s="10">
        <v>27</v>
      </c>
      <c r="W424" s="10">
        <f t="shared" si="66"/>
        <v>9</v>
      </c>
      <c r="X424" s="9" t="s">
        <v>2</v>
      </c>
      <c r="Y424" s="11">
        <f t="shared" si="67"/>
        <v>1</v>
      </c>
      <c r="Z424" s="14">
        <v>6</v>
      </c>
    </row>
    <row r="425" spans="1:26" x14ac:dyDescent="0.2">
      <c r="A425" s="12">
        <f>A424+1</f>
        <v>2005</v>
      </c>
      <c r="B425" s="1" t="s">
        <v>40</v>
      </c>
      <c r="C425" s="1">
        <v>22</v>
      </c>
      <c r="D425" s="15">
        <v>250000000</v>
      </c>
      <c r="E425" s="15">
        <f>(292.7/195.3)*250000000</f>
        <v>374679979.51868916</v>
      </c>
      <c r="F425" s="10">
        <f t="shared" si="61"/>
        <v>44.8</v>
      </c>
      <c r="G425" s="5">
        <f>4120/16</f>
        <v>257.5</v>
      </c>
      <c r="H425" s="4" t="s">
        <v>1</v>
      </c>
      <c r="I425" s="1">
        <f t="shared" si="62"/>
        <v>0</v>
      </c>
      <c r="J425" s="1" t="s">
        <v>1</v>
      </c>
      <c r="K425" s="1">
        <f t="shared" si="63"/>
        <v>0</v>
      </c>
      <c r="L425" s="1" t="s">
        <v>1</v>
      </c>
      <c r="M425" s="1">
        <f t="shared" si="64"/>
        <v>0</v>
      </c>
      <c r="N425" s="1" t="s">
        <v>1</v>
      </c>
      <c r="O425" s="8">
        <v>0.42099999999999999</v>
      </c>
      <c r="P425" s="7">
        <v>0.63800000000000001</v>
      </c>
      <c r="Q425" s="3">
        <f>10/16</f>
        <v>0.625</v>
      </c>
      <c r="R425" s="10">
        <f t="shared" si="65"/>
        <v>2.5999999999999979</v>
      </c>
      <c r="S425" s="13">
        <v>23.7</v>
      </c>
      <c r="T425" s="13">
        <v>21.1</v>
      </c>
      <c r="U425" s="10">
        <v>18</v>
      </c>
      <c r="V425" s="10">
        <v>24</v>
      </c>
      <c r="W425" s="10">
        <f t="shared" si="66"/>
        <v>-6</v>
      </c>
      <c r="X425" s="9" t="s">
        <v>2</v>
      </c>
      <c r="Y425" s="11">
        <f t="shared" si="67"/>
        <v>1</v>
      </c>
      <c r="Z425" s="14">
        <v>2</v>
      </c>
    </row>
    <row r="426" spans="1:26" x14ac:dyDescent="0.2">
      <c r="A426" s="12">
        <f>A425+1</f>
        <v>2006</v>
      </c>
      <c r="B426" s="1" t="s">
        <v>40</v>
      </c>
      <c r="C426" s="1">
        <v>22</v>
      </c>
      <c r="D426" s="15">
        <v>255000000</v>
      </c>
      <c r="E426" s="15">
        <f>(292.7/201.6)*255000000</f>
        <v>370230654.76190478</v>
      </c>
      <c r="F426" s="10">
        <f t="shared" si="61"/>
        <v>38.900000000000006</v>
      </c>
      <c r="G426" s="5">
        <f>3400/16</f>
        <v>212.5</v>
      </c>
      <c r="H426" s="4" t="s">
        <v>1</v>
      </c>
      <c r="I426" s="1">
        <f t="shared" si="62"/>
        <v>0</v>
      </c>
      <c r="J426" s="1" t="s">
        <v>1</v>
      </c>
      <c r="K426" s="1">
        <f t="shared" si="63"/>
        <v>0</v>
      </c>
      <c r="L426" s="1" t="s">
        <v>1</v>
      </c>
      <c r="M426" s="1">
        <f t="shared" si="64"/>
        <v>0</v>
      </c>
      <c r="N426" s="1" t="s">
        <v>1</v>
      </c>
      <c r="O426" s="8">
        <v>0.42499999999999999</v>
      </c>
      <c r="P426" s="7">
        <v>0.6</v>
      </c>
      <c r="Q426" s="3">
        <f>12/16</f>
        <v>0.75</v>
      </c>
      <c r="R426" s="10">
        <f t="shared" si="65"/>
        <v>9.3000000000000007</v>
      </c>
      <c r="S426" s="13">
        <v>24.1</v>
      </c>
      <c r="T426" s="13">
        <v>14.8</v>
      </c>
      <c r="U426" s="10">
        <v>35</v>
      </c>
      <c r="V426" s="10">
        <v>27</v>
      </c>
      <c r="W426" s="10">
        <f t="shared" si="66"/>
        <v>8</v>
      </c>
      <c r="X426" s="9" t="s">
        <v>2</v>
      </c>
      <c r="Y426" s="11">
        <f t="shared" si="67"/>
        <v>1</v>
      </c>
      <c r="Z426" s="14">
        <v>2</v>
      </c>
    </row>
    <row r="427" spans="1:26" x14ac:dyDescent="0.2">
      <c r="A427" s="12">
        <f>A426+1</f>
        <v>2007</v>
      </c>
      <c r="B427" s="1" t="s">
        <v>40</v>
      </c>
      <c r="C427" s="1">
        <v>22</v>
      </c>
      <c r="D427" s="15">
        <v>282000000</v>
      </c>
      <c r="E427" s="15">
        <f>(292.7/207.3)*282000000</f>
        <v>398173661.36034727</v>
      </c>
      <c r="F427" s="10">
        <f t="shared" si="61"/>
        <v>53.9</v>
      </c>
      <c r="G427" s="5">
        <f>4731/16</f>
        <v>295.6875</v>
      </c>
      <c r="H427" s="4" t="s">
        <v>1</v>
      </c>
      <c r="I427" s="1">
        <f t="shared" si="62"/>
        <v>0</v>
      </c>
      <c r="J427" s="1" t="s">
        <v>1</v>
      </c>
      <c r="K427" s="1">
        <f t="shared" si="63"/>
        <v>0</v>
      </c>
      <c r="L427" s="1" t="s">
        <v>1</v>
      </c>
      <c r="M427" s="1">
        <f t="shared" si="64"/>
        <v>0</v>
      </c>
      <c r="N427" s="1" t="s">
        <v>1</v>
      </c>
      <c r="O427" s="8">
        <v>0.48199999999999998</v>
      </c>
      <c r="P427" s="7">
        <v>0.69399999999999995</v>
      </c>
      <c r="Q427" s="3">
        <f>16/16</f>
        <v>1</v>
      </c>
      <c r="R427" s="10">
        <f t="shared" si="65"/>
        <v>19.699999999999996</v>
      </c>
      <c r="S427" s="13">
        <v>36.799999999999997</v>
      </c>
      <c r="T427" s="13">
        <v>17.100000000000001</v>
      </c>
      <c r="U427" s="10">
        <v>31</v>
      </c>
      <c r="V427" s="10">
        <v>15</v>
      </c>
      <c r="W427" s="10">
        <f t="shared" si="66"/>
        <v>16</v>
      </c>
      <c r="X427" s="9" t="s">
        <v>2</v>
      </c>
      <c r="Y427" s="11">
        <f t="shared" si="67"/>
        <v>1</v>
      </c>
      <c r="Z427" s="14">
        <v>8</v>
      </c>
    </row>
    <row r="428" spans="1:26" x14ac:dyDescent="0.2">
      <c r="A428" s="12">
        <v>2008</v>
      </c>
      <c r="B428" s="1" t="s">
        <v>40</v>
      </c>
      <c r="C428" s="1">
        <v>22</v>
      </c>
      <c r="D428" s="15">
        <v>302000000</v>
      </c>
      <c r="E428" s="15">
        <f>(292.7/215.3)*302000000</f>
        <v>410568509.05712956</v>
      </c>
      <c r="F428" s="10">
        <f t="shared" si="61"/>
        <v>44.900000000000006</v>
      </c>
      <c r="G428" s="5">
        <f>3569/16</f>
        <v>223.0625</v>
      </c>
      <c r="H428" s="4" t="s">
        <v>1</v>
      </c>
      <c r="I428" s="1">
        <f t="shared" si="62"/>
        <v>0</v>
      </c>
      <c r="J428" s="1" t="s">
        <v>1</v>
      </c>
      <c r="K428" s="1">
        <f t="shared" si="63"/>
        <v>0</v>
      </c>
      <c r="L428" s="1" t="s">
        <v>1</v>
      </c>
      <c r="M428" s="1">
        <f t="shared" si="64"/>
        <v>0</v>
      </c>
      <c r="N428" s="1" t="s">
        <v>1</v>
      </c>
      <c r="O428" s="8">
        <v>0.432</v>
      </c>
      <c r="P428" s="7">
        <v>0.50800000000000001</v>
      </c>
      <c r="Q428" s="3">
        <f>11/16</f>
        <v>0.6875</v>
      </c>
      <c r="R428" s="10">
        <f t="shared" si="65"/>
        <v>6.3000000000000007</v>
      </c>
      <c r="S428" s="13">
        <v>25.6</v>
      </c>
      <c r="T428" s="13">
        <v>19.3</v>
      </c>
      <c r="U428" s="10">
        <v>22</v>
      </c>
      <c r="V428" s="10">
        <v>21</v>
      </c>
      <c r="W428" s="10">
        <f t="shared" si="66"/>
        <v>1</v>
      </c>
      <c r="X428" s="9" t="s">
        <v>1</v>
      </c>
      <c r="Y428" s="11">
        <f t="shared" si="67"/>
        <v>0</v>
      </c>
      <c r="Z428" s="14">
        <v>2</v>
      </c>
    </row>
    <row r="429" spans="1:26" x14ac:dyDescent="0.2">
      <c r="A429" s="12">
        <f t="shared" ref="A429:A439" si="70">A428+1</f>
        <v>2009</v>
      </c>
      <c r="B429" s="1" t="s">
        <v>40</v>
      </c>
      <c r="C429" s="1">
        <v>22</v>
      </c>
      <c r="D429" s="15">
        <v>318000000</v>
      </c>
      <c r="E429" s="15">
        <f>(292.7/214.5)*318000000</f>
        <v>433932867.1328671</v>
      </c>
      <c r="F429" s="10">
        <f t="shared" si="61"/>
        <v>44.5</v>
      </c>
      <c r="G429" s="5">
        <f>4436/16</f>
        <v>277.25</v>
      </c>
      <c r="H429" s="4" t="s">
        <v>2</v>
      </c>
      <c r="I429" s="1">
        <f t="shared" si="62"/>
        <v>1</v>
      </c>
      <c r="J429" s="1" t="s">
        <v>1</v>
      </c>
      <c r="K429" s="1">
        <f t="shared" si="63"/>
        <v>0</v>
      </c>
      <c r="L429" s="1" t="s">
        <v>2</v>
      </c>
      <c r="M429" s="1">
        <f t="shared" si="64"/>
        <v>1</v>
      </c>
      <c r="N429" s="1" t="s">
        <v>1</v>
      </c>
      <c r="O429" s="8">
        <v>0.437</v>
      </c>
      <c r="P429" s="7">
        <v>0.52300000000000002</v>
      </c>
      <c r="Q429" s="3">
        <f>10/16</f>
        <v>0.625</v>
      </c>
      <c r="R429" s="10">
        <f t="shared" si="65"/>
        <v>8.8999999999999986</v>
      </c>
      <c r="S429" s="13">
        <v>26.7</v>
      </c>
      <c r="T429" s="13">
        <v>17.8</v>
      </c>
      <c r="U429" s="10">
        <v>28</v>
      </c>
      <c r="V429" s="10">
        <v>22</v>
      </c>
      <c r="W429" s="10">
        <f t="shared" si="66"/>
        <v>6</v>
      </c>
      <c r="X429" s="9" t="s">
        <v>2</v>
      </c>
      <c r="Y429" s="11">
        <f t="shared" si="67"/>
        <v>1</v>
      </c>
      <c r="Z429" s="14">
        <v>5</v>
      </c>
    </row>
    <row r="430" spans="1:26" x14ac:dyDescent="0.2">
      <c r="A430" s="12">
        <f t="shared" si="70"/>
        <v>2010</v>
      </c>
      <c r="B430" s="1" t="s">
        <v>40</v>
      </c>
      <c r="C430" s="1">
        <v>22</v>
      </c>
      <c r="D430" s="15">
        <v>333000000</v>
      </c>
      <c r="E430" s="15">
        <f>(292.7/218.1)*333000000</f>
        <v>446900962.8610729</v>
      </c>
      <c r="F430" s="10">
        <f t="shared" si="61"/>
        <v>52</v>
      </c>
      <c r="G430" s="5">
        <f>3847/16</f>
        <v>240.4375</v>
      </c>
      <c r="H430" s="4" t="s">
        <v>2</v>
      </c>
      <c r="I430" s="1">
        <f t="shared" si="62"/>
        <v>1</v>
      </c>
      <c r="J430" s="1" t="s">
        <v>1</v>
      </c>
      <c r="K430" s="1">
        <f t="shared" si="63"/>
        <v>0</v>
      </c>
      <c r="L430" s="1" t="s">
        <v>2</v>
      </c>
      <c r="M430" s="1">
        <f t="shared" si="64"/>
        <v>1</v>
      </c>
      <c r="N430" s="1" t="s">
        <v>1</v>
      </c>
      <c r="O430" s="8">
        <v>0.48199999999999998</v>
      </c>
      <c r="P430" s="7">
        <v>0.627</v>
      </c>
      <c r="Q430" s="3">
        <f>14/16</f>
        <v>0.875</v>
      </c>
      <c r="R430" s="10">
        <f t="shared" si="65"/>
        <v>12.799999999999997</v>
      </c>
      <c r="S430" s="13">
        <v>32.4</v>
      </c>
      <c r="T430" s="13">
        <v>19.600000000000001</v>
      </c>
      <c r="U430" s="10">
        <v>13</v>
      </c>
      <c r="V430" s="10">
        <v>5</v>
      </c>
      <c r="W430" s="10">
        <f t="shared" si="66"/>
        <v>8</v>
      </c>
      <c r="X430" s="9" t="s">
        <v>2</v>
      </c>
      <c r="Y430" s="11">
        <f t="shared" si="67"/>
        <v>1</v>
      </c>
      <c r="Z430" s="14">
        <v>8</v>
      </c>
    </row>
    <row r="431" spans="1:26" x14ac:dyDescent="0.2">
      <c r="A431" s="12">
        <f t="shared" si="70"/>
        <v>2011</v>
      </c>
      <c r="B431" s="1" t="s">
        <v>40</v>
      </c>
      <c r="C431" s="1">
        <v>22</v>
      </c>
      <c r="D431" s="15">
        <v>380000000</v>
      </c>
      <c r="E431" s="15">
        <f>(292.7/224.9)*380000000</f>
        <v>494557581.1471765</v>
      </c>
      <c r="F431" s="10">
        <f t="shared" si="61"/>
        <v>53.5</v>
      </c>
      <c r="G431" s="5">
        <f>5084/16</f>
        <v>317.75</v>
      </c>
      <c r="H431" s="4" t="s">
        <v>2</v>
      </c>
      <c r="I431" s="1">
        <f t="shared" si="62"/>
        <v>1</v>
      </c>
      <c r="J431" s="1" t="s">
        <v>1</v>
      </c>
      <c r="K431" s="1">
        <f t="shared" si="63"/>
        <v>0</v>
      </c>
      <c r="L431" s="1" t="s">
        <v>2</v>
      </c>
      <c r="M431" s="1">
        <f t="shared" si="64"/>
        <v>1</v>
      </c>
      <c r="N431" s="1" t="s">
        <v>1</v>
      </c>
      <c r="O431" s="8">
        <v>0.45900000000000002</v>
      </c>
      <c r="P431" s="7">
        <v>0.65300000000000002</v>
      </c>
      <c r="Q431" s="3">
        <f>13/16</f>
        <v>0.8125</v>
      </c>
      <c r="R431" s="10">
        <f t="shared" si="65"/>
        <v>10.700000000000003</v>
      </c>
      <c r="S431" s="13">
        <v>32.1</v>
      </c>
      <c r="T431" s="13">
        <v>21.4</v>
      </c>
      <c r="U431" s="10">
        <v>34</v>
      </c>
      <c r="V431" s="10">
        <v>17</v>
      </c>
      <c r="W431" s="10">
        <f t="shared" si="66"/>
        <v>17</v>
      </c>
      <c r="X431" s="9" t="s">
        <v>2</v>
      </c>
      <c r="Y431" s="11">
        <f t="shared" si="67"/>
        <v>1</v>
      </c>
      <c r="Z431" s="14">
        <v>8</v>
      </c>
    </row>
    <row r="432" spans="1:26" x14ac:dyDescent="0.2">
      <c r="A432" s="12">
        <f t="shared" si="70"/>
        <v>2012</v>
      </c>
      <c r="B432" s="1" t="s">
        <v>40</v>
      </c>
      <c r="C432" s="1">
        <v>22</v>
      </c>
      <c r="D432" s="15">
        <v>408000000</v>
      </c>
      <c r="E432" s="15">
        <f>(292.7/229.6)*408000000</f>
        <v>520128919.86062711</v>
      </c>
      <c r="F432" s="10">
        <f t="shared" si="61"/>
        <v>55.5</v>
      </c>
      <c r="G432" s="5">
        <f>4662/16</f>
        <v>291.375</v>
      </c>
      <c r="H432" s="4" t="s">
        <v>2</v>
      </c>
      <c r="I432" s="1">
        <f t="shared" si="62"/>
        <v>1</v>
      </c>
      <c r="J432" s="1" t="s">
        <v>1</v>
      </c>
      <c r="K432" s="1">
        <f t="shared" si="63"/>
        <v>0</v>
      </c>
      <c r="L432" s="1" t="s">
        <v>2</v>
      </c>
      <c r="M432" s="1">
        <f t="shared" si="64"/>
        <v>1</v>
      </c>
      <c r="N432" s="1" t="s">
        <v>1</v>
      </c>
      <c r="O432" s="8">
        <v>0.48699999999999999</v>
      </c>
      <c r="P432" s="7">
        <v>0.7</v>
      </c>
      <c r="Q432" s="3">
        <f>12/16</f>
        <v>0.75</v>
      </c>
      <c r="R432" s="10">
        <f t="shared" si="65"/>
        <v>14.099999999999998</v>
      </c>
      <c r="S432" s="13">
        <v>34.799999999999997</v>
      </c>
      <c r="T432" s="13">
        <v>20.7</v>
      </c>
      <c r="U432" s="10">
        <v>41</v>
      </c>
      <c r="V432" s="10">
        <v>16</v>
      </c>
      <c r="W432" s="10">
        <f t="shared" si="66"/>
        <v>25</v>
      </c>
      <c r="X432" s="9" t="s">
        <v>2</v>
      </c>
      <c r="Y432" s="11">
        <f t="shared" si="67"/>
        <v>1</v>
      </c>
      <c r="Z432" s="14">
        <v>7</v>
      </c>
    </row>
    <row r="433" spans="1:26" x14ac:dyDescent="0.2">
      <c r="A433" s="12">
        <f t="shared" si="70"/>
        <v>2013</v>
      </c>
      <c r="B433" s="1" t="s">
        <v>40</v>
      </c>
      <c r="C433" s="1">
        <v>22</v>
      </c>
      <c r="D433" s="15">
        <v>428000000</v>
      </c>
      <c r="E433" s="15">
        <f>(292.7/233)*428000000</f>
        <v>537663519.31330478</v>
      </c>
      <c r="F433" s="10">
        <f t="shared" si="61"/>
        <v>48.900000000000006</v>
      </c>
      <c r="G433" s="5">
        <f>4087/16</f>
        <v>255.4375</v>
      </c>
      <c r="H433" s="4" t="s">
        <v>2</v>
      </c>
      <c r="I433" s="1">
        <f t="shared" si="62"/>
        <v>1</v>
      </c>
      <c r="J433" s="1" t="s">
        <v>1</v>
      </c>
      <c r="K433" s="1">
        <f t="shared" si="63"/>
        <v>0</v>
      </c>
      <c r="L433" s="1" t="s">
        <v>2</v>
      </c>
      <c r="M433" s="1">
        <f t="shared" si="64"/>
        <v>1</v>
      </c>
      <c r="N433" s="1" t="s">
        <v>1</v>
      </c>
      <c r="O433" s="8">
        <v>0.376</v>
      </c>
      <c r="P433" s="7">
        <v>0.55400000000000005</v>
      </c>
      <c r="Q433" s="3">
        <f>12/16</f>
        <v>0.75</v>
      </c>
      <c r="R433" s="10">
        <f t="shared" si="65"/>
        <v>6.6999999999999993</v>
      </c>
      <c r="S433" s="13">
        <v>27.8</v>
      </c>
      <c r="T433" s="13">
        <v>21.1</v>
      </c>
      <c r="U433" s="10">
        <v>29</v>
      </c>
      <c r="V433" s="10">
        <v>20</v>
      </c>
      <c r="W433" s="10">
        <f t="shared" si="66"/>
        <v>9</v>
      </c>
      <c r="X433" s="9" t="s">
        <v>2</v>
      </c>
      <c r="Y433" s="11">
        <f t="shared" si="67"/>
        <v>1</v>
      </c>
      <c r="Z433" s="14">
        <v>5</v>
      </c>
    </row>
    <row r="434" spans="1:26" x14ac:dyDescent="0.2">
      <c r="A434" s="12">
        <f t="shared" si="70"/>
        <v>2014</v>
      </c>
      <c r="B434" s="1" t="s">
        <v>40</v>
      </c>
      <c r="C434" s="1">
        <v>22</v>
      </c>
      <c r="D434" s="15">
        <v>494000000</v>
      </c>
      <c r="E434" s="15">
        <f>(292.7/236.7)*494000000</f>
        <v>610873679.76341355</v>
      </c>
      <c r="F434" s="10">
        <f t="shared" si="61"/>
        <v>48.900000000000006</v>
      </c>
      <c r="G434" s="5">
        <f>4121/16</f>
        <v>257.5625</v>
      </c>
      <c r="H434" s="4" t="s">
        <v>2</v>
      </c>
      <c r="I434" s="1">
        <f t="shared" si="62"/>
        <v>1</v>
      </c>
      <c r="J434" s="1" t="s">
        <v>1</v>
      </c>
      <c r="K434" s="1">
        <f t="shared" si="63"/>
        <v>0</v>
      </c>
      <c r="L434" s="1" t="s">
        <v>2</v>
      </c>
      <c r="M434" s="1">
        <f t="shared" si="64"/>
        <v>1</v>
      </c>
      <c r="N434" s="1" t="s">
        <v>1</v>
      </c>
      <c r="O434" s="8">
        <v>0.443</v>
      </c>
      <c r="P434" s="7">
        <v>0.58199999999999996</v>
      </c>
      <c r="Q434" s="3">
        <f>12/16</f>
        <v>0.75</v>
      </c>
      <c r="R434" s="10">
        <f t="shared" si="65"/>
        <v>9.6999999999999993</v>
      </c>
      <c r="S434" s="13">
        <v>29.3</v>
      </c>
      <c r="T434" s="13">
        <v>19.600000000000001</v>
      </c>
      <c r="U434" s="10">
        <v>25</v>
      </c>
      <c r="V434" s="10">
        <v>13</v>
      </c>
      <c r="W434" s="10">
        <f t="shared" si="66"/>
        <v>12</v>
      </c>
      <c r="X434" s="9" t="s">
        <v>2</v>
      </c>
      <c r="Y434" s="11">
        <f t="shared" si="67"/>
        <v>1</v>
      </c>
      <c r="Z434" s="14">
        <v>5</v>
      </c>
    </row>
    <row r="435" spans="1:26" x14ac:dyDescent="0.2">
      <c r="A435" s="12">
        <f t="shared" si="70"/>
        <v>2015</v>
      </c>
      <c r="B435" s="1" t="s">
        <v>40</v>
      </c>
      <c r="C435" s="1">
        <v>22</v>
      </c>
      <c r="D435" s="15">
        <v>523000000</v>
      </c>
      <c r="E435" s="15">
        <f>(292.7/237)*523000000</f>
        <v>645916033.7552743</v>
      </c>
      <c r="F435" s="10">
        <f t="shared" si="61"/>
        <v>48.8</v>
      </c>
      <c r="G435" s="5">
        <f>4587/16</f>
        <v>286.6875</v>
      </c>
      <c r="H435" s="4" t="s">
        <v>2</v>
      </c>
      <c r="I435" s="1">
        <f t="shared" si="62"/>
        <v>1</v>
      </c>
      <c r="J435" s="1" t="s">
        <v>1</v>
      </c>
      <c r="K435" s="1">
        <f t="shared" si="63"/>
        <v>0</v>
      </c>
      <c r="L435" s="1" t="s">
        <v>2</v>
      </c>
      <c r="M435" s="1">
        <f t="shared" si="64"/>
        <v>1</v>
      </c>
      <c r="N435" s="1" t="s">
        <v>2</v>
      </c>
      <c r="O435" s="8">
        <v>0.40899999999999997</v>
      </c>
      <c r="P435" s="7">
        <v>0.65600000000000003</v>
      </c>
      <c r="Q435" s="3">
        <f>12/16</f>
        <v>0.75</v>
      </c>
      <c r="R435" s="10">
        <f t="shared" si="65"/>
        <v>9.4000000000000021</v>
      </c>
      <c r="S435" s="13">
        <v>29.1</v>
      </c>
      <c r="T435" s="13">
        <v>19.7</v>
      </c>
      <c r="U435" s="10">
        <v>21</v>
      </c>
      <c r="V435" s="10">
        <v>14</v>
      </c>
      <c r="W435" s="10">
        <f t="shared" si="66"/>
        <v>7</v>
      </c>
      <c r="X435" s="9" t="s">
        <v>2</v>
      </c>
      <c r="Y435" s="11">
        <f t="shared" si="67"/>
        <v>1</v>
      </c>
      <c r="Z435" s="14">
        <v>7</v>
      </c>
    </row>
    <row r="436" spans="1:26" x14ac:dyDescent="0.2">
      <c r="A436" s="12">
        <f t="shared" si="70"/>
        <v>2016</v>
      </c>
      <c r="B436" s="1" t="s">
        <v>40</v>
      </c>
      <c r="C436" s="1">
        <v>22</v>
      </c>
      <c r="D436" s="15">
        <v>575000000</v>
      </c>
      <c r="E436" s="15">
        <f>(292.7/240)*575000000</f>
        <v>701260416.66666663</v>
      </c>
      <c r="F436" s="10">
        <f t="shared" si="61"/>
        <v>43.2</v>
      </c>
      <c r="G436" s="5">
        <f>4308/16</f>
        <v>269.25</v>
      </c>
      <c r="H436" s="4" t="s">
        <v>2</v>
      </c>
      <c r="I436" s="1">
        <f t="shared" si="62"/>
        <v>1</v>
      </c>
      <c r="J436" s="1" t="s">
        <v>1</v>
      </c>
      <c r="K436" s="1">
        <f t="shared" si="63"/>
        <v>0</v>
      </c>
      <c r="L436" s="1" t="s">
        <v>2</v>
      </c>
      <c r="M436" s="1">
        <f t="shared" si="64"/>
        <v>1</v>
      </c>
      <c r="N436" s="1" t="s">
        <v>2</v>
      </c>
      <c r="O436" s="8">
        <v>0.45800000000000002</v>
      </c>
      <c r="P436" s="7">
        <v>0.63300000000000001</v>
      </c>
      <c r="Q436" s="3">
        <f>14/16</f>
        <v>0.875</v>
      </c>
      <c r="R436" s="10">
        <f t="shared" si="65"/>
        <v>12.000000000000002</v>
      </c>
      <c r="S436" s="13">
        <v>27.6</v>
      </c>
      <c r="T436" s="13">
        <v>15.6</v>
      </c>
      <c r="U436" s="10">
        <v>23</v>
      </c>
      <c r="V436" s="10">
        <v>11</v>
      </c>
      <c r="W436" s="10">
        <f t="shared" si="66"/>
        <v>12</v>
      </c>
      <c r="X436" s="9" t="s">
        <v>2</v>
      </c>
      <c r="Y436" s="11">
        <f t="shared" si="67"/>
        <v>1</v>
      </c>
      <c r="Z436" s="14">
        <v>4</v>
      </c>
    </row>
    <row r="437" spans="1:26" x14ac:dyDescent="0.2">
      <c r="A437" s="12">
        <f t="shared" si="70"/>
        <v>2017</v>
      </c>
      <c r="B437" s="1" t="s">
        <v>40</v>
      </c>
      <c r="C437" s="1">
        <v>22</v>
      </c>
      <c r="D437" s="15">
        <v>593000000</v>
      </c>
      <c r="E437" s="15">
        <f>(292.7/245.1)*593000000</f>
        <v>708164422.68461847</v>
      </c>
      <c r="F437" s="10">
        <f t="shared" si="61"/>
        <v>47.1</v>
      </c>
      <c r="G437" s="5">
        <f>4418/16</f>
        <v>276.125</v>
      </c>
      <c r="H437" s="4" t="s">
        <v>2</v>
      </c>
      <c r="I437" s="1">
        <f t="shared" si="62"/>
        <v>1</v>
      </c>
      <c r="J437" s="1" t="s">
        <v>1</v>
      </c>
      <c r="K437" s="1">
        <f t="shared" si="63"/>
        <v>0</v>
      </c>
      <c r="L437" s="1" t="s">
        <v>2</v>
      </c>
      <c r="M437" s="1">
        <f t="shared" si="64"/>
        <v>1</v>
      </c>
      <c r="N437" s="1" t="s">
        <v>2</v>
      </c>
      <c r="O437" s="8">
        <v>0.40600000000000003</v>
      </c>
      <c r="P437" s="7">
        <v>0.6</v>
      </c>
      <c r="Q437" s="3">
        <f>13/16</f>
        <v>0.8125</v>
      </c>
      <c r="R437" s="10">
        <f t="shared" si="65"/>
        <v>10.100000000000001</v>
      </c>
      <c r="S437" s="13">
        <v>28.6</v>
      </c>
      <c r="T437" s="13">
        <v>18.5</v>
      </c>
      <c r="U437" s="10">
        <v>18</v>
      </c>
      <c r="V437" s="10">
        <v>12</v>
      </c>
      <c r="W437" s="10">
        <f t="shared" si="66"/>
        <v>6</v>
      </c>
      <c r="X437" s="9" t="s">
        <v>2</v>
      </c>
      <c r="Y437" s="11">
        <f t="shared" si="67"/>
        <v>1</v>
      </c>
      <c r="Z437" s="14">
        <v>4</v>
      </c>
    </row>
    <row r="438" spans="1:26" x14ac:dyDescent="0.2">
      <c r="A438" s="12">
        <f t="shared" si="70"/>
        <v>2018</v>
      </c>
      <c r="B438" s="1" t="s">
        <v>40</v>
      </c>
      <c r="C438" s="1">
        <v>22</v>
      </c>
      <c r="D438" s="15">
        <v>600000000</v>
      </c>
      <c r="E438" s="15">
        <f>(292.7/251.1)*600000000</f>
        <v>699402628.43488657</v>
      </c>
      <c r="F438" s="10">
        <f t="shared" si="61"/>
        <v>47.6</v>
      </c>
      <c r="G438" s="5">
        <f>4258/16</f>
        <v>266.125</v>
      </c>
      <c r="H438" s="4" t="s">
        <v>1</v>
      </c>
      <c r="I438" s="1">
        <f t="shared" si="62"/>
        <v>0</v>
      </c>
      <c r="J438" s="1" t="s">
        <v>2</v>
      </c>
      <c r="K438" s="1">
        <f t="shared" si="63"/>
        <v>1</v>
      </c>
      <c r="L438" s="1" t="s">
        <v>2</v>
      </c>
      <c r="M438" s="1">
        <f t="shared" si="64"/>
        <v>1</v>
      </c>
      <c r="N438" s="1" t="s">
        <v>2</v>
      </c>
      <c r="O438" s="8">
        <v>0.40799999999999997</v>
      </c>
      <c r="P438" s="7">
        <v>0.59599999999999997</v>
      </c>
      <c r="Q438" s="3">
        <f>11/16</f>
        <v>0.6875</v>
      </c>
      <c r="R438" s="10">
        <f t="shared" si="65"/>
        <v>7</v>
      </c>
      <c r="S438" s="13">
        <v>27.3</v>
      </c>
      <c r="T438" s="13">
        <v>20.3</v>
      </c>
      <c r="U438" s="10">
        <v>28</v>
      </c>
      <c r="V438" s="10">
        <v>18</v>
      </c>
      <c r="W438" s="10">
        <f t="shared" si="66"/>
        <v>10</v>
      </c>
      <c r="X438" s="9" t="s">
        <v>2</v>
      </c>
      <c r="Y438" s="11">
        <f t="shared" si="67"/>
        <v>1</v>
      </c>
      <c r="Z438" s="14">
        <v>2</v>
      </c>
    </row>
    <row r="439" spans="1:26" x14ac:dyDescent="0.2">
      <c r="A439" s="12">
        <f t="shared" si="70"/>
        <v>2019</v>
      </c>
      <c r="B439" s="1" t="s">
        <v>40</v>
      </c>
      <c r="C439" s="1">
        <v>22</v>
      </c>
      <c r="D439" s="15">
        <v>630000000</v>
      </c>
      <c r="E439" s="15">
        <f>(292.7/255.7)*630000000</f>
        <v>721161517.40320694</v>
      </c>
      <c r="F439" s="10">
        <f t="shared" si="61"/>
        <v>40.4</v>
      </c>
      <c r="G439" s="5">
        <f>3961/16</f>
        <v>247.5625</v>
      </c>
      <c r="H439" s="4" t="s">
        <v>1</v>
      </c>
      <c r="I439" s="1">
        <f t="shared" si="62"/>
        <v>0</v>
      </c>
      <c r="J439" s="1" t="s">
        <v>2</v>
      </c>
      <c r="K439" s="1">
        <f t="shared" si="63"/>
        <v>1</v>
      </c>
      <c r="L439" s="1" t="s">
        <v>2</v>
      </c>
      <c r="M439" s="1">
        <f t="shared" si="64"/>
        <v>1</v>
      </c>
      <c r="N439" s="1" t="s">
        <v>2</v>
      </c>
      <c r="O439" s="8">
        <v>0.38300000000000001</v>
      </c>
      <c r="P439" s="7">
        <v>0.5</v>
      </c>
      <c r="Q439" s="3">
        <f>12/16</f>
        <v>0.75</v>
      </c>
      <c r="R439" s="10">
        <f t="shared" si="65"/>
        <v>12.200000000000001</v>
      </c>
      <c r="S439" s="13">
        <v>26.3</v>
      </c>
      <c r="T439" s="13">
        <v>14.1</v>
      </c>
      <c r="U439" s="10">
        <v>36</v>
      </c>
      <c r="V439" s="10">
        <v>15</v>
      </c>
      <c r="W439" s="10">
        <f t="shared" si="66"/>
        <v>21</v>
      </c>
      <c r="X439" s="9" t="s">
        <v>2</v>
      </c>
      <c r="Y439" s="11">
        <f t="shared" si="67"/>
        <v>1</v>
      </c>
      <c r="Z439" s="14">
        <v>3</v>
      </c>
    </row>
    <row r="440" spans="1:26" x14ac:dyDescent="0.2">
      <c r="A440" s="12">
        <v>2021</v>
      </c>
      <c r="B440" s="1" t="s">
        <v>40</v>
      </c>
      <c r="C440" s="1">
        <v>22</v>
      </c>
      <c r="D440" s="15">
        <v>651000000</v>
      </c>
      <c r="E440" s="15">
        <f>(292.7/271)*651000000</f>
        <v>703128044.28044271</v>
      </c>
      <c r="F440" s="10">
        <f t="shared" si="61"/>
        <v>45</v>
      </c>
      <c r="G440" s="5">
        <f>3857/17</f>
        <v>226.88235294117646</v>
      </c>
      <c r="H440" s="4" t="s">
        <v>1</v>
      </c>
      <c r="I440" s="1">
        <f t="shared" si="62"/>
        <v>0</v>
      </c>
      <c r="J440" s="1" t="s">
        <v>2</v>
      </c>
      <c r="K440" s="1">
        <f t="shared" si="63"/>
        <v>1</v>
      </c>
      <c r="L440" s="1" t="s">
        <v>2</v>
      </c>
      <c r="M440" s="1">
        <f t="shared" si="64"/>
        <v>1</v>
      </c>
      <c r="N440" s="1" t="s">
        <v>2</v>
      </c>
      <c r="O440" s="8">
        <v>0.435</v>
      </c>
      <c r="P440" s="7">
        <v>0.61899999999999999</v>
      </c>
      <c r="Q440" s="3">
        <f>10/17</f>
        <v>0.58823529411764708</v>
      </c>
      <c r="R440" s="10">
        <f t="shared" si="65"/>
        <v>9.3999999999999986</v>
      </c>
      <c r="S440" s="13">
        <v>27.2</v>
      </c>
      <c r="T440" s="13">
        <v>17.8</v>
      </c>
      <c r="U440" s="10">
        <v>30</v>
      </c>
      <c r="V440" s="10">
        <v>23</v>
      </c>
      <c r="W440" s="10">
        <f t="shared" si="66"/>
        <v>7</v>
      </c>
      <c r="X440" s="9" t="s">
        <v>2</v>
      </c>
      <c r="Y440" s="11">
        <f t="shared" si="67"/>
        <v>1</v>
      </c>
      <c r="Z440" s="14">
        <v>4</v>
      </c>
    </row>
    <row r="441" spans="1:26" x14ac:dyDescent="0.2">
      <c r="A441" s="12">
        <f>A440+1</f>
        <v>2022</v>
      </c>
      <c r="B441" s="1" t="s">
        <v>40</v>
      </c>
      <c r="C441" s="1">
        <v>22</v>
      </c>
      <c r="D441" s="15">
        <v>684000000</v>
      </c>
      <c r="E441" s="15">
        <f>(292.7/292.7)*684000000</f>
        <v>684000000</v>
      </c>
      <c r="F441" s="10">
        <f t="shared" si="61"/>
        <v>41.8</v>
      </c>
      <c r="G441" s="5">
        <f>3536/17</f>
        <v>208</v>
      </c>
      <c r="H441" s="4" t="s">
        <v>1</v>
      </c>
      <c r="I441" s="1">
        <f t="shared" si="62"/>
        <v>0</v>
      </c>
      <c r="J441" s="1" t="s">
        <v>2</v>
      </c>
      <c r="K441" s="1">
        <f t="shared" si="63"/>
        <v>1</v>
      </c>
      <c r="L441" s="1" t="s">
        <v>2</v>
      </c>
      <c r="M441" s="1">
        <f t="shared" si="64"/>
        <v>1</v>
      </c>
      <c r="N441" s="1" t="s">
        <v>2</v>
      </c>
      <c r="O441" s="8">
        <v>0.34899999999999998</v>
      </c>
      <c r="P441" s="7">
        <v>0.42199999999999999</v>
      </c>
      <c r="Q441" s="3">
        <f>8/17</f>
        <v>0.47058823529411764</v>
      </c>
      <c r="R441" s="10">
        <f t="shared" si="65"/>
        <v>1</v>
      </c>
      <c r="S441" s="13">
        <v>21.4</v>
      </c>
      <c r="T441" s="13">
        <v>20.399999999999999</v>
      </c>
      <c r="U441" s="10">
        <v>30</v>
      </c>
      <c r="V441" s="10">
        <v>23</v>
      </c>
      <c r="W441" s="10">
        <f t="shared" si="66"/>
        <v>7</v>
      </c>
      <c r="X441" s="9" t="s">
        <v>1</v>
      </c>
      <c r="Y441" s="11">
        <f t="shared" si="67"/>
        <v>0</v>
      </c>
      <c r="Z441" s="14">
        <v>1</v>
      </c>
    </row>
    <row r="442" spans="1:26" x14ac:dyDescent="0.2">
      <c r="A442" s="12">
        <v>2002</v>
      </c>
      <c r="B442" s="1" t="s">
        <v>41</v>
      </c>
      <c r="C442" s="1">
        <v>23</v>
      </c>
      <c r="D442" s="15">
        <v>146000000</v>
      </c>
      <c r="E442" s="15">
        <f>(292.7/179.9)*146000000</f>
        <v>237544191.21734297</v>
      </c>
      <c r="F442" s="10">
        <f t="shared" si="61"/>
        <v>51.3</v>
      </c>
      <c r="G442" s="5">
        <f>3441/16</f>
        <v>215.0625</v>
      </c>
      <c r="H442" s="4" t="s">
        <v>1</v>
      </c>
      <c r="I442" s="1">
        <f t="shared" si="62"/>
        <v>0</v>
      </c>
      <c r="J442" s="1" t="s">
        <v>1</v>
      </c>
      <c r="K442" s="1">
        <f t="shared" si="63"/>
        <v>0</v>
      </c>
      <c r="L442" s="1" t="s">
        <v>1</v>
      </c>
      <c r="M442" s="1">
        <f t="shared" si="64"/>
        <v>0</v>
      </c>
      <c r="N442" s="1" t="s">
        <v>1</v>
      </c>
      <c r="O442" s="8">
        <v>0.41099999999999998</v>
      </c>
      <c r="P442" s="7">
        <v>0.53400000000000003</v>
      </c>
      <c r="Q442" s="3">
        <f>9/16</f>
        <v>0.5625</v>
      </c>
      <c r="R442" s="10">
        <f t="shared" si="65"/>
        <v>2.6999999999999993</v>
      </c>
      <c r="S442" s="13">
        <v>27</v>
      </c>
      <c r="T442" s="13">
        <v>24.3</v>
      </c>
      <c r="U442" s="10">
        <v>38</v>
      </c>
      <c r="V442" s="10">
        <v>30</v>
      </c>
      <c r="W442" s="10">
        <f t="shared" si="66"/>
        <v>8</v>
      </c>
      <c r="X442" s="9" t="s">
        <v>1</v>
      </c>
      <c r="Y442" s="11">
        <f t="shared" si="67"/>
        <v>0</v>
      </c>
      <c r="Z442" s="14">
        <v>4</v>
      </c>
    </row>
    <row r="443" spans="1:26" x14ac:dyDescent="0.2">
      <c r="A443" s="12">
        <f>A442+1</f>
        <v>2003</v>
      </c>
      <c r="B443" s="1" t="s">
        <v>41</v>
      </c>
      <c r="C443" s="1">
        <v>23</v>
      </c>
      <c r="D443" s="15">
        <v>157000000</v>
      </c>
      <c r="E443" s="15">
        <f>(292.7/184)*157000000</f>
        <v>249749456.52173913</v>
      </c>
      <c r="F443" s="10">
        <f t="shared" si="61"/>
        <v>41.7</v>
      </c>
      <c r="G443" s="5">
        <f>3438/16</f>
        <v>214.875</v>
      </c>
      <c r="H443" s="4" t="s">
        <v>1</v>
      </c>
      <c r="I443" s="1">
        <f t="shared" si="62"/>
        <v>0</v>
      </c>
      <c r="J443" s="1" t="s">
        <v>1</v>
      </c>
      <c r="K443" s="1">
        <f t="shared" si="63"/>
        <v>0</v>
      </c>
      <c r="L443" s="1" t="s">
        <v>1</v>
      </c>
      <c r="M443" s="1">
        <f t="shared" si="64"/>
        <v>0</v>
      </c>
      <c r="N443" s="1" t="s">
        <v>1</v>
      </c>
      <c r="O443" s="8">
        <v>0.46300000000000002</v>
      </c>
      <c r="P443" s="7">
        <v>0.55000000000000004</v>
      </c>
      <c r="Q443" s="3">
        <f>8/16</f>
        <v>0.5</v>
      </c>
      <c r="R443" s="10">
        <f t="shared" si="65"/>
        <v>0.90000000000000213</v>
      </c>
      <c r="S443" s="13">
        <v>21.3</v>
      </c>
      <c r="T443" s="13">
        <v>20.399999999999999</v>
      </c>
      <c r="U443" s="10">
        <v>27</v>
      </c>
      <c r="V443" s="10">
        <v>28</v>
      </c>
      <c r="W443" s="10">
        <f t="shared" si="66"/>
        <v>-1</v>
      </c>
      <c r="X443" s="9" t="s">
        <v>1</v>
      </c>
      <c r="Y443" s="11">
        <f t="shared" si="67"/>
        <v>0</v>
      </c>
      <c r="Z443" s="14">
        <v>2</v>
      </c>
    </row>
    <row r="444" spans="1:26" x14ac:dyDescent="0.2">
      <c r="A444" s="12">
        <f>A443+1</f>
        <v>2004</v>
      </c>
      <c r="B444" s="1" t="s">
        <v>41</v>
      </c>
      <c r="C444" s="1">
        <v>23</v>
      </c>
      <c r="D444" s="15">
        <v>175000000</v>
      </c>
      <c r="E444" s="15">
        <f>(292.7/188.9)*175000000</f>
        <v>271161990.47114873</v>
      </c>
      <c r="F444" s="10">
        <f t="shared" si="61"/>
        <v>47.1</v>
      </c>
      <c r="G444" s="5">
        <f>3587/16</f>
        <v>224.1875</v>
      </c>
      <c r="H444" s="4" t="s">
        <v>1</v>
      </c>
      <c r="I444" s="1">
        <f t="shared" si="62"/>
        <v>0</v>
      </c>
      <c r="J444" s="1" t="s">
        <v>1</v>
      </c>
      <c r="K444" s="1">
        <f t="shared" si="63"/>
        <v>0</v>
      </c>
      <c r="L444" s="1" t="s">
        <v>1</v>
      </c>
      <c r="M444" s="1">
        <f t="shared" si="64"/>
        <v>0</v>
      </c>
      <c r="N444" s="1" t="s">
        <v>1</v>
      </c>
      <c r="O444" s="8">
        <v>0.33300000000000002</v>
      </c>
      <c r="P444" s="7">
        <v>0.57399999999999995</v>
      </c>
      <c r="Q444" s="3">
        <f>8/16</f>
        <v>0.5</v>
      </c>
      <c r="R444" s="10">
        <f t="shared" si="65"/>
        <v>-3.5</v>
      </c>
      <c r="S444" s="13">
        <v>21.8</v>
      </c>
      <c r="T444" s="13">
        <v>25.3</v>
      </c>
      <c r="U444" s="10">
        <v>33</v>
      </c>
      <c r="V444" s="10">
        <v>26</v>
      </c>
      <c r="W444" s="10">
        <f t="shared" si="66"/>
        <v>7</v>
      </c>
      <c r="X444" s="9" t="s">
        <v>1</v>
      </c>
      <c r="Y444" s="11">
        <f t="shared" si="67"/>
        <v>0</v>
      </c>
      <c r="Z444" s="14">
        <v>2</v>
      </c>
    </row>
    <row r="445" spans="1:26" x14ac:dyDescent="0.2">
      <c r="A445" s="12">
        <f>A444+1</f>
        <v>2005</v>
      </c>
      <c r="B445" s="1" t="s">
        <v>41</v>
      </c>
      <c r="C445" s="1">
        <v>23</v>
      </c>
      <c r="D445" s="15">
        <v>160000000</v>
      </c>
      <c r="E445" s="15">
        <f>(292.7/195.3)*160000000</f>
        <v>239795186.89196104</v>
      </c>
      <c r="F445" s="10">
        <f t="shared" si="61"/>
        <v>39.599999999999994</v>
      </c>
      <c r="G445" s="5">
        <f>3343/16</f>
        <v>208.9375</v>
      </c>
      <c r="H445" s="4" t="s">
        <v>1</v>
      </c>
      <c r="I445" s="1">
        <f t="shared" si="62"/>
        <v>0</v>
      </c>
      <c r="J445" s="1" t="s">
        <v>1</v>
      </c>
      <c r="K445" s="1">
        <f t="shared" si="63"/>
        <v>0</v>
      </c>
      <c r="L445" s="1" t="s">
        <v>1</v>
      </c>
      <c r="M445" s="1">
        <f t="shared" si="64"/>
        <v>0</v>
      </c>
      <c r="N445" s="1" t="s">
        <v>1</v>
      </c>
      <c r="O445" s="8">
        <v>0.38900000000000001</v>
      </c>
      <c r="P445" s="7">
        <v>0.38100000000000001</v>
      </c>
      <c r="Q445" s="3">
        <f>3/16</f>
        <v>0.1875</v>
      </c>
      <c r="R445" s="10">
        <f t="shared" si="65"/>
        <v>-10.199999999999999</v>
      </c>
      <c r="S445" s="13">
        <v>14.7</v>
      </c>
      <c r="T445" s="13">
        <v>24.9</v>
      </c>
      <c r="U445" s="10">
        <v>19</v>
      </c>
      <c r="V445" s="10">
        <v>43</v>
      </c>
      <c r="W445" s="10">
        <f t="shared" si="66"/>
        <v>-24</v>
      </c>
      <c r="X445" s="9" t="s">
        <v>1</v>
      </c>
      <c r="Y445" s="11">
        <f t="shared" si="67"/>
        <v>0</v>
      </c>
      <c r="Z445" s="14">
        <v>1</v>
      </c>
    </row>
    <row r="446" spans="1:26" x14ac:dyDescent="0.2">
      <c r="A446" s="12">
        <f>A445+1</f>
        <v>2006</v>
      </c>
      <c r="B446" s="1" t="s">
        <v>41</v>
      </c>
      <c r="C446" s="1">
        <v>23</v>
      </c>
      <c r="D446" s="15">
        <v>194000000</v>
      </c>
      <c r="E446" s="15">
        <f>(292.7/201.6)*194000000</f>
        <v>281665674.60317463</v>
      </c>
      <c r="F446" s="10">
        <f t="shared" si="61"/>
        <v>45.900000000000006</v>
      </c>
      <c r="G446" s="5">
        <f>4503/16</f>
        <v>281.4375</v>
      </c>
      <c r="H446" s="4" t="s">
        <v>1</v>
      </c>
      <c r="I446" s="1">
        <f t="shared" si="62"/>
        <v>0</v>
      </c>
      <c r="J446" s="1" t="s">
        <v>1</v>
      </c>
      <c r="K446" s="1">
        <f t="shared" si="63"/>
        <v>0</v>
      </c>
      <c r="L446" s="1" t="s">
        <v>1</v>
      </c>
      <c r="M446" s="1">
        <f t="shared" si="64"/>
        <v>0</v>
      </c>
      <c r="N446" s="1" t="s">
        <v>1</v>
      </c>
      <c r="O446" s="8">
        <v>0.44900000000000001</v>
      </c>
      <c r="P446" s="7">
        <v>0.54700000000000004</v>
      </c>
      <c r="Q446" s="3">
        <f>10/16</f>
        <v>0.625</v>
      </c>
      <c r="R446" s="10">
        <f t="shared" si="65"/>
        <v>5.6999999999999993</v>
      </c>
      <c r="S446" s="13">
        <v>25.8</v>
      </c>
      <c r="T446" s="13">
        <v>20.100000000000001</v>
      </c>
      <c r="U446" s="10">
        <v>19</v>
      </c>
      <c r="V446" s="10">
        <v>23</v>
      </c>
      <c r="W446" s="10">
        <f t="shared" si="66"/>
        <v>-4</v>
      </c>
      <c r="X446" s="9" t="s">
        <v>2</v>
      </c>
      <c r="Y446" s="11">
        <f t="shared" si="67"/>
        <v>1</v>
      </c>
      <c r="Z446" s="14">
        <v>3</v>
      </c>
    </row>
    <row r="447" spans="1:26" x14ac:dyDescent="0.2">
      <c r="A447" s="12">
        <f>A446+1</f>
        <v>2007</v>
      </c>
      <c r="B447" s="1" t="s">
        <v>41</v>
      </c>
      <c r="C447" s="1">
        <v>23</v>
      </c>
      <c r="D447" s="15">
        <v>213000000</v>
      </c>
      <c r="E447" s="15">
        <f>(292.7/207.3)*213000000</f>
        <v>300748191.02749634</v>
      </c>
      <c r="F447" s="10">
        <f t="shared" si="61"/>
        <v>48</v>
      </c>
      <c r="G447" s="5">
        <f>4314/16</f>
        <v>269.625</v>
      </c>
      <c r="H447" s="4" t="s">
        <v>1</v>
      </c>
      <c r="I447" s="1">
        <f t="shared" si="62"/>
        <v>0</v>
      </c>
      <c r="J447" s="1" t="s">
        <v>1</v>
      </c>
      <c r="K447" s="1">
        <f t="shared" si="63"/>
        <v>0</v>
      </c>
      <c r="L447" s="1" t="s">
        <v>1</v>
      </c>
      <c r="M447" s="1">
        <f t="shared" si="64"/>
        <v>0</v>
      </c>
      <c r="N447" s="1" t="s">
        <v>1</v>
      </c>
      <c r="O447" s="8">
        <v>0.46300000000000002</v>
      </c>
      <c r="P447" s="7">
        <v>0.72</v>
      </c>
      <c r="Q447" s="3">
        <f>7/16</f>
        <v>0.4375</v>
      </c>
      <c r="R447" s="10">
        <f t="shared" si="65"/>
        <v>-0.60000000000000142</v>
      </c>
      <c r="S447" s="13">
        <v>23.7</v>
      </c>
      <c r="T447" s="13">
        <v>24.3</v>
      </c>
      <c r="U447" s="10">
        <v>23</v>
      </c>
      <c r="V447" s="10">
        <v>30</v>
      </c>
      <c r="W447" s="10">
        <f t="shared" si="66"/>
        <v>-7</v>
      </c>
      <c r="X447" s="9" t="s">
        <v>1</v>
      </c>
      <c r="Y447" s="11">
        <f t="shared" si="67"/>
        <v>0</v>
      </c>
      <c r="Z447" s="14">
        <v>0</v>
      </c>
    </row>
    <row r="448" spans="1:26" x14ac:dyDescent="0.2">
      <c r="A448" s="12">
        <v>2008</v>
      </c>
      <c r="B448" s="1" t="s">
        <v>41</v>
      </c>
      <c r="C448" s="1">
        <v>23</v>
      </c>
      <c r="D448" s="15">
        <v>232000000</v>
      </c>
      <c r="E448" s="15">
        <f>(292.7/215.3)*232000000</f>
        <v>315403622.85183465</v>
      </c>
      <c r="F448" s="10">
        <f t="shared" si="61"/>
        <v>53.5</v>
      </c>
      <c r="G448" s="5">
        <f>4977/16</f>
        <v>311.0625</v>
      </c>
      <c r="H448" s="4" t="s">
        <v>1</v>
      </c>
      <c r="I448" s="1">
        <f t="shared" si="62"/>
        <v>0</v>
      </c>
      <c r="J448" s="1" t="s">
        <v>1</v>
      </c>
      <c r="K448" s="1">
        <f t="shared" si="63"/>
        <v>0</v>
      </c>
      <c r="L448" s="1" t="s">
        <v>1</v>
      </c>
      <c r="M448" s="1">
        <f t="shared" si="64"/>
        <v>0</v>
      </c>
      <c r="N448" s="1" t="s">
        <v>1</v>
      </c>
      <c r="O448" s="8">
        <v>0.48499999999999999</v>
      </c>
      <c r="P448" s="7">
        <v>0.61299999999999999</v>
      </c>
      <c r="Q448" s="3">
        <f>8/16</f>
        <v>0.5</v>
      </c>
      <c r="R448" s="10">
        <f t="shared" si="65"/>
        <v>4.2999999999999972</v>
      </c>
      <c r="S448" s="13">
        <v>28.9</v>
      </c>
      <c r="T448" s="13">
        <v>24.6</v>
      </c>
      <c r="U448" s="10">
        <v>22</v>
      </c>
      <c r="V448" s="10">
        <v>26</v>
      </c>
      <c r="W448" s="10">
        <f t="shared" si="66"/>
        <v>-4</v>
      </c>
      <c r="X448" s="9" t="s">
        <v>1</v>
      </c>
      <c r="Y448" s="11">
        <f t="shared" si="67"/>
        <v>0</v>
      </c>
      <c r="Z448" s="14">
        <v>2</v>
      </c>
    </row>
    <row r="449" spans="1:26" x14ac:dyDescent="0.2">
      <c r="A449" s="12">
        <f t="shared" ref="A449:A459" si="71">A448+1</f>
        <v>2009</v>
      </c>
      <c r="B449" s="1" t="s">
        <v>41</v>
      </c>
      <c r="C449" s="1">
        <v>23</v>
      </c>
      <c r="D449" s="15">
        <v>245000000</v>
      </c>
      <c r="E449" s="15">
        <f>(292.7/214.5)*245000000</f>
        <v>334319347.31934732</v>
      </c>
      <c r="F449" s="10">
        <f t="shared" si="61"/>
        <v>53.2</v>
      </c>
      <c r="G449" s="5">
        <f>4355/16</f>
        <v>272.1875</v>
      </c>
      <c r="H449" s="4" t="s">
        <v>2</v>
      </c>
      <c r="I449" s="1">
        <f t="shared" si="62"/>
        <v>1</v>
      </c>
      <c r="J449" s="1" t="s">
        <v>1</v>
      </c>
      <c r="K449" s="1">
        <f t="shared" si="63"/>
        <v>0</v>
      </c>
      <c r="L449" s="1" t="s">
        <v>2</v>
      </c>
      <c r="M449" s="1">
        <f t="shared" si="64"/>
        <v>1</v>
      </c>
      <c r="N449" s="1" t="s">
        <v>1</v>
      </c>
      <c r="O449" s="8">
        <v>0.44700000000000001</v>
      </c>
      <c r="P449" s="7">
        <v>0.57699999999999996</v>
      </c>
      <c r="Q449" s="3">
        <f>13/16</f>
        <v>0.8125</v>
      </c>
      <c r="R449" s="10">
        <f t="shared" si="65"/>
        <v>10.599999999999998</v>
      </c>
      <c r="S449" s="13">
        <v>31.9</v>
      </c>
      <c r="T449" s="13">
        <v>21.3</v>
      </c>
      <c r="U449" s="10">
        <v>39</v>
      </c>
      <c r="V449" s="10">
        <v>28</v>
      </c>
      <c r="W449" s="10">
        <f t="shared" si="66"/>
        <v>11</v>
      </c>
      <c r="X449" s="9" t="s">
        <v>2</v>
      </c>
      <c r="Y449" s="11">
        <f t="shared" si="67"/>
        <v>1</v>
      </c>
      <c r="Z449" s="14">
        <v>7</v>
      </c>
    </row>
    <row r="450" spans="1:26" x14ac:dyDescent="0.2">
      <c r="A450" s="12">
        <f t="shared" si="71"/>
        <v>2010</v>
      </c>
      <c r="B450" s="1" t="s">
        <v>41</v>
      </c>
      <c r="C450" s="1">
        <v>23</v>
      </c>
      <c r="D450" s="15">
        <v>261000000</v>
      </c>
      <c r="E450" s="15">
        <f>(292.7/218.1)*261000000</f>
        <v>350273727.64786798</v>
      </c>
      <c r="F450" s="10">
        <f t="shared" ref="F450:F513" si="72">S450+T450</f>
        <v>43.2</v>
      </c>
      <c r="G450" s="5">
        <f>4441/16</f>
        <v>277.5625</v>
      </c>
      <c r="H450" s="4" t="s">
        <v>2</v>
      </c>
      <c r="I450" s="1">
        <f t="shared" ref="I450:I513" si="73">IF(H450="No",0,1)</f>
        <v>1</v>
      </c>
      <c r="J450" s="1" t="s">
        <v>1</v>
      </c>
      <c r="K450" s="1">
        <f t="shared" ref="K450:K513" si="74">IF(J450="No",0,1)</f>
        <v>0</v>
      </c>
      <c r="L450" s="1" t="s">
        <v>2</v>
      </c>
      <c r="M450" s="1">
        <f t="shared" ref="M450:M513" si="75">IF(L450="No",0,1)</f>
        <v>1</v>
      </c>
      <c r="N450" s="1" t="s">
        <v>1</v>
      </c>
      <c r="O450" s="8">
        <v>0.48799999999999999</v>
      </c>
      <c r="P450" s="7">
        <v>0.50800000000000001</v>
      </c>
      <c r="Q450" s="3">
        <f>11/16</f>
        <v>0.6875</v>
      </c>
      <c r="R450" s="10">
        <f t="shared" ref="R450:R513" si="76">S450-T450</f>
        <v>4.8000000000000007</v>
      </c>
      <c r="S450" s="13">
        <v>24</v>
      </c>
      <c r="T450" s="13">
        <v>19.2</v>
      </c>
      <c r="U450" s="10">
        <v>25</v>
      </c>
      <c r="V450" s="10">
        <v>31</v>
      </c>
      <c r="W450" s="10">
        <f t="shared" ref="W450:W513" si="77">U450-V450</f>
        <v>-6</v>
      </c>
      <c r="X450" s="9" t="s">
        <v>2</v>
      </c>
      <c r="Y450" s="11">
        <f t="shared" ref="Y450:Y513" si="78">IF(X450="No",0,1)</f>
        <v>1</v>
      </c>
      <c r="Z450" s="14">
        <v>5</v>
      </c>
    </row>
    <row r="451" spans="1:26" x14ac:dyDescent="0.2">
      <c r="A451" s="12">
        <f t="shared" si="71"/>
        <v>2011</v>
      </c>
      <c r="B451" s="1" t="s">
        <v>41</v>
      </c>
      <c r="C451" s="1">
        <v>23</v>
      </c>
      <c r="D451" s="15">
        <v>259000000</v>
      </c>
      <c r="E451" s="15">
        <f>(292.7/224.9)*259000000</f>
        <v>337080035.57136506</v>
      </c>
      <c r="F451" s="10">
        <f t="shared" si="72"/>
        <v>55.400000000000006</v>
      </c>
      <c r="G451" s="5">
        <f>5347/16</f>
        <v>334.1875</v>
      </c>
      <c r="H451" s="4" t="s">
        <v>2</v>
      </c>
      <c r="I451" s="1">
        <f t="shared" si="73"/>
        <v>1</v>
      </c>
      <c r="J451" s="1" t="s">
        <v>1</v>
      </c>
      <c r="K451" s="1">
        <f t="shared" si="74"/>
        <v>0</v>
      </c>
      <c r="L451" s="1" t="s">
        <v>2</v>
      </c>
      <c r="M451" s="1">
        <f t="shared" si="75"/>
        <v>1</v>
      </c>
      <c r="N451" s="1" t="s">
        <v>1</v>
      </c>
      <c r="O451" s="8">
        <v>0.56699999999999995</v>
      </c>
      <c r="P451" s="7">
        <v>0.58699999999999997</v>
      </c>
      <c r="Q451" s="3">
        <f>13/16</f>
        <v>0.8125</v>
      </c>
      <c r="R451" s="10">
        <f t="shared" si="76"/>
        <v>13.000000000000004</v>
      </c>
      <c r="S451" s="13">
        <v>34.200000000000003</v>
      </c>
      <c r="T451" s="13">
        <v>21.2</v>
      </c>
      <c r="U451" s="10">
        <v>16</v>
      </c>
      <c r="V451" s="10">
        <v>19</v>
      </c>
      <c r="W451" s="10">
        <f t="shared" si="77"/>
        <v>-3</v>
      </c>
      <c r="X451" s="9" t="s">
        <v>2</v>
      </c>
      <c r="Y451" s="11">
        <f t="shared" si="78"/>
        <v>1</v>
      </c>
      <c r="Z451" s="14">
        <v>5</v>
      </c>
    </row>
    <row r="452" spans="1:26" x14ac:dyDescent="0.2">
      <c r="A452" s="12">
        <f t="shared" si="71"/>
        <v>2012</v>
      </c>
      <c r="B452" s="1" t="s">
        <v>41</v>
      </c>
      <c r="C452" s="1">
        <v>23</v>
      </c>
      <c r="D452" s="15">
        <v>276000000</v>
      </c>
      <c r="E452" s="15">
        <f>(292.7/229.6)*276000000</f>
        <v>351851916.37630659</v>
      </c>
      <c r="F452" s="10">
        <f t="shared" si="72"/>
        <v>57.2</v>
      </c>
      <c r="G452" s="5">
        <f>4997/16</f>
        <v>312.3125</v>
      </c>
      <c r="H452" s="4" t="s">
        <v>2</v>
      </c>
      <c r="I452" s="1">
        <f t="shared" si="73"/>
        <v>1</v>
      </c>
      <c r="J452" s="1" t="s">
        <v>1</v>
      </c>
      <c r="K452" s="1">
        <f t="shared" si="74"/>
        <v>0</v>
      </c>
      <c r="L452" s="1" t="s">
        <v>2</v>
      </c>
      <c r="M452" s="1">
        <f t="shared" si="75"/>
        <v>1</v>
      </c>
      <c r="N452" s="1" t="s">
        <v>1</v>
      </c>
      <c r="O452" s="8">
        <v>0.44</v>
      </c>
      <c r="P452" s="7">
        <v>0.68400000000000005</v>
      </c>
      <c r="Q452" s="3">
        <f>7/16</f>
        <v>0.4375</v>
      </c>
      <c r="R452" s="10">
        <f t="shared" si="76"/>
        <v>0.40000000000000213</v>
      </c>
      <c r="S452" s="13">
        <v>28.8</v>
      </c>
      <c r="T452" s="13">
        <v>28.4</v>
      </c>
      <c r="U452" s="10">
        <v>26</v>
      </c>
      <c r="V452" s="10">
        <v>24</v>
      </c>
      <c r="W452" s="10">
        <f t="shared" si="77"/>
        <v>2</v>
      </c>
      <c r="X452" s="9" t="s">
        <v>1</v>
      </c>
      <c r="Y452" s="11">
        <f t="shared" si="78"/>
        <v>0</v>
      </c>
      <c r="Z452" s="14">
        <v>4</v>
      </c>
    </row>
    <row r="453" spans="1:26" x14ac:dyDescent="0.2">
      <c r="A453" s="12">
        <f t="shared" si="71"/>
        <v>2013</v>
      </c>
      <c r="B453" s="1" t="s">
        <v>41</v>
      </c>
      <c r="C453" s="1">
        <v>23</v>
      </c>
      <c r="D453" s="15">
        <v>278000000</v>
      </c>
      <c r="E453" s="15">
        <f>(292.7/233)*278000000</f>
        <v>349230042.91845495</v>
      </c>
      <c r="F453" s="10">
        <f t="shared" si="72"/>
        <v>44.9</v>
      </c>
      <c r="G453" s="5">
        <f>4918/16</f>
        <v>307.375</v>
      </c>
      <c r="H453" s="4" t="s">
        <v>2</v>
      </c>
      <c r="I453" s="1">
        <f t="shared" si="73"/>
        <v>1</v>
      </c>
      <c r="J453" s="1" t="s">
        <v>1</v>
      </c>
      <c r="K453" s="1">
        <f t="shared" si="74"/>
        <v>0</v>
      </c>
      <c r="L453" s="1" t="s">
        <v>2</v>
      </c>
      <c r="M453" s="1">
        <f t="shared" si="75"/>
        <v>1</v>
      </c>
      <c r="N453" s="1" t="s">
        <v>1</v>
      </c>
      <c r="O453" s="8">
        <v>0.439</v>
      </c>
      <c r="P453" s="7">
        <v>0.56100000000000005</v>
      </c>
      <c r="Q453" s="3">
        <f>11/16</f>
        <v>0.6875</v>
      </c>
      <c r="R453" s="10">
        <f t="shared" si="76"/>
        <v>6.8999999999999986</v>
      </c>
      <c r="S453" s="13">
        <v>25.9</v>
      </c>
      <c r="T453" s="13">
        <v>19</v>
      </c>
      <c r="U453" s="10">
        <v>19</v>
      </c>
      <c r="V453" s="10">
        <v>19</v>
      </c>
      <c r="W453" s="10">
        <f t="shared" si="77"/>
        <v>0</v>
      </c>
      <c r="X453" s="9" t="s">
        <v>2</v>
      </c>
      <c r="Y453" s="11">
        <f t="shared" si="78"/>
        <v>1</v>
      </c>
      <c r="Z453" s="14">
        <v>5</v>
      </c>
    </row>
    <row r="454" spans="1:26" x14ac:dyDescent="0.2">
      <c r="A454" s="12">
        <f t="shared" si="71"/>
        <v>2014</v>
      </c>
      <c r="B454" s="1" t="s">
        <v>41</v>
      </c>
      <c r="C454" s="1">
        <v>23</v>
      </c>
      <c r="D454" s="15">
        <v>322000000</v>
      </c>
      <c r="E454" s="15">
        <f>(292.7/236.7)*322000000</f>
        <v>398180819.60287279</v>
      </c>
      <c r="F454" s="10">
        <f t="shared" si="72"/>
        <v>51.6</v>
      </c>
      <c r="G454" s="5">
        <f>4764/16</f>
        <v>297.75</v>
      </c>
      <c r="H454" s="4" t="s">
        <v>2</v>
      </c>
      <c r="I454" s="1">
        <f t="shared" si="73"/>
        <v>1</v>
      </c>
      <c r="J454" s="1" t="s">
        <v>1</v>
      </c>
      <c r="K454" s="1">
        <f t="shared" si="74"/>
        <v>0</v>
      </c>
      <c r="L454" s="1" t="s">
        <v>2</v>
      </c>
      <c r="M454" s="1">
        <f t="shared" si="75"/>
        <v>1</v>
      </c>
      <c r="N454" s="1" t="s">
        <v>1</v>
      </c>
      <c r="O454" s="8">
        <v>0.48299999999999998</v>
      </c>
      <c r="P454" s="7">
        <v>0.6</v>
      </c>
      <c r="Q454" s="3">
        <f>7/16</f>
        <v>0.4375</v>
      </c>
      <c r="R454" s="10">
        <f t="shared" si="76"/>
        <v>-1.3999999999999986</v>
      </c>
      <c r="S454" s="13">
        <v>25.1</v>
      </c>
      <c r="T454" s="13">
        <v>26.5</v>
      </c>
      <c r="U454" s="10">
        <v>17</v>
      </c>
      <c r="V454" s="10">
        <v>30</v>
      </c>
      <c r="W454" s="10">
        <f t="shared" si="77"/>
        <v>-13</v>
      </c>
      <c r="X454" s="9" t="s">
        <v>1</v>
      </c>
      <c r="Y454" s="11">
        <f t="shared" si="78"/>
        <v>0</v>
      </c>
      <c r="Z454" s="14">
        <v>4</v>
      </c>
    </row>
    <row r="455" spans="1:26" x14ac:dyDescent="0.2">
      <c r="A455" s="12">
        <f t="shared" si="71"/>
        <v>2015</v>
      </c>
      <c r="B455" s="1" t="s">
        <v>41</v>
      </c>
      <c r="C455" s="1">
        <v>23</v>
      </c>
      <c r="D455" s="15">
        <v>358000000</v>
      </c>
      <c r="E455" s="15">
        <f>(292.7/237)*358000000</f>
        <v>442137552.74261606</v>
      </c>
      <c r="F455" s="10">
        <f t="shared" si="72"/>
        <v>55.3</v>
      </c>
      <c r="G455" s="5">
        <f>4970/16</f>
        <v>310.625</v>
      </c>
      <c r="H455" s="4" t="s">
        <v>2</v>
      </c>
      <c r="I455" s="1">
        <f t="shared" si="73"/>
        <v>1</v>
      </c>
      <c r="J455" s="1" t="s">
        <v>1</v>
      </c>
      <c r="K455" s="1">
        <f t="shared" si="74"/>
        <v>0</v>
      </c>
      <c r="L455" s="1" t="s">
        <v>2</v>
      </c>
      <c r="M455" s="1">
        <f t="shared" si="75"/>
        <v>1</v>
      </c>
      <c r="N455" s="1" t="s">
        <v>2</v>
      </c>
      <c r="O455" s="8">
        <v>0.47699999999999998</v>
      </c>
      <c r="P455" s="7">
        <v>0.60299999999999998</v>
      </c>
      <c r="Q455" s="3">
        <f>7/16</f>
        <v>0.4375</v>
      </c>
      <c r="R455" s="10">
        <f t="shared" si="76"/>
        <v>-4.3000000000000007</v>
      </c>
      <c r="S455" s="13">
        <v>25.5</v>
      </c>
      <c r="T455" s="13">
        <v>29.8</v>
      </c>
      <c r="U455" s="10">
        <v>22</v>
      </c>
      <c r="V455" s="10">
        <v>20</v>
      </c>
      <c r="W455" s="10">
        <f t="shared" si="77"/>
        <v>2</v>
      </c>
      <c r="X455" s="9" t="s">
        <v>1</v>
      </c>
      <c r="Y455" s="11">
        <f t="shared" si="78"/>
        <v>0</v>
      </c>
      <c r="Z455" s="14">
        <v>1</v>
      </c>
    </row>
    <row r="456" spans="1:26" x14ac:dyDescent="0.2">
      <c r="A456" s="12">
        <f t="shared" si="71"/>
        <v>2016</v>
      </c>
      <c r="B456" s="1" t="s">
        <v>41</v>
      </c>
      <c r="C456" s="1">
        <v>23</v>
      </c>
      <c r="D456" s="15">
        <v>395000000</v>
      </c>
      <c r="E456" s="15">
        <f>(292.7/240)*395000000</f>
        <v>481735416.66666663</v>
      </c>
      <c r="F456" s="10">
        <f t="shared" si="72"/>
        <v>57.7</v>
      </c>
      <c r="G456" s="5">
        <f>5074/16</f>
        <v>317.125</v>
      </c>
      <c r="H456" s="4" t="s">
        <v>2</v>
      </c>
      <c r="I456" s="1">
        <f t="shared" si="73"/>
        <v>1</v>
      </c>
      <c r="J456" s="1" t="s">
        <v>1</v>
      </c>
      <c r="K456" s="1">
        <f t="shared" si="74"/>
        <v>0</v>
      </c>
      <c r="L456" s="1" t="s">
        <v>2</v>
      </c>
      <c r="M456" s="1">
        <f t="shared" si="75"/>
        <v>1</v>
      </c>
      <c r="N456" s="1" t="s">
        <v>2</v>
      </c>
      <c r="O456" s="8">
        <v>0.48599999999999999</v>
      </c>
      <c r="P456" s="7">
        <v>0.66200000000000003</v>
      </c>
      <c r="Q456" s="3">
        <f>7/16</f>
        <v>0.4375</v>
      </c>
      <c r="R456" s="10">
        <f t="shared" si="76"/>
        <v>0.90000000000000213</v>
      </c>
      <c r="S456" s="13">
        <v>29.3</v>
      </c>
      <c r="T456" s="13">
        <v>28.4</v>
      </c>
      <c r="U456" s="10">
        <v>21</v>
      </c>
      <c r="V456" s="10">
        <v>24</v>
      </c>
      <c r="W456" s="10">
        <f t="shared" si="77"/>
        <v>-3</v>
      </c>
      <c r="X456" s="9" t="s">
        <v>1</v>
      </c>
      <c r="Y456" s="11">
        <f t="shared" si="78"/>
        <v>0</v>
      </c>
      <c r="Z456" s="14">
        <v>1</v>
      </c>
    </row>
    <row r="457" spans="1:26" x14ac:dyDescent="0.2">
      <c r="A457" s="12">
        <f t="shared" si="71"/>
        <v>2017</v>
      </c>
      <c r="B457" s="1" t="s">
        <v>41</v>
      </c>
      <c r="C457" s="1">
        <v>23</v>
      </c>
      <c r="D457" s="15">
        <v>413000000</v>
      </c>
      <c r="E457" s="15">
        <f>(292.7/245.1)*413000000</f>
        <v>493207262.34190124</v>
      </c>
      <c r="F457" s="10">
        <f t="shared" si="72"/>
        <v>48.4</v>
      </c>
      <c r="G457" s="5">
        <f>4189/16</f>
        <v>261.8125</v>
      </c>
      <c r="H457" s="4" t="s">
        <v>2</v>
      </c>
      <c r="I457" s="1">
        <f t="shared" si="73"/>
        <v>1</v>
      </c>
      <c r="J457" s="1" t="s">
        <v>1</v>
      </c>
      <c r="K457" s="1">
        <f t="shared" si="74"/>
        <v>0</v>
      </c>
      <c r="L457" s="1" t="s">
        <v>2</v>
      </c>
      <c r="M457" s="1">
        <f t="shared" si="75"/>
        <v>1</v>
      </c>
      <c r="N457" s="1" t="s">
        <v>2</v>
      </c>
      <c r="O457" s="8">
        <v>0.376</v>
      </c>
      <c r="P457" s="7">
        <v>0.58199999999999996</v>
      </c>
      <c r="Q457" s="3">
        <f>11/16</f>
        <v>0.6875</v>
      </c>
      <c r="R457" s="10">
        <f t="shared" si="76"/>
        <v>7.6000000000000014</v>
      </c>
      <c r="S457" s="13">
        <v>28</v>
      </c>
      <c r="T457" s="13">
        <v>20.399999999999999</v>
      </c>
      <c r="U457" s="10">
        <v>25</v>
      </c>
      <c r="V457" s="10">
        <v>18</v>
      </c>
      <c r="W457" s="10">
        <f t="shared" si="77"/>
        <v>7</v>
      </c>
      <c r="X457" s="9" t="s">
        <v>2</v>
      </c>
      <c r="Y457" s="11">
        <f t="shared" si="78"/>
        <v>1</v>
      </c>
      <c r="Z457" s="14">
        <v>7</v>
      </c>
    </row>
    <row r="458" spans="1:26" x14ac:dyDescent="0.2">
      <c r="A458" s="12">
        <f t="shared" si="71"/>
        <v>2018</v>
      </c>
      <c r="B458" s="1" t="s">
        <v>41</v>
      </c>
      <c r="C458" s="1">
        <v>23</v>
      </c>
      <c r="D458" s="15">
        <v>441000000</v>
      </c>
      <c r="E458" s="15">
        <f>(292.7/251.1)*441000000</f>
        <v>514060931.89964157</v>
      </c>
      <c r="F458" s="10">
        <f t="shared" si="72"/>
        <v>53.6</v>
      </c>
      <c r="G458" s="5">
        <f>4042/16</f>
        <v>252.625</v>
      </c>
      <c r="H458" s="4" t="s">
        <v>1</v>
      </c>
      <c r="I458" s="1">
        <f t="shared" si="73"/>
        <v>0</v>
      </c>
      <c r="J458" s="1" t="s">
        <v>2</v>
      </c>
      <c r="K458" s="1">
        <f t="shared" si="74"/>
        <v>1</v>
      </c>
      <c r="L458" s="1" t="s">
        <v>2</v>
      </c>
      <c r="M458" s="1">
        <f t="shared" si="75"/>
        <v>1</v>
      </c>
      <c r="N458" s="1" t="s">
        <v>2</v>
      </c>
      <c r="O458" s="8">
        <v>0.44600000000000001</v>
      </c>
      <c r="P458" s="7">
        <v>0.69599999999999995</v>
      </c>
      <c r="Q458" s="3">
        <f>13/16</f>
        <v>0.8125</v>
      </c>
      <c r="R458" s="10">
        <f t="shared" si="76"/>
        <v>9.3999999999999986</v>
      </c>
      <c r="S458" s="13">
        <v>31.5</v>
      </c>
      <c r="T458" s="13">
        <v>22.1</v>
      </c>
      <c r="U458" s="10">
        <v>24</v>
      </c>
      <c r="V458" s="10">
        <v>16</v>
      </c>
      <c r="W458" s="10">
        <f t="shared" si="77"/>
        <v>8</v>
      </c>
      <c r="X458" s="9" t="s">
        <v>2</v>
      </c>
      <c r="Y458" s="11">
        <f t="shared" si="78"/>
        <v>1</v>
      </c>
      <c r="Z458" s="14">
        <v>8</v>
      </c>
    </row>
    <row r="459" spans="1:26" x14ac:dyDescent="0.2">
      <c r="A459" s="12">
        <f t="shared" si="71"/>
        <v>2019</v>
      </c>
      <c r="B459" s="1" t="s">
        <v>41</v>
      </c>
      <c r="C459" s="1">
        <v>23</v>
      </c>
      <c r="D459" s="15">
        <v>469000000</v>
      </c>
      <c r="E459" s="15">
        <f>(292.7/255.7)*469000000</f>
        <v>536864685.17794293</v>
      </c>
      <c r="F459" s="10">
        <f t="shared" si="72"/>
        <v>49.900000000000006</v>
      </c>
      <c r="G459" s="5">
        <f>4244/16</f>
        <v>265.25</v>
      </c>
      <c r="H459" s="4" t="s">
        <v>1</v>
      </c>
      <c r="I459" s="1">
        <f t="shared" si="73"/>
        <v>0</v>
      </c>
      <c r="J459" s="1" t="s">
        <v>2</v>
      </c>
      <c r="K459" s="1">
        <f t="shared" si="74"/>
        <v>1</v>
      </c>
      <c r="L459" s="1" t="s">
        <v>2</v>
      </c>
      <c r="M459" s="1">
        <f t="shared" si="75"/>
        <v>1</v>
      </c>
      <c r="N459" s="1" t="s">
        <v>2</v>
      </c>
      <c r="O459" s="8">
        <v>0.42199999999999999</v>
      </c>
      <c r="P459" s="7">
        <v>0.59599999999999997</v>
      </c>
      <c r="Q459" s="3">
        <f>13/16</f>
        <v>0.8125</v>
      </c>
      <c r="R459" s="10">
        <f t="shared" si="76"/>
        <v>7.3000000000000007</v>
      </c>
      <c r="S459" s="13">
        <v>28.6</v>
      </c>
      <c r="T459" s="13">
        <v>21.3</v>
      </c>
      <c r="U459" s="10">
        <v>23</v>
      </c>
      <c r="V459" s="10">
        <v>8</v>
      </c>
      <c r="W459" s="10">
        <f t="shared" si="77"/>
        <v>15</v>
      </c>
      <c r="X459" s="9" t="s">
        <v>2</v>
      </c>
      <c r="Y459" s="11">
        <f t="shared" si="78"/>
        <v>1</v>
      </c>
      <c r="Z459" s="14">
        <v>11</v>
      </c>
    </row>
    <row r="460" spans="1:26" x14ac:dyDescent="0.2">
      <c r="A460" s="12">
        <v>2021</v>
      </c>
      <c r="B460" s="1" t="s">
        <v>41</v>
      </c>
      <c r="C460" s="1">
        <v>23</v>
      </c>
      <c r="D460" s="15">
        <v>490000000</v>
      </c>
      <c r="E460" s="15">
        <f>(292.7/271)*490000000</f>
        <v>529236162.36162359</v>
      </c>
      <c r="F460" s="10">
        <f t="shared" si="72"/>
        <v>41.099999999999994</v>
      </c>
      <c r="G460" s="5">
        <f>3186/17</f>
        <v>187.41176470588235</v>
      </c>
      <c r="H460" s="4" t="s">
        <v>1</v>
      </c>
      <c r="I460" s="1">
        <f t="shared" si="73"/>
        <v>0</v>
      </c>
      <c r="J460" s="1" t="s">
        <v>2</v>
      </c>
      <c r="K460" s="1">
        <f t="shared" si="74"/>
        <v>1</v>
      </c>
      <c r="L460" s="1" t="s">
        <v>2</v>
      </c>
      <c r="M460" s="1">
        <f t="shared" si="75"/>
        <v>1</v>
      </c>
      <c r="N460" s="1" t="s">
        <v>2</v>
      </c>
      <c r="O460" s="8">
        <v>0.35499999999999998</v>
      </c>
      <c r="P460" s="7">
        <v>0.58899999999999997</v>
      </c>
      <c r="Q460" s="3">
        <f>9/17</f>
        <v>0.52941176470588236</v>
      </c>
      <c r="R460" s="10">
        <f t="shared" si="76"/>
        <v>1.6999999999999993</v>
      </c>
      <c r="S460" s="13">
        <v>21.4</v>
      </c>
      <c r="T460" s="13">
        <v>19.7</v>
      </c>
      <c r="U460" s="10">
        <v>25</v>
      </c>
      <c r="V460" s="10">
        <v>18</v>
      </c>
      <c r="W460" s="10">
        <f t="shared" si="77"/>
        <v>7</v>
      </c>
      <c r="X460" s="9" t="s">
        <v>1</v>
      </c>
      <c r="Y460" s="11">
        <f t="shared" si="78"/>
        <v>0</v>
      </c>
      <c r="Z460" s="14">
        <v>4</v>
      </c>
    </row>
    <row r="461" spans="1:26" x14ac:dyDescent="0.2">
      <c r="A461" s="12">
        <f>A460+1</f>
        <v>2022</v>
      </c>
      <c r="B461" s="1" t="s">
        <v>41</v>
      </c>
      <c r="C461" s="1">
        <v>23</v>
      </c>
      <c r="D461" s="15">
        <v>533000000</v>
      </c>
      <c r="E461" s="15">
        <f>(292.7/292.7)*533000000</f>
        <v>533000000</v>
      </c>
      <c r="F461" s="10">
        <f t="shared" si="72"/>
        <v>39.700000000000003</v>
      </c>
      <c r="G461" s="5">
        <f>3692/17</f>
        <v>217.1764705882353</v>
      </c>
      <c r="H461" s="4" t="s">
        <v>1</v>
      </c>
      <c r="I461" s="1">
        <f t="shared" si="73"/>
        <v>0</v>
      </c>
      <c r="J461" s="1" t="s">
        <v>2</v>
      </c>
      <c r="K461" s="1">
        <f t="shared" si="74"/>
        <v>1</v>
      </c>
      <c r="L461" s="1" t="s">
        <v>2</v>
      </c>
      <c r="M461" s="1">
        <f t="shared" si="75"/>
        <v>1</v>
      </c>
      <c r="N461" s="1" t="s">
        <v>2</v>
      </c>
      <c r="O461" s="8">
        <v>0.40200000000000002</v>
      </c>
      <c r="P461" s="7">
        <v>0.52100000000000002</v>
      </c>
      <c r="Q461" s="3">
        <f>7/17</f>
        <v>0.41176470588235292</v>
      </c>
      <c r="R461" s="10">
        <f t="shared" si="76"/>
        <v>-0.90000000000000213</v>
      </c>
      <c r="S461" s="13">
        <v>19.399999999999999</v>
      </c>
      <c r="T461" s="13">
        <v>20.3</v>
      </c>
      <c r="U461" s="10">
        <v>14</v>
      </c>
      <c r="V461" s="10">
        <v>25</v>
      </c>
      <c r="W461" s="10">
        <f t="shared" si="77"/>
        <v>-11</v>
      </c>
      <c r="X461" s="9" t="s">
        <v>1</v>
      </c>
      <c r="Y461" s="11">
        <f t="shared" si="78"/>
        <v>0</v>
      </c>
      <c r="Z461" s="14">
        <v>2</v>
      </c>
    </row>
    <row r="462" spans="1:26" x14ac:dyDescent="0.2">
      <c r="A462" s="12">
        <v>2002</v>
      </c>
      <c r="B462" s="1" t="s">
        <v>42</v>
      </c>
      <c r="C462" s="1">
        <v>24</v>
      </c>
      <c r="D462" s="15">
        <v>143000000</v>
      </c>
      <c r="E462" s="15">
        <f>(292.7/179.9)*143000000</f>
        <v>232663146.19232908</v>
      </c>
      <c r="F462" s="10">
        <f t="shared" si="72"/>
        <v>37.4</v>
      </c>
      <c r="G462" s="5">
        <f>3951/16</f>
        <v>246.9375</v>
      </c>
      <c r="H462" s="4" t="s">
        <v>1</v>
      </c>
      <c r="I462" s="1">
        <f t="shared" si="73"/>
        <v>0</v>
      </c>
      <c r="J462" s="1" t="s">
        <v>1</v>
      </c>
      <c r="K462" s="1">
        <f t="shared" si="74"/>
        <v>0</v>
      </c>
      <c r="L462" s="1" t="s">
        <v>1</v>
      </c>
      <c r="M462" s="1">
        <f t="shared" si="75"/>
        <v>0</v>
      </c>
      <c r="N462" s="1" t="s">
        <v>1</v>
      </c>
      <c r="O462" s="8">
        <v>0.39400000000000002</v>
      </c>
      <c r="P462" s="7">
        <v>0.373</v>
      </c>
      <c r="Q462" s="3">
        <f>10/16</f>
        <v>0.625</v>
      </c>
      <c r="R462" s="10">
        <f t="shared" si="76"/>
        <v>2.6000000000000014</v>
      </c>
      <c r="S462" s="13">
        <v>20</v>
      </c>
      <c r="T462" s="13">
        <v>17.399999999999999</v>
      </c>
      <c r="U462" s="10">
        <v>25</v>
      </c>
      <c r="V462" s="10">
        <v>27</v>
      </c>
      <c r="W462" s="10">
        <f t="shared" si="77"/>
        <v>-2</v>
      </c>
      <c r="X462" s="9" t="s">
        <v>2</v>
      </c>
      <c r="Y462" s="11">
        <f t="shared" si="78"/>
        <v>1</v>
      </c>
      <c r="Z462" s="14">
        <v>2</v>
      </c>
    </row>
    <row r="463" spans="1:26" x14ac:dyDescent="0.2">
      <c r="A463" s="12">
        <f>A462+1</f>
        <v>2003</v>
      </c>
      <c r="B463" s="1" t="s">
        <v>42</v>
      </c>
      <c r="C463" s="1">
        <v>24</v>
      </c>
      <c r="D463" s="15">
        <v>154000000</v>
      </c>
      <c r="E463" s="15">
        <f>(292.7/184)*154000000</f>
        <v>244977173.91304347</v>
      </c>
      <c r="F463" s="10">
        <f t="shared" si="72"/>
        <v>39.4</v>
      </c>
      <c r="G463" s="5">
        <f>3383/16</f>
        <v>211.4375</v>
      </c>
      <c r="H463" s="4" t="s">
        <v>1</v>
      </c>
      <c r="I463" s="1">
        <f t="shared" si="73"/>
        <v>0</v>
      </c>
      <c r="J463" s="1" t="s">
        <v>1</v>
      </c>
      <c r="K463" s="1">
        <f t="shared" si="74"/>
        <v>0</v>
      </c>
      <c r="L463" s="1" t="s">
        <v>1</v>
      </c>
      <c r="M463" s="1">
        <f t="shared" si="75"/>
        <v>0</v>
      </c>
      <c r="N463" s="1" t="s">
        <v>1</v>
      </c>
      <c r="O463" s="8">
        <v>0.33500000000000002</v>
      </c>
      <c r="P463" s="7">
        <v>0.38300000000000001</v>
      </c>
      <c r="Q463" s="3">
        <f>4/16</f>
        <v>0.25</v>
      </c>
      <c r="R463" s="10">
        <f t="shared" si="76"/>
        <v>-9</v>
      </c>
      <c r="S463" s="13">
        <v>15.2</v>
      </c>
      <c r="T463" s="13">
        <v>24.2</v>
      </c>
      <c r="U463" s="10">
        <v>22</v>
      </c>
      <c r="V463" s="10">
        <v>38</v>
      </c>
      <c r="W463" s="10">
        <f t="shared" si="77"/>
        <v>-16</v>
      </c>
      <c r="X463" s="9" t="s">
        <v>1</v>
      </c>
      <c r="Y463" s="11">
        <f t="shared" si="78"/>
        <v>0</v>
      </c>
      <c r="Z463" s="14">
        <v>2</v>
      </c>
    </row>
    <row r="464" spans="1:26" x14ac:dyDescent="0.2">
      <c r="A464" s="12">
        <f>A463+1</f>
        <v>2004</v>
      </c>
      <c r="B464" s="1" t="s">
        <v>42</v>
      </c>
      <c r="C464" s="1">
        <v>24</v>
      </c>
      <c r="D464" s="15">
        <v>175000000</v>
      </c>
      <c r="E464" s="15">
        <f>(292.7/188.9)*175000000</f>
        <v>271161990.47114873</v>
      </c>
      <c r="F464" s="10">
        <f t="shared" si="72"/>
        <v>40.599999999999994</v>
      </c>
      <c r="G464" s="5">
        <f>2818/16</f>
        <v>176.125</v>
      </c>
      <c r="H464" s="4" t="s">
        <v>1</v>
      </c>
      <c r="I464" s="1">
        <f t="shared" si="73"/>
        <v>0</v>
      </c>
      <c r="J464" s="1" t="s">
        <v>1</v>
      </c>
      <c r="K464" s="1">
        <f t="shared" si="74"/>
        <v>0</v>
      </c>
      <c r="L464" s="1" t="s">
        <v>1</v>
      </c>
      <c r="M464" s="1">
        <f t="shared" si="75"/>
        <v>0</v>
      </c>
      <c r="N464" s="1" t="s">
        <v>1</v>
      </c>
      <c r="O464" s="8">
        <v>0.29499999999999998</v>
      </c>
      <c r="P464" s="7">
        <v>0.48099999999999998</v>
      </c>
      <c r="Q464" s="3">
        <f>6/16</f>
        <v>0.375</v>
      </c>
      <c r="R464" s="10">
        <f t="shared" si="76"/>
        <v>-2.8000000000000007</v>
      </c>
      <c r="S464" s="13">
        <v>18.899999999999999</v>
      </c>
      <c r="T464" s="13">
        <v>21.7</v>
      </c>
      <c r="U464" s="10">
        <v>28</v>
      </c>
      <c r="V464" s="10">
        <v>24</v>
      </c>
      <c r="W464" s="10">
        <f t="shared" si="77"/>
        <v>4</v>
      </c>
      <c r="X464" s="9" t="s">
        <v>1</v>
      </c>
      <c r="Y464" s="11">
        <f t="shared" si="78"/>
        <v>0</v>
      </c>
      <c r="Z464" s="14">
        <v>1</v>
      </c>
    </row>
    <row r="465" spans="1:26" x14ac:dyDescent="0.2">
      <c r="A465" s="12">
        <f>A464+1</f>
        <v>2005</v>
      </c>
      <c r="B465" s="1" t="s">
        <v>42</v>
      </c>
      <c r="C465" s="1">
        <v>24</v>
      </c>
      <c r="D465" s="15">
        <v>182000000</v>
      </c>
      <c r="E465" s="15">
        <f>(292.7/195.3)*182000000</f>
        <v>272767025.08960569</v>
      </c>
      <c r="F465" s="10">
        <f t="shared" si="72"/>
        <v>46</v>
      </c>
      <c r="G465" s="5">
        <f>3578/16</f>
        <v>223.625</v>
      </c>
      <c r="H465" s="4" t="s">
        <v>1</v>
      </c>
      <c r="I465" s="1">
        <f t="shared" si="73"/>
        <v>0</v>
      </c>
      <c r="J465" s="1" t="s">
        <v>1</v>
      </c>
      <c r="K465" s="1">
        <f t="shared" si="74"/>
        <v>0</v>
      </c>
      <c r="L465" s="1" t="s">
        <v>1</v>
      </c>
      <c r="M465" s="1">
        <f t="shared" si="75"/>
        <v>0</v>
      </c>
      <c r="N465" s="1" t="s">
        <v>1</v>
      </c>
      <c r="O465" s="8">
        <v>0.39600000000000002</v>
      </c>
      <c r="P465" s="7">
        <v>0.45800000000000002</v>
      </c>
      <c r="Q465" s="3">
        <f>11/16</f>
        <v>0.6875</v>
      </c>
      <c r="R465" s="10">
        <f t="shared" si="76"/>
        <v>6.7999999999999972</v>
      </c>
      <c r="S465" s="13">
        <v>26.4</v>
      </c>
      <c r="T465" s="13">
        <v>19.600000000000001</v>
      </c>
      <c r="U465" s="10">
        <v>37</v>
      </c>
      <c r="V465" s="10">
        <v>25</v>
      </c>
      <c r="W465" s="10">
        <f t="shared" si="77"/>
        <v>12</v>
      </c>
      <c r="X465" s="9" t="s">
        <v>2</v>
      </c>
      <c r="Y465" s="11">
        <f t="shared" si="78"/>
        <v>1</v>
      </c>
      <c r="Z465" s="14">
        <v>5</v>
      </c>
    </row>
    <row r="466" spans="1:26" x14ac:dyDescent="0.2">
      <c r="A466" s="12">
        <f>A465+1</f>
        <v>2006</v>
      </c>
      <c r="B466" s="1" t="s">
        <v>42</v>
      </c>
      <c r="C466" s="1">
        <v>24</v>
      </c>
      <c r="D466" s="15">
        <v>195000000</v>
      </c>
      <c r="E466" s="15">
        <f>(292.7/201.6)*195000000</f>
        <v>283117559.52380955</v>
      </c>
      <c r="F466" s="10">
        <f t="shared" si="72"/>
        <v>44.8</v>
      </c>
      <c r="G466" s="5">
        <f>3058/16</f>
        <v>191.125</v>
      </c>
      <c r="H466" s="4" t="s">
        <v>1</v>
      </c>
      <c r="I466" s="1">
        <f t="shared" si="73"/>
        <v>0</v>
      </c>
      <c r="J466" s="1" t="s">
        <v>1</v>
      </c>
      <c r="K466" s="1">
        <f t="shared" si="74"/>
        <v>0</v>
      </c>
      <c r="L466" s="1" t="s">
        <v>1</v>
      </c>
      <c r="M466" s="1">
        <f t="shared" si="75"/>
        <v>0</v>
      </c>
      <c r="N466" s="1" t="s">
        <v>1</v>
      </c>
      <c r="O466" s="8">
        <v>0.379</v>
      </c>
      <c r="P466" s="7">
        <v>0.52900000000000003</v>
      </c>
      <c r="Q466" s="3">
        <f>8/16</f>
        <v>0.5</v>
      </c>
      <c r="R466" s="10">
        <f t="shared" si="76"/>
        <v>-0.40000000000000213</v>
      </c>
      <c r="S466" s="13">
        <v>22.2</v>
      </c>
      <c r="T466" s="13">
        <v>22.6</v>
      </c>
      <c r="U466" s="10">
        <v>28</v>
      </c>
      <c r="V466" s="10">
        <v>28</v>
      </c>
      <c r="W466" s="10">
        <f t="shared" si="77"/>
        <v>0</v>
      </c>
      <c r="X466" s="9" t="s">
        <v>2</v>
      </c>
      <c r="Y466" s="11">
        <f t="shared" si="78"/>
        <v>1</v>
      </c>
      <c r="Z466" s="14">
        <v>3</v>
      </c>
    </row>
    <row r="467" spans="1:26" x14ac:dyDescent="0.2">
      <c r="A467" s="12">
        <f>A466+1</f>
        <v>2007</v>
      </c>
      <c r="B467" s="1" t="s">
        <v>42</v>
      </c>
      <c r="C467" s="1">
        <v>24</v>
      </c>
      <c r="D467" s="15">
        <v>214000000</v>
      </c>
      <c r="E467" s="15">
        <f>(292.7/207.3)*214000000</f>
        <v>302160154.36565357</v>
      </c>
      <c r="F467" s="10">
        <f t="shared" si="72"/>
        <v>45.2</v>
      </c>
      <c r="G467" s="5">
        <f>3154/16</f>
        <v>197.125</v>
      </c>
      <c r="H467" s="4" t="s">
        <v>1</v>
      </c>
      <c r="I467" s="1">
        <f t="shared" si="73"/>
        <v>0</v>
      </c>
      <c r="J467" s="1" t="s">
        <v>1</v>
      </c>
      <c r="K467" s="1">
        <f t="shared" si="74"/>
        <v>0</v>
      </c>
      <c r="L467" s="1" t="s">
        <v>1</v>
      </c>
      <c r="M467" s="1">
        <f t="shared" si="75"/>
        <v>0</v>
      </c>
      <c r="N467" s="1" t="s">
        <v>1</v>
      </c>
      <c r="O467" s="8">
        <v>0.41599999999999998</v>
      </c>
      <c r="P467" s="7">
        <v>0.54500000000000004</v>
      </c>
      <c r="Q467" s="3">
        <f>10/16</f>
        <v>0.625</v>
      </c>
      <c r="R467" s="10">
        <f t="shared" si="76"/>
        <v>1.4000000000000021</v>
      </c>
      <c r="S467" s="13">
        <v>23.3</v>
      </c>
      <c r="T467" s="13">
        <v>21.9</v>
      </c>
      <c r="U467" s="10">
        <v>25</v>
      </c>
      <c r="V467" s="10">
        <v>34</v>
      </c>
      <c r="W467" s="10">
        <f t="shared" si="77"/>
        <v>-9</v>
      </c>
      <c r="X467" s="9" t="s">
        <v>2</v>
      </c>
      <c r="Y467" s="11">
        <f t="shared" si="78"/>
        <v>1</v>
      </c>
      <c r="Z467" s="14">
        <v>1</v>
      </c>
    </row>
    <row r="468" spans="1:26" x14ac:dyDescent="0.2">
      <c r="A468" s="12">
        <v>2008</v>
      </c>
      <c r="B468" s="1" t="s">
        <v>42</v>
      </c>
      <c r="C468" s="1">
        <v>24</v>
      </c>
      <c r="D468" s="15">
        <v>230000000</v>
      </c>
      <c r="E468" s="15">
        <f>(292.7/215.3)*230000000</f>
        <v>312684626.10311192</v>
      </c>
      <c r="F468" s="10">
        <f t="shared" si="72"/>
        <v>45.099999999999994</v>
      </c>
      <c r="G468" s="5">
        <f>3177/16</f>
        <v>198.5625</v>
      </c>
      <c r="H468" s="4" t="s">
        <v>1</v>
      </c>
      <c r="I468" s="1">
        <f t="shared" si="73"/>
        <v>0</v>
      </c>
      <c r="J468" s="1" t="s">
        <v>1</v>
      </c>
      <c r="K468" s="1">
        <f t="shared" si="74"/>
        <v>0</v>
      </c>
      <c r="L468" s="1" t="s">
        <v>1</v>
      </c>
      <c r="M468" s="1">
        <f t="shared" si="75"/>
        <v>0</v>
      </c>
      <c r="N468" s="1" t="s">
        <v>1</v>
      </c>
      <c r="O468" s="8">
        <v>0.43099999999999999</v>
      </c>
      <c r="P468" s="7">
        <v>0.50700000000000001</v>
      </c>
      <c r="Q468" s="3">
        <f>12/16</f>
        <v>0.75</v>
      </c>
      <c r="R468" s="10">
        <f t="shared" si="76"/>
        <v>8.3000000000000007</v>
      </c>
      <c r="S468" s="13">
        <v>26.7</v>
      </c>
      <c r="T468" s="13">
        <v>18.399999999999999</v>
      </c>
      <c r="U468" s="10">
        <v>22</v>
      </c>
      <c r="V468" s="10">
        <v>13</v>
      </c>
      <c r="W468" s="10">
        <f t="shared" si="77"/>
        <v>9</v>
      </c>
      <c r="X468" s="9" t="s">
        <v>2</v>
      </c>
      <c r="Y468" s="11">
        <f t="shared" si="78"/>
        <v>1</v>
      </c>
      <c r="Z468" s="14">
        <v>7</v>
      </c>
    </row>
    <row r="469" spans="1:26" x14ac:dyDescent="0.2">
      <c r="A469" s="12">
        <f t="shared" ref="A469:A479" si="79">A468+1</f>
        <v>2009</v>
      </c>
      <c r="B469" s="1" t="s">
        <v>42</v>
      </c>
      <c r="C469" s="1">
        <v>24</v>
      </c>
      <c r="D469" s="15">
        <v>241000000</v>
      </c>
      <c r="E469" s="15">
        <f>(292.7/214.5)*241000000</f>
        <v>328861072.26107228</v>
      </c>
      <c r="F469" s="10">
        <f t="shared" si="72"/>
        <v>51.8</v>
      </c>
      <c r="G469" s="5">
        <f>4019/16</f>
        <v>251.1875</v>
      </c>
      <c r="H469" s="4" t="s">
        <v>2</v>
      </c>
      <c r="I469" s="1">
        <f t="shared" si="73"/>
        <v>1</v>
      </c>
      <c r="J469" s="1" t="s">
        <v>1</v>
      </c>
      <c r="K469" s="1">
        <f t="shared" si="74"/>
        <v>0</v>
      </c>
      <c r="L469" s="1" t="s">
        <v>2</v>
      </c>
      <c r="M469" s="1">
        <f t="shared" si="75"/>
        <v>1</v>
      </c>
      <c r="N469" s="1" t="s">
        <v>1</v>
      </c>
      <c r="O469" s="8">
        <v>0.42899999999999999</v>
      </c>
      <c r="P469" s="7">
        <v>0.48199999999999998</v>
      </c>
      <c r="Q469" s="3">
        <f>8/16</f>
        <v>0.5</v>
      </c>
      <c r="R469" s="10">
        <f t="shared" si="76"/>
        <v>-1.5999999999999979</v>
      </c>
      <c r="S469" s="13">
        <v>25.1</v>
      </c>
      <c r="T469" s="13">
        <v>26.7</v>
      </c>
      <c r="U469" s="10">
        <v>24</v>
      </c>
      <c r="V469" s="10">
        <v>31</v>
      </c>
      <c r="W469" s="10">
        <f t="shared" si="77"/>
        <v>-7</v>
      </c>
      <c r="X469" s="9" t="s">
        <v>1</v>
      </c>
      <c r="Y469" s="11">
        <f t="shared" si="78"/>
        <v>0</v>
      </c>
      <c r="Z469" s="14">
        <v>4</v>
      </c>
    </row>
    <row r="470" spans="1:26" x14ac:dyDescent="0.2">
      <c r="A470" s="12">
        <f t="shared" si="79"/>
        <v>2010</v>
      </c>
      <c r="B470" s="1" t="s">
        <v>42</v>
      </c>
      <c r="C470" s="1">
        <v>24</v>
      </c>
      <c r="D470" s="15">
        <v>293000000</v>
      </c>
      <c r="E470" s="15">
        <f>(292.7/218.1)*293000000</f>
        <v>393219165.5204035</v>
      </c>
      <c r="F470" s="10">
        <f t="shared" si="72"/>
        <v>46.3</v>
      </c>
      <c r="G470" s="5">
        <f>3885/16</f>
        <v>242.8125</v>
      </c>
      <c r="H470" s="4" t="s">
        <v>2</v>
      </c>
      <c r="I470" s="1">
        <f t="shared" si="73"/>
        <v>1</v>
      </c>
      <c r="J470" s="1" t="s">
        <v>1</v>
      </c>
      <c r="K470" s="1">
        <f t="shared" si="74"/>
        <v>0</v>
      </c>
      <c r="L470" s="1" t="s">
        <v>2</v>
      </c>
      <c r="M470" s="1">
        <f t="shared" si="75"/>
        <v>1</v>
      </c>
      <c r="N470" s="1" t="s">
        <v>1</v>
      </c>
      <c r="O470" s="8">
        <v>0.35899999999999999</v>
      </c>
      <c r="P470" s="7">
        <v>0.57399999999999995</v>
      </c>
      <c r="Q470" s="3">
        <f>10/16</f>
        <v>0.625</v>
      </c>
      <c r="R470" s="10">
        <f t="shared" si="76"/>
        <v>2.9000000000000021</v>
      </c>
      <c r="S470" s="13">
        <v>24.6</v>
      </c>
      <c r="T470" s="13">
        <v>21.7</v>
      </c>
      <c r="U470" s="10">
        <v>39</v>
      </c>
      <c r="V470" s="10">
        <v>42</v>
      </c>
      <c r="W470" s="10">
        <f t="shared" si="77"/>
        <v>-3</v>
      </c>
      <c r="X470" s="9" t="s">
        <v>1</v>
      </c>
      <c r="Y470" s="11">
        <f t="shared" si="78"/>
        <v>0</v>
      </c>
      <c r="Z470" s="14">
        <v>5</v>
      </c>
    </row>
    <row r="471" spans="1:26" x14ac:dyDescent="0.2">
      <c r="A471" s="12">
        <f t="shared" si="79"/>
        <v>2011</v>
      </c>
      <c r="B471" s="1" t="s">
        <v>42</v>
      </c>
      <c r="C471" s="1">
        <v>24</v>
      </c>
      <c r="D471" s="15">
        <v>326000000</v>
      </c>
      <c r="E471" s="15">
        <f>(292.7/224.9)*326000000</f>
        <v>424278345.93152511</v>
      </c>
      <c r="F471" s="10">
        <f t="shared" si="72"/>
        <v>49.6</v>
      </c>
      <c r="G471" s="5">
        <f>4734/16</f>
        <v>295.875</v>
      </c>
      <c r="H471" s="4" t="s">
        <v>2</v>
      </c>
      <c r="I471" s="1">
        <f t="shared" si="73"/>
        <v>1</v>
      </c>
      <c r="J471" s="1" t="s">
        <v>1</v>
      </c>
      <c r="K471" s="1">
        <f t="shared" si="74"/>
        <v>0</v>
      </c>
      <c r="L471" s="1" t="s">
        <v>2</v>
      </c>
      <c r="M471" s="1">
        <f t="shared" si="75"/>
        <v>1</v>
      </c>
      <c r="N471" s="1" t="s">
        <v>1</v>
      </c>
      <c r="O471" s="8">
        <v>0.374</v>
      </c>
      <c r="P471" s="7">
        <v>0.57099999999999995</v>
      </c>
      <c r="Q471" s="3">
        <f>9/16</f>
        <v>0.5625</v>
      </c>
      <c r="R471" s="10">
        <f t="shared" si="76"/>
        <v>-0.39999999999999858</v>
      </c>
      <c r="S471" s="13">
        <v>24.6</v>
      </c>
      <c r="T471" s="13">
        <v>25</v>
      </c>
      <c r="U471" s="10">
        <v>31</v>
      </c>
      <c r="V471" s="10">
        <v>24</v>
      </c>
      <c r="W471" s="10">
        <f t="shared" si="77"/>
        <v>7</v>
      </c>
      <c r="X471" s="9" t="s">
        <v>2</v>
      </c>
      <c r="Y471" s="11">
        <f t="shared" si="78"/>
        <v>1</v>
      </c>
      <c r="Z471" s="14">
        <v>2</v>
      </c>
    </row>
    <row r="472" spans="1:26" x14ac:dyDescent="0.2">
      <c r="A472" s="12">
        <f t="shared" si="79"/>
        <v>2012</v>
      </c>
      <c r="B472" s="1" t="s">
        <v>42</v>
      </c>
      <c r="C472" s="1">
        <v>24</v>
      </c>
      <c r="D472" s="15">
        <v>338000000</v>
      </c>
      <c r="E472" s="15">
        <f>(292.7/229.6)*338000000</f>
        <v>430891114.98257834</v>
      </c>
      <c r="F472" s="10">
        <f t="shared" si="72"/>
        <v>48.3</v>
      </c>
      <c r="G472" s="5">
        <f>3825/16</f>
        <v>239.0625</v>
      </c>
      <c r="H472" s="4" t="s">
        <v>2</v>
      </c>
      <c r="I472" s="1">
        <f t="shared" si="73"/>
        <v>1</v>
      </c>
      <c r="J472" s="1" t="s">
        <v>1</v>
      </c>
      <c r="K472" s="1">
        <f t="shared" si="74"/>
        <v>0</v>
      </c>
      <c r="L472" s="1" t="s">
        <v>2</v>
      </c>
      <c r="M472" s="1">
        <f t="shared" si="75"/>
        <v>1</v>
      </c>
      <c r="N472" s="1" t="s">
        <v>1</v>
      </c>
      <c r="O472" s="8">
        <v>0.40600000000000003</v>
      </c>
      <c r="P472" s="7">
        <v>0.54800000000000004</v>
      </c>
      <c r="Q472" s="3">
        <f>9/16</f>
        <v>0.5625</v>
      </c>
      <c r="R472" s="10">
        <f t="shared" si="76"/>
        <v>5.3000000000000007</v>
      </c>
      <c r="S472" s="13">
        <v>26.8</v>
      </c>
      <c r="T472" s="13">
        <v>21.5</v>
      </c>
      <c r="U472" s="10">
        <v>35</v>
      </c>
      <c r="V472" s="10">
        <v>21</v>
      </c>
      <c r="W472" s="10">
        <f t="shared" si="77"/>
        <v>14</v>
      </c>
      <c r="X472" s="9" t="s">
        <v>1</v>
      </c>
      <c r="Y472" s="11">
        <f t="shared" si="78"/>
        <v>0</v>
      </c>
      <c r="Z472" s="14">
        <v>4</v>
      </c>
    </row>
    <row r="473" spans="1:26" x14ac:dyDescent="0.2">
      <c r="A473" s="12">
        <f t="shared" si="79"/>
        <v>2013</v>
      </c>
      <c r="B473" s="1" t="s">
        <v>42</v>
      </c>
      <c r="C473" s="1">
        <v>24</v>
      </c>
      <c r="D473" s="15">
        <v>353000000</v>
      </c>
      <c r="E473" s="15">
        <f>(292.7/233)*353000000</f>
        <v>443446781.11587983</v>
      </c>
      <c r="F473" s="10">
        <f t="shared" si="72"/>
        <v>42.3</v>
      </c>
      <c r="G473" s="5">
        <f>3588/16</f>
        <v>224.25</v>
      </c>
      <c r="H473" s="4" t="s">
        <v>2</v>
      </c>
      <c r="I473" s="1">
        <f t="shared" si="73"/>
        <v>1</v>
      </c>
      <c r="J473" s="1" t="s">
        <v>1</v>
      </c>
      <c r="K473" s="1">
        <f t="shared" si="74"/>
        <v>0</v>
      </c>
      <c r="L473" s="1" t="s">
        <v>2</v>
      </c>
      <c r="M473" s="1">
        <f t="shared" si="75"/>
        <v>1</v>
      </c>
      <c r="N473" s="1" t="s">
        <v>1</v>
      </c>
      <c r="O473" s="8">
        <v>0.32700000000000001</v>
      </c>
      <c r="P473" s="7">
        <v>0.47199999999999998</v>
      </c>
      <c r="Q473" s="3">
        <f>7/16</f>
        <v>0.4375</v>
      </c>
      <c r="R473" s="10">
        <f t="shared" si="76"/>
        <v>-5.5</v>
      </c>
      <c r="S473" s="13">
        <v>18.399999999999999</v>
      </c>
      <c r="T473" s="13">
        <v>23.9</v>
      </c>
      <c r="U473" s="10">
        <v>29</v>
      </c>
      <c r="V473" s="10">
        <v>44</v>
      </c>
      <c r="W473" s="10">
        <f t="shared" si="77"/>
        <v>-15</v>
      </c>
      <c r="X473" s="9" t="s">
        <v>1</v>
      </c>
      <c r="Y473" s="11">
        <f t="shared" si="78"/>
        <v>0</v>
      </c>
      <c r="Z473" s="14">
        <v>1</v>
      </c>
    </row>
    <row r="474" spans="1:26" x14ac:dyDescent="0.2">
      <c r="A474" s="12">
        <f t="shared" si="79"/>
        <v>2014</v>
      </c>
      <c r="B474" s="1" t="s">
        <v>42</v>
      </c>
      <c r="C474" s="1">
        <v>24</v>
      </c>
      <c r="D474" s="15">
        <v>400000000</v>
      </c>
      <c r="E474" s="15">
        <f>(292.7/236.7)*400000000</f>
        <v>494634558.51288545</v>
      </c>
      <c r="F474" s="10">
        <f t="shared" si="72"/>
        <v>48.8</v>
      </c>
      <c r="G474" s="5">
        <f>4272/16</f>
        <v>267</v>
      </c>
      <c r="H474" s="4" t="s">
        <v>2</v>
      </c>
      <c r="I474" s="1">
        <f t="shared" si="73"/>
        <v>1</v>
      </c>
      <c r="J474" s="1" t="s">
        <v>1</v>
      </c>
      <c r="K474" s="1">
        <f t="shared" si="74"/>
        <v>0</v>
      </c>
      <c r="L474" s="1" t="s">
        <v>2</v>
      </c>
      <c r="M474" s="1">
        <f t="shared" si="75"/>
        <v>1</v>
      </c>
      <c r="N474" s="1" t="s">
        <v>1</v>
      </c>
      <c r="O474" s="8">
        <v>0.43</v>
      </c>
      <c r="P474" s="7">
        <v>0.59</v>
      </c>
      <c r="Q474" s="3">
        <f>6/16</f>
        <v>0.375</v>
      </c>
      <c r="R474" s="10">
        <f t="shared" si="76"/>
        <v>-1.1999999999999993</v>
      </c>
      <c r="S474" s="13">
        <v>23.8</v>
      </c>
      <c r="T474" s="13">
        <v>25</v>
      </c>
      <c r="U474" s="10">
        <v>26</v>
      </c>
      <c r="V474" s="10">
        <v>28</v>
      </c>
      <c r="W474" s="10">
        <f t="shared" si="77"/>
        <v>-2</v>
      </c>
      <c r="X474" s="9" t="s">
        <v>1</v>
      </c>
      <c r="Y474" s="11">
        <f t="shared" si="78"/>
        <v>0</v>
      </c>
      <c r="Z474" s="14">
        <v>1</v>
      </c>
    </row>
    <row r="475" spans="1:26" x14ac:dyDescent="0.2">
      <c r="A475" s="12">
        <f t="shared" si="79"/>
        <v>2015</v>
      </c>
      <c r="B475" s="1" t="s">
        <v>42</v>
      </c>
      <c r="C475" s="1">
        <v>24</v>
      </c>
      <c r="D475" s="15">
        <v>444000000</v>
      </c>
      <c r="E475" s="15">
        <f>(292.7/237)*444000000</f>
        <v>548349367.08860755</v>
      </c>
      <c r="F475" s="10">
        <f t="shared" si="72"/>
        <v>53.900000000000006</v>
      </c>
      <c r="G475" s="5">
        <f>4343/16</f>
        <v>271.4375</v>
      </c>
      <c r="H475" s="4" t="s">
        <v>2</v>
      </c>
      <c r="I475" s="1">
        <f t="shared" si="73"/>
        <v>1</v>
      </c>
      <c r="J475" s="1" t="s">
        <v>1</v>
      </c>
      <c r="K475" s="1">
        <f t="shared" si="74"/>
        <v>0</v>
      </c>
      <c r="L475" s="1" t="s">
        <v>2</v>
      </c>
      <c r="M475" s="1">
        <f t="shared" si="75"/>
        <v>1</v>
      </c>
      <c r="N475" s="1" t="s">
        <v>2</v>
      </c>
      <c r="O475" s="8">
        <v>0.378</v>
      </c>
      <c r="P475" s="7">
        <v>0.44400000000000001</v>
      </c>
      <c r="Q475" s="3">
        <f>6/16</f>
        <v>0.375</v>
      </c>
      <c r="R475" s="10">
        <f t="shared" si="76"/>
        <v>-1.3000000000000007</v>
      </c>
      <c r="S475" s="13">
        <v>26.3</v>
      </c>
      <c r="T475" s="13">
        <v>27.6</v>
      </c>
      <c r="U475" s="10">
        <v>28</v>
      </c>
      <c r="V475" s="10">
        <v>21</v>
      </c>
      <c r="W475" s="10">
        <f t="shared" si="77"/>
        <v>7</v>
      </c>
      <c r="X475" s="9" t="s">
        <v>1</v>
      </c>
      <c r="Y475" s="11">
        <f t="shared" si="78"/>
        <v>0</v>
      </c>
      <c r="Z475" s="14">
        <v>4</v>
      </c>
    </row>
    <row r="476" spans="1:26" x14ac:dyDescent="0.2">
      <c r="A476" s="12">
        <f t="shared" si="79"/>
        <v>2016</v>
      </c>
      <c r="B476" s="1" t="s">
        <v>42</v>
      </c>
      <c r="C476" s="1">
        <v>24</v>
      </c>
      <c r="D476" s="15">
        <v>477000000</v>
      </c>
      <c r="E476" s="15">
        <f>(292.7/240)*477000000</f>
        <v>581741250</v>
      </c>
      <c r="F476" s="10">
        <f t="shared" si="72"/>
        <v>37.200000000000003</v>
      </c>
      <c r="G476" s="5">
        <f>3879/16</f>
        <v>242.4375</v>
      </c>
      <c r="H476" s="4" t="s">
        <v>2</v>
      </c>
      <c r="I476" s="1">
        <f t="shared" si="73"/>
        <v>1</v>
      </c>
      <c r="J476" s="1" t="s">
        <v>1</v>
      </c>
      <c r="K476" s="1">
        <f t="shared" si="74"/>
        <v>0</v>
      </c>
      <c r="L476" s="1" t="s">
        <v>2</v>
      </c>
      <c r="M476" s="1">
        <f t="shared" si="75"/>
        <v>1</v>
      </c>
      <c r="N476" s="1" t="s">
        <v>2</v>
      </c>
      <c r="O476" s="8">
        <v>0.35599999999999998</v>
      </c>
      <c r="P476" s="7">
        <v>0.53500000000000003</v>
      </c>
      <c r="Q476" s="3">
        <f>11/16</f>
        <v>0.6875</v>
      </c>
      <c r="R476" s="10">
        <f t="shared" si="76"/>
        <v>1.5999999999999979</v>
      </c>
      <c r="S476" s="13">
        <v>19.399999999999999</v>
      </c>
      <c r="T476" s="13">
        <v>17.8</v>
      </c>
      <c r="U476" s="10">
        <v>25</v>
      </c>
      <c r="V476" s="10">
        <v>27</v>
      </c>
      <c r="W476" s="10">
        <f t="shared" si="77"/>
        <v>-2</v>
      </c>
      <c r="X476" s="9" t="s">
        <v>2</v>
      </c>
      <c r="Y476" s="11">
        <f t="shared" si="78"/>
        <v>1</v>
      </c>
      <c r="Z476" s="14">
        <v>4</v>
      </c>
    </row>
    <row r="477" spans="1:26" x14ac:dyDescent="0.2">
      <c r="A477" s="12">
        <f t="shared" si="79"/>
        <v>2017</v>
      </c>
      <c r="B477" s="1" t="s">
        <v>42</v>
      </c>
      <c r="C477" s="1">
        <v>24</v>
      </c>
      <c r="D477" s="15">
        <v>493000000</v>
      </c>
      <c r="E477" s="15">
        <f>(292.7/245.1)*493000000</f>
        <v>588743778.0497756</v>
      </c>
      <c r="F477" s="10">
        <f t="shared" si="72"/>
        <v>39.700000000000003</v>
      </c>
      <c r="G477" s="5">
        <f>3479/16</f>
        <v>217.4375</v>
      </c>
      <c r="H477" s="4" t="s">
        <v>2</v>
      </c>
      <c r="I477" s="1">
        <f t="shared" si="73"/>
        <v>1</v>
      </c>
      <c r="J477" s="1" t="s">
        <v>1</v>
      </c>
      <c r="K477" s="1">
        <f t="shared" si="74"/>
        <v>0</v>
      </c>
      <c r="L477" s="1" t="s">
        <v>2</v>
      </c>
      <c r="M477" s="1">
        <f t="shared" si="75"/>
        <v>1</v>
      </c>
      <c r="N477" s="1" t="s">
        <v>2</v>
      </c>
      <c r="O477" s="8">
        <v>0.32600000000000001</v>
      </c>
      <c r="P477" s="7">
        <v>0.48699999999999999</v>
      </c>
      <c r="Q477" s="3">
        <f>3/16</f>
        <v>0.1875</v>
      </c>
      <c r="R477" s="10">
        <f t="shared" si="76"/>
        <v>-8.9</v>
      </c>
      <c r="S477" s="13">
        <v>15.4</v>
      </c>
      <c r="T477" s="13">
        <v>24.3</v>
      </c>
      <c r="U477" s="10">
        <v>19</v>
      </c>
      <c r="V477" s="10">
        <v>22</v>
      </c>
      <c r="W477" s="10">
        <f t="shared" si="77"/>
        <v>-3</v>
      </c>
      <c r="X477" s="9" t="s">
        <v>1</v>
      </c>
      <c r="Y477" s="11">
        <f t="shared" si="78"/>
        <v>0</v>
      </c>
      <c r="Z477" s="14">
        <v>1</v>
      </c>
    </row>
    <row r="478" spans="1:26" x14ac:dyDescent="0.2">
      <c r="A478" s="12">
        <f t="shared" si="79"/>
        <v>2018</v>
      </c>
      <c r="B478" s="1" t="s">
        <v>42</v>
      </c>
      <c r="C478" s="1">
        <v>24</v>
      </c>
      <c r="D478" s="15">
        <v>519000000</v>
      </c>
      <c r="E478" s="15">
        <f>(292.7/251.1)*519000000</f>
        <v>604983273.59617686</v>
      </c>
      <c r="F478" s="10">
        <f t="shared" si="72"/>
        <v>48.900000000000006</v>
      </c>
      <c r="G478" s="5">
        <f>4047/16</f>
        <v>252.9375</v>
      </c>
      <c r="H478" s="4" t="s">
        <v>1</v>
      </c>
      <c r="I478" s="1">
        <f t="shared" si="73"/>
        <v>0</v>
      </c>
      <c r="J478" s="1" t="s">
        <v>2</v>
      </c>
      <c r="K478" s="1">
        <f t="shared" si="74"/>
        <v>1</v>
      </c>
      <c r="L478" s="1" t="s">
        <v>2</v>
      </c>
      <c r="M478" s="1">
        <f t="shared" si="75"/>
        <v>1</v>
      </c>
      <c r="N478" s="1" t="s">
        <v>2</v>
      </c>
      <c r="O478" s="8">
        <v>0.36899999999999999</v>
      </c>
      <c r="P478" s="7">
        <v>0.5</v>
      </c>
      <c r="Q478" s="3">
        <f>5/16</f>
        <v>0.3125</v>
      </c>
      <c r="R478" s="10">
        <f t="shared" si="76"/>
        <v>-2.6999999999999993</v>
      </c>
      <c r="S478" s="13">
        <v>23.1</v>
      </c>
      <c r="T478" s="13">
        <v>25.8</v>
      </c>
      <c r="U478" s="10">
        <v>21</v>
      </c>
      <c r="V478" s="10">
        <v>19</v>
      </c>
      <c r="W478" s="10">
        <f t="shared" si="77"/>
        <v>2</v>
      </c>
      <c r="X478" s="9" t="s">
        <v>1</v>
      </c>
      <c r="Y478" s="11">
        <f t="shared" si="78"/>
        <v>0</v>
      </c>
      <c r="Z478" s="14">
        <v>5</v>
      </c>
    </row>
    <row r="479" spans="1:26" x14ac:dyDescent="0.2">
      <c r="A479" s="12">
        <f t="shared" si="79"/>
        <v>2019</v>
      </c>
      <c r="B479" s="1" t="s">
        <v>42</v>
      </c>
      <c r="C479" s="1">
        <v>24</v>
      </c>
      <c r="D479" s="15">
        <v>547000000</v>
      </c>
      <c r="E479" s="15">
        <f>(292.7/255.7)*547000000</f>
        <v>626151349.23738766</v>
      </c>
      <c r="F479" s="10">
        <f t="shared" si="72"/>
        <v>49.5</v>
      </c>
      <c r="G479" s="5">
        <f>3731/16</f>
        <v>233.1875</v>
      </c>
      <c r="H479" s="4" t="s">
        <v>1</v>
      </c>
      <c r="I479" s="1">
        <f t="shared" si="73"/>
        <v>0</v>
      </c>
      <c r="J479" s="1" t="s">
        <v>2</v>
      </c>
      <c r="K479" s="1">
        <f t="shared" si="74"/>
        <v>1</v>
      </c>
      <c r="L479" s="1" t="s">
        <v>2</v>
      </c>
      <c r="M479" s="1">
        <f t="shared" si="75"/>
        <v>1</v>
      </c>
      <c r="N479" s="1" t="s">
        <v>2</v>
      </c>
      <c r="O479" s="8">
        <v>0.373</v>
      </c>
      <c r="P479" s="7">
        <v>0.57099999999999995</v>
      </c>
      <c r="Q479" s="3">
        <f>4/16</f>
        <v>0.25</v>
      </c>
      <c r="R479" s="10">
        <f t="shared" si="76"/>
        <v>-6.8999999999999986</v>
      </c>
      <c r="S479" s="13">
        <v>21.3</v>
      </c>
      <c r="T479" s="13">
        <v>28.2</v>
      </c>
      <c r="U479" s="10">
        <v>16</v>
      </c>
      <c r="V479" s="10">
        <v>33</v>
      </c>
      <c r="W479" s="10">
        <f t="shared" si="77"/>
        <v>-17</v>
      </c>
      <c r="X479" s="9" t="s">
        <v>1</v>
      </c>
      <c r="Y479" s="11">
        <f t="shared" si="78"/>
        <v>0</v>
      </c>
      <c r="Z479" s="14">
        <v>0</v>
      </c>
    </row>
    <row r="480" spans="1:26" x14ac:dyDescent="0.2">
      <c r="A480" s="12">
        <v>2021</v>
      </c>
      <c r="B480" s="1" t="s">
        <v>42</v>
      </c>
      <c r="C480" s="1">
        <v>24</v>
      </c>
      <c r="D480" s="15">
        <v>584000000</v>
      </c>
      <c r="E480" s="15">
        <f>(292.7/271)*584000000</f>
        <v>630763099.63099623</v>
      </c>
      <c r="F480" s="10">
        <f t="shared" si="72"/>
        <v>39.700000000000003</v>
      </c>
      <c r="G480" s="5">
        <f>3196/17</f>
        <v>188</v>
      </c>
      <c r="H480" s="4" t="s">
        <v>1</v>
      </c>
      <c r="I480" s="1">
        <f t="shared" si="73"/>
        <v>0</v>
      </c>
      <c r="J480" s="1" t="s">
        <v>2</v>
      </c>
      <c r="K480" s="1">
        <f t="shared" si="74"/>
        <v>1</v>
      </c>
      <c r="L480" s="1" t="s">
        <v>2</v>
      </c>
      <c r="M480" s="1">
        <f t="shared" si="75"/>
        <v>1</v>
      </c>
      <c r="N480" s="1" t="s">
        <v>2</v>
      </c>
      <c r="O480" s="8">
        <v>0.36499999999999999</v>
      </c>
      <c r="P480" s="7">
        <v>0.44700000000000001</v>
      </c>
      <c r="Q480" s="3">
        <f>4/17</f>
        <v>0.23529411764705882</v>
      </c>
      <c r="R480" s="10">
        <f t="shared" si="76"/>
        <v>-9.3000000000000007</v>
      </c>
      <c r="S480" s="13">
        <v>15.2</v>
      </c>
      <c r="T480" s="13">
        <v>24.5</v>
      </c>
      <c r="U480" s="10">
        <v>22</v>
      </c>
      <c r="V480" s="10">
        <v>30</v>
      </c>
      <c r="W480" s="10">
        <f t="shared" si="77"/>
        <v>-8</v>
      </c>
      <c r="X480" s="9" t="s">
        <v>1</v>
      </c>
      <c r="Y480" s="11">
        <f t="shared" si="78"/>
        <v>0</v>
      </c>
      <c r="Z480" s="14">
        <v>0</v>
      </c>
    </row>
    <row r="481" spans="1:26" x14ac:dyDescent="0.2">
      <c r="A481" s="12">
        <f>A480+1</f>
        <v>2022</v>
      </c>
      <c r="B481" s="1" t="s">
        <v>42</v>
      </c>
      <c r="C481" s="1">
        <v>24</v>
      </c>
      <c r="D481" s="15">
        <v>639000000</v>
      </c>
      <c r="E481" s="15">
        <f>(292.7/292.7)*639000000</f>
        <v>639000000</v>
      </c>
      <c r="F481" s="10">
        <f t="shared" si="72"/>
        <v>43.3</v>
      </c>
      <c r="G481" s="5">
        <f>3157/17</f>
        <v>185.70588235294119</v>
      </c>
      <c r="H481" s="4" t="s">
        <v>1</v>
      </c>
      <c r="I481" s="1">
        <f t="shared" si="73"/>
        <v>0</v>
      </c>
      <c r="J481" s="1" t="s">
        <v>2</v>
      </c>
      <c r="K481" s="1">
        <f t="shared" si="74"/>
        <v>1</v>
      </c>
      <c r="L481" s="1" t="s">
        <v>2</v>
      </c>
      <c r="M481" s="1">
        <f t="shared" si="75"/>
        <v>1</v>
      </c>
      <c r="N481" s="1" t="s">
        <v>2</v>
      </c>
      <c r="O481" s="8">
        <v>0.36799999999999999</v>
      </c>
      <c r="P481" s="7">
        <v>0.63300000000000001</v>
      </c>
      <c r="Q481" s="3">
        <f>9.5/17</f>
        <v>0.55882352941176472</v>
      </c>
      <c r="R481" s="10">
        <f t="shared" si="76"/>
        <v>-0.30000000000000071</v>
      </c>
      <c r="S481" s="13">
        <v>21.5</v>
      </c>
      <c r="T481" s="13">
        <v>21.8</v>
      </c>
      <c r="U481" s="10">
        <v>19</v>
      </c>
      <c r="V481" s="10">
        <v>16</v>
      </c>
      <c r="W481" s="10">
        <f t="shared" si="77"/>
        <v>3</v>
      </c>
      <c r="X481" s="9" t="s">
        <v>2</v>
      </c>
      <c r="Y481" s="11">
        <f t="shared" si="78"/>
        <v>1</v>
      </c>
      <c r="Z481" s="14">
        <v>2</v>
      </c>
    </row>
    <row r="482" spans="1:26" x14ac:dyDescent="0.2">
      <c r="A482" s="12">
        <v>2002</v>
      </c>
      <c r="B482" s="1" t="s">
        <v>43</v>
      </c>
      <c r="C482" s="1">
        <v>25</v>
      </c>
      <c r="D482" s="15">
        <v>142000000</v>
      </c>
      <c r="E482" s="15">
        <f>(292.7/179.9)*142000000</f>
        <v>231036131.1839911</v>
      </c>
      <c r="F482" s="10">
        <f t="shared" si="72"/>
        <v>43.4</v>
      </c>
      <c r="G482" s="5">
        <f>3418/16</f>
        <v>213.625</v>
      </c>
      <c r="H482" s="4" t="s">
        <v>1</v>
      </c>
      <c r="I482" s="1">
        <f t="shared" si="73"/>
        <v>0</v>
      </c>
      <c r="J482" s="1" t="s">
        <v>1</v>
      </c>
      <c r="K482" s="1">
        <f t="shared" si="74"/>
        <v>0</v>
      </c>
      <c r="L482" s="1" t="s">
        <v>1</v>
      </c>
      <c r="M482" s="1">
        <f t="shared" si="75"/>
        <v>0</v>
      </c>
      <c r="N482" s="1" t="s">
        <v>1</v>
      </c>
      <c r="O482" s="8">
        <v>0.40400000000000003</v>
      </c>
      <c r="P482" s="7">
        <v>0.59299999999999997</v>
      </c>
      <c r="Q482" s="3">
        <f>9/16</f>
        <v>0.5625</v>
      </c>
      <c r="R482" s="10">
        <f t="shared" si="76"/>
        <v>1.3999999999999986</v>
      </c>
      <c r="S482" s="13">
        <v>22.4</v>
      </c>
      <c r="T482" s="13">
        <v>21</v>
      </c>
      <c r="U482" s="10">
        <v>23</v>
      </c>
      <c r="V482" s="10">
        <v>19</v>
      </c>
      <c r="W482" s="10">
        <f t="shared" si="77"/>
        <v>4</v>
      </c>
      <c r="X482" s="9" t="s">
        <v>2</v>
      </c>
      <c r="Y482" s="11">
        <f t="shared" si="78"/>
        <v>1</v>
      </c>
      <c r="Z482" s="14">
        <v>2</v>
      </c>
    </row>
    <row r="483" spans="1:26" x14ac:dyDescent="0.2">
      <c r="A483" s="12">
        <f>A482+1</f>
        <v>2003</v>
      </c>
      <c r="B483" s="1" t="s">
        <v>43</v>
      </c>
      <c r="C483" s="1">
        <v>25</v>
      </c>
      <c r="D483" s="15">
        <v>152000000</v>
      </c>
      <c r="E483" s="15">
        <f>(292.7/184)*152000000</f>
        <v>241795652.17391303</v>
      </c>
      <c r="F483" s="10">
        <f t="shared" si="72"/>
        <v>36.4</v>
      </c>
      <c r="G483" s="5">
        <f>3316/16</f>
        <v>207.25</v>
      </c>
      <c r="H483" s="4" t="s">
        <v>1</v>
      </c>
      <c r="I483" s="1">
        <f t="shared" si="73"/>
        <v>0</v>
      </c>
      <c r="J483" s="1" t="s">
        <v>1</v>
      </c>
      <c r="K483" s="1">
        <f t="shared" si="74"/>
        <v>0</v>
      </c>
      <c r="L483" s="1" t="s">
        <v>1</v>
      </c>
      <c r="M483" s="1">
        <f t="shared" si="75"/>
        <v>0</v>
      </c>
      <c r="N483" s="1" t="s">
        <v>1</v>
      </c>
      <c r="O483" s="8">
        <v>0.39800000000000002</v>
      </c>
      <c r="P483" s="7">
        <v>0.48699999999999999</v>
      </c>
      <c r="Q483" s="3">
        <f>6/16</f>
        <v>0.375</v>
      </c>
      <c r="R483" s="10">
        <f t="shared" si="76"/>
        <v>-1</v>
      </c>
      <c r="S483" s="13">
        <v>17.7</v>
      </c>
      <c r="T483" s="13">
        <v>18.7</v>
      </c>
      <c r="U483" s="10">
        <v>20</v>
      </c>
      <c r="V483" s="10">
        <v>20</v>
      </c>
      <c r="W483" s="10">
        <f t="shared" si="77"/>
        <v>0</v>
      </c>
      <c r="X483" s="9" t="s">
        <v>1</v>
      </c>
      <c r="Y483" s="11">
        <f t="shared" si="78"/>
        <v>0</v>
      </c>
      <c r="Z483" s="14">
        <v>2</v>
      </c>
    </row>
    <row r="484" spans="1:26" x14ac:dyDescent="0.2">
      <c r="A484" s="12">
        <f>A483+1</f>
        <v>2004</v>
      </c>
      <c r="B484" s="1" t="s">
        <v>43</v>
      </c>
      <c r="C484" s="1">
        <v>25</v>
      </c>
      <c r="D484" s="15">
        <v>172000000</v>
      </c>
      <c r="E484" s="15">
        <f>(292.7/188.9)*172000000</f>
        <v>266513499.20592904</v>
      </c>
      <c r="F484" s="10">
        <f t="shared" si="72"/>
        <v>37.1</v>
      </c>
      <c r="G484" s="5">
        <f>3050/16</f>
        <v>190.625</v>
      </c>
      <c r="H484" s="4" t="s">
        <v>1</v>
      </c>
      <c r="I484" s="1">
        <f t="shared" si="73"/>
        <v>0</v>
      </c>
      <c r="J484" s="1" t="s">
        <v>1</v>
      </c>
      <c r="K484" s="1">
        <f t="shared" si="74"/>
        <v>0</v>
      </c>
      <c r="L484" s="1" t="s">
        <v>1</v>
      </c>
      <c r="M484" s="1">
        <f t="shared" si="75"/>
        <v>0</v>
      </c>
      <c r="N484" s="1" t="s">
        <v>1</v>
      </c>
      <c r="O484" s="8">
        <v>0.42499999999999999</v>
      </c>
      <c r="P484" s="7">
        <v>0.58099999999999996</v>
      </c>
      <c r="Q484" s="3">
        <f>10/16</f>
        <v>0.625</v>
      </c>
      <c r="R484" s="10">
        <f t="shared" si="76"/>
        <v>4.5</v>
      </c>
      <c r="S484" s="13">
        <v>20.8</v>
      </c>
      <c r="T484" s="13">
        <v>16.3</v>
      </c>
      <c r="U484" s="10">
        <v>33</v>
      </c>
      <c r="V484" s="10">
        <v>16</v>
      </c>
      <c r="W484" s="10">
        <f t="shared" si="77"/>
        <v>17</v>
      </c>
      <c r="X484" s="9" t="s">
        <v>2</v>
      </c>
      <c r="Y484" s="11">
        <f t="shared" si="78"/>
        <v>1</v>
      </c>
      <c r="Z484" s="14">
        <v>3</v>
      </c>
    </row>
    <row r="485" spans="1:26" x14ac:dyDescent="0.2">
      <c r="A485" s="12">
        <f>A484+1</f>
        <v>2005</v>
      </c>
      <c r="B485" s="1" t="s">
        <v>43</v>
      </c>
      <c r="C485" s="1">
        <v>25</v>
      </c>
      <c r="D485" s="15">
        <v>179000000</v>
      </c>
      <c r="E485" s="15">
        <f>(292.7/195.3)*179000000</f>
        <v>268270865.33538142</v>
      </c>
      <c r="F485" s="10">
        <f t="shared" si="72"/>
        <v>37.200000000000003</v>
      </c>
      <c r="G485" s="5">
        <f>2642/16</f>
        <v>165.125</v>
      </c>
      <c r="H485" s="4" t="s">
        <v>1</v>
      </c>
      <c r="I485" s="1">
        <f t="shared" si="73"/>
        <v>0</v>
      </c>
      <c r="J485" s="1" t="s">
        <v>1</v>
      </c>
      <c r="K485" s="1">
        <f t="shared" si="74"/>
        <v>0</v>
      </c>
      <c r="L485" s="1" t="s">
        <v>1</v>
      </c>
      <c r="M485" s="1">
        <f t="shared" si="75"/>
        <v>0</v>
      </c>
      <c r="N485" s="1" t="s">
        <v>1</v>
      </c>
      <c r="O485" s="8">
        <v>0.35299999999999998</v>
      </c>
      <c r="P485" s="7">
        <v>0.442</v>
      </c>
      <c r="Q485" s="3">
        <f>4/16</f>
        <v>0.25</v>
      </c>
      <c r="R485" s="10">
        <f t="shared" si="76"/>
        <v>-7.1999999999999993</v>
      </c>
      <c r="S485" s="13">
        <v>15</v>
      </c>
      <c r="T485" s="13">
        <v>22.2</v>
      </c>
      <c r="U485" s="10">
        <v>28</v>
      </c>
      <c r="V485" s="10">
        <v>34</v>
      </c>
      <c r="W485" s="10">
        <f t="shared" si="77"/>
        <v>-6</v>
      </c>
      <c r="X485" s="9" t="s">
        <v>1</v>
      </c>
      <c r="Y485" s="11">
        <f t="shared" si="78"/>
        <v>0</v>
      </c>
      <c r="Z485" s="14">
        <v>2</v>
      </c>
    </row>
    <row r="486" spans="1:26" x14ac:dyDescent="0.2">
      <c r="A486" s="12">
        <f>A485+1</f>
        <v>2006</v>
      </c>
      <c r="B486" s="1" t="s">
        <v>43</v>
      </c>
      <c r="C486" s="1">
        <v>25</v>
      </c>
      <c r="D486" s="15">
        <v>193000000</v>
      </c>
      <c r="E486" s="15">
        <f>(292.7/201.6)*193000000</f>
        <v>280213789.6825397</v>
      </c>
      <c r="F486" s="10">
        <f t="shared" si="72"/>
        <v>38.200000000000003</v>
      </c>
      <c r="G486" s="5">
        <f>3153/16</f>
        <v>197.0625</v>
      </c>
      <c r="H486" s="4" t="s">
        <v>1</v>
      </c>
      <c r="I486" s="1">
        <f t="shared" si="73"/>
        <v>0</v>
      </c>
      <c r="J486" s="1" t="s">
        <v>1</v>
      </c>
      <c r="K486" s="1">
        <f t="shared" si="74"/>
        <v>0</v>
      </c>
      <c r="L486" s="1" t="s">
        <v>1</v>
      </c>
      <c r="M486" s="1">
        <f t="shared" si="75"/>
        <v>0</v>
      </c>
      <c r="N486" s="1" t="s">
        <v>1</v>
      </c>
      <c r="O486" s="8">
        <v>0.438</v>
      </c>
      <c r="P486" s="7">
        <v>0.45800000000000002</v>
      </c>
      <c r="Q486" s="3">
        <f>10/16</f>
        <v>0.625</v>
      </c>
      <c r="R486" s="10">
        <f t="shared" si="76"/>
        <v>1.4000000000000021</v>
      </c>
      <c r="S486" s="13">
        <v>19.8</v>
      </c>
      <c r="T486" s="13">
        <v>18.399999999999999</v>
      </c>
      <c r="U486" s="10">
        <v>25</v>
      </c>
      <c r="V486" s="10">
        <v>25</v>
      </c>
      <c r="W486" s="10">
        <f t="shared" si="77"/>
        <v>0</v>
      </c>
      <c r="X486" s="9" t="s">
        <v>2</v>
      </c>
      <c r="Y486" s="11">
        <f t="shared" si="78"/>
        <v>1</v>
      </c>
      <c r="Z486" s="14">
        <v>1</v>
      </c>
    </row>
    <row r="487" spans="1:26" x14ac:dyDescent="0.2">
      <c r="A487" s="12">
        <f>A486+1</f>
        <v>2007</v>
      </c>
      <c r="B487" s="1" t="s">
        <v>43</v>
      </c>
      <c r="C487" s="1">
        <v>25</v>
      </c>
      <c r="D487" s="15">
        <v>213000000</v>
      </c>
      <c r="E487" s="15">
        <f>(292.7/207.3)*213000000</f>
        <v>300748191.02749634</v>
      </c>
      <c r="F487" s="10">
        <f t="shared" si="72"/>
        <v>39</v>
      </c>
      <c r="G487" s="5">
        <f>3014/16</f>
        <v>188.375</v>
      </c>
      <c r="H487" s="4" t="s">
        <v>1</v>
      </c>
      <c r="I487" s="1">
        <f t="shared" si="73"/>
        <v>0</v>
      </c>
      <c r="J487" s="1" t="s">
        <v>1</v>
      </c>
      <c r="K487" s="1">
        <f t="shared" si="74"/>
        <v>0</v>
      </c>
      <c r="L487" s="1" t="s">
        <v>1</v>
      </c>
      <c r="M487" s="1">
        <f t="shared" si="75"/>
        <v>0</v>
      </c>
      <c r="N487" s="1" t="s">
        <v>1</v>
      </c>
      <c r="O487" s="8">
        <v>0.376</v>
      </c>
      <c r="P487" s="7">
        <v>0.36699999999999999</v>
      </c>
      <c r="Q487" s="3">
        <f>4/16</f>
        <v>0.25</v>
      </c>
      <c r="R487" s="10">
        <f t="shared" si="76"/>
        <v>-5.3999999999999986</v>
      </c>
      <c r="S487" s="13">
        <v>16.8</v>
      </c>
      <c r="T487" s="13">
        <v>22.2</v>
      </c>
      <c r="U487" s="10">
        <v>21</v>
      </c>
      <c r="V487" s="10">
        <v>25</v>
      </c>
      <c r="W487" s="10">
        <f t="shared" si="77"/>
        <v>-4</v>
      </c>
      <c r="X487" s="9" t="s">
        <v>1</v>
      </c>
      <c r="Y487" s="11">
        <f t="shared" si="78"/>
        <v>0</v>
      </c>
      <c r="Z487" s="14">
        <v>0</v>
      </c>
    </row>
    <row r="488" spans="1:26" x14ac:dyDescent="0.2">
      <c r="A488" s="12">
        <v>2008</v>
      </c>
      <c r="B488" s="1" t="s">
        <v>43</v>
      </c>
      <c r="C488" s="1">
        <v>25</v>
      </c>
      <c r="D488" s="15">
        <v>227000000</v>
      </c>
      <c r="E488" s="15">
        <f>(292.7/215.3)*227000000</f>
        <v>308606130.98002785</v>
      </c>
      <c r="F488" s="10">
        <f t="shared" si="72"/>
        <v>47.6</v>
      </c>
      <c r="G488" s="5">
        <f>3303/16</f>
        <v>206.4375</v>
      </c>
      <c r="H488" s="4" t="s">
        <v>1</v>
      </c>
      <c r="I488" s="1">
        <f t="shared" si="73"/>
        <v>0</v>
      </c>
      <c r="J488" s="1" t="s">
        <v>1</v>
      </c>
      <c r="K488" s="1">
        <f t="shared" si="74"/>
        <v>0</v>
      </c>
      <c r="L488" s="1" t="s">
        <v>1</v>
      </c>
      <c r="M488" s="1">
        <f t="shared" si="75"/>
        <v>0</v>
      </c>
      <c r="N488" s="1" t="s">
        <v>1</v>
      </c>
      <c r="O488" s="8">
        <v>0.41099999999999998</v>
      </c>
      <c r="P488" s="7">
        <v>0.53200000000000003</v>
      </c>
      <c r="Q488" s="3">
        <f>9/16</f>
        <v>0.5625</v>
      </c>
      <c r="R488" s="10">
        <f t="shared" si="76"/>
        <v>3</v>
      </c>
      <c r="S488" s="13">
        <v>25.3</v>
      </c>
      <c r="T488" s="13">
        <v>22.3</v>
      </c>
      <c r="U488" s="10">
        <v>30</v>
      </c>
      <c r="V488" s="10">
        <v>31</v>
      </c>
      <c r="W488" s="10">
        <f t="shared" si="77"/>
        <v>-1</v>
      </c>
      <c r="X488" s="9" t="s">
        <v>1</v>
      </c>
      <c r="Y488" s="11">
        <f t="shared" si="78"/>
        <v>0</v>
      </c>
      <c r="Z488" s="14">
        <v>7</v>
      </c>
    </row>
    <row r="489" spans="1:26" x14ac:dyDescent="0.2">
      <c r="A489" s="12">
        <f t="shared" ref="A489:A499" si="80">A488+1</f>
        <v>2009</v>
      </c>
      <c r="B489" s="1" t="s">
        <v>43</v>
      </c>
      <c r="C489" s="1">
        <v>25</v>
      </c>
      <c r="D489" s="15">
        <v>238000000</v>
      </c>
      <c r="E489" s="15">
        <f>(292.7/214.5)*238000000</f>
        <v>324767365.96736598</v>
      </c>
      <c r="F489" s="10">
        <f t="shared" si="72"/>
        <v>36.6</v>
      </c>
      <c r="G489" s="5">
        <f>2380/16</f>
        <v>148.75</v>
      </c>
      <c r="H489" s="4" t="s">
        <v>2</v>
      </c>
      <c r="I489" s="1">
        <f t="shared" si="73"/>
        <v>1</v>
      </c>
      <c r="J489" s="1" t="s">
        <v>1</v>
      </c>
      <c r="K489" s="1">
        <f t="shared" si="74"/>
        <v>0</v>
      </c>
      <c r="L489" s="1" t="s">
        <v>2</v>
      </c>
      <c r="M489" s="1">
        <f t="shared" si="75"/>
        <v>1</v>
      </c>
      <c r="N489" s="1" t="s">
        <v>1</v>
      </c>
      <c r="O489" s="8">
        <v>0.371</v>
      </c>
      <c r="P489" s="7">
        <v>0.49</v>
      </c>
      <c r="Q489" s="3">
        <f>9/16</f>
        <v>0.5625</v>
      </c>
      <c r="R489" s="10">
        <f t="shared" si="76"/>
        <v>7</v>
      </c>
      <c r="S489" s="13">
        <v>21.8</v>
      </c>
      <c r="T489" s="13">
        <v>14.8</v>
      </c>
      <c r="U489" s="10">
        <v>31</v>
      </c>
      <c r="V489" s="10">
        <v>30</v>
      </c>
      <c r="W489" s="10">
        <f t="shared" si="77"/>
        <v>1</v>
      </c>
      <c r="X489" s="9" t="s">
        <v>2</v>
      </c>
      <c r="Y489" s="11">
        <f t="shared" si="78"/>
        <v>1</v>
      </c>
      <c r="Z489" s="14">
        <v>5</v>
      </c>
    </row>
    <row r="490" spans="1:26" x14ac:dyDescent="0.2">
      <c r="A490" s="12">
        <f t="shared" si="80"/>
        <v>2010</v>
      </c>
      <c r="B490" s="1" t="s">
        <v>43</v>
      </c>
      <c r="C490" s="1">
        <v>25</v>
      </c>
      <c r="D490" s="15">
        <v>285000000</v>
      </c>
      <c r="E490" s="15">
        <f>(292.7/218.1)*285000000</f>
        <v>382482806.05226964</v>
      </c>
      <c r="F490" s="10">
        <f t="shared" si="72"/>
        <v>41.9</v>
      </c>
      <c r="G490" s="5">
        <f>3242/16</f>
        <v>202.625</v>
      </c>
      <c r="H490" s="4" t="s">
        <v>2</v>
      </c>
      <c r="I490" s="1">
        <f t="shared" si="73"/>
        <v>1</v>
      </c>
      <c r="J490" s="1" t="s">
        <v>1</v>
      </c>
      <c r="K490" s="1">
        <f t="shared" si="74"/>
        <v>0</v>
      </c>
      <c r="L490" s="1" t="s">
        <v>2</v>
      </c>
      <c r="M490" s="1">
        <f t="shared" si="75"/>
        <v>1</v>
      </c>
      <c r="N490" s="1" t="s">
        <v>1</v>
      </c>
      <c r="O490" s="8">
        <v>0.39600000000000002</v>
      </c>
      <c r="P490" s="7">
        <v>0.4</v>
      </c>
      <c r="Q490" s="3">
        <f>11/16</f>
        <v>0.6875</v>
      </c>
      <c r="R490" s="10">
        <f t="shared" si="76"/>
        <v>3.8999999999999986</v>
      </c>
      <c r="S490" s="13">
        <v>22.9</v>
      </c>
      <c r="T490" s="13">
        <v>19</v>
      </c>
      <c r="U490" s="10">
        <v>30</v>
      </c>
      <c r="V490" s="10">
        <v>21</v>
      </c>
      <c r="W490" s="10">
        <f t="shared" si="77"/>
        <v>9</v>
      </c>
      <c r="X490" s="9" t="s">
        <v>2</v>
      </c>
      <c r="Y490" s="11">
        <f t="shared" si="78"/>
        <v>1</v>
      </c>
      <c r="Z490" s="14">
        <v>3</v>
      </c>
    </row>
    <row r="491" spans="1:26" x14ac:dyDescent="0.2">
      <c r="A491" s="12">
        <f t="shared" si="80"/>
        <v>2011</v>
      </c>
      <c r="B491" s="1" t="s">
        <v>43</v>
      </c>
      <c r="C491" s="1">
        <v>25</v>
      </c>
      <c r="D491" s="15">
        <v>299000000</v>
      </c>
      <c r="E491" s="15">
        <f>(292.7/224.9)*299000000</f>
        <v>389138728.32369941</v>
      </c>
      <c r="F491" s="10">
        <f t="shared" si="72"/>
        <v>46.3</v>
      </c>
      <c r="G491" s="5">
        <f>3297/16</f>
        <v>206.0625</v>
      </c>
      <c r="H491" s="4" t="s">
        <v>2</v>
      </c>
      <c r="I491" s="1">
        <f t="shared" si="73"/>
        <v>1</v>
      </c>
      <c r="J491" s="1" t="s">
        <v>1</v>
      </c>
      <c r="K491" s="1">
        <f t="shared" si="74"/>
        <v>0</v>
      </c>
      <c r="L491" s="1" t="s">
        <v>2</v>
      </c>
      <c r="M491" s="1">
        <f t="shared" si="75"/>
        <v>1</v>
      </c>
      <c r="N491" s="1" t="s">
        <v>1</v>
      </c>
      <c r="O491" s="8">
        <v>0.34699999999999998</v>
      </c>
      <c r="P491" s="7">
        <v>0.65500000000000003</v>
      </c>
      <c r="Q491" s="3">
        <f>8/16</f>
        <v>0.5</v>
      </c>
      <c r="R491" s="10">
        <f t="shared" si="76"/>
        <v>0.90000000000000213</v>
      </c>
      <c r="S491" s="13">
        <v>23.6</v>
      </c>
      <c r="T491" s="13">
        <v>22.7</v>
      </c>
      <c r="U491" s="10">
        <v>31</v>
      </c>
      <c r="V491" s="10">
        <v>34</v>
      </c>
      <c r="W491" s="10">
        <f t="shared" si="77"/>
        <v>-3</v>
      </c>
      <c r="X491" s="9" t="s">
        <v>1</v>
      </c>
      <c r="Y491" s="11">
        <f t="shared" si="78"/>
        <v>0</v>
      </c>
      <c r="Z491" s="14">
        <v>4</v>
      </c>
    </row>
    <row r="492" spans="1:26" x14ac:dyDescent="0.2">
      <c r="A492" s="12">
        <f t="shared" si="80"/>
        <v>2012</v>
      </c>
      <c r="B492" s="1" t="s">
        <v>43</v>
      </c>
      <c r="C492" s="1">
        <v>25</v>
      </c>
      <c r="D492" s="15">
        <v>321000000</v>
      </c>
      <c r="E492" s="15">
        <f>(292.7/229.6)*321000000</f>
        <v>409219076.65505224</v>
      </c>
      <c r="F492" s="10">
        <f t="shared" si="72"/>
        <v>41</v>
      </c>
      <c r="G492" s="5">
        <f>2891/16</f>
        <v>180.6875</v>
      </c>
      <c r="H492" s="4" t="s">
        <v>2</v>
      </c>
      <c r="I492" s="1">
        <f t="shared" si="73"/>
        <v>1</v>
      </c>
      <c r="J492" s="1" t="s">
        <v>1</v>
      </c>
      <c r="K492" s="1">
        <f t="shared" si="74"/>
        <v>0</v>
      </c>
      <c r="L492" s="1" t="s">
        <v>2</v>
      </c>
      <c r="M492" s="1">
        <f t="shared" si="75"/>
        <v>1</v>
      </c>
      <c r="N492" s="1" t="s">
        <v>1</v>
      </c>
      <c r="O492" s="8">
        <v>0.36899999999999999</v>
      </c>
      <c r="P492" s="7">
        <v>0.48899999999999999</v>
      </c>
      <c r="Q492" s="3">
        <f>6/16</f>
        <v>0.375</v>
      </c>
      <c r="R492" s="10">
        <f t="shared" si="76"/>
        <v>-5.7999999999999972</v>
      </c>
      <c r="S492" s="13">
        <v>17.600000000000001</v>
      </c>
      <c r="T492" s="13">
        <v>23.4</v>
      </c>
      <c r="U492" s="10">
        <v>23</v>
      </c>
      <c r="V492" s="10">
        <v>37</v>
      </c>
      <c r="W492" s="10">
        <f t="shared" si="77"/>
        <v>-14</v>
      </c>
      <c r="X492" s="9" t="s">
        <v>1</v>
      </c>
      <c r="Y492" s="11">
        <f t="shared" si="78"/>
        <v>0</v>
      </c>
      <c r="Z492" s="14">
        <v>2</v>
      </c>
    </row>
    <row r="493" spans="1:26" x14ac:dyDescent="0.2">
      <c r="A493" s="12">
        <f t="shared" si="80"/>
        <v>2013</v>
      </c>
      <c r="B493" s="1" t="s">
        <v>43</v>
      </c>
      <c r="C493" s="1">
        <v>25</v>
      </c>
      <c r="D493" s="15">
        <v>333000000</v>
      </c>
      <c r="E493" s="15">
        <f>(292.7/233)*333000000</f>
        <v>418322317.5965665</v>
      </c>
      <c r="F493" s="10">
        <f t="shared" si="72"/>
        <v>42.3</v>
      </c>
      <c r="G493" s="5">
        <f>2932/16</f>
        <v>183.25</v>
      </c>
      <c r="H493" s="4" t="s">
        <v>2</v>
      </c>
      <c r="I493" s="1">
        <f t="shared" si="73"/>
        <v>1</v>
      </c>
      <c r="J493" s="1" t="s">
        <v>1</v>
      </c>
      <c r="K493" s="1">
        <f t="shared" si="74"/>
        <v>0</v>
      </c>
      <c r="L493" s="1" t="s">
        <v>2</v>
      </c>
      <c r="M493" s="1">
        <f t="shared" si="75"/>
        <v>1</v>
      </c>
      <c r="N493" s="1" t="s">
        <v>1</v>
      </c>
      <c r="O493" s="8">
        <v>0.39</v>
      </c>
      <c r="P493" s="7">
        <v>0.5</v>
      </c>
      <c r="Q493" s="3">
        <f>8/16</f>
        <v>0.5</v>
      </c>
      <c r="R493" s="10">
        <f t="shared" si="76"/>
        <v>-6.0999999999999979</v>
      </c>
      <c r="S493" s="13">
        <v>18.100000000000001</v>
      </c>
      <c r="T493" s="13">
        <v>24.2</v>
      </c>
      <c r="U493" s="10">
        <v>15</v>
      </c>
      <c r="V493" s="10">
        <v>29</v>
      </c>
      <c r="W493" s="10">
        <f t="shared" si="77"/>
        <v>-14</v>
      </c>
      <c r="X493" s="9" t="s">
        <v>1</v>
      </c>
      <c r="Y493" s="11">
        <f t="shared" si="78"/>
        <v>0</v>
      </c>
      <c r="Z493" s="14">
        <v>2</v>
      </c>
    </row>
    <row r="494" spans="1:26" x14ac:dyDescent="0.2">
      <c r="A494" s="12">
        <f t="shared" si="80"/>
        <v>2014</v>
      </c>
      <c r="B494" s="1" t="s">
        <v>43</v>
      </c>
      <c r="C494" s="1">
        <v>25</v>
      </c>
      <c r="D494" s="15">
        <v>383000000</v>
      </c>
      <c r="E494" s="15">
        <f>(292.7/236.7)*383000000</f>
        <v>473612589.77608782</v>
      </c>
      <c r="F494" s="10">
        <f t="shared" si="72"/>
        <v>42.8</v>
      </c>
      <c r="G494" s="5">
        <f>2946/16</f>
        <v>184.125</v>
      </c>
      <c r="H494" s="4" t="s">
        <v>2</v>
      </c>
      <c r="I494" s="1">
        <f t="shared" si="73"/>
        <v>1</v>
      </c>
      <c r="J494" s="1" t="s">
        <v>1</v>
      </c>
      <c r="K494" s="1">
        <f t="shared" si="74"/>
        <v>0</v>
      </c>
      <c r="L494" s="1" t="s">
        <v>2</v>
      </c>
      <c r="M494" s="1">
        <f t="shared" si="75"/>
        <v>1</v>
      </c>
      <c r="N494" s="1" t="s">
        <v>1</v>
      </c>
      <c r="O494" s="8">
        <v>0.38900000000000001</v>
      </c>
      <c r="P494" s="7">
        <v>0.36199999999999999</v>
      </c>
      <c r="Q494" s="3">
        <f>4/16</f>
        <v>0.25</v>
      </c>
      <c r="R494" s="10">
        <f t="shared" si="76"/>
        <v>-7.4000000000000021</v>
      </c>
      <c r="S494" s="13">
        <v>17.7</v>
      </c>
      <c r="T494" s="13">
        <v>25.1</v>
      </c>
      <c r="U494" s="10">
        <v>31</v>
      </c>
      <c r="V494" s="10">
        <v>16</v>
      </c>
      <c r="W494" s="10">
        <f t="shared" si="77"/>
        <v>15</v>
      </c>
      <c r="X494" s="9" t="s">
        <v>1</v>
      </c>
      <c r="Y494" s="11">
        <f t="shared" si="78"/>
        <v>0</v>
      </c>
      <c r="Z494" s="14">
        <v>2</v>
      </c>
    </row>
    <row r="495" spans="1:26" x14ac:dyDescent="0.2">
      <c r="A495" s="12">
        <f t="shared" si="80"/>
        <v>2015</v>
      </c>
      <c r="B495" s="1" t="s">
        <v>43</v>
      </c>
      <c r="C495" s="1">
        <v>25</v>
      </c>
      <c r="D495" s="15">
        <v>423000000</v>
      </c>
      <c r="E495" s="15">
        <f>(292.7/237)*423000000</f>
        <v>522413924.05063289</v>
      </c>
      <c r="F495" s="10">
        <f t="shared" si="72"/>
        <v>43.8</v>
      </c>
      <c r="G495" s="5">
        <f>4057/16</f>
        <v>253.5625</v>
      </c>
      <c r="H495" s="4" t="s">
        <v>2</v>
      </c>
      <c r="I495" s="1">
        <f t="shared" si="73"/>
        <v>1</v>
      </c>
      <c r="J495" s="1" t="s">
        <v>1</v>
      </c>
      <c r="K495" s="1">
        <f t="shared" si="74"/>
        <v>0</v>
      </c>
      <c r="L495" s="1" t="s">
        <v>2</v>
      </c>
      <c r="M495" s="1">
        <f t="shared" si="75"/>
        <v>1</v>
      </c>
      <c r="N495" s="1" t="s">
        <v>2</v>
      </c>
      <c r="O495" s="8">
        <v>0.40600000000000003</v>
      </c>
      <c r="P495" s="7">
        <v>0.66</v>
      </c>
      <c r="Q495" s="3">
        <f>10/16</f>
        <v>0.625</v>
      </c>
      <c r="R495" s="10">
        <f t="shared" si="76"/>
        <v>4.5999999999999979</v>
      </c>
      <c r="S495" s="13">
        <v>24.2</v>
      </c>
      <c r="T495" s="13">
        <v>19.600000000000001</v>
      </c>
      <c r="U495" s="10">
        <v>30</v>
      </c>
      <c r="V495" s="10">
        <v>24</v>
      </c>
      <c r="W495" s="10">
        <f t="shared" si="77"/>
        <v>6</v>
      </c>
      <c r="X495" s="9" t="s">
        <v>1</v>
      </c>
      <c r="Y495" s="11">
        <f t="shared" si="78"/>
        <v>0</v>
      </c>
      <c r="Z495" s="14">
        <v>5</v>
      </c>
    </row>
    <row r="496" spans="1:26" x14ac:dyDescent="0.2">
      <c r="A496" s="12">
        <f t="shared" si="80"/>
        <v>2016</v>
      </c>
      <c r="B496" s="1" t="s">
        <v>43</v>
      </c>
      <c r="C496" s="1">
        <v>25</v>
      </c>
      <c r="D496" s="15">
        <v>431000000</v>
      </c>
      <c r="E496" s="15">
        <f>(292.7/240)*431000000</f>
        <v>525640416.66666663</v>
      </c>
      <c r="F496" s="10">
        <f t="shared" si="72"/>
        <v>42.8</v>
      </c>
      <c r="G496" s="5">
        <f>3466/16</f>
        <v>216.625</v>
      </c>
      <c r="H496" s="4" t="s">
        <v>2</v>
      </c>
      <c r="I496" s="1">
        <f t="shared" si="73"/>
        <v>1</v>
      </c>
      <c r="J496" s="1" t="s">
        <v>1</v>
      </c>
      <c r="K496" s="1">
        <f t="shared" si="74"/>
        <v>0</v>
      </c>
      <c r="L496" s="1" t="s">
        <v>2</v>
      </c>
      <c r="M496" s="1">
        <f t="shared" si="75"/>
        <v>1</v>
      </c>
      <c r="N496" s="1" t="s">
        <v>2</v>
      </c>
      <c r="O496" s="8">
        <v>0.36199999999999999</v>
      </c>
      <c r="P496" s="7">
        <v>0.35199999999999998</v>
      </c>
      <c r="Q496" s="3">
        <f>5/16</f>
        <v>0.3125</v>
      </c>
      <c r="R496" s="10">
        <f t="shared" si="76"/>
        <v>-8.4000000000000021</v>
      </c>
      <c r="S496" s="13">
        <v>17.2</v>
      </c>
      <c r="T496" s="13">
        <v>25.6</v>
      </c>
      <c r="U496" s="10">
        <v>14</v>
      </c>
      <c r="V496" s="10">
        <v>34</v>
      </c>
      <c r="W496" s="10">
        <f t="shared" si="77"/>
        <v>-20</v>
      </c>
      <c r="X496" s="9" t="s">
        <v>1</v>
      </c>
      <c r="Y496" s="11">
        <f t="shared" si="78"/>
        <v>0</v>
      </c>
      <c r="Z496" s="14">
        <v>1</v>
      </c>
    </row>
    <row r="497" spans="1:26" x14ac:dyDescent="0.2">
      <c r="A497" s="12">
        <f t="shared" si="80"/>
        <v>2017</v>
      </c>
      <c r="B497" s="1" t="s">
        <v>43</v>
      </c>
      <c r="C497" s="1">
        <v>25</v>
      </c>
      <c r="D497" s="15">
        <v>443000000</v>
      </c>
      <c r="E497" s="15">
        <f>(292.7/245.1)*443000000</f>
        <v>529033455.73235416</v>
      </c>
      <c r="F497" s="10">
        <f t="shared" si="72"/>
        <v>42.5</v>
      </c>
      <c r="G497" s="5">
        <f>3182/16</f>
        <v>198.875</v>
      </c>
      <c r="H497" s="4" t="s">
        <v>2</v>
      </c>
      <c r="I497" s="1">
        <f t="shared" si="73"/>
        <v>1</v>
      </c>
      <c r="J497" s="1" t="s">
        <v>1</v>
      </c>
      <c r="K497" s="1">
        <f t="shared" si="74"/>
        <v>0</v>
      </c>
      <c r="L497" s="1" t="s">
        <v>2</v>
      </c>
      <c r="M497" s="1">
        <f t="shared" si="75"/>
        <v>1</v>
      </c>
      <c r="N497" s="1" t="s">
        <v>2</v>
      </c>
      <c r="O497" s="8">
        <v>0.35499999999999998</v>
      </c>
      <c r="P497" s="7">
        <v>0.54500000000000004</v>
      </c>
      <c r="Q497" s="3">
        <f>5/16</f>
        <v>0.3125</v>
      </c>
      <c r="R497" s="10">
        <f t="shared" si="76"/>
        <v>-5.2999999999999972</v>
      </c>
      <c r="S497" s="13">
        <v>18.600000000000001</v>
      </c>
      <c r="T497" s="13">
        <v>23.9</v>
      </c>
      <c r="U497" s="10">
        <v>20</v>
      </c>
      <c r="V497" s="10">
        <v>24</v>
      </c>
      <c r="W497" s="10">
        <f t="shared" si="77"/>
        <v>-4</v>
      </c>
      <c r="X497" s="9" t="s">
        <v>1</v>
      </c>
      <c r="Y497" s="11">
        <f t="shared" si="78"/>
        <v>0</v>
      </c>
      <c r="Z497" s="14">
        <v>0</v>
      </c>
    </row>
    <row r="498" spans="1:26" x14ac:dyDescent="0.2">
      <c r="A498" s="12">
        <f t="shared" si="80"/>
        <v>2018</v>
      </c>
      <c r="B498" s="1" t="s">
        <v>43</v>
      </c>
      <c r="C498" s="1">
        <v>25</v>
      </c>
      <c r="D498" s="15">
        <v>475000000</v>
      </c>
      <c r="E498" s="15">
        <f>(292.7/251.1)*475000000</f>
        <v>553693747.51095188</v>
      </c>
      <c r="F498" s="10">
        <f t="shared" si="72"/>
        <v>48.400000000000006</v>
      </c>
      <c r="G498" s="5">
        <f>3165/16</f>
        <v>197.8125</v>
      </c>
      <c r="H498" s="4" t="s">
        <v>1</v>
      </c>
      <c r="I498" s="1">
        <f t="shared" si="73"/>
        <v>0</v>
      </c>
      <c r="J498" s="1" t="s">
        <v>2</v>
      </c>
      <c r="K498" s="1">
        <f t="shared" si="74"/>
        <v>1</v>
      </c>
      <c r="L498" s="1" t="s">
        <v>2</v>
      </c>
      <c r="M498" s="1">
        <f t="shared" si="75"/>
        <v>1</v>
      </c>
      <c r="N498" s="1" t="s">
        <v>2</v>
      </c>
      <c r="O498" s="8">
        <v>0.32200000000000001</v>
      </c>
      <c r="P498" s="7">
        <v>0.44400000000000001</v>
      </c>
      <c r="Q498" s="3">
        <f>4/16</f>
        <v>0.25</v>
      </c>
      <c r="R498" s="10">
        <f t="shared" si="76"/>
        <v>-6.8000000000000007</v>
      </c>
      <c r="S498" s="13">
        <v>20.8</v>
      </c>
      <c r="T498" s="13">
        <v>27.6</v>
      </c>
      <c r="U498" s="10">
        <v>20</v>
      </c>
      <c r="V498" s="10">
        <v>30</v>
      </c>
      <c r="W498" s="10">
        <f t="shared" si="77"/>
        <v>-10</v>
      </c>
      <c r="X498" s="9" t="s">
        <v>1</v>
      </c>
      <c r="Y498" s="11">
        <f t="shared" si="78"/>
        <v>0</v>
      </c>
      <c r="Z498" s="14">
        <v>3</v>
      </c>
    </row>
    <row r="499" spans="1:26" x14ac:dyDescent="0.2">
      <c r="A499" s="12">
        <f t="shared" si="80"/>
        <v>2019</v>
      </c>
      <c r="B499" s="1" t="s">
        <v>43</v>
      </c>
      <c r="C499" s="1">
        <v>25</v>
      </c>
      <c r="D499" s="15">
        <v>497000000</v>
      </c>
      <c r="E499" s="15">
        <f>(292.7/255.7)*497000000</f>
        <v>568916308.17364109</v>
      </c>
      <c r="F499" s="10">
        <f t="shared" si="72"/>
        <v>39.700000000000003</v>
      </c>
      <c r="G499" s="5">
        <f>3111/16</f>
        <v>194.4375</v>
      </c>
      <c r="H499" s="4" t="s">
        <v>1</v>
      </c>
      <c r="I499" s="1">
        <f t="shared" si="73"/>
        <v>0</v>
      </c>
      <c r="J499" s="1" t="s">
        <v>2</v>
      </c>
      <c r="K499" s="1">
        <f t="shared" si="74"/>
        <v>1</v>
      </c>
      <c r="L499" s="1" t="s">
        <v>2</v>
      </c>
      <c r="M499" s="1">
        <f t="shared" si="75"/>
        <v>1</v>
      </c>
      <c r="N499" s="1" t="s">
        <v>2</v>
      </c>
      <c r="O499" s="8">
        <v>0.307</v>
      </c>
      <c r="P499" s="7">
        <v>0.54500000000000004</v>
      </c>
      <c r="Q499" s="3">
        <f>7/16</f>
        <v>0.4375</v>
      </c>
      <c r="R499" s="10">
        <f t="shared" si="76"/>
        <v>-5.0999999999999979</v>
      </c>
      <c r="S499" s="13">
        <v>17.3</v>
      </c>
      <c r="T499" s="13">
        <v>22.4</v>
      </c>
      <c r="U499" s="10">
        <v>21</v>
      </c>
      <c r="V499" s="10">
        <v>25</v>
      </c>
      <c r="W499" s="10">
        <f t="shared" si="77"/>
        <v>-4</v>
      </c>
      <c r="X499" s="9" t="s">
        <v>1</v>
      </c>
      <c r="Y499" s="11">
        <f t="shared" si="78"/>
        <v>0</v>
      </c>
      <c r="Z499" s="14">
        <v>1</v>
      </c>
    </row>
    <row r="500" spans="1:26" x14ac:dyDescent="0.2">
      <c r="A500" s="12">
        <v>2021</v>
      </c>
      <c r="B500" s="1" t="s">
        <v>43</v>
      </c>
      <c r="C500" s="1">
        <v>25</v>
      </c>
      <c r="D500" s="15">
        <v>519000000</v>
      </c>
      <c r="E500" s="15">
        <f>(292.7/271)*519000000</f>
        <v>560558302.58302581</v>
      </c>
      <c r="F500" s="10">
        <f t="shared" si="72"/>
        <v>47.8</v>
      </c>
      <c r="G500" s="5">
        <f>3541/17</f>
        <v>208.29411764705881</v>
      </c>
      <c r="H500" s="4" t="s">
        <v>1</v>
      </c>
      <c r="I500" s="1">
        <f t="shared" si="73"/>
        <v>0</v>
      </c>
      <c r="J500" s="1" t="s">
        <v>2</v>
      </c>
      <c r="K500" s="1">
        <f t="shared" si="74"/>
        <v>1</v>
      </c>
      <c r="L500" s="1" t="s">
        <v>2</v>
      </c>
      <c r="M500" s="1">
        <f t="shared" si="75"/>
        <v>1</v>
      </c>
      <c r="N500" s="1" t="s">
        <v>2</v>
      </c>
      <c r="O500" s="8">
        <v>0.36299999999999999</v>
      </c>
      <c r="P500" s="7">
        <v>0.54900000000000004</v>
      </c>
      <c r="Q500" s="3">
        <f>4/17</f>
        <v>0.23529411764705882</v>
      </c>
      <c r="R500" s="10">
        <f t="shared" si="76"/>
        <v>-11.400000000000002</v>
      </c>
      <c r="S500" s="13">
        <v>18.2</v>
      </c>
      <c r="T500" s="13">
        <v>29.6</v>
      </c>
      <c r="U500" s="10">
        <v>14</v>
      </c>
      <c r="V500" s="10">
        <v>27</v>
      </c>
      <c r="W500" s="10">
        <f t="shared" si="77"/>
        <v>-13</v>
      </c>
      <c r="X500" s="9" t="s">
        <v>1</v>
      </c>
      <c r="Y500" s="11">
        <f t="shared" si="78"/>
        <v>0</v>
      </c>
      <c r="Z500" s="14">
        <v>0</v>
      </c>
    </row>
    <row r="501" spans="1:26" x14ac:dyDescent="0.2">
      <c r="A501" s="12">
        <f>A500+1</f>
        <v>2022</v>
      </c>
      <c r="B501" s="1" t="s">
        <v>43</v>
      </c>
      <c r="C501" s="1">
        <v>25</v>
      </c>
      <c r="D501" s="15">
        <v>560000000</v>
      </c>
      <c r="E501" s="15">
        <f>(292.7/292.7)*560000000</f>
        <v>560000000</v>
      </c>
      <c r="F501" s="10">
        <f t="shared" si="72"/>
        <v>36</v>
      </c>
      <c r="G501" s="5">
        <f>3723/17</f>
        <v>219</v>
      </c>
      <c r="H501" s="4" t="s">
        <v>1</v>
      </c>
      <c r="I501" s="1">
        <f t="shared" si="73"/>
        <v>0</v>
      </c>
      <c r="J501" s="1" t="s">
        <v>2</v>
      </c>
      <c r="K501" s="1">
        <f t="shared" si="74"/>
        <v>1</v>
      </c>
      <c r="L501" s="1" t="s">
        <v>2</v>
      </c>
      <c r="M501" s="1">
        <f t="shared" si="75"/>
        <v>1</v>
      </c>
      <c r="N501" s="1" t="s">
        <v>2</v>
      </c>
      <c r="O501" s="8">
        <v>0.34599999999999997</v>
      </c>
      <c r="P501" s="7">
        <v>0.435</v>
      </c>
      <c r="Q501" s="3">
        <f>7/17</f>
        <v>0.41176470588235292</v>
      </c>
      <c r="R501" s="10">
        <f t="shared" si="76"/>
        <v>-1.2000000000000028</v>
      </c>
      <c r="S501" s="13">
        <v>17.399999999999999</v>
      </c>
      <c r="T501" s="13">
        <v>18.600000000000001</v>
      </c>
      <c r="U501" s="10">
        <v>16</v>
      </c>
      <c r="V501" s="10">
        <v>23</v>
      </c>
      <c r="W501" s="10">
        <f t="shared" si="77"/>
        <v>-7</v>
      </c>
      <c r="X501" s="9" t="s">
        <v>1</v>
      </c>
      <c r="Y501" s="11">
        <f t="shared" si="78"/>
        <v>0</v>
      </c>
      <c r="Z501" s="14">
        <v>4</v>
      </c>
    </row>
    <row r="502" spans="1:26" x14ac:dyDescent="0.2">
      <c r="A502" s="12">
        <v>2002</v>
      </c>
      <c r="B502" s="1" t="s">
        <v>44</v>
      </c>
      <c r="C502" s="1">
        <v>26</v>
      </c>
      <c r="D502" s="15">
        <v>134000000</v>
      </c>
      <c r="E502" s="15">
        <f>(292.7/179.9)*134000000</f>
        <v>218020011.11728737</v>
      </c>
      <c r="F502" s="10">
        <f t="shared" si="72"/>
        <v>41</v>
      </c>
      <c r="G502" s="5">
        <f>3384/16</f>
        <v>211.5</v>
      </c>
      <c r="H502" s="4" t="s">
        <v>1</v>
      </c>
      <c r="I502" s="1">
        <f t="shared" si="73"/>
        <v>0</v>
      </c>
      <c r="J502" s="1" t="s">
        <v>1</v>
      </c>
      <c r="K502" s="1">
        <f t="shared" si="74"/>
        <v>0</v>
      </c>
      <c r="L502" s="1" t="s">
        <v>1</v>
      </c>
      <c r="M502" s="1">
        <f t="shared" si="75"/>
        <v>0</v>
      </c>
      <c r="N502" s="1" t="s">
        <v>1</v>
      </c>
      <c r="O502" s="8">
        <v>0.39</v>
      </c>
      <c r="P502" s="7">
        <v>0.47399999999999998</v>
      </c>
      <c r="Q502" s="3">
        <f>12/16</f>
        <v>0.75</v>
      </c>
      <c r="R502" s="10">
        <f t="shared" si="76"/>
        <v>10.799999999999999</v>
      </c>
      <c r="S502" s="13">
        <v>25.9</v>
      </c>
      <c r="T502" s="13">
        <v>15.1</v>
      </c>
      <c r="U502" s="10">
        <v>38</v>
      </c>
      <c r="V502" s="10">
        <v>24</v>
      </c>
      <c r="W502" s="10">
        <f t="shared" si="77"/>
        <v>14</v>
      </c>
      <c r="X502" s="9" t="s">
        <v>2</v>
      </c>
      <c r="Y502" s="11">
        <f t="shared" si="78"/>
        <v>1</v>
      </c>
      <c r="Z502" s="14">
        <v>10</v>
      </c>
    </row>
    <row r="503" spans="1:26" x14ac:dyDescent="0.2">
      <c r="A503" s="12">
        <f>A502+1</f>
        <v>2003</v>
      </c>
      <c r="B503" s="1" t="s">
        <v>44</v>
      </c>
      <c r="C503" s="1">
        <v>26</v>
      </c>
      <c r="D503" s="15">
        <v>198000000</v>
      </c>
      <c r="E503" s="15">
        <f>(292.7/184)*198000000</f>
        <v>314970652.17391306</v>
      </c>
      <c r="F503" s="10">
        <f t="shared" si="72"/>
        <v>41.3</v>
      </c>
      <c r="G503" s="5">
        <f>3020/16</f>
        <v>188.75</v>
      </c>
      <c r="H503" s="4" t="s">
        <v>1</v>
      </c>
      <c r="I503" s="1">
        <f t="shared" si="73"/>
        <v>0</v>
      </c>
      <c r="J503" s="1" t="s">
        <v>1</v>
      </c>
      <c r="K503" s="1">
        <f t="shared" si="74"/>
        <v>0</v>
      </c>
      <c r="L503" s="1" t="s">
        <v>1</v>
      </c>
      <c r="M503" s="1">
        <f t="shared" si="75"/>
        <v>0</v>
      </c>
      <c r="N503" s="1" t="s">
        <v>1</v>
      </c>
      <c r="O503" s="8">
        <v>0.36299999999999999</v>
      </c>
      <c r="P503" s="7">
        <v>0.627</v>
      </c>
      <c r="Q503" s="3">
        <f>12/16</f>
        <v>0.75</v>
      </c>
      <c r="R503" s="10">
        <f t="shared" si="76"/>
        <v>5.5</v>
      </c>
      <c r="S503" s="13">
        <v>23.4</v>
      </c>
      <c r="T503" s="13">
        <v>17.899999999999999</v>
      </c>
      <c r="U503" s="10">
        <v>13</v>
      </c>
      <c r="V503" s="10">
        <v>11</v>
      </c>
      <c r="W503" s="10">
        <f t="shared" si="77"/>
        <v>2</v>
      </c>
      <c r="X503" s="9" t="s">
        <v>2</v>
      </c>
      <c r="Y503" s="11">
        <f t="shared" si="78"/>
        <v>1</v>
      </c>
      <c r="Z503" s="14">
        <v>3</v>
      </c>
    </row>
    <row r="504" spans="1:26" x14ac:dyDescent="0.2">
      <c r="A504" s="12">
        <f>A503+1</f>
        <v>2004</v>
      </c>
      <c r="B504" s="1" t="s">
        <v>44</v>
      </c>
      <c r="C504" s="1">
        <v>26</v>
      </c>
      <c r="D504" s="15">
        <v>216000000</v>
      </c>
      <c r="E504" s="15">
        <f>(292.7/188.9)*216000000</f>
        <v>334691371.09581786</v>
      </c>
      <c r="F504" s="10">
        <f t="shared" si="72"/>
        <v>40.400000000000006</v>
      </c>
      <c r="G504" s="5">
        <f>3979/16</f>
        <v>248.6875</v>
      </c>
      <c r="H504" s="4" t="s">
        <v>1</v>
      </c>
      <c r="I504" s="1">
        <f t="shared" si="73"/>
        <v>0</v>
      </c>
      <c r="J504" s="1" t="s">
        <v>1</v>
      </c>
      <c r="K504" s="1">
        <f t="shared" si="74"/>
        <v>0</v>
      </c>
      <c r="L504" s="1" t="s">
        <v>1</v>
      </c>
      <c r="M504" s="1">
        <f t="shared" si="75"/>
        <v>0</v>
      </c>
      <c r="N504" s="1" t="s">
        <v>1</v>
      </c>
      <c r="O504" s="8">
        <v>0.36899999999999999</v>
      </c>
      <c r="P504" s="7">
        <v>0.63800000000000001</v>
      </c>
      <c r="Q504" s="3">
        <f>13/16</f>
        <v>0.8125</v>
      </c>
      <c r="R504" s="10">
        <f t="shared" si="76"/>
        <v>7.8000000000000007</v>
      </c>
      <c r="S504" s="13">
        <v>24.1</v>
      </c>
      <c r="T504" s="13">
        <v>16.3</v>
      </c>
      <c r="U504" s="10">
        <v>28</v>
      </c>
      <c r="V504" s="10">
        <v>22</v>
      </c>
      <c r="W504" s="10">
        <f t="shared" si="77"/>
        <v>6</v>
      </c>
      <c r="X504" s="9" t="s">
        <v>2</v>
      </c>
      <c r="Y504" s="11">
        <f t="shared" si="78"/>
        <v>1</v>
      </c>
      <c r="Z504" s="14">
        <v>10</v>
      </c>
    </row>
    <row r="505" spans="1:26" x14ac:dyDescent="0.2">
      <c r="A505" s="12">
        <f>A504+1</f>
        <v>2005</v>
      </c>
      <c r="B505" s="1" t="s">
        <v>44</v>
      </c>
      <c r="C505" s="1">
        <v>26</v>
      </c>
      <c r="D505" s="15">
        <v>218000000</v>
      </c>
      <c r="E505" s="15">
        <f>(292.7/195.3)*218000000</f>
        <v>326720942.14029694</v>
      </c>
      <c r="F505" s="10">
        <f t="shared" si="72"/>
        <v>43.8</v>
      </c>
      <c r="G505" s="5">
        <f>3677/16</f>
        <v>229.8125</v>
      </c>
      <c r="H505" s="4" t="s">
        <v>1</v>
      </c>
      <c r="I505" s="1">
        <f t="shared" si="73"/>
        <v>0</v>
      </c>
      <c r="J505" s="1" t="s">
        <v>1</v>
      </c>
      <c r="K505" s="1">
        <f t="shared" si="74"/>
        <v>0</v>
      </c>
      <c r="L505" s="1" t="s">
        <v>1</v>
      </c>
      <c r="M505" s="1">
        <f t="shared" si="75"/>
        <v>0</v>
      </c>
      <c r="N505" s="1" t="s">
        <v>1</v>
      </c>
      <c r="O505" s="8">
        <v>0.32700000000000001</v>
      </c>
      <c r="P505" s="7">
        <v>0.53700000000000003</v>
      </c>
      <c r="Q505" s="3">
        <f>6/16</f>
        <v>0.375</v>
      </c>
      <c r="R505" s="10">
        <f t="shared" si="76"/>
        <v>-5</v>
      </c>
      <c r="S505" s="13">
        <v>19.399999999999999</v>
      </c>
      <c r="T505" s="13">
        <v>24.4</v>
      </c>
      <c r="U505" s="10">
        <v>27</v>
      </c>
      <c r="V505" s="10">
        <v>34</v>
      </c>
      <c r="W505" s="10">
        <f t="shared" si="77"/>
        <v>-7</v>
      </c>
      <c r="X505" s="9" t="s">
        <v>1</v>
      </c>
      <c r="Y505" s="11">
        <f t="shared" si="78"/>
        <v>0</v>
      </c>
      <c r="Z505" s="14">
        <v>3</v>
      </c>
    </row>
    <row r="506" spans="1:26" x14ac:dyDescent="0.2">
      <c r="A506" s="12">
        <f>A505+1</f>
        <v>2006</v>
      </c>
      <c r="B506" s="1" t="s">
        <v>44</v>
      </c>
      <c r="C506" s="1">
        <v>26</v>
      </c>
      <c r="D506" s="15">
        <v>224000000</v>
      </c>
      <c r="E506" s="15">
        <f>(292.7/201.6)*224000000</f>
        <v>325222222.22222221</v>
      </c>
      <c r="F506" s="10">
        <f t="shared" si="72"/>
        <v>45.4</v>
      </c>
      <c r="G506" s="5">
        <f>4119/16</f>
        <v>257.4375</v>
      </c>
      <c r="H506" s="4" t="s">
        <v>1</v>
      </c>
      <c r="I506" s="1">
        <f t="shared" si="73"/>
        <v>0</v>
      </c>
      <c r="J506" s="1" t="s">
        <v>1</v>
      </c>
      <c r="K506" s="1">
        <f t="shared" si="74"/>
        <v>0</v>
      </c>
      <c r="L506" s="1" t="s">
        <v>1</v>
      </c>
      <c r="M506" s="1">
        <f t="shared" si="75"/>
        <v>0</v>
      </c>
      <c r="N506" s="1" t="s">
        <v>1</v>
      </c>
      <c r="O506" s="8">
        <v>0.42099999999999999</v>
      </c>
      <c r="P506" s="7">
        <v>0.56499999999999995</v>
      </c>
      <c r="Q506" s="3">
        <f>10/16</f>
        <v>0.625</v>
      </c>
      <c r="R506" s="10">
        <f t="shared" si="76"/>
        <v>4.3999999999999986</v>
      </c>
      <c r="S506" s="13">
        <v>24.9</v>
      </c>
      <c r="T506" s="13">
        <v>20.5</v>
      </c>
      <c r="U506" s="10">
        <v>10</v>
      </c>
      <c r="V506" s="10">
        <v>15</v>
      </c>
      <c r="W506" s="10">
        <f t="shared" si="77"/>
        <v>-5</v>
      </c>
      <c r="X506" s="9" t="s">
        <v>2</v>
      </c>
      <c r="Y506" s="11">
        <f t="shared" si="78"/>
        <v>1</v>
      </c>
      <c r="Z506" s="14">
        <v>3</v>
      </c>
    </row>
    <row r="507" spans="1:26" x14ac:dyDescent="0.2">
      <c r="A507" s="12">
        <f>A506+1</f>
        <v>2007</v>
      </c>
      <c r="B507" s="1" t="s">
        <v>44</v>
      </c>
      <c r="C507" s="1">
        <v>26</v>
      </c>
      <c r="D507" s="15">
        <v>237000000</v>
      </c>
      <c r="E507" s="15">
        <f>(292.7/207.3)*237000000</f>
        <v>334635311.14327055</v>
      </c>
      <c r="F507" s="10">
        <f t="shared" si="72"/>
        <v>39.799999999999997</v>
      </c>
      <c r="G507" s="5">
        <f>3755/16</f>
        <v>234.6875</v>
      </c>
      <c r="H507" s="4" t="s">
        <v>1</v>
      </c>
      <c r="I507" s="1">
        <f t="shared" si="73"/>
        <v>0</v>
      </c>
      <c r="J507" s="1" t="s">
        <v>1</v>
      </c>
      <c r="K507" s="1">
        <f t="shared" si="74"/>
        <v>0</v>
      </c>
      <c r="L507" s="1" t="s">
        <v>1</v>
      </c>
      <c r="M507" s="1">
        <f t="shared" si="75"/>
        <v>0</v>
      </c>
      <c r="N507" s="1" t="s">
        <v>1</v>
      </c>
      <c r="O507" s="8">
        <v>0.42399999999999999</v>
      </c>
      <c r="P507" s="7">
        <v>0.45100000000000001</v>
      </c>
      <c r="Q507" s="3">
        <f>8/16</f>
        <v>0.5</v>
      </c>
      <c r="R507" s="10">
        <f t="shared" si="76"/>
        <v>2.1999999999999993</v>
      </c>
      <c r="S507" s="13">
        <v>21</v>
      </c>
      <c r="T507" s="13">
        <v>18.8</v>
      </c>
      <c r="U507" s="10">
        <v>19</v>
      </c>
      <c r="V507" s="10">
        <v>27</v>
      </c>
      <c r="W507" s="10">
        <f t="shared" si="77"/>
        <v>-8</v>
      </c>
      <c r="X507" s="9" t="s">
        <v>1</v>
      </c>
      <c r="Y507" s="11">
        <f t="shared" si="78"/>
        <v>0</v>
      </c>
      <c r="Z507" s="14">
        <v>3</v>
      </c>
    </row>
    <row r="508" spans="1:26" x14ac:dyDescent="0.2">
      <c r="A508" s="12">
        <v>2008</v>
      </c>
      <c r="B508" s="1" t="s">
        <v>44</v>
      </c>
      <c r="C508" s="1">
        <v>26</v>
      </c>
      <c r="D508" s="15">
        <v>250000000</v>
      </c>
      <c r="E508" s="15">
        <f>(292.7/215.3)*250000000</f>
        <v>339874593.59033906</v>
      </c>
      <c r="F508" s="10">
        <f t="shared" si="72"/>
        <v>44.1</v>
      </c>
      <c r="G508" s="5">
        <f>3911/16</f>
        <v>244.4375</v>
      </c>
      <c r="H508" s="4" t="s">
        <v>1</v>
      </c>
      <c r="I508" s="1">
        <f t="shared" si="73"/>
        <v>0</v>
      </c>
      <c r="J508" s="1" t="s">
        <v>1</v>
      </c>
      <c r="K508" s="1">
        <f t="shared" si="74"/>
        <v>0</v>
      </c>
      <c r="L508" s="1" t="s">
        <v>1</v>
      </c>
      <c r="M508" s="1">
        <f t="shared" si="75"/>
        <v>0</v>
      </c>
      <c r="N508" s="1" t="s">
        <v>1</v>
      </c>
      <c r="O508" s="8">
        <v>0.41299999999999998</v>
      </c>
      <c r="P508" s="7">
        <v>0.49199999999999999</v>
      </c>
      <c r="Q508" s="3">
        <f>9.5/16</f>
        <v>0.59375</v>
      </c>
      <c r="R508" s="10">
        <f t="shared" si="76"/>
        <v>7.8999999999999986</v>
      </c>
      <c r="S508" s="13">
        <v>26</v>
      </c>
      <c r="T508" s="13">
        <v>18.100000000000001</v>
      </c>
      <c r="U508" s="10">
        <v>29</v>
      </c>
      <c r="V508" s="10">
        <v>26</v>
      </c>
      <c r="W508" s="10">
        <f t="shared" si="77"/>
        <v>3</v>
      </c>
      <c r="X508" s="9" t="s">
        <v>2</v>
      </c>
      <c r="Y508" s="11">
        <f t="shared" si="78"/>
        <v>1</v>
      </c>
      <c r="Z508" s="14">
        <v>2</v>
      </c>
    </row>
    <row r="509" spans="1:26" x14ac:dyDescent="0.2">
      <c r="A509" s="12">
        <f t="shared" ref="A509:A519" si="81">A508+1</f>
        <v>2009</v>
      </c>
      <c r="B509" s="1" t="s">
        <v>44</v>
      </c>
      <c r="C509" s="1">
        <v>26</v>
      </c>
      <c r="D509" s="15">
        <v>260000000</v>
      </c>
      <c r="E509" s="15">
        <f>(292.7/214.5)*260000000</f>
        <v>354787878.78787875</v>
      </c>
      <c r="F509" s="10">
        <f t="shared" si="72"/>
        <v>47.900000000000006</v>
      </c>
      <c r="G509" s="5">
        <f>4089/16</f>
        <v>255.5625</v>
      </c>
      <c r="H509" s="4" t="s">
        <v>2</v>
      </c>
      <c r="I509" s="1">
        <f t="shared" si="73"/>
        <v>1</v>
      </c>
      <c r="J509" s="1" t="s">
        <v>1</v>
      </c>
      <c r="K509" s="1">
        <f t="shared" si="74"/>
        <v>0</v>
      </c>
      <c r="L509" s="1" t="s">
        <v>2</v>
      </c>
      <c r="M509" s="1">
        <f t="shared" si="75"/>
        <v>1</v>
      </c>
      <c r="N509" s="1" t="s">
        <v>1</v>
      </c>
      <c r="O509" s="8">
        <v>0.36199999999999999</v>
      </c>
      <c r="P509" s="7">
        <v>0.48099999999999998</v>
      </c>
      <c r="Q509" s="3">
        <f>11/16</f>
        <v>0.6875</v>
      </c>
      <c r="R509" s="10">
        <f t="shared" si="76"/>
        <v>5.6999999999999993</v>
      </c>
      <c r="S509" s="13">
        <v>26.8</v>
      </c>
      <c r="T509" s="13">
        <v>21.1</v>
      </c>
      <c r="U509" s="10">
        <v>38</v>
      </c>
      <c r="V509" s="10">
        <v>23</v>
      </c>
      <c r="W509" s="10">
        <f t="shared" si="77"/>
        <v>15</v>
      </c>
      <c r="X509" s="9" t="s">
        <v>2</v>
      </c>
      <c r="Y509" s="11">
        <f t="shared" si="78"/>
        <v>1</v>
      </c>
      <c r="Z509" s="14">
        <v>9</v>
      </c>
    </row>
    <row r="510" spans="1:26" x14ac:dyDescent="0.2">
      <c r="A510" s="12">
        <f t="shared" si="81"/>
        <v>2010</v>
      </c>
      <c r="B510" s="1" t="s">
        <v>44</v>
      </c>
      <c r="C510" s="1">
        <v>26</v>
      </c>
      <c r="D510" s="15">
        <v>274000000</v>
      </c>
      <c r="E510" s="15">
        <f>(292.7/218.1)*274000000</f>
        <v>367720311.78358555</v>
      </c>
      <c r="F510" s="10">
        <f t="shared" si="72"/>
        <v>51</v>
      </c>
      <c r="G510" s="5">
        <f>3906/16</f>
        <v>244.125</v>
      </c>
      <c r="H510" s="4" t="s">
        <v>2</v>
      </c>
      <c r="I510" s="1">
        <f t="shared" si="73"/>
        <v>1</v>
      </c>
      <c r="J510" s="1" t="s">
        <v>1</v>
      </c>
      <c r="K510" s="1">
        <f t="shared" si="74"/>
        <v>0</v>
      </c>
      <c r="L510" s="1" t="s">
        <v>2</v>
      </c>
      <c r="M510" s="1">
        <f t="shared" si="75"/>
        <v>1</v>
      </c>
      <c r="N510" s="1" t="s">
        <v>1</v>
      </c>
      <c r="O510" s="8">
        <v>0.39700000000000002</v>
      </c>
      <c r="P510" s="7">
        <v>0.53400000000000003</v>
      </c>
      <c r="Q510" s="3">
        <f>10/16</f>
        <v>0.625</v>
      </c>
      <c r="R510" s="10">
        <f t="shared" si="76"/>
        <v>3.7999999999999972</v>
      </c>
      <c r="S510" s="13">
        <v>27.4</v>
      </c>
      <c r="T510" s="13">
        <v>23.6</v>
      </c>
      <c r="U510" s="10">
        <v>34</v>
      </c>
      <c r="V510" s="10">
        <v>25</v>
      </c>
      <c r="W510" s="10">
        <f t="shared" si="77"/>
        <v>9</v>
      </c>
      <c r="X510" s="9" t="s">
        <v>2</v>
      </c>
      <c r="Y510" s="11">
        <f t="shared" si="78"/>
        <v>1</v>
      </c>
      <c r="Z510" s="14">
        <v>5</v>
      </c>
    </row>
    <row r="511" spans="1:26" x14ac:dyDescent="0.2">
      <c r="A511" s="12">
        <f t="shared" si="81"/>
        <v>2011</v>
      </c>
      <c r="B511" s="1" t="s">
        <v>44</v>
      </c>
      <c r="C511" s="1">
        <v>26</v>
      </c>
      <c r="D511" s="15">
        <v>296000000</v>
      </c>
      <c r="E511" s="15">
        <f>(292.7/224.9)*296000000</f>
        <v>385234326.36727434</v>
      </c>
      <c r="F511" s="10">
        <f t="shared" si="72"/>
        <v>45.3</v>
      </c>
      <c r="G511" s="5">
        <f>4110/16</f>
        <v>256.875</v>
      </c>
      <c r="H511" s="4" t="s">
        <v>2</v>
      </c>
      <c r="I511" s="1">
        <f t="shared" si="73"/>
        <v>1</v>
      </c>
      <c r="J511" s="1" t="s">
        <v>1</v>
      </c>
      <c r="K511" s="1">
        <f t="shared" si="74"/>
        <v>0</v>
      </c>
      <c r="L511" s="1" t="s">
        <v>2</v>
      </c>
      <c r="M511" s="1">
        <f t="shared" si="75"/>
        <v>1</v>
      </c>
      <c r="N511" s="1" t="s">
        <v>1</v>
      </c>
      <c r="O511" s="8">
        <v>0.41499999999999998</v>
      </c>
      <c r="P511" s="7">
        <v>0.51500000000000001</v>
      </c>
      <c r="Q511" s="3">
        <f>8/16</f>
        <v>0.5</v>
      </c>
      <c r="R511" s="10">
        <f t="shared" si="76"/>
        <v>4.3000000000000007</v>
      </c>
      <c r="S511" s="13">
        <v>24.8</v>
      </c>
      <c r="T511" s="13">
        <v>20.5</v>
      </c>
      <c r="U511" s="10">
        <v>24</v>
      </c>
      <c r="V511" s="10">
        <v>38</v>
      </c>
      <c r="W511" s="10">
        <f t="shared" si="77"/>
        <v>-14</v>
      </c>
      <c r="X511" s="9" t="s">
        <v>1</v>
      </c>
      <c r="Y511" s="11">
        <f t="shared" si="78"/>
        <v>0</v>
      </c>
      <c r="Z511" s="14">
        <v>3</v>
      </c>
    </row>
    <row r="512" spans="1:26" x14ac:dyDescent="0.2">
      <c r="A512" s="12">
        <f t="shared" si="81"/>
        <v>2012</v>
      </c>
      <c r="B512" s="1" t="s">
        <v>44</v>
      </c>
      <c r="C512" s="1">
        <v>26</v>
      </c>
      <c r="D512" s="15">
        <v>306000000</v>
      </c>
      <c r="E512" s="15">
        <f>(292.7/229.6)*306000000</f>
        <v>390096689.89547032</v>
      </c>
      <c r="F512" s="10">
        <f t="shared" si="72"/>
        <v>45.3</v>
      </c>
      <c r="G512" s="5">
        <f>3791/16</f>
        <v>236.9375</v>
      </c>
      <c r="H512" s="4" t="s">
        <v>2</v>
      </c>
      <c r="I512" s="1">
        <f t="shared" si="73"/>
        <v>1</v>
      </c>
      <c r="J512" s="1" t="s">
        <v>1</v>
      </c>
      <c r="K512" s="1">
        <f t="shared" si="74"/>
        <v>0</v>
      </c>
      <c r="L512" s="1" t="s">
        <v>2</v>
      </c>
      <c r="M512" s="1">
        <f t="shared" si="75"/>
        <v>1</v>
      </c>
      <c r="N512" s="1" t="s">
        <v>1</v>
      </c>
      <c r="O512" s="8">
        <v>0.374</v>
      </c>
      <c r="P512" s="7">
        <v>0.44</v>
      </c>
      <c r="Q512" s="3">
        <f>4/16</f>
        <v>0.25</v>
      </c>
      <c r="R512" s="10">
        <f t="shared" si="76"/>
        <v>-10.3</v>
      </c>
      <c r="S512" s="13">
        <v>17.5</v>
      </c>
      <c r="T512" s="13">
        <v>27.8</v>
      </c>
      <c r="U512" s="10">
        <v>13</v>
      </c>
      <c r="V512" s="10">
        <v>37</v>
      </c>
      <c r="W512" s="10">
        <f t="shared" si="77"/>
        <v>-24</v>
      </c>
      <c r="X512" s="9" t="s">
        <v>1</v>
      </c>
      <c r="Y512" s="11">
        <f t="shared" si="78"/>
        <v>0</v>
      </c>
      <c r="Z512" s="14">
        <v>0</v>
      </c>
    </row>
    <row r="513" spans="1:26" x14ac:dyDescent="0.2">
      <c r="A513" s="12">
        <f t="shared" si="81"/>
        <v>2013</v>
      </c>
      <c r="B513" s="1" t="s">
        <v>44</v>
      </c>
      <c r="C513" s="1">
        <v>26</v>
      </c>
      <c r="D513" s="15">
        <v>330000000</v>
      </c>
      <c r="E513" s="15">
        <f>(292.7/233)*330000000</f>
        <v>414553648.06866956</v>
      </c>
      <c r="F513" s="10">
        <f t="shared" si="72"/>
        <v>51.5</v>
      </c>
      <c r="G513" s="5">
        <f>4110/16</f>
        <v>256.875</v>
      </c>
      <c r="H513" s="4" t="s">
        <v>2</v>
      </c>
      <c r="I513" s="1">
        <f t="shared" si="73"/>
        <v>1</v>
      </c>
      <c r="J513" s="1" t="s">
        <v>1</v>
      </c>
      <c r="K513" s="1">
        <f t="shared" si="74"/>
        <v>0</v>
      </c>
      <c r="L513" s="1" t="s">
        <v>2</v>
      </c>
      <c r="M513" s="1">
        <f t="shared" si="75"/>
        <v>1</v>
      </c>
      <c r="N513" s="1" t="s">
        <v>1</v>
      </c>
      <c r="O513" s="8">
        <v>0.39</v>
      </c>
      <c r="P513" s="7">
        <v>0.52600000000000002</v>
      </c>
      <c r="Q513" s="3">
        <f>10/16</f>
        <v>0.625</v>
      </c>
      <c r="R513" s="10">
        <f t="shared" si="76"/>
        <v>3.7000000000000028</v>
      </c>
      <c r="S513" s="13">
        <v>27.6</v>
      </c>
      <c r="T513" s="13">
        <v>23.9</v>
      </c>
      <c r="U513" s="10">
        <v>31</v>
      </c>
      <c r="V513" s="10">
        <v>19</v>
      </c>
      <c r="W513" s="10">
        <f t="shared" si="77"/>
        <v>12</v>
      </c>
      <c r="X513" s="9" t="s">
        <v>2</v>
      </c>
      <c r="Y513" s="11">
        <f t="shared" si="78"/>
        <v>1</v>
      </c>
      <c r="Z513" s="14">
        <v>5</v>
      </c>
    </row>
    <row r="514" spans="1:26" x14ac:dyDescent="0.2">
      <c r="A514" s="12">
        <f t="shared" si="81"/>
        <v>2014</v>
      </c>
      <c r="B514" s="1" t="s">
        <v>44</v>
      </c>
      <c r="C514" s="1">
        <v>26</v>
      </c>
      <c r="D514" s="15">
        <v>370000000</v>
      </c>
      <c r="E514" s="15">
        <f>(292.7/236.7)*370000000</f>
        <v>457536966.62441903</v>
      </c>
      <c r="F514" s="10">
        <f t="shared" ref="F514:F577" si="82">S514+T514</f>
        <v>54.6</v>
      </c>
      <c r="G514" s="5">
        <f>4356/16</f>
        <v>272.25</v>
      </c>
      <c r="H514" s="4" t="s">
        <v>2</v>
      </c>
      <c r="I514" s="1">
        <f t="shared" ref="I514:I577" si="83">IF(H514="No",0,1)</f>
        <v>1</v>
      </c>
      <c r="J514" s="1" t="s">
        <v>1</v>
      </c>
      <c r="K514" s="1">
        <f t="shared" ref="K514:K577" si="84">IF(J514="No",0,1)</f>
        <v>0</v>
      </c>
      <c r="L514" s="1" t="s">
        <v>2</v>
      </c>
      <c r="M514" s="1">
        <f t="shared" ref="M514:M577" si="85">IF(L514="No",0,1)</f>
        <v>1</v>
      </c>
      <c r="N514" s="1" t="s">
        <v>1</v>
      </c>
      <c r="O514" s="8">
        <v>0.435</v>
      </c>
      <c r="P514" s="7">
        <v>0.49199999999999999</v>
      </c>
      <c r="Q514" s="3">
        <f>10/16</f>
        <v>0.625</v>
      </c>
      <c r="R514" s="10">
        <f t="shared" ref="R514:R577" si="86">S514-T514</f>
        <v>4.6000000000000014</v>
      </c>
      <c r="S514" s="13">
        <v>29.6</v>
      </c>
      <c r="T514" s="13">
        <v>25</v>
      </c>
      <c r="U514" s="10">
        <v>28</v>
      </c>
      <c r="V514" s="10">
        <v>36</v>
      </c>
      <c r="W514" s="10">
        <f t="shared" ref="W514:W577" si="87">U514-V514</f>
        <v>-8</v>
      </c>
      <c r="X514" s="9" t="s">
        <v>1</v>
      </c>
      <c r="Y514" s="11">
        <f t="shared" ref="Y514:Y577" si="88">IF(X514="No",0,1)</f>
        <v>0</v>
      </c>
      <c r="Z514" s="14">
        <v>8</v>
      </c>
    </row>
    <row r="515" spans="1:26" x14ac:dyDescent="0.2">
      <c r="A515" s="12">
        <f t="shared" si="81"/>
        <v>2015</v>
      </c>
      <c r="B515" s="1" t="s">
        <v>44</v>
      </c>
      <c r="C515" s="1">
        <v>26</v>
      </c>
      <c r="D515" s="15">
        <v>407000000</v>
      </c>
      <c r="E515" s="15">
        <f>(292.7/237)*407000000</f>
        <v>502653586.49789029</v>
      </c>
      <c r="F515" s="10">
        <f t="shared" si="82"/>
        <v>50.5</v>
      </c>
      <c r="G515" s="5">
        <f>4087/16</f>
        <v>255.4375</v>
      </c>
      <c r="H515" s="4" t="s">
        <v>2</v>
      </c>
      <c r="I515" s="1">
        <f t="shared" si="83"/>
        <v>1</v>
      </c>
      <c r="J515" s="1" t="s">
        <v>1</v>
      </c>
      <c r="K515" s="1">
        <f t="shared" si="84"/>
        <v>0</v>
      </c>
      <c r="L515" s="1" t="s">
        <v>2</v>
      </c>
      <c r="M515" s="1">
        <f t="shared" si="85"/>
        <v>1</v>
      </c>
      <c r="N515" s="1" t="s">
        <v>2</v>
      </c>
      <c r="O515" s="8">
        <v>0.39600000000000002</v>
      </c>
      <c r="P515" s="7">
        <v>0.55800000000000005</v>
      </c>
      <c r="Q515" s="3">
        <f>7/16</f>
        <v>0.4375</v>
      </c>
      <c r="R515" s="10">
        <f t="shared" si="86"/>
        <v>-3.2999999999999972</v>
      </c>
      <c r="S515" s="13">
        <v>23.6</v>
      </c>
      <c r="T515" s="13">
        <v>26.9</v>
      </c>
      <c r="U515" s="10">
        <v>26</v>
      </c>
      <c r="V515" s="10">
        <v>31</v>
      </c>
      <c r="W515" s="10">
        <f t="shared" si="87"/>
        <v>-5</v>
      </c>
      <c r="X515" s="9" t="s">
        <v>1</v>
      </c>
      <c r="Y515" s="11">
        <f t="shared" si="88"/>
        <v>0</v>
      </c>
      <c r="Z515" s="14">
        <v>4</v>
      </c>
    </row>
    <row r="516" spans="1:26" x14ac:dyDescent="0.2">
      <c r="A516" s="12">
        <f t="shared" si="81"/>
        <v>2016</v>
      </c>
      <c r="B516" s="1" t="s">
        <v>44</v>
      </c>
      <c r="C516" s="1">
        <v>26</v>
      </c>
      <c r="D516" s="15">
        <v>430000000</v>
      </c>
      <c r="E516" s="15">
        <f>(292.7/240)*430000000</f>
        <v>524420833.33333331</v>
      </c>
      <c r="F516" s="10">
        <f t="shared" si="82"/>
        <v>43.599999999999994</v>
      </c>
      <c r="G516" s="5">
        <f>3585/16</f>
        <v>224.0625</v>
      </c>
      <c r="H516" s="4" t="s">
        <v>2</v>
      </c>
      <c r="I516" s="1">
        <f t="shared" si="83"/>
        <v>1</v>
      </c>
      <c r="J516" s="1" t="s">
        <v>1</v>
      </c>
      <c r="K516" s="1">
        <f t="shared" si="84"/>
        <v>0</v>
      </c>
      <c r="L516" s="1" t="s">
        <v>2</v>
      </c>
      <c r="M516" s="1">
        <f t="shared" si="85"/>
        <v>1</v>
      </c>
      <c r="N516" s="1" t="s">
        <v>2</v>
      </c>
      <c r="O516" s="8">
        <v>0.379</v>
      </c>
      <c r="P516" s="7">
        <v>0.49099999999999999</v>
      </c>
      <c r="Q516" s="3">
        <f>7/16</f>
        <v>0.4375</v>
      </c>
      <c r="R516" s="10">
        <f t="shared" si="86"/>
        <v>2.1999999999999993</v>
      </c>
      <c r="S516" s="13">
        <v>22.9</v>
      </c>
      <c r="T516" s="13">
        <v>20.7</v>
      </c>
      <c r="U516" s="10">
        <v>26</v>
      </c>
      <c r="V516" s="10">
        <v>20</v>
      </c>
      <c r="W516" s="10">
        <f t="shared" si="87"/>
        <v>6</v>
      </c>
      <c r="X516" s="9" t="s">
        <v>1</v>
      </c>
      <c r="Y516" s="11">
        <f t="shared" si="88"/>
        <v>0</v>
      </c>
      <c r="Z516" s="14">
        <v>4</v>
      </c>
    </row>
    <row r="517" spans="1:26" x14ac:dyDescent="0.2">
      <c r="A517" s="12">
        <f t="shared" si="81"/>
        <v>2017</v>
      </c>
      <c r="B517" s="1" t="s">
        <v>44</v>
      </c>
      <c r="C517" s="1">
        <v>26</v>
      </c>
      <c r="D517" s="15">
        <v>458000000</v>
      </c>
      <c r="E517" s="15">
        <f>(292.7/245.1)*458000000</f>
        <v>546946552.4275806</v>
      </c>
      <c r="F517" s="10">
        <f t="shared" si="82"/>
        <v>47</v>
      </c>
      <c r="G517" s="5">
        <f>3737/16</f>
        <v>233.5625</v>
      </c>
      <c r="H517" s="4" t="s">
        <v>2</v>
      </c>
      <c r="I517" s="1">
        <f t="shared" si="83"/>
        <v>1</v>
      </c>
      <c r="J517" s="1" t="s">
        <v>1</v>
      </c>
      <c r="K517" s="1">
        <f t="shared" si="84"/>
        <v>0</v>
      </c>
      <c r="L517" s="1" t="s">
        <v>2</v>
      </c>
      <c r="M517" s="1">
        <f t="shared" si="85"/>
        <v>1</v>
      </c>
      <c r="N517" s="1" t="s">
        <v>2</v>
      </c>
      <c r="O517" s="8">
        <v>0.41699999999999998</v>
      </c>
      <c r="P517" s="7">
        <v>0.65500000000000003</v>
      </c>
      <c r="Q517" s="3">
        <f>13/16</f>
        <v>0.8125</v>
      </c>
      <c r="R517" s="10">
        <f t="shared" si="86"/>
        <v>10.200000000000003</v>
      </c>
      <c r="S517" s="13">
        <v>28.6</v>
      </c>
      <c r="T517" s="13">
        <v>18.399999999999999</v>
      </c>
      <c r="U517" s="10">
        <v>31</v>
      </c>
      <c r="V517" s="10">
        <v>20</v>
      </c>
      <c r="W517" s="10">
        <f t="shared" si="87"/>
        <v>11</v>
      </c>
      <c r="X517" s="9" t="s">
        <v>2</v>
      </c>
      <c r="Y517" s="11">
        <f t="shared" si="88"/>
        <v>1</v>
      </c>
      <c r="Z517" s="14">
        <v>6</v>
      </c>
    </row>
    <row r="518" spans="1:26" x14ac:dyDescent="0.2">
      <c r="A518" s="12">
        <f t="shared" si="81"/>
        <v>2018</v>
      </c>
      <c r="B518" s="1" t="s">
        <v>44</v>
      </c>
      <c r="C518" s="1">
        <v>26</v>
      </c>
      <c r="D518" s="15">
        <v>482000000</v>
      </c>
      <c r="E518" s="15">
        <f>(292.7/251.1)*482000000</f>
        <v>561853444.84269214</v>
      </c>
      <c r="F518" s="10">
        <f t="shared" si="82"/>
        <v>44.7</v>
      </c>
      <c r="G518" s="5">
        <f>4275/16</f>
        <v>267.1875</v>
      </c>
      <c r="H518" s="4" t="s">
        <v>1</v>
      </c>
      <c r="I518" s="1">
        <f t="shared" si="83"/>
        <v>0</v>
      </c>
      <c r="J518" s="1" t="s">
        <v>2</v>
      </c>
      <c r="K518" s="1">
        <f t="shared" si="84"/>
        <v>1</v>
      </c>
      <c r="L518" s="1" t="s">
        <v>2</v>
      </c>
      <c r="M518" s="1">
        <f t="shared" si="85"/>
        <v>1</v>
      </c>
      <c r="N518" s="1" t="s">
        <v>2</v>
      </c>
      <c r="O518" s="8">
        <v>0.41</v>
      </c>
      <c r="P518" s="7">
        <v>0.57899999999999996</v>
      </c>
      <c r="Q518" s="3">
        <f>9/16</f>
        <v>0.5625</v>
      </c>
      <c r="R518" s="10">
        <f t="shared" si="86"/>
        <v>1.0999999999999979</v>
      </c>
      <c r="S518" s="13">
        <v>22.9</v>
      </c>
      <c r="T518" s="13">
        <v>21.8</v>
      </c>
      <c r="U518" s="10">
        <v>17</v>
      </c>
      <c r="V518" s="10">
        <v>23</v>
      </c>
      <c r="W518" s="10">
        <f t="shared" si="87"/>
        <v>-6</v>
      </c>
      <c r="X518" s="9" t="s">
        <v>2</v>
      </c>
      <c r="Y518" s="11">
        <f t="shared" si="88"/>
        <v>1</v>
      </c>
      <c r="Z518" s="14">
        <v>5</v>
      </c>
    </row>
    <row r="519" spans="1:26" x14ac:dyDescent="0.2">
      <c r="A519" s="12">
        <f t="shared" si="81"/>
        <v>2019</v>
      </c>
      <c r="B519" s="1" t="s">
        <v>44</v>
      </c>
      <c r="C519" s="1">
        <v>26</v>
      </c>
      <c r="D519" s="15">
        <v>509000000</v>
      </c>
      <c r="E519" s="15">
        <f>(292.7/255.7)*509000000</f>
        <v>582652718.0289402</v>
      </c>
      <c r="F519" s="10">
        <f t="shared" si="82"/>
        <v>46.2</v>
      </c>
      <c r="G519" s="5">
        <f>3833/16</f>
        <v>239.5625</v>
      </c>
      <c r="H519" s="4" t="s">
        <v>1</v>
      </c>
      <c r="I519" s="1">
        <f t="shared" si="83"/>
        <v>0</v>
      </c>
      <c r="J519" s="1" t="s">
        <v>2</v>
      </c>
      <c r="K519" s="1">
        <f t="shared" si="84"/>
        <v>1</v>
      </c>
      <c r="L519" s="1" t="s">
        <v>2</v>
      </c>
      <c r="M519" s="1">
        <f t="shared" si="85"/>
        <v>1</v>
      </c>
      <c r="N519" s="1" t="s">
        <v>2</v>
      </c>
      <c r="O519" s="8">
        <v>0.45400000000000001</v>
      </c>
      <c r="P519" s="7">
        <v>0.66700000000000004</v>
      </c>
      <c r="Q519" s="3">
        <f>9/16</f>
        <v>0.5625</v>
      </c>
      <c r="R519" s="10">
        <f t="shared" si="86"/>
        <v>2</v>
      </c>
      <c r="S519" s="13">
        <v>24.1</v>
      </c>
      <c r="T519" s="13">
        <v>22.1</v>
      </c>
      <c r="U519" s="10">
        <v>20</v>
      </c>
      <c r="V519" s="10">
        <v>23</v>
      </c>
      <c r="W519" s="10">
        <f t="shared" si="87"/>
        <v>-3</v>
      </c>
      <c r="X519" s="9" t="s">
        <v>2</v>
      </c>
      <c r="Y519" s="11">
        <f t="shared" si="88"/>
        <v>1</v>
      </c>
      <c r="Z519" s="14">
        <v>6</v>
      </c>
    </row>
    <row r="520" spans="1:26" x14ac:dyDescent="0.2">
      <c r="A520" s="12">
        <v>2021</v>
      </c>
      <c r="B520" s="1" t="s">
        <v>44</v>
      </c>
      <c r="C520" s="1">
        <v>26</v>
      </c>
      <c r="D520" s="15">
        <v>547000000</v>
      </c>
      <c r="E520" s="15">
        <f>(292.7/271)*547000000</f>
        <v>590800369.00369</v>
      </c>
      <c r="F520" s="10">
        <f t="shared" si="82"/>
        <v>48.7</v>
      </c>
      <c r="G520" s="5">
        <f>3404/17</f>
        <v>200.23529411764707</v>
      </c>
      <c r="H520" s="4" t="s">
        <v>1</v>
      </c>
      <c r="I520" s="1">
        <f t="shared" si="83"/>
        <v>0</v>
      </c>
      <c r="J520" s="1" t="s">
        <v>2</v>
      </c>
      <c r="K520" s="1">
        <f t="shared" si="84"/>
        <v>1</v>
      </c>
      <c r="L520" s="1" t="s">
        <v>2</v>
      </c>
      <c r="M520" s="1">
        <f t="shared" si="85"/>
        <v>1</v>
      </c>
      <c r="N520" s="1" t="s">
        <v>2</v>
      </c>
      <c r="O520" s="8">
        <v>0.45700000000000002</v>
      </c>
      <c r="P520" s="7">
        <v>0.623</v>
      </c>
      <c r="Q520" s="3">
        <f>9/17</f>
        <v>0.52941176470588236</v>
      </c>
      <c r="R520" s="10">
        <f t="shared" si="86"/>
        <v>3.5</v>
      </c>
      <c r="S520" s="13">
        <v>26.1</v>
      </c>
      <c r="T520" s="13">
        <v>22.6</v>
      </c>
      <c r="U520" s="10">
        <v>16</v>
      </c>
      <c r="V520" s="10">
        <v>16</v>
      </c>
      <c r="W520" s="10">
        <f t="shared" si="87"/>
        <v>0</v>
      </c>
      <c r="X520" s="9" t="s">
        <v>2</v>
      </c>
      <c r="Y520" s="11">
        <f t="shared" si="88"/>
        <v>1</v>
      </c>
      <c r="Z520" s="14">
        <v>5</v>
      </c>
    </row>
    <row r="521" spans="1:26" x14ac:dyDescent="0.2">
      <c r="A521" s="12">
        <f>A520+1</f>
        <v>2022</v>
      </c>
      <c r="B521" s="1" t="s">
        <v>44</v>
      </c>
      <c r="C521" s="1">
        <v>26</v>
      </c>
      <c r="D521" s="15">
        <v>598000000</v>
      </c>
      <c r="E521" s="15">
        <f>(292.7/292.7)*598000000</f>
        <v>598000000</v>
      </c>
      <c r="F521" s="10">
        <f t="shared" si="82"/>
        <v>48.3</v>
      </c>
      <c r="G521" s="5">
        <f>4105/17</f>
        <v>241.47058823529412</v>
      </c>
      <c r="H521" s="4" t="s">
        <v>1</v>
      </c>
      <c r="I521" s="1">
        <f t="shared" si="83"/>
        <v>0</v>
      </c>
      <c r="J521" s="1" t="s">
        <v>2</v>
      </c>
      <c r="K521" s="1">
        <f t="shared" si="84"/>
        <v>1</v>
      </c>
      <c r="L521" s="1" t="s">
        <v>2</v>
      </c>
      <c r="M521" s="1">
        <f t="shared" si="85"/>
        <v>1</v>
      </c>
      <c r="N521" s="1" t="s">
        <v>2</v>
      </c>
      <c r="O521" s="8">
        <v>0.45900000000000002</v>
      </c>
      <c r="P521" s="7">
        <v>0.67800000000000005</v>
      </c>
      <c r="Q521" s="3">
        <f>14/17</f>
        <v>0.82352941176470584</v>
      </c>
      <c r="R521" s="10">
        <f t="shared" si="86"/>
        <v>7.9000000000000021</v>
      </c>
      <c r="S521" s="13">
        <v>28.1</v>
      </c>
      <c r="T521" s="13">
        <v>20.2</v>
      </c>
      <c r="U521" s="10">
        <v>27</v>
      </c>
      <c r="V521" s="10">
        <v>10</v>
      </c>
      <c r="W521" s="10">
        <f t="shared" si="87"/>
        <v>17</v>
      </c>
      <c r="X521" s="9" t="s">
        <v>2</v>
      </c>
      <c r="Y521" s="11">
        <f t="shared" si="88"/>
        <v>1</v>
      </c>
      <c r="Z521" s="14">
        <v>8</v>
      </c>
    </row>
    <row r="522" spans="1:26" x14ac:dyDescent="0.2">
      <c r="A522" s="12">
        <v>2002</v>
      </c>
      <c r="B522" s="1" t="s">
        <v>45</v>
      </c>
      <c r="C522" s="1">
        <v>27</v>
      </c>
      <c r="D522" s="15">
        <v>152000000</v>
      </c>
      <c r="E522" s="15">
        <f>(292.7/179.9)*152000000</f>
        <v>247306281.26737076</v>
      </c>
      <c r="F522" s="10">
        <f t="shared" si="82"/>
        <v>46</v>
      </c>
      <c r="G522" s="5">
        <f>3832/16</f>
        <v>239.5</v>
      </c>
      <c r="H522" s="4" t="s">
        <v>1</v>
      </c>
      <c r="I522" s="1">
        <f t="shared" si="83"/>
        <v>0</v>
      </c>
      <c r="J522" s="1" t="s">
        <v>1</v>
      </c>
      <c r="K522" s="1">
        <f t="shared" si="84"/>
        <v>0</v>
      </c>
      <c r="L522" s="1" t="s">
        <v>1</v>
      </c>
      <c r="M522" s="1">
        <f t="shared" si="85"/>
        <v>0</v>
      </c>
      <c r="N522" s="1" t="s">
        <v>1</v>
      </c>
      <c r="O522" s="8">
        <v>0.42199999999999999</v>
      </c>
      <c r="P522" s="7">
        <v>0.45900000000000002</v>
      </c>
      <c r="Q522" s="3">
        <f>10.5/16</f>
        <v>0.65625</v>
      </c>
      <c r="R522" s="10">
        <f t="shared" si="86"/>
        <v>2.7999999999999972</v>
      </c>
      <c r="S522" s="13">
        <v>24.4</v>
      </c>
      <c r="T522" s="13">
        <v>21.6</v>
      </c>
      <c r="U522" s="10">
        <v>36</v>
      </c>
      <c r="V522" s="10">
        <v>36</v>
      </c>
      <c r="W522" s="10">
        <f t="shared" si="87"/>
        <v>0</v>
      </c>
      <c r="X522" s="9" t="s">
        <v>2</v>
      </c>
      <c r="Y522" s="11">
        <f t="shared" si="88"/>
        <v>1</v>
      </c>
      <c r="Z522" s="14">
        <v>4</v>
      </c>
    </row>
    <row r="523" spans="1:26" x14ac:dyDescent="0.2">
      <c r="A523" s="12">
        <f>A522+1</f>
        <v>2003</v>
      </c>
      <c r="B523" s="1" t="s">
        <v>45</v>
      </c>
      <c r="C523" s="1">
        <v>27</v>
      </c>
      <c r="D523" s="15">
        <v>159000000</v>
      </c>
      <c r="E523" s="15">
        <f>(292.7/184)*159000000</f>
        <v>252930978.26086956</v>
      </c>
      <c r="F523" s="10">
        <f t="shared" si="82"/>
        <v>39.200000000000003</v>
      </c>
      <c r="G523" s="5">
        <f>3304/16</f>
        <v>206.5</v>
      </c>
      <c r="H523" s="4" t="s">
        <v>1</v>
      </c>
      <c r="I523" s="1">
        <f t="shared" si="83"/>
        <v>0</v>
      </c>
      <c r="J523" s="1" t="s">
        <v>1</v>
      </c>
      <c r="K523" s="1">
        <f t="shared" si="84"/>
        <v>0</v>
      </c>
      <c r="L523" s="1" t="s">
        <v>1</v>
      </c>
      <c r="M523" s="1">
        <f t="shared" si="85"/>
        <v>0</v>
      </c>
      <c r="N523" s="1" t="s">
        <v>1</v>
      </c>
      <c r="O523" s="8">
        <v>0.36099999999999999</v>
      </c>
      <c r="P523" s="7">
        <v>0.45500000000000002</v>
      </c>
      <c r="Q523" s="3">
        <f>6/16</f>
        <v>0.375</v>
      </c>
      <c r="R523" s="10">
        <f t="shared" si="86"/>
        <v>-1.5999999999999979</v>
      </c>
      <c r="S523" s="13">
        <v>18.8</v>
      </c>
      <c r="T523" s="13">
        <v>20.399999999999999</v>
      </c>
      <c r="U523" s="10">
        <v>25</v>
      </c>
      <c r="V523" s="10">
        <v>28</v>
      </c>
      <c r="W523" s="10">
        <f t="shared" si="87"/>
        <v>-3</v>
      </c>
      <c r="X523" s="9" t="s">
        <v>1</v>
      </c>
      <c r="Y523" s="11">
        <f t="shared" si="88"/>
        <v>0</v>
      </c>
      <c r="Z523" s="14">
        <v>3</v>
      </c>
    </row>
    <row r="524" spans="1:26" x14ac:dyDescent="0.2">
      <c r="A524" s="12">
        <f>A523+1</f>
        <v>2004</v>
      </c>
      <c r="B524" s="1" t="s">
        <v>45</v>
      </c>
      <c r="C524" s="1">
        <v>27</v>
      </c>
      <c r="D524" s="15">
        <v>182000000</v>
      </c>
      <c r="E524" s="15">
        <f>(292.7/188.9)*182000000</f>
        <v>282008470.08999467</v>
      </c>
      <c r="F524" s="10">
        <f t="shared" si="82"/>
        <v>39</v>
      </c>
      <c r="G524" s="5">
        <f>2720/16</f>
        <v>170</v>
      </c>
      <c r="H524" s="4" t="s">
        <v>1</v>
      </c>
      <c r="I524" s="1">
        <f t="shared" si="83"/>
        <v>0</v>
      </c>
      <c r="J524" s="1" t="s">
        <v>1</v>
      </c>
      <c r="K524" s="1">
        <f t="shared" si="84"/>
        <v>0</v>
      </c>
      <c r="L524" s="1" t="s">
        <v>1</v>
      </c>
      <c r="M524" s="1">
        <f t="shared" si="85"/>
        <v>0</v>
      </c>
      <c r="N524" s="1" t="s">
        <v>1</v>
      </c>
      <c r="O524" s="8">
        <v>0.42899999999999999</v>
      </c>
      <c r="P524" s="7">
        <v>0.45900000000000002</v>
      </c>
      <c r="Q524" s="3">
        <f>15/16</f>
        <v>0.9375</v>
      </c>
      <c r="R524" s="10">
        <f t="shared" si="86"/>
        <v>7.6000000000000014</v>
      </c>
      <c r="S524" s="13">
        <v>23.3</v>
      </c>
      <c r="T524" s="13">
        <v>15.7</v>
      </c>
      <c r="U524" s="10">
        <v>32</v>
      </c>
      <c r="V524" s="10">
        <v>21</v>
      </c>
      <c r="W524" s="10">
        <f t="shared" si="87"/>
        <v>11</v>
      </c>
      <c r="X524" s="9" t="s">
        <v>2</v>
      </c>
      <c r="Y524" s="11">
        <f t="shared" si="88"/>
        <v>1</v>
      </c>
      <c r="Z524" s="14">
        <v>9</v>
      </c>
    </row>
    <row r="525" spans="1:26" x14ac:dyDescent="0.2">
      <c r="A525" s="12">
        <f>A524+1</f>
        <v>2005</v>
      </c>
      <c r="B525" s="1" t="s">
        <v>45</v>
      </c>
      <c r="C525" s="1">
        <v>27</v>
      </c>
      <c r="D525" s="15">
        <v>187000000</v>
      </c>
      <c r="E525" s="15">
        <f>(292.7/195.3)*187000000</f>
        <v>280260624.6799795</v>
      </c>
      <c r="F525" s="10">
        <f t="shared" si="82"/>
        <v>40.400000000000006</v>
      </c>
      <c r="G525" s="5">
        <f>2926/16</f>
        <v>182.875</v>
      </c>
      <c r="H525" s="4" t="s">
        <v>1</v>
      </c>
      <c r="I525" s="1">
        <f t="shared" si="83"/>
        <v>0</v>
      </c>
      <c r="J525" s="1" t="s">
        <v>1</v>
      </c>
      <c r="K525" s="1">
        <f t="shared" si="84"/>
        <v>0</v>
      </c>
      <c r="L525" s="1" t="s">
        <v>1</v>
      </c>
      <c r="M525" s="1">
        <f t="shared" si="85"/>
        <v>0</v>
      </c>
      <c r="N525" s="1" t="s">
        <v>1</v>
      </c>
      <c r="O525" s="8">
        <v>0.35399999999999998</v>
      </c>
      <c r="P525" s="7">
        <v>0.60699999999999998</v>
      </c>
      <c r="Q525" s="3">
        <f>11/16</f>
        <v>0.6875</v>
      </c>
      <c r="R525" s="10">
        <f t="shared" si="86"/>
        <v>8.1999999999999993</v>
      </c>
      <c r="S525" s="13">
        <v>24.3</v>
      </c>
      <c r="T525" s="13">
        <v>16.100000000000001</v>
      </c>
      <c r="U525" s="10">
        <v>30</v>
      </c>
      <c r="V525" s="10">
        <v>23</v>
      </c>
      <c r="W525" s="10">
        <f t="shared" si="87"/>
        <v>7</v>
      </c>
      <c r="X525" s="9" t="s">
        <v>2</v>
      </c>
      <c r="Y525" s="11">
        <f t="shared" si="88"/>
        <v>1</v>
      </c>
      <c r="Z525" s="14">
        <v>5</v>
      </c>
    </row>
    <row r="526" spans="1:26" x14ac:dyDescent="0.2">
      <c r="A526" s="12">
        <f>A525+1</f>
        <v>2006</v>
      </c>
      <c r="B526" s="1" t="s">
        <v>45</v>
      </c>
      <c r="C526" s="1">
        <v>27</v>
      </c>
      <c r="D526" s="15">
        <v>198000000</v>
      </c>
      <c r="E526" s="15">
        <f>(292.7/201.6)*198000000</f>
        <v>287473214.28571427</v>
      </c>
      <c r="F526" s="10">
        <f t="shared" si="82"/>
        <v>41.8</v>
      </c>
      <c r="G526" s="5">
        <f>3733/16</f>
        <v>233.3125</v>
      </c>
      <c r="H526" s="4" t="s">
        <v>1</v>
      </c>
      <c r="I526" s="1">
        <f t="shared" si="83"/>
        <v>0</v>
      </c>
      <c r="J526" s="1" t="s">
        <v>1</v>
      </c>
      <c r="K526" s="1">
        <f t="shared" si="84"/>
        <v>0</v>
      </c>
      <c r="L526" s="1" t="s">
        <v>1</v>
      </c>
      <c r="M526" s="1">
        <f t="shared" si="85"/>
        <v>0</v>
      </c>
      <c r="N526" s="1" t="s">
        <v>1</v>
      </c>
      <c r="O526" s="8">
        <v>0.42899999999999999</v>
      </c>
      <c r="P526" s="7">
        <v>0.5</v>
      </c>
      <c r="Q526" s="3">
        <f>8/16</f>
        <v>0.5</v>
      </c>
      <c r="R526" s="10">
        <f t="shared" si="86"/>
        <v>2.4000000000000021</v>
      </c>
      <c r="S526" s="13">
        <v>22.1</v>
      </c>
      <c r="T526" s="13">
        <v>19.7</v>
      </c>
      <c r="U526" s="10">
        <v>29</v>
      </c>
      <c r="V526" s="10">
        <v>37</v>
      </c>
      <c r="W526" s="10">
        <f t="shared" si="87"/>
        <v>-8</v>
      </c>
      <c r="X526" s="9" t="s">
        <v>1</v>
      </c>
      <c r="Y526" s="11">
        <f t="shared" si="88"/>
        <v>0</v>
      </c>
      <c r="Z526" s="14">
        <v>4</v>
      </c>
    </row>
    <row r="527" spans="1:26" x14ac:dyDescent="0.2">
      <c r="A527" s="12">
        <f>A526+1</f>
        <v>2007</v>
      </c>
      <c r="B527" s="1" t="s">
        <v>45</v>
      </c>
      <c r="C527" s="1">
        <v>27</v>
      </c>
      <c r="D527" s="15">
        <v>216000000</v>
      </c>
      <c r="E527" s="15">
        <f>(292.7/207.3)*216000000</f>
        <v>304984081.04196811</v>
      </c>
      <c r="F527" s="10">
        <f t="shared" si="82"/>
        <v>41.400000000000006</v>
      </c>
      <c r="G527" s="5">
        <f>3071/16</f>
        <v>191.9375</v>
      </c>
      <c r="H527" s="4" t="s">
        <v>1</v>
      </c>
      <c r="I527" s="1">
        <f t="shared" si="83"/>
        <v>0</v>
      </c>
      <c r="J527" s="1" t="s">
        <v>1</v>
      </c>
      <c r="K527" s="1">
        <f t="shared" si="84"/>
        <v>0</v>
      </c>
      <c r="L527" s="1" t="s">
        <v>1</v>
      </c>
      <c r="M527" s="1">
        <f t="shared" si="85"/>
        <v>0</v>
      </c>
      <c r="N527" s="1" t="s">
        <v>14</v>
      </c>
      <c r="O527" s="8">
        <v>0.46800000000000003</v>
      </c>
      <c r="P527" s="7">
        <v>0.58199999999999996</v>
      </c>
      <c r="Q527" s="3">
        <f>10/16</f>
        <v>0.625</v>
      </c>
      <c r="R527" s="10">
        <f t="shared" si="86"/>
        <v>7.8000000000000007</v>
      </c>
      <c r="S527" s="13">
        <v>24.6</v>
      </c>
      <c r="T527" s="13">
        <v>16.8</v>
      </c>
      <c r="U527" s="10">
        <v>25</v>
      </c>
      <c r="V527" s="10">
        <v>22</v>
      </c>
      <c r="W527" s="10">
        <f t="shared" si="87"/>
        <v>3</v>
      </c>
      <c r="X527" s="9" t="s">
        <v>2</v>
      </c>
      <c r="Y527" s="11">
        <f t="shared" si="88"/>
        <v>1</v>
      </c>
      <c r="Z527" s="14">
        <v>6</v>
      </c>
    </row>
    <row r="528" spans="1:26" x14ac:dyDescent="0.2">
      <c r="A528" s="12">
        <v>2008</v>
      </c>
      <c r="B528" s="1" t="s">
        <v>45</v>
      </c>
      <c r="C528" s="1">
        <v>27</v>
      </c>
      <c r="D528" s="15">
        <v>235000000</v>
      </c>
      <c r="E528" s="15">
        <f>(292.7/215.3)*235000000</f>
        <v>319482117.97491872</v>
      </c>
      <c r="F528" s="10">
        <f t="shared" si="82"/>
        <v>35.6</v>
      </c>
      <c r="G528" s="5">
        <f>3301/16</f>
        <v>206.3125</v>
      </c>
      <c r="H528" s="4" t="s">
        <v>1</v>
      </c>
      <c r="I528" s="1">
        <f t="shared" si="83"/>
        <v>0</v>
      </c>
      <c r="J528" s="1" t="s">
        <v>1</v>
      </c>
      <c r="K528" s="1">
        <f t="shared" si="84"/>
        <v>0</v>
      </c>
      <c r="L528" s="1" t="s">
        <v>1</v>
      </c>
      <c r="M528" s="1">
        <f t="shared" si="85"/>
        <v>0</v>
      </c>
      <c r="N528" s="1" t="s">
        <v>1</v>
      </c>
      <c r="O528" s="8">
        <v>0.41099999999999998</v>
      </c>
      <c r="P528" s="7">
        <v>0.55100000000000005</v>
      </c>
      <c r="Q528" s="3">
        <f>12/16</f>
        <v>0.75</v>
      </c>
      <c r="R528" s="10">
        <f t="shared" si="86"/>
        <v>7.7999999999999989</v>
      </c>
      <c r="S528" s="13">
        <v>21.7</v>
      </c>
      <c r="T528" s="13">
        <v>13.9</v>
      </c>
      <c r="U528" s="10">
        <v>29</v>
      </c>
      <c r="V528" s="10">
        <v>25</v>
      </c>
      <c r="W528" s="10">
        <f t="shared" si="87"/>
        <v>4</v>
      </c>
      <c r="X528" s="9" t="s">
        <v>2</v>
      </c>
      <c r="Y528" s="11">
        <f t="shared" si="88"/>
        <v>1</v>
      </c>
      <c r="Z528" s="14">
        <v>3</v>
      </c>
    </row>
    <row r="529" spans="1:26" x14ac:dyDescent="0.2">
      <c r="A529" s="12">
        <f t="shared" ref="A529:A539" si="89">A528+1</f>
        <v>2009</v>
      </c>
      <c r="B529" s="1" t="s">
        <v>45</v>
      </c>
      <c r="C529" s="1">
        <v>27</v>
      </c>
      <c r="D529" s="15">
        <v>243000000</v>
      </c>
      <c r="E529" s="15">
        <f>(292.7/214.5)*243000000</f>
        <v>331590209.79020977</v>
      </c>
      <c r="F529" s="10">
        <f t="shared" si="82"/>
        <v>43.3</v>
      </c>
      <c r="G529" s="5">
        <f>4148/16</f>
        <v>259.25</v>
      </c>
      <c r="H529" s="4" t="s">
        <v>2</v>
      </c>
      <c r="I529" s="1">
        <f t="shared" si="83"/>
        <v>1</v>
      </c>
      <c r="J529" s="1" t="s">
        <v>1</v>
      </c>
      <c r="K529" s="1">
        <f t="shared" si="84"/>
        <v>0</v>
      </c>
      <c r="L529" s="1" t="s">
        <v>2</v>
      </c>
      <c r="M529" s="1">
        <f t="shared" si="85"/>
        <v>1</v>
      </c>
      <c r="N529" s="1" t="s">
        <v>1</v>
      </c>
      <c r="O529" s="8">
        <v>0.39400000000000002</v>
      </c>
      <c r="P529" s="7">
        <v>0.48199999999999998</v>
      </c>
      <c r="Q529" s="3">
        <f>9/16</f>
        <v>0.5625</v>
      </c>
      <c r="R529" s="10">
        <f t="shared" si="86"/>
        <v>2.6999999999999993</v>
      </c>
      <c r="S529" s="13">
        <v>23</v>
      </c>
      <c r="T529" s="13">
        <v>20.3</v>
      </c>
      <c r="U529" s="10">
        <v>22</v>
      </c>
      <c r="V529" s="10">
        <v>25</v>
      </c>
      <c r="W529" s="10">
        <f t="shared" si="87"/>
        <v>-3</v>
      </c>
      <c r="X529" s="9" t="s">
        <v>1</v>
      </c>
      <c r="Y529" s="11">
        <f t="shared" si="88"/>
        <v>0</v>
      </c>
      <c r="Z529" s="14">
        <v>4</v>
      </c>
    </row>
    <row r="530" spans="1:26" x14ac:dyDescent="0.2">
      <c r="A530" s="12">
        <f t="shared" si="89"/>
        <v>2010</v>
      </c>
      <c r="B530" s="1" t="s">
        <v>45</v>
      </c>
      <c r="C530" s="1">
        <v>27</v>
      </c>
      <c r="D530" s="15">
        <v>255000000</v>
      </c>
      <c r="E530" s="15">
        <f>(292.7/218.1)*255000000</f>
        <v>342221458.04676753</v>
      </c>
      <c r="F530" s="10">
        <f t="shared" si="82"/>
        <v>37.9</v>
      </c>
      <c r="G530" s="5">
        <f>3601/16</f>
        <v>225.0625</v>
      </c>
      <c r="H530" s="4" t="s">
        <v>2</v>
      </c>
      <c r="I530" s="1">
        <f t="shared" si="83"/>
        <v>1</v>
      </c>
      <c r="J530" s="1" t="s">
        <v>1</v>
      </c>
      <c r="K530" s="1">
        <f t="shared" si="84"/>
        <v>0</v>
      </c>
      <c r="L530" s="1" t="s">
        <v>2</v>
      </c>
      <c r="M530" s="1">
        <f t="shared" si="85"/>
        <v>1</v>
      </c>
      <c r="N530" s="1" t="s">
        <v>1</v>
      </c>
      <c r="O530" s="8">
        <v>0.43099999999999999</v>
      </c>
      <c r="P530" s="7">
        <v>0.48</v>
      </c>
      <c r="Q530" s="3">
        <f>12/16</f>
        <v>0.75</v>
      </c>
      <c r="R530" s="10">
        <f t="shared" si="86"/>
        <v>8.8999999999999986</v>
      </c>
      <c r="S530" s="13">
        <v>23.4</v>
      </c>
      <c r="T530" s="13">
        <v>14.5</v>
      </c>
      <c r="U530" s="10">
        <v>35</v>
      </c>
      <c r="V530" s="10">
        <v>18</v>
      </c>
      <c r="W530" s="10">
        <f t="shared" si="87"/>
        <v>17</v>
      </c>
      <c r="X530" s="9" t="s">
        <v>2</v>
      </c>
      <c r="Y530" s="11">
        <f t="shared" si="88"/>
        <v>1</v>
      </c>
      <c r="Z530" s="14">
        <v>4</v>
      </c>
    </row>
    <row r="531" spans="1:26" x14ac:dyDescent="0.2">
      <c r="A531" s="12">
        <f t="shared" si="89"/>
        <v>2011</v>
      </c>
      <c r="B531" s="1" t="s">
        <v>45</v>
      </c>
      <c r="C531" s="1">
        <v>27</v>
      </c>
      <c r="D531" s="15">
        <v>266000000</v>
      </c>
      <c r="E531" s="15">
        <f>(292.7/224.9)*266000000</f>
        <v>346190306.80302352</v>
      </c>
      <c r="F531" s="10">
        <f t="shared" si="82"/>
        <v>34.5</v>
      </c>
      <c r="G531" s="5">
        <f>4054/16</f>
        <v>253.375</v>
      </c>
      <c r="H531" s="4" t="s">
        <v>2</v>
      </c>
      <c r="I531" s="1">
        <f t="shared" si="83"/>
        <v>1</v>
      </c>
      <c r="J531" s="1" t="s">
        <v>1</v>
      </c>
      <c r="K531" s="1">
        <f t="shared" si="84"/>
        <v>0</v>
      </c>
      <c r="L531" s="1" t="s">
        <v>2</v>
      </c>
      <c r="M531" s="1">
        <f t="shared" si="85"/>
        <v>1</v>
      </c>
      <c r="N531" s="1" t="s">
        <v>1</v>
      </c>
      <c r="O531" s="8">
        <v>0.45900000000000002</v>
      </c>
      <c r="P531" s="7">
        <v>0.50900000000000001</v>
      </c>
      <c r="Q531" s="3">
        <f>12/16</f>
        <v>0.75</v>
      </c>
      <c r="R531" s="10">
        <f t="shared" si="86"/>
        <v>6.1000000000000014</v>
      </c>
      <c r="S531" s="13">
        <v>20.3</v>
      </c>
      <c r="T531" s="13">
        <v>14.2</v>
      </c>
      <c r="U531" s="10">
        <v>15</v>
      </c>
      <c r="V531" s="10">
        <v>28</v>
      </c>
      <c r="W531" s="10">
        <f t="shared" si="87"/>
        <v>-13</v>
      </c>
      <c r="X531" s="9" t="s">
        <v>2</v>
      </c>
      <c r="Y531" s="11">
        <f t="shared" si="88"/>
        <v>1</v>
      </c>
      <c r="Z531" s="14">
        <v>7</v>
      </c>
    </row>
    <row r="532" spans="1:26" x14ac:dyDescent="0.2">
      <c r="A532" s="12">
        <f t="shared" si="89"/>
        <v>2012</v>
      </c>
      <c r="B532" s="1" t="s">
        <v>45</v>
      </c>
      <c r="C532" s="1">
        <v>27</v>
      </c>
      <c r="D532" s="15">
        <v>266000000</v>
      </c>
      <c r="E532" s="15">
        <f>(292.7/229.6)*266000000</f>
        <v>339103658.53658533</v>
      </c>
      <c r="F532" s="10">
        <f t="shared" si="82"/>
        <v>40.6</v>
      </c>
      <c r="G532" s="5">
        <f>3787/16</f>
        <v>236.6875</v>
      </c>
      <c r="H532" s="4" t="s">
        <v>2</v>
      </c>
      <c r="I532" s="1">
        <f t="shared" si="83"/>
        <v>1</v>
      </c>
      <c r="J532" s="1" t="s">
        <v>1</v>
      </c>
      <c r="K532" s="1">
        <f t="shared" si="84"/>
        <v>0</v>
      </c>
      <c r="L532" s="1" t="s">
        <v>2</v>
      </c>
      <c r="M532" s="1">
        <f t="shared" si="85"/>
        <v>1</v>
      </c>
      <c r="N532" s="1" t="s">
        <v>1</v>
      </c>
      <c r="O532" s="8">
        <v>0.42</v>
      </c>
      <c r="P532" s="7">
        <v>0.55100000000000005</v>
      </c>
      <c r="Q532" s="3">
        <f>8/16</f>
        <v>0.5</v>
      </c>
      <c r="R532" s="10">
        <f t="shared" si="86"/>
        <v>1.3999999999999986</v>
      </c>
      <c r="S532" s="13">
        <v>21</v>
      </c>
      <c r="T532" s="13">
        <v>19.600000000000001</v>
      </c>
      <c r="U532" s="10">
        <v>20</v>
      </c>
      <c r="V532" s="10">
        <v>30</v>
      </c>
      <c r="W532" s="10">
        <f t="shared" si="87"/>
        <v>-10</v>
      </c>
      <c r="X532" s="9" t="s">
        <v>1</v>
      </c>
      <c r="Y532" s="11">
        <f t="shared" si="88"/>
        <v>0</v>
      </c>
      <c r="Z532" s="14">
        <v>2</v>
      </c>
    </row>
    <row r="533" spans="1:26" x14ac:dyDescent="0.2">
      <c r="A533" s="12">
        <f t="shared" si="89"/>
        <v>2013</v>
      </c>
      <c r="B533" s="1" t="s">
        <v>45</v>
      </c>
      <c r="C533" s="1">
        <v>27</v>
      </c>
      <c r="D533" s="15">
        <v>287000000</v>
      </c>
      <c r="E533" s="15">
        <f>(292.7/233)*287000000</f>
        <v>360536051.50214595</v>
      </c>
      <c r="F533" s="10">
        <f t="shared" si="82"/>
        <v>46.8</v>
      </c>
      <c r="G533" s="5">
        <f>4017/16</f>
        <v>251.0625</v>
      </c>
      <c r="H533" s="4" t="s">
        <v>2</v>
      </c>
      <c r="I533" s="1">
        <f t="shared" si="83"/>
        <v>1</v>
      </c>
      <c r="J533" s="1" t="s">
        <v>1</v>
      </c>
      <c r="K533" s="1">
        <f t="shared" si="84"/>
        <v>0</v>
      </c>
      <c r="L533" s="1" t="s">
        <v>2</v>
      </c>
      <c r="M533" s="1">
        <f t="shared" si="85"/>
        <v>1</v>
      </c>
      <c r="N533" s="1" t="s">
        <v>1</v>
      </c>
      <c r="O533" s="8">
        <v>0.38</v>
      </c>
      <c r="P533" s="7">
        <v>0.52800000000000002</v>
      </c>
      <c r="Q533" s="3">
        <f>8/16</f>
        <v>0.5</v>
      </c>
      <c r="R533" s="10">
        <f t="shared" si="86"/>
        <v>0.59999999999999787</v>
      </c>
      <c r="S533" s="13">
        <v>23.7</v>
      </c>
      <c r="T533" s="13">
        <v>23.1</v>
      </c>
      <c r="U533" s="10">
        <v>20</v>
      </c>
      <c r="V533" s="10">
        <v>24</v>
      </c>
      <c r="W533" s="10">
        <f t="shared" si="87"/>
        <v>-4</v>
      </c>
      <c r="X533" s="9" t="s">
        <v>1</v>
      </c>
      <c r="Y533" s="11">
        <f t="shared" si="88"/>
        <v>0</v>
      </c>
      <c r="Z533" s="14">
        <v>2</v>
      </c>
    </row>
    <row r="534" spans="1:26" x14ac:dyDescent="0.2">
      <c r="A534" s="12">
        <f t="shared" si="89"/>
        <v>2014</v>
      </c>
      <c r="B534" s="1" t="s">
        <v>45</v>
      </c>
      <c r="C534" s="1">
        <v>27</v>
      </c>
      <c r="D534" s="15">
        <v>334000000</v>
      </c>
      <c r="E534" s="15">
        <f>(292.7/236.7)*334000000</f>
        <v>413019856.35825938</v>
      </c>
      <c r="F534" s="10">
        <f t="shared" si="82"/>
        <v>50.3</v>
      </c>
      <c r="G534" s="5">
        <f>4825/16</f>
        <v>301.5625</v>
      </c>
      <c r="H534" s="4" t="s">
        <v>2</v>
      </c>
      <c r="I534" s="1">
        <f t="shared" si="83"/>
        <v>1</v>
      </c>
      <c r="J534" s="1" t="s">
        <v>1</v>
      </c>
      <c r="K534" s="1">
        <f t="shared" si="84"/>
        <v>0</v>
      </c>
      <c r="L534" s="1" t="s">
        <v>2</v>
      </c>
      <c r="M534" s="1">
        <f t="shared" si="85"/>
        <v>1</v>
      </c>
      <c r="N534" s="1" t="s">
        <v>1</v>
      </c>
      <c r="O534" s="8">
        <v>0.44700000000000001</v>
      </c>
      <c r="P534" s="7">
        <v>0.52700000000000002</v>
      </c>
      <c r="Q534" s="3">
        <f>11/16</f>
        <v>0.6875</v>
      </c>
      <c r="R534" s="10">
        <f t="shared" si="86"/>
        <v>4.3000000000000007</v>
      </c>
      <c r="S534" s="13">
        <v>27.3</v>
      </c>
      <c r="T534" s="13">
        <v>23</v>
      </c>
      <c r="U534" s="10">
        <v>21</v>
      </c>
      <c r="V534" s="10">
        <v>21</v>
      </c>
      <c r="W534" s="10">
        <f t="shared" si="87"/>
        <v>0</v>
      </c>
      <c r="X534" s="9" t="s">
        <v>2</v>
      </c>
      <c r="Y534" s="11">
        <f t="shared" si="88"/>
        <v>1</v>
      </c>
      <c r="Z534" s="14">
        <v>5</v>
      </c>
    </row>
    <row r="535" spans="1:26" x14ac:dyDescent="0.2">
      <c r="A535" s="12">
        <f t="shared" si="89"/>
        <v>2015</v>
      </c>
      <c r="B535" s="1" t="s">
        <v>45</v>
      </c>
      <c r="C535" s="1">
        <v>27</v>
      </c>
      <c r="D535" s="15">
        <v>376000000</v>
      </c>
      <c r="E535" s="15">
        <f>(292.7/237)*376000000</f>
        <v>464367932.48945147</v>
      </c>
      <c r="F535" s="10">
        <f t="shared" si="82"/>
        <v>46.3</v>
      </c>
      <c r="G535" s="5">
        <f>4603/16</f>
        <v>287.6875</v>
      </c>
      <c r="H535" s="4" t="s">
        <v>2</v>
      </c>
      <c r="I535" s="1">
        <f t="shared" si="83"/>
        <v>1</v>
      </c>
      <c r="J535" s="1" t="s">
        <v>1</v>
      </c>
      <c r="K535" s="1">
        <f t="shared" si="84"/>
        <v>0</v>
      </c>
      <c r="L535" s="1" t="s">
        <v>2</v>
      </c>
      <c r="M535" s="1">
        <f t="shared" si="85"/>
        <v>1</v>
      </c>
      <c r="N535" s="1" t="s">
        <v>2</v>
      </c>
      <c r="O535" s="8">
        <v>0.38900000000000001</v>
      </c>
      <c r="P535" s="7">
        <v>0.60699999999999998</v>
      </c>
      <c r="Q535" s="3">
        <f>10/16</f>
        <v>0.625</v>
      </c>
      <c r="R535" s="10">
        <f t="shared" si="86"/>
        <v>6.5</v>
      </c>
      <c r="S535" s="13">
        <v>26.4</v>
      </c>
      <c r="T535" s="13">
        <v>19.899999999999999</v>
      </c>
      <c r="U535" s="10">
        <v>30</v>
      </c>
      <c r="V535" s="10">
        <v>38</v>
      </c>
      <c r="W535" s="10">
        <f t="shared" si="87"/>
        <v>-8</v>
      </c>
      <c r="X535" s="9" t="s">
        <v>2</v>
      </c>
      <c r="Y535" s="11">
        <f t="shared" si="88"/>
        <v>1</v>
      </c>
      <c r="Z535" s="14">
        <v>3</v>
      </c>
    </row>
    <row r="536" spans="1:26" x14ac:dyDescent="0.2">
      <c r="A536" s="12">
        <f t="shared" si="89"/>
        <v>2016</v>
      </c>
      <c r="B536" s="1" t="s">
        <v>45</v>
      </c>
      <c r="C536" s="1">
        <v>27</v>
      </c>
      <c r="D536" s="15">
        <v>401000000</v>
      </c>
      <c r="E536" s="15">
        <f>(292.7/240)*401000000</f>
        <v>489052916.66666663</v>
      </c>
      <c r="F536" s="10">
        <f t="shared" si="82"/>
        <v>45.3</v>
      </c>
      <c r="G536" s="5">
        <f>4202/16</f>
        <v>262.625</v>
      </c>
      <c r="H536" s="4" t="s">
        <v>2</v>
      </c>
      <c r="I536" s="1">
        <f t="shared" si="83"/>
        <v>1</v>
      </c>
      <c r="J536" s="1" t="s">
        <v>1</v>
      </c>
      <c r="K536" s="1">
        <f t="shared" si="84"/>
        <v>0</v>
      </c>
      <c r="L536" s="1" t="s">
        <v>2</v>
      </c>
      <c r="M536" s="1">
        <f t="shared" si="85"/>
        <v>1</v>
      </c>
      <c r="N536" s="1" t="s">
        <v>2</v>
      </c>
      <c r="O536" s="8">
        <v>0.41099999999999998</v>
      </c>
      <c r="P536" s="7">
        <v>0.59199999999999997</v>
      </c>
      <c r="Q536" s="3">
        <f>11/16</f>
        <v>0.6875</v>
      </c>
      <c r="R536" s="10">
        <f t="shared" si="86"/>
        <v>4.5</v>
      </c>
      <c r="S536" s="13">
        <v>24.9</v>
      </c>
      <c r="T536" s="13">
        <v>20.399999999999999</v>
      </c>
      <c r="U536" s="10">
        <v>23</v>
      </c>
      <c r="V536" s="10">
        <v>18</v>
      </c>
      <c r="W536" s="10">
        <f t="shared" si="87"/>
        <v>5</v>
      </c>
      <c r="X536" s="9" t="s">
        <v>2</v>
      </c>
      <c r="Y536" s="11">
        <f t="shared" si="88"/>
        <v>1</v>
      </c>
      <c r="Z536" s="14">
        <v>6</v>
      </c>
    </row>
    <row r="537" spans="1:26" x14ac:dyDescent="0.2">
      <c r="A537" s="12">
        <f t="shared" si="89"/>
        <v>2017</v>
      </c>
      <c r="B537" s="1" t="s">
        <v>45</v>
      </c>
      <c r="C537" s="1">
        <v>27</v>
      </c>
      <c r="D537" s="15">
        <v>415000000</v>
      </c>
      <c r="E537" s="15">
        <f>(292.7/245.1)*415000000</f>
        <v>495595675.2345981</v>
      </c>
      <c r="F537" s="10">
        <f t="shared" si="82"/>
        <v>44.7</v>
      </c>
      <c r="G537" s="5">
        <f>4380/16</f>
        <v>273.75</v>
      </c>
      <c r="H537" s="4" t="s">
        <v>2</v>
      </c>
      <c r="I537" s="1">
        <f t="shared" si="83"/>
        <v>1</v>
      </c>
      <c r="J537" s="1" t="s">
        <v>1</v>
      </c>
      <c r="K537" s="1">
        <f t="shared" si="84"/>
        <v>0</v>
      </c>
      <c r="L537" s="1" t="s">
        <v>2</v>
      </c>
      <c r="M537" s="1">
        <f t="shared" si="85"/>
        <v>1</v>
      </c>
      <c r="N537" s="1" t="s">
        <v>2</v>
      </c>
      <c r="O537" s="8">
        <v>0.44</v>
      </c>
      <c r="P537" s="7">
        <v>0.50800000000000001</v>
      </c>
      <c r="Q537" s="3">
        <f>13/16</f>
        <v>0.8125</v>
      </c>
      <c r="R537" s="10">
        <f t="shared" si="86"/>
        <v>6.0999999999999979</v>
      </c>
      <c r="S537" s="13">
        <v>25.4</v>
      </c>
      <c r="T537" s="13">
        <v>19.3</v>
      </c>
      <c r="U537" s="10">
        <v>22</v>
      </c>
      <c r="V537" s="10">
        <v>20</v>
      </c>
      <c r="W537" s="10">
        <f t="shared" si="87"/>
        <v>2</v>
      </c>
      <c r="X537" s="9" t="s">
        <v>2</v>
      </c>
      <c r="Y537" s="11">
        <f t="shared" si="88"/>
        <v>1</v>
      </c>
      <c r="Z537" s="14">
        <v>10</v>
      </c>
    </row>
    <row r="538" spans="1:26" x14ac:dyDescent="0.2">
      <c r="A538" s="12">
        <f t="shared" si="89"/>
        <v>2018</v>
      </c>
      <c r="B538" s="1" t="s">
        <v>45</v>
      </c>
      <c r="C538" s="1">
        <v>27</v>
      </c>
      <c r="D538" s="15">
        <v>439000000</v>
      </c>
      <c r="E538" s="15">
        <f>(292.7/251.1)*439000000</f>
        <v>511729589.80485862</v>
      </c>
      <c r="F538" s="10">
        <f t="shared" si="82"/>
        <v>49.3</v>
      </c>
      <c r="G538" s="5">
        <f>5008/16</f>
        <v>313</v>
      </c>
      <c r="H538" s="4" t="s">
        <v>1</v>
      </c>
      <c r="I538" s="1">
        <f t="shared" si="83"/>
        <v>0</v>
      </c>
      <c r="J538" s="1" t="s">
        <v>2</v>
      </c>
      <c r="K538" s="1">
        <f t="shared" si="84"/>
        <v>1</v>
      </c>
      <c r="L538" s="1" t="s">
        <v>2</v>
      </c>
      <c r="M538" s="1">
        <f t="shared" si="85"/>
        <v>1</v>
      </c>
      <c r="N538" s="1" t="s">
        <v>2</v>
      </c>
      <c r="O538" s="8">
        <v>0.44400000000000001</v>
      </c>
      <c r="P538" s="7">
        <v>0.73499999999999999</v>
      </c>
      <c r="Q538" s="3">
        <f>9.5/16</f>
        <v>0.59375</v>
      </c>
      <c r="R538" s="10">
        <f t="shared" si="86"/>
        <v>4.3000000000000007</v>
      </c>
      <c r="S538" s="13">
        <v>26.8</v>
      </c>
      <c r="T538" s="13">
        <v>22.5</v>
      </c>
      <c r="U538" s="10">
        <v>15</v>
      </c>
      <c r="V538" s="10">
        <v>26</v>
      </c>
      <c r="W538" s="10">
        <f t="shared" si="87"/>
        <v>-11</v>
      </c>
      <c r="X538" s="9" t="s">
        <v>1</v>
      </c>
      <c r="Y538" s="11">
        <f t="shared" si="88"/>
        <v>0</v>
      </c>
      <c r="Z538" s="14">
        <v>8</v>
      </c>
    </row>
    <row r="539" spans="1:26" x14ac:dyDescent="0.2">
      <c r="A539" s="12">
        <f t="shared" si="89"/>
        <v>2019</v>
      </c>
      <c r="B539" s="1" t="s">
        <v>45</v>
      </c>
      <c r="C539" s="1">
        <v>27</v>
      </c>
      <c r="D539" s="15">
        <v>457000000</v>
      </c>
      <c r="E539" s="15">
        <f>(292.7/255.7)*457000000</f>
        <v>523128275.32264376</v>
      </c>
      <c r="F539" s="10">
        <f t="shared" si="82"/>
        <v>37</v>
      </c>
      <c r="G539" s="5">
        <f>2981/16</f>
        <v>186.3125</v>
      </c>
      <c r="H539" s="4" t="s">
        <v>1</v>
      </c>
      <c r="I539" s="1">
        <f t="shared" si="83"/>
        <v>0</v>
      </c>
      <c r="J539" s="1" t="s">
        <v>2</v>
      </c>
      <c r="K539" s="1">
        <f t="shared" si="84"/>
        <v>1</v>
      </c>
      <c r="L539" s="1" t="s">
        <v>2</v>
      </c>
      <c r="M539" s="1">
        <f t="shared" si="85"/>
        <v>1</v>
      </c>
      <c r="N539" s="1" t="s">
        <v>2</v>
      </c>
      <c r="O539" s="8">
        <v>0.34399999999999997</v>
      </c>
      <c r="P539" s="7">
        <v>0.35</v>
      </c>
      <c r="Q539" s="3">
        <f>8/16</f>
        <v>0.5</v>
      </c>
      <c r="R539" s="10">
        <f t="shared" si="86"/>
        <v>-0.79999999999999716</v>
      </c>
      <c r="S539" s="13">
        <v>18.100000000000001</v>
      </c>
      <c r="T539" s="13">
        <v>18.899999999999999</v>
      </c>
      <c r="U539" s="10">
        <v>38</v>
      </c>
      <c r="V539" s="10">
        <v>30</v>
      </c>
      <c r="W539" s="10">
        <f t="shared" si="87"/>
        <v>8</v>
      </c>
      <c r="X539" s="9" t="s">
        <v>1</v>
      </c>
      <c r="Y539" s="11">
        <f t="shared" si="88"/>
        <v>0</v>
      </c>
      <c r="Z539" s="14">
        <v>5</v>
      </c>
    </row>
    <row r="540" spans="1:26" x14ac:dyDescent="0.2">
      <c r="A540" s="12">
        <v>2021</v>
      </c>
      <c r="B540" s="1" t="s">
        <v>45</v>
      </c>
      <c r="C540" s="1">
        <v>27</v>
      </c>
      <c r="D540" s="15">
        <v>494000000</v>
      </c>
      <c r="E540" s="15">
        <f>(292.7/271)*494000000</f>
        <v>533556457.56457561</v>
      </c>
      <c r="F540" s="10">
        <f t="shared" si="82"/>
        <v>43.599999999999994</v>
      </c>
      <c r="G540" s="5">
        <f>3778/17</f>
        <v>222.23529411764707</v>
      </c>
      <c r="H540" s="4" t="s">
        <v>1</v>
      </c>
      <c r="I540" s="1">
        <f t="shared" si="83"/>
        <v>0</v>
      </c>
      <c r="J540" s="1" t="s">
        <v>2</v>
      </c>
      <c r="K540" s="1">
        <f t="shared" si="84"/>
        <v>1</v>
      </c>
      <c r="L540" s="1" t="s">
        <v>2</v>
      </c>
      <c r="M540" s="1">
        <f t="shared" si="85"/>
        <v>1</v>
      </c>
      <c r="N540" s="1" t="s">
        <v>2</v>
      </c>
      <c r="O540" s="8">
        <v>0.38900000000000001</v>
      </c>
      <c r="P540" s="7">
        <v>0.54</v>
      </c>
      <c r="Q540" s="3">
        <f>9.5/17</f>
        <v>0.55882352941176472</v>
      </c>
      <c r="R540" s="10">
        <f t="shared" si="86"/>
        <v>-3.1999999999999993</v>
      </c>
      <c r="S540" s="13">
        <v>20.2</v>
      </c>
      <c r="T540" s="13">
        <v>23.4</v>
      </c>
      <c r="U540" s="10">
        <v>22</v>
      </c>
      <c r="V540" s="10">
        <v>20</v>
      </c>
      <c r="W540" s="10">
        <f t="shared" si="87"/>
        <v>2</v>
      </c>
      <c r="X540" s="9" t="s">
        <v>2</v>
      </c>
      <c r="Y540" s="11">
        <f t="shared" si="88"/>
        <v>1</v>
      </c>
      <c r="Z540" s="14">
        <v>4</v>
      </c>
    </row>
    <row r="541" spans="1:26" x14ac:dyDescent="0.2">
      <c r="A541" s="12">
        <f>A540+1</f>
        <v>2022</v>
      </c>
      <c r="B541" s="1" t="s">
        <v>45</v>
      </c>
      <c r="C541" s="1">
        <v>27</v>
      </c>
      <c r="D541" s="15">
        <v>548000000</v>
      </c>
      <c r="E541" s="15">
        <f>(292.7/292.7)*548000000</f>
        <v>548000000</v>
      </c>
      <c r="F541" s="10">
        <f t="shared" si="82"/>
        <v>38.5</v>
      </c>
      <c r="G541" s="5">
        <f>3411/17</f>
        <v>200.64705882352942</v>
      </c>
      <c r="H541" s="4" t="s">
        <v>1</v>
      </c>
      <c r="I541" s="1">
        <f t="shared" si="83"/>
        <v>0</v>
      </c>
      <c r="J541" s="1" t="s">
        <v>2</v>
      </c>
      <c r="K541" s="1">
        <f t="shared" si="84"/>
        <v>1</v>
      </c>
      <c r="L541" s="1" t="s">
        <v>2</v>
      </c>
      <c r="M541" s="1">
        <f t="shared" si="85"/>
        <v>1</v>
      </c>
      <c r="N541" s="1" t="s">
        <v>2</v>
      </c>
      <c r="O541" s="8">
        <v>0.44900000000000001</v>
      </c>
      <c r="P541" s="7">
        <v>0.51900000000000002</v>
      </c>
      <c r="Q541" s="3">
        <f>9/17</f>
        <v>0.52941176470588236</v>
      </c>
      <c r="R541" s="10">
        <f t="shared" si="86"/>
        <v>-2.2999999999999972</v>
      </c>
      <c r="S541" s="13">
        <v>18.100000000000001</v>
      </c>
      <c r="T541" s="13">
        <v>20.399999999999999</v>
      </c>
      <c r="U541" s="10">
        <v>23</v>
      </c>
      <c r="V541" s="10">
        <v>19</v>
      </c>
      <c r="W541" s="10">
        <f t="shared" si="87"/>
        <v>4</v>
      </c>
      <c r="X541" s="9" t="s">
        <v>1</v>
      </c>
      <c r="Y541" s="11">
        <f t="shared" si="88"/>
        <v>0</v>
      </c>
      <c r="Z541" s="14">
        <v>3</v>
      </c>
    </row>
    <row r="542" spans="1:26" x14ac:dyDescent="0.2">
      <c r="A542" s="12">
        <v>2002</v>
      </c>
      <c r="B542" s="1" t="s">
        <v>46</v>
      </c>
      <c r="C542" s="1">
        <v>28</v>
      </c>
      <c r="D542" s="15">
        <v>142000000</v>
      </c>
      <c r="E542" s="15">
        <f>(292.7/179.9)*142000000</f>
        <v>231036131.1839911</v>
      </c>
      <c r="F542" s="10">
        <f t="shared" si="82"/>
        <v>44.8</v>
      </c>
      <c r="G542" s="5">
        <f>3457/16</f>
        <v>216.0625</v>
      </c>
      <c r="H542" s="4" t="s">
        <v>1</v>
      </c>
      <c r="I542" s="1">
        <f t="shared" si="83"/>
        <v>0</v>
      </c>
      <c r="J542" s="1" t="s">
        <v>1</v>
      </c>
      <c r="K542" s="1">
        <f t="shared" si="84"/>
        <v>0</v>
      </c>
      <c r="L542" s="1" t="s">
        <v>1</v>
      </c>
      <c r="M542" s="1">
        <f t="shared" si="85"/>
        <v>0</v>
      </c>
      <c r="N542" s="1" t="s">
        <v>1</v>
      </c>
      <c r="O542" s="8">
        <v>0.52300000000000002</v>
      </c>
      <c r="P542" s="7">
        <v>0.48199999999999998</v>
      </c>
      <c r="Q542" s="3">
        <f>10/16</f>
        <v>0.625</v>
      </c>
      <c r="R542" s="10">
        <f t="shared" si="86"/>
        <v>1</v>
      </c>
      <c r="S542" s="13">
        <v>22.9</v>
      </c>
      <c r="T542" s="13">
        <v>21.9</v>
      </c>
      <c r="U542" s="10">
        <v>27</v>
      </c>
      <c r="V542" s="10">
        <v>17</v>
      </c>
      <c r="W542" s="10">
        <f t="shared" si="87"/>
        <v>10</v>
      </c>
      <c r="X542" s="9" t="s">
        <v>2</v>
      </c>
      <c r="Y542" s="11">
        <f t="shared" si="88"/>
        <v>1</v>
      </c>
      <c r="Z542" s="14">
        <v>6</v>
      </c>
    </row>
    <row r="543" spans="1:26" x14ac:dyDescent="0.2">
      <c r="A543" s="12">
        <f>A542+1</f>
        <v>2003</v>
      </c>
      <c r="B543" s="1" t="s">
        <v>46</v>
      </c>
      <c r="C543" s="1">
        <v>28</v>
      </c>
      <c r="D543" s="15">
        <v>151000000</v>
      </c>
      <c r="E543" s="15">
        <f>(292.7/184)*151000000</f>
        <v>240204891.30434781</v>
      </c>
      <c r="F543" s="10">
        <f t="shared" si="82"/>
        <v>45.1</v>
      </c>
      <c r="G543" s="5">
        <f>3408/16</f>
        <v>213</v>
      </c>
      <c r="H543" s="4" t="s">
        <v>1</v>
      </c>
      <c r="I543" s="1">
        <f t="shared" si="83"/>
        <v>0</v>
      </c>
      <c r="J543" s="1" t="s">
        <v>1</v>
      </c>
      <c r="K543" s="1">
        <f t="shared" si="84"/>
        <v>0</v>
      </c>
      <c r="L543" s="1" t="s">
        <v>1</v>
      </c>
      <c r="M543" s="1">
        <f t="shared" si="85"/>
        <v>0</v>
      </c>
      <c r="N543" s="1" t="s">
        <v>1</v>
      </c>
      <c r="O543" s="8">
        <v>0.4</v>
      </c>
      <c r="P543" s="7">
        <v>0.46800000000000003</v>
      </c>
      <c r="Q543" s="3">
        <f>7/16</f>
        <v>0.4375</v>
      </c>
      <c r="R543" s="10">
        <f t="shared" si="86"/>
        <v>2.8999999999999986</v>
      </c>
      <c r="S543" s="13">
        <v>24</v>
      </c>
      <c r="T543" s="13">
        <v>21.1</v>
      </c>
      <c r="U543" s="10">
        <v>37</v>
      </c>
      <c r="V543" s="10">
        <v>25</v>
      </c>
      <c r="W543" s="10">
        <f t="shared" si="87"/>
        <v>12</v>
      </c>
      <c r="X543" s="9" t="s">
        <v>1</v>
      </c>
      <c r="Y543" s="11">
        <f t="shared" si="88"/>
        <v>0</v>
      </c>
      <c r="Z543" s="14">
        <v>3</v>
      </c>
    </row>
    <row r="544" spans="1:26" x14ac:dyDescent="0.2">
      <c r="A544" s="12">
        <f>A543+1</f>
        <v>2004</v>
      </c>
      <c r="B544" s="1" t="s">
        <v>46</v>
      </c>
      <c r="C544" s="1">
        <v>28</v>
      </c>
      <c r="D544" s="15">
        <v>171000000</v>
      </c>
      <c r="E544" s="15">
        <f>(292.7/188.9)*171000000</f>
        <v>264964002.11752248</v>
      </c>
      <c r="F544" s="10">
        <f t="shared" si="82"/>
        <v>44.5</v>
      </c>
      <c r="G544" s="5">
        <f>3136/16</f>
        <v>196</v>
      </c>
      <c r="H544" s="4" t="s">
        <v>1</v>
      </c>
      <c r="I544" s="1">
        <f t="shared" si="83"/>
        <v>0</v>
      </c>
      <c r="J544" s="1" t="s">
        <v>1</v>
      </c>
      <c r="K544" s="1">
        <f t="shared" si="84"/>
        <v>0</v>
      </c>
      <c r="L544" s="1" t="s">
        <v>1</v>
      </c>
      <c r="M544" s="1">
        <f t="shared" si="85"/>
        <v>0</v>
      </c>
      <c r="N544" s="1" t="s">
        <v>1</v>
      </c>
      <c r="O544" s="8">
        <v>0.32400000000000001</v>
      </c>
      <c r="P544" s="7">
        <v>0.48799999999999999</v>
      </c>
      <c r="Q544" s="3">
        <f>2/16</f>
        <v>0.125</v>
      </c>
      <c r="R544" s="10">
        <f t="shared" si="86"/>
        <v>-12.100000000000001</v>
      </c>
      <c r="S544" s="13">
        <v>16.2</v>
      </c>
      <c r="T544" s="13">
        <v>28.3</v>
      </c>
      <c r="U544" s="10">
        <v>40</v>
      </c>
      <c r="V544" s="10">
        <v>21</v>
      </c>
      <c r="W544" s="10">
        <f t="shared" si="87"/>
        <v>19</v>
      </c>
      <c r="X544" s="9" t="s">
        <v>1</v>
      </c>
      <c r="Y544" s="11">
        <f t="shared" si="88"/>
        <v>0</v>
      </c>
      <c r="Z544" s="14">
        <v>1</v>
      </c>
    </row>
    <row r="545" spans="1:26" x14ac:dyDescent="0.2">
      <c r="A545" s="12">
        <f>A544+1</f>
        <v>2005</v>
      </c>
      <c r="B545" s="1" t="s">
        <v>46</v>
      </c>
      <c r="C545" s="1">
        <v>28</v>
      </c>
      <c r="D545" s="15">
        <v>171000000</v>
      </c>
      <c r="E545" s="15">
        <f>(292.7/195.3)*171000000</f>
        <v>256281105.99078336</v>
      </c>
      <c r="F545" s="10">
        <f t="shared" si="82"/>
        <v>41.7</v>
      </c>
      <c r="G545" s="5">
        <f>1898/16</f>
        <v>118.625</v>
      </c>
      <c r="H545" s="4" t="s">
        <v>1</v>
      </c>
      <c r="I545" s="1">
        <f t="shared" si="83"/>
        <v>0</v>
      </c>
      <c r="J545" s="1" t="s">
        <v>1</v>
      </c>
      <c r="K545" s="1">
        <f t="shared" si="84"/>
        <v>0</v>
      </c>
      <c r="L545" s="1" t="s">
        <v>1</v>
      </c>
      <c r="M545" s="1">
        <f t="shared" si="85"/>
        <v>0</v>
      </c>
      <c r="N545" s="1" t="s">
        <v>1</v>
      </c>
      <c r="O545" s="8">
        <v>0.24</v>
      </c>
      <c r="P545" s="7">
        <v>0.39300000000000002</v>
      </c>
      <c r="Q545" s="3">
        <f>4/16</f>
        <v>0.25</v>
      </c>
      <c r="R545" s="10">
        <f t="shared" si="86"/>
        <v>-11.9</v>
      </c>
      <c r="S545" s="13">
        <v>14.9</v>
      </c>
      <c r="T545" s="13">
        <v>26.8</v>
      </c>
      <c r="U545" s="10">
        <v>26</v>
      </c>
      <c r="V545" s="10">
        <v>35</v>
      </c>
      <c r="W545" s="10">
        <f t="shared" si="87"/>
        <v>-9</v>
      </c>
      <c r="X545" s="9" t="s">
        <v>1</v>
      </c>
      <c r="Y545" s="11">
        <f t="shared" si="88"/>
        <v>0</v>
      </c>
      <c r="Z545" s="14">
        <v>0</v>
      </c>
    </row>
    <row r="546" spans="1:26" x14ac:dyDescent="0.2">
      <c r="A546" s="12">
        <f>A545+1</f>
        <v>2006</v>
      </c>
      <c r="B546" s="1" t="s">
        <v>46</v>
      </c>
      <c r="C546" s="1">
        <v>28</v>
      </c>
      <c r="D546" s="15">
        <v>186000000</v>
      </c>
      <c r="E546" s="15">
        <f>(292.7/201.6)*186000000</f>
        <v>270050595.23809522</v>
      </c>
      <c r="F546" s="10">
        <f t="shared" si="82"/>
        <v>44.400000000000006</v>
      </c>
      <c r="G546" s="5">
        <f>2688/16</f>
        <v>168</v>
      </c>
      <c r="H546" s="4" t="s">
        <v>1</v>
      </c>
      <c r="I546" s="1">
        <f t="shared" si="83"/>
        <v>0</v>
      </c>
      <c r="J546" s="1" t="s">
        <v>1</v>
      </c>
      <c r="K546" s="1">
        <f t="shared" si="84"/>
        <v>0</v>
      </c>
      <c r="L546" s="1" t="s">
        <v>1</v>
      </c>
      <c r="M546" s="1">
        <f t="shared" si="85"/>
        <v>0</v>
      </c>
      <c r="N546" s="1" t="s">
        <v>1</v>
      </c>
      <c r="O546" s="8">
        <v>0.34399999999999997</v>
      </c>
      <c r="P546" s="7">
        <v>0.41699999999999998</v>
      </c>
      <c r="Q546" s="3">
        <f>7/16</f>
        <v>0.4375</v>
      </c>
      <c r="R546" s="10">
        <f t="shared" si="86"/>
        <v>-7.1999999999999993</v>
      </c>
      <c r="S546" s="13">
        <v>18.600000000000001</v>
      </c>
      <c r="T546" s="13">
        <v>25.8</v>
      </c>
      <c r="U546" s="10">
        <v>27</v>
      </c>
      <c r="V546" s="10">
        <v>32</v>
      </c>
      <c r="W546" s="10">
        <f t="shared" si="87"/>
        <v>-5</v>
      </c>
      <c r="X546" s="9" t="s">
        <v>1</v>
      </c>
      <c r="Y546" s="11">
        <f t="shared" si="88"/>
        <v>0</v>
      </c>
      <c r="Z546" s="14">
        <v>3</v>
      </c>
    </row>
    <row r="547" spans="1:26" x14ac:dyDescent="0.2">
      <c r="A547" s="12">
        <f>A546+1</f>
        <v>2007</v>
      </c>
      <c r="B547" s="1" t="s">
        <v>46</v>
      </c>
      <c r="C547" s="1">
        <v>28</v>
      </c>
      <c r="D547" s="15">
        <v>201000000</v>
      </c>
      <c r="E547" s="15">
        <f>(292.7/207.3)*201000000</f>
        <v>283804630.9696092</v>
      </c>
      <c r="F547" s="10">
        <f t="shared" si="82"/>
        <v>36.5</v>
      </c>
      <c r="G547" s="5">
        <f>2320/16</f>
        <v>145</v>
      </c>
      <c r="H547" s="4" t="s">
        <v>1</v>
      </c>
      <c r="I547" s="1">
        <f t="shared" si="83"/>
        <v>0</v>
      </c>
      <c r="J547" s="1" t="s">
        <v>1</v>
      </c>
      <c r="K547" s="1">
        <f t="shared" si="84"/>
        <v>0</v>
      </c>
      <c r="L547" s="1" t="s">
        <v>1</v>
      </c>
      <c r="M547" s="1">
        <f t="shared" si="85"/>
        <v>0</v>
      </c>
      <c r="N547" s="1" t="s">
        <v>1</v>
      </c>
      <c r="O547" s="8">
        <v>0.314</v>
      </c>
      <c r="P547" s="7">
        <v>0.51700000000000002</v>
      </c>
      <c r="Q547" s="3">
        <f>5/16</f>
        <v>0.3125</v>
      </c>
      <c r="R547" s="10">
        <f t="shared" si="86"/>
        <v>-9.1000000000000014</v>
      </c>
      <c r="S547" s="13">
        <v>13.7</v>
      </c>
      <c r="T547" s="13">
        <v>22.8</v>
      </c>
      <c r="U547" s="10">
        <v>22</v>
      </c>
      <c r="V547" s="10">
        <v>34</v>
      </c>
      <c r="W547" s="10">
        <f t="shared" si="87"/>
        <v>-12</v>
      </c>
      <c r="X547" s="9" t="s">
        <v>1</v>
      </c>
      <c r="Y547" s="11">
        <f t="shared" si="88"/>
        <v>0</v>
      </c>
      <c r="Z547" s="14">
        <v>2</v>
      </c>
    </row>
    <row r="548" spans="1:26" x14ac:dyDescent="0.2">
      <c r="A548" s="12">
        <v>2008</v>
      </c>
      <c r="B548" s="1" t="s">
        <v>46</v>
      </c>
      <c r="C548" s="1">
        <v>28</v>
      </c>
      <c r="D548" s="15">
        <v>214000000</v>
      </c>
      <c r="E548" s="15">
        <f>(292.7/215.3)*214000000</f>
        <v>290932652.11333025</v>
      </c>
      <c r="F548" s="10">
        <f t="shared" si="82"/>
        <v>45</v>
      </c>
      <c r="G548" s="5">
        <f>3379/16</f>
        <v>211.1875</v>
      </c>
      <c r="H548" s="4" t="s">
        <v>1</v>
      </c>
      <c r="I548" s="1">
        <f t="shared" si="83"/>
        <v>0</v>
      </c>
      <c r="J548" s="1" t="s">
        <v>1</v>
      </c>
      <c r="K548" s="1">
        <f t="shared" si="84"/>
        <v>0</v>
      </c>
      <c r="L548" s="1" t="s">
        <v>1</v>
      </c>
      <c r="M548" s="1">
        <f t="shared" si="85"/>
        <v>0</v>
      </c>
      <c r="N548" s="1" t="s">
        <v>1</v>
      </c>
      <c r="O548" s="8">
        <v>0.379</v>
      </c>
      <c r="P548" s="7">
        <v>0.51900000000000002</v>
      </c>
      <c r="Q548" s="3">
        <f>7/16</f>
        <v>0.4375</v>
      </c>
      <c r="R548" s="10">
        <f t="shared" si="86"/>
        <v>-2.6000000000000014</v>
      </c>
      <c r="S548" s="13">
        <v>21.2</v>
      </c>
      <c r="T548" s="13">
        <v>23.8</v>
      </c>
      <c r="U548" s="10">
        <v>18</v>
      </c>
      <c r="V548" s="10">
        <v>35</v>
      </c>
      <c r="W548" s="10">
        <f t="shared" si="87"/>
        <v>-17</v>
      </c>
      <c r="X548" s="9" t="s">
        <v>1</v>
      </c>
      <c r="Y548" s="11">
        <f t="shared" si="88"/>
        <v>0</v>
      </c>
      <c r="Z548" s="14">
        <v>1</v>
      </c>
    </row>
    <row r="549" spans="1:26" x14ac:dyDescent="0.2">
      <c r="A549" s="12">
        <f t="shared" ref="A549:A559" si="90">A548+1</f>
        <v>2009</v>
      </c>
      <c r="B549" s="1" t="s">
        <v>46</v>
      </c>
      <c r="C549" s="1">
        <v>28</v>
      </c>
      <c r="D549" s="15">
        <v>226000000</v>
      </c>
      <c r="E549" s="15">
        <f>(292.7/214.5)*226000000</f>
        <v>308392540.79254079</v>
      </c>
      <c r="F549" s="10">
        <f t="shared" si="82"/>
        <v>38.200000000000003</v>
      </c>
      <c r="G549" s="5">
        <f>3052/16</f>
        <v>190.75</v>
      </c>
      <c r="H549" s="4" t="s">
        <v>2</v>
      </c>
      <c r="I549" s="1">
        <f t="shared" si="83"/>
        <v>1</v>
      </c>
      <c r="J549" s="1" t="s">
        <v>1</v>
      </c>
      <c r="K549" s="1">
        <f t="shared" si="84"/>
        <v>0</v>
      </c>
      <c r="L549" s="1" t="s">
        <v>2</v>
      </c>
      <c r="M549" s="1">
        <f t="shared" si="85"/>
        <v>1</v>
      </c>
      <c r="N549" s="1" t="s">
        <v>1</v>
      </c>
      <c r="O549" s="8">
        <v>0.29799999999999999</v>
      </c>
      <c r="P549" s="7">
        <v>0.59</v>
      </c>
      <c r="Q549" s="3">
        <f>8/16</f>
        <v>0.5</v>
      </c>
      <c r="R549" s="10">
        <f t="shared" si="86"/>
        <v>3</v>
      </c>
      <c r="S549" s="13">
        <v>20.6</v>
      </c>
      <c r="T549" s="13">
        <v>17.600000000000001</v>
      </c>
      <c r="U549" s="10">
        <v>33</v>
      </c>
      <c r="V549" s="10">
        <v>24</v>
      </c>
      <c r="W549" s="10">
        <f t="shared" si="87"/>
        <v>9</v>
      </c>
      <c r="X549" s="9" t="s">
        <v>1</v>
      </c>
      <c r="Y549" s="11">
        <f t="shared" si="88"/>
        <v>0</v>
      </c>
      <c r="Z549" s="14">
        <v>5</v>
      </c>
    </row>
    <row r="550" spans="1:26" x14ac:dyDescent="0.2">
      <c r="A550" s="12">
        <f t="shared" si="90"/>
        <v>2010</v>
      </c>
      <c r="B550" s="1" t="s">
        <v>46</v>
      </c>
      <c r="C550" s="1">
        <v>28</v>
      </c>
      <c r="D550" s="15">
        <v>234000000</v>
      </c>
      <c r="E550" s="15">
        <f>(292.7/218.1)*234000000</f>
        <v>314038514.4429161</v>
      </c>
      <c r="F550" s="10">
        <f t="shared" si="82"/>
        <v>40.700000000000003</v>
      </c>
      <c r="G550" s="5">
        <f>3356/16</f>
        <v>209.75</v>
      </c>
      <c r="H550" s="4" t="s">
        <v>2</v>
      </c>
      <c r="I550" s="1">
        <f t="shared" si="83"/>
        <v>1</v>
      </c>
      <c r="J550" s="1" t="s">
        <v>1</v>
      </c>
      <c r="K550" s="1">
        <f t="shared" si="84"/>
        <v>0</v>
      </c>
      <c r="L550" s="1" t="s">
        <v>2</v>
      </c>
      <c r="M550" s="1">
        <f t="shared" si="85"/>
        <v>1</v>
      </c>
      <c r="N550" s="1" t="s">
        <v>1</v>
      </c>
      <c r="O550" s="8">
        <v>0.31900000000000001</v>
      </c>
      <c r="P550" s="7">
        <v>0.47599999999999998</v>
      </c>
      <c r="Q550" s="3">
        <f>6/16</f>
        <v>0.375</v>
      </c>
      <c r="R550" s="10">
        <f t="shared" si="86"/>
        <v>-2.5</v>
      </c>
      <c r="S550" s="13">
        <v>19.100000000000001</v>
      </c>
      <c r="T550" s="13">
        <v>21.6</v>
      </c>
      <c r="U550" s="10">
        <v>22</v>
      </c>
      <c r="V550" s="10">
        <v>23</v>
      </c>
      <c r="W550" s="10">
        <f t="shared" si="87"/>
        <v>-1</v>
      </c>
      <c r="X550" s="9" t="s">
        <v>1</v>
      </c>
      <c r="Y550" s="11">
        <f t="shared" si="88"/>
        <v>0</v>
      </c>
      <c r="Z550" s="14">
        <v>2</v>
      </c>
    </row>
    <row r="551" spans="1:26" x14ac:dyDescent="0.2">
      <c r="A551" s="12">
        <f t="shared" si="90"/>
        <v>2011</v>
      </c>
      <c r="B551" s="1" t="s">
        <v>46</v>
      </c>
      <c r="C551" s="1">
        <v>28</v>
      </c>
      <c r="D551" s="15">
        <v>245000000</v>
      </c>
      <c r="E551" s="15">
        <f>(292.7/224.9)*245000000</f>
        <v>318859493.10804802</v>
      </c>
      <c r="F551" s="10">
        <f t="shared" si="82"/>
        <v>38.1</v>
      </c>
      <c r="G551" s="5">
        <f>2930/16</f>
        <v>183.125</v>
      </c>
      <c r="H551" s="4" t="s">
        <v>2</v>
      </c>
      <c r="I551" s="1">
        <f t="shared" si="83"/>
        <v>1</v>
      </c>
      <c r="J551" s="1" t="s">
        <v>1</v>
      </c>
      <c r="K551" s="1">
        <f t="shared" si="84"/>
        <v>0</v>
      </c>
      <c r="L551" s="1" t="s">
        <v>2</v>
      </c>
      <c r="M551" s="1">
        <f t="shared" si="85"/>
        <v>1</v>
      </c>
      <c r="N551" s="1" t="s">
        <v>1</v>
      </c>
      <c r="O551" s="8">
        <v>0.29399999999999998</v>
      </c>
      <c r="P551" s="7">
        <v>0.40699999999999997</v>
      </c>
      <c r="Q551" s="3">
        <f>13/16</f>
        <v>0.8125</v>
      </c>
      <c r="R551" s="10">
        <f t="shared" si="86"/>
        <v>9.5</v>
      </c>
      <c r="S551" s="13">
        <v>23.8</v>
      </c>
      <c r="T551" s="13">
        <v>14.3</v>
      </c>
      <c r="U551" s="10">
        <v>38</v>
      </c>
      <c r="V551" s="10">
        <v>10</v>
      </c>
      <c r="W551" s="10">
        <f t="shared" si="87"/>
        <v>28</v>
      </c>
      <c r="X551" s="9" t="s">
        <v>2</v>
      </c>
      <c r="Y551" s="11">
        <f t="shared" si="88"/>
        <v>1</v>
      </c>
      <c r="Z551" s="14">
        <v>9</v>
      </c>
    </row>
    <row r="552" spans="1:26" x14ac:dyDescent="0.2">
      <c r="A552" s="12">
        <f t="shared" si="90"/>
        <v>2012</v>
      </c>
      <c r="B552" s="1" t="s">
        <v>46</v>
      </c>
      <c r="C552" s="1">
        <v>28</v>
      </c>
      <c r="D552" s="15">
        <v>255000000</v>
      </c>
      <c r="E552" s="15">
        <f>(292.7/229.6)*255000000</f>
        <v>325080574.91289198</v>
      </c>
      <c r="F552" s="10">
        <f t="shared" si="82"/>
        <v>41.900000000000006</v>
      </c>
      <c r="G552" s="5">
        <f>3298/16</f>
        <v>206.125</v>
      </c>
      <c r="H552" s="4" t="s">
        <v>2</v>
      </c>
      <c r="I552" s="1">
        <f t="shared" si="83"/>
        <v>1</v>
      </c>
      <c r="J552" s="1" t="s">
        <v>1</v>
      </c>
      <c r="K552" s="1">
        <f t="shared" si="84"/>
        <v>0</v>
      </c>
      <c r="L552" s="1" t="s">
        <v>2</v>
      </c>
      <c r="M552" s="1">
        <f t="shared" si="85"/>
        <v>1</v>
      </c>
      <c r="N552" s="1" t="s">
        <v>1</v>
      </c>
      <c r="O552" s="8">
        <v>0.35099999999999998</v>
      </c>
      <c r="P552" s="7">
        <v>0.50900000000000001</v>
      </c>
      <c r="Q552" s="3">
        <f>11.5/16</f>
        <v>0.71875</v>
      </c>
      <c r="R552" s="10">
        <f t="shared" si="86"/>
        <v>7.6999999999999993</v>
      </c>
      <c r="S552" s="13">
        <v>24.8</v>
      </c>
      <c r="T552" s="13">
        <v>17.100000000000001</v>
      </c>
      <c r="U552" s="10">
        <v>25</v>
      </c>
      <c r="V552" s="10">
        <v>16</v>
      </c>
      <c r="W552" s="10">
        <f t="shared" si="87"/>
        <v>9</v>
      </c>
      <c r="X552" s="9" t="s">
        <v>2</v>
      </c>
      <c r="Y552" s="11">
        <f t="shared" si="88"/>
        <v>1</v>
      </c>
      <c r="Z552" s="14">
        <v>9</v>
      </c>
    </row>
    <row r="553" spans="1:26" x14ac:dyDescent="0.2">
      <c r="A553" s="12">
        <f t="shared" si="90"/>
        <v>2013</v>
      </c>
      <c r="B553" s="1" t="s">
        <v>46</v>
      </c>
      <c r="C553" s="1">
        <v>28</v>
      </c>
      <c r="D553" s="15">
        <v>270000000</v>
      </c>
      <c r="E553" s="15">
        <f>(292.7/233)*270000000</f>
        <v>339180257.51072961</v>
      </c>
      <c r="F553" s="10">
        <f t="shared" si="82"/>
        <v>42.4</v>
      </c>
      <c r="G553" s="5">
        <f>2979/16</f>
        <v>186.1875</v>
      </c>
      <c r="H553" s="4" t="s">
        <v>2</v>
      </c>
      <c r="I553" s="1">
        <f t="shared" si="83"/>
        <v>1</v>
      </c>
      <c r="J553" s="1" t="s">
        <v>1</v>
      </c>
      <c r="K553" s="1">
        <f t="shared" si="84"/>
        <v>0</v>
      </c>
      <c r="L553" s="1" t="s">
        <v>2</v>
      </c>
      <c r="M553" s="1">
        <f t="shared" si="85"/>
        <v>1</v>
      </c>
      <c r="N553" s="1" t="s">
        <v>1</v>
      </c>
      <c r="O553" s="8">
        <v>0.36499999999999999</v>
      </c>
      <c r="P553" s="7">
        <v>0.56399999999999995</v>
      </c>
      <c r="Q553" s="3">
        <f>12/16</f>
        <v>0.75</v>
      </c>
      <c r="R553" s="10">
        <f t="shared" si="86"/>
        <v>8.3999999999999986</v>
      </c>
      <c r="S553" s="13">
        <v>25.4</v>
      </c>
      <c r="T553" s="13">
        <v>17</v>
      </c>
      <c r="U553" s="10">
        <v>30</v>
      </c>
      <c r="V553" s="10">
        <v>18</v>
      </c>
      <c r="W553" s="10">
        <f t="shared" si="87"/>
        <v>12</v>
      </c>
      <c r="X553" s="9" t="s">
        <v>2</v>
      </c>
      <c r="Y553" s="11">
        <f t="shared" si="88"/>
        <v>1</v>
      </c>
      <c r="Z553" s="14">
        <v>9</v>
      </c>
    </row>
    <row r="554" spans="1:26" x14ac:dyDescent="0.2">
      <c r="A554" s="12">
        <f t="shared" si="90"/>
        <v>2014</v>
      </c>
      <c r="B554" s="1" t="s">
        <v>46</v>
      </c>
      <c r="C554" s="1">
        <v>28</v>
      </c>
      <c r="D554" s="15">
        <v>427000000</v>
      </c>
      <c r="E554" s="15">
        <f>(292.7/236.7)*427000000</f>
        <v>528022391.21250522</v>
      </c>
      <c r="F554" s="10">
        <f t="shared" si="82"/>
        <v>40.400000000000006</v>
      </c>
      <c r="G554" s="5">
        <f>3063/16</f>
        <v>191.4375</v>
      </c>
      <c r="H554" s="4" t="s">
        <v>2</v>
      </c>
      <c r="I554" s="1">
        <f t="shared" si="83"/>
        <v>1</v>
      </c>
      <c r="J554" s="1" t="s">
        <v>1</v>
      </c>
      <c r="K554" s="1">
        <f t="shared" si="84"/>
        <v>0</v>
      </c>
      <c r="L554" s="1" t="s">
        <v>2</v>
      </c>
      <c r="M554" s="1">
        <f t="shared" si="85"/>
        <v>1</v>
      </c>
      <c r="N554" s="1" t="s">
        <v>1</v>
      </c>
      <c r="O554" s="8">
        <v>0.40400000000000003</v>
      </c>
      <c r="P554" s="7">
        <v>0.432</v>
      </c>
      <c r="Q554" s="3">
        <f>8/16</f>
        <v>0.5</v>
      </c>
      <c r="R554" s="10">
        <f t="shared" si="86"/>
        <v>-2.1999999999999993</v>
      </c>
      <c r="S554" s="13">
        <v>19.100000000000001</v>
      </c>
      <c r="T554" s="13">
        <v>21.3</v>
      </c>
      <c r="U554" s="10">
        <v>29</v>
      </c>
      <c r="V554" s="10">
        <v>22</v>
      </c>
      <c r="W554" s="10">
        <f t="shared" si="87"/>
        <v>7</v>
      </c>
      <c r="X554" s="9" t="s">
        <v>1</v>
      </c>
      <c r="Y554" s="11">
        <f t="shared" si="88"/>
        <v>0</v>
      </c>
      <c r="Z554" s="14">
        <v>3</v>
      </c>
    </row>
    <row r="555" spans="1:26" x14ac:dyDescent="0.2">
      <c r="A555" s="12">
        <f t="shared" si="90"/>
        <v>2015</v>
      </c>
      <c r="B555" s="1" t="s">
        <v>46</v>
      </c>
      <c r="C555" s="1">
        <v>28</v>
      </c>
      <c r="D555" s="15">
        <v>446000000</v>
      </c>
      <c r="E555" s="15">
        <f>(292.7/237)*446000000</f>
        <v>550819409.28270042</v>
      </c>
      <c r="F555" s="10">
        <f t="shared" si="82"/>
        <v>39.1</v>
      </c>
      <c r="G555" s="5">
        <f>3316/16</f>
        <v>207.25</v>
      </c>
      <c r="H555" s="4" t="s">
        <v>2</v>
      </c>
      <c r="I555" s="1">
        <f t="shared" si="83"/>
        <v>1</v>
      </c>
      <c r="J555" s="1" t="s">
        <v>1</v>
      </c>
      <c r="K555" s="1">
        <f t="shared" si="84"/>
        <v>0</v>
      </c>
      <c r="L555" s="1" t="s">
        <v>2</v>
      </c>
      <c r="M555" s="1">
        <f t="shared" si="85"/>
        <v>1</v>
      </c>
      <c r="N555" s="1" t="s">
        <v>2</v>
      </c>
      <c r="O555" s="8">
        <v>0.30499999999999999</v>
      </c>
      <c r="P555" s="7">
        <v>0.436</v>
      </c>
      <c r="Q555" s="3">
        <f>5/16</f>
        <v>0.3125</v>
      </c>
      <c r="R555" s="10">
        <f t="shared" si="86"/>
        <v>-9.2999999999999989</v>
      </c>
      <c r="S555" s="13">
        <v>14.9</v>
      </c>
      <c r="T555" s="13">
        <v>24.2</v>
      </c>
      <c r="U555" s="10">
        <v>12</v>
      </c>
      <c r="V555" s="10">
        <v>17</v>
      </c>
      <c r="W555" s="10">
        <f t="shared" si="87"/>
        <v>-5</v>
      </c>
      <c r="X555" s="9" t="s">
        <v>1</v>
      </c>
      <c r="Y555" s="11">
        <f t="shared" si="88"/>
        <v>0</v>
      </c>
      <c r="Z555" s="14">
        <v>2</v>
      </c>
    </row>
    <row r="556" spans="1:26" x14ac:dyDescent="0.2">
      <c r="A556" s="12">
        <f t="shared" si="90"/>
        <v>2016</v>
      </c>
      <c r="B556" s="1" t="s">
        <v>46</v>
      </c>
      <c r="C556" s="1">
        <v>28</v>
      </c>
      <c r="D556" s="15">
        <v>458000000</v>
      </c>
      <c r="E556" s="15">
        <f>(292.7/240)*458000000</f>
        <v>558569166.66666663</v>
      </c>
      <c r="F556" s="10">
        <f t="shared" si="82"/>
        <v>49.3</v>
      </c>
      <c r="G556" s="5">
        <f>2911/16</f>
        <v>181.9375</v>
      </c>
      <c r="H556" s="4" t="s">
        <v>2</v>
      </c>
      <c r="I556" s="1">
        <f t="shared" si="83"/>
        <v>1</v>
      </c>
      <c r="J556" s="1" t="s">
        <v>1</v>
      </c>
      <c r="K556" s="1">
        <f t="shared" si="84"/>
        <v>0</v>
      </c>
      <c r="L556" s="1" t="s">
        <v>2</v>
      </c>
      <c r="M556" s="1">
        <f t="shared" si="85"/>
        <v>1</v>
      </c>
      <c r="N556" s="1" t="s">
        <v>2</v>
      </c>
      <c r="O556" s="8">
        <v>0.35099999999999998</v>
      </c>
      <c r="P556" s="7">
        <v>0.68200000000000005</v>
      </c>
      <c r="Q556" s="3">
        <f>2/16</f>
        <v>0.125</v>
      </c>
      <c r="R556" s="10">
        <f t="shared" si="86"/>
        <v>-10.7</v>
      </c>
      <c r="S556" s="13">
        <v>19.3</v>
      </c>
      <c r="T556" s="13">
        <v>30</v>
      </c>
      <c r="U556" s="10">
        <v>20</v>
      </c>
      <c r="V556" s="10">
        <v>25</v>
      </c>
      <c r="W556" s="10">
        <f t="shared" si="87"/>
        <v>-5</v>
      </c>
      <c r="X556" s="9" t="s">
        <v>1</v>
      </c>
      <c r="Y556" s="11">
        <f t="shared" si="88"/>
        <v>0</v>
      </c>
      <c r="Z556" s="14">
        <v>0</v>
      </c>
    </row>
    <row r="557" spans="1:26" x14ac:dyDescent="0.2">
      <c r="A557" s="12">
        <f t="shared" si="90"/>
        <v>2017</v>
      </c>
      <c r="B557" s="1" t="s">
        <v>46</v>
      </c>
      <c r="C557" s="1">
        <v>28</v>
      </c>
      <c r="D557" s="15">
        <v>470000000</v>
      </c>
      <c r="E557" s="15">
        <f>(292.7/245.1)*470000000</f>
        <v>561277029.78376174</v>
      </c>
      <c r="F557" s="10">
        <f t="shared" si="82"/>
        <v>44.599999999999994</v>
      </c>
      <c r="G557" s="5">
        <f>3925/16</f>
        <v>245.3125</v>
      </c>
      <c r="H557" s="4" t="s">
        <v>2</v>
      </c>
      <c r="I557" s="1">
        <f t="shared" si="83"/>
        <v>1</v>
      </c>
      <c r="J557" s="1" t="s">
        <v>1</v>
      </c>
      <c r="K557" s="1">
        <f t="shared" si="84"/>
        <v>0</v>
      </c>
      <c r="L557" s="1" t="s">
        <v>2</v>
      </c>
      <c r="M557" s="1">
        <f t="shared" si="85"/>
        <v>1</v>
      </c>
      <c r="N557" s="1" t="s">
        <v>2</v>
      </c>
      <c r="O557" s="8">
        <v>0.38900000000000001</v>
      </c>
      <c r="P557" s="7">
        <v>0.47099999999999997</v>
      </c>
      <c r="Q557" s="3">
        <f>6/16</f>
        <v>0.375</v>
      </c>
      <c r="R557" s="10">
        <f t="shared" si="86"/>
        <v>-3.1999999999999993</v>
      </c>
      <c r="S557" s="13">
        <v>20.7</v>
      </c>
      <c r="T557" s="13">
        <v>23.9</v>
      </c>
      <c r="U557" s="10">
        <v>20</v>
      </c>
      <c r="V557" s="10">
        <v>23</v>
      </c>
      <c r="W557" s="10">
        <f t="shared" si="87"/>
        <v>-3</v>
      </c>
      <c r="X557" s="9" t="s">
        <v>1</v>
      </c>
      <c r="Y557" s="11">
        <f t="shared" si="88"/>
        <v>0</v>
      </c>
      <c r="Z557" s="14">
        <v>2</v>
      </c>
    </row>
    <row r="558" spans="1:26" x14ac:dyDescent="0.2">
      <c r="A558" s="12">
        <f t="shared" si="90"/>
        <v>2018</v>
      </c>
      <c r="B558" s="1" t="s">
        <v>46</v>
      </c>
      <c r="C558" s="1">
        <v>28</v>
      </c>
      <c r="D558" s="15">
        <v>492000000</v>
      </c>
      <c r="E558" s="15">
        <f>(292.7/251.1)*492000000</f>
        <v>573510155.316607</v>
      </c>
      <c r="F558" s="10">
        <f t="shared" si="82"/>
        <v>48.599999999999994</v>
      </c>
      <c r="G558" s="5">
        <f>3867/16</f>
        <v>241.6875</v>
      </c>
      <c r="H558" s="4" t="s">
        <v>1</v>
      </c>
      <c r="I558" s="1">
        <f t="shared" si="83"/>
        <v>0</v>
      </c>
      <c r="J558" s="1" t="s">
        <v>2</v>
      </c>
      <c r="K558" s="1">
        <f t="shared" si="84"/>
        <v>1</v>
      </c>
      <c r="L558" s="1" t="s">
        <v>2</v>
      </c>
      <c r="M558" s="1">
        <f t="shared" si="85"/>
        <v>1</v>
      </c>
      <c r="N558" s="1" t="s">
        <v>2</v>
      </c>
      <c r="O558" s="8">
        <v>0.378</v>
      </c>
      <c r="P558" s="7">
        <v>0.41199999999999998</v>
      </c>
      <c r="Q558" s="3">
        <f>4/16</f>
        <v>0.25</v>
      </c>
      <c r="R558" s="10">
        <f t="shared" si="86"/>
        <v>-5.8000000000000007</v>
      </c>
      <c r="S558" s="13">
        <v>21.4</v>
      </c>
      <c r="T558" s="13">
        <v>27.2</v>
      </c>
      <c r="U558" s="10">
        <v>7</v>
      </c>
      <c r="V558" s="10">
        <v>32</v>
      </c>
      <c r="W558" s="10">
        <f t="shared" si="87"/>
        <v>-25</v>
      </c>
      <c r="X558" s="9" t="s">
        <v>1</v>
      </c>
      <c r="Y558" s="11">
        <f t="shared" si="88"/>
        <v>0</v>
      </c>
      <c r="Z558" s="14">
        <v>3</v>
      </c>
    </row>
    <row r="559" spans="1:26" x14ac:dyDescent="0.2">
      <c r="A559" s="12">
        <f t="shared" si="90"/>
        <v>2019</v>
      </c>
      <c r="B559" s="1" t="s">
        <v>46</v>
      </c>
      <c r="C559" s="1">
        <v>28</v>
      </c>
      <c r="D559" s="15">
        <v>530000000</v>
      </c>
      <c r="E559" s="15">
        <f>(292.7/255.7)*530000000</f>
        <v>606691435.2757138</v>
      </c>
      <c r="F559" s="10">
        <f t="shared" si="82"/>
        <v>49.3</v>
      </c>
      <c r="G559" s="5">
        <f>3792/16</f>
        <v>237</v>
      </c>
      <c r="H559" s="4" t="s">
        <v>1</v>
      </c>
      <c r="I559" s="1">
        <f t="shared" si="83"/>
        <v>0</v>
      </c>
      <c r="J559" s="1" t="s">
        <v>2</v>
      </c>
      <c r="K559" s="1">
        <f t="shared" si="84"/>
        <v>1</v>
      </c>
      <c r="L559" s="1" t="s">
        <v>2</v>
      </c>
      <c r="M559" s="1">
        <f t="shared" si="85"/>
        <v>1</v>
      </c>
      <c r="N559" s="1" t="s">
        <v>2</v>
      </c>
      <c r="O559" s="8">
        <v>0.45</v>
      </c>
      <c r="P559" s="7">
        <v>0.53200000000000003</v>
      </c>
      <c r="Q559" s="3">
        <f>13/16</f>
        <v>0.8125</v>
      </c>
      <c r="R559" s="10">
        <f t="shared" si="86"/>
        <v>10.5</v>
      </c>
      <c r="S559" s="13">
        <v>29.9</v>
      </c>
      <c r="T559" s="13">
        <v>19.399999999999999</v>
      </c>
      <c r="U559" s="10">
        <v>27</v>
      </c>
      <c r="V559" s="10">
        <v>23</v>
      </c>
      <c r="W559" s="10">
        <f t="shared" si="87"/>
        <v>4</v>
      </c>
      <c r="X559" s="9" t="s">
        <v>2</v>
      </c>
      <c r="Y559" s="11">
        <f t="shared" si="88"/>
        <v>1</v>
      </c>
      <c r="Z559" s="14">
        <v>4</v>
      </c>
    </row>
    <row r="560" spans="1:26" x14ac:dyDescent="0.2">
      <c r="A560" s="12">
        <v>2021</v>
      </c>
      <c r="B560" s="1" t="s">
        <v>46</v>
      </c>
      <c r="C560" s="1">
        <v>28</v>
      </c>
      <c r="D560" s="15">
        <v>575000000</v>
      </c>
      <c r="E560" s="15">
        <f>(292.7/271)*575000000</f>
        <v>621042435.4243542</v>
      </c>
      <c r="F560" s="10">
        <f t="shared" si="82"/>
        <v>46.6</v>
      </c>
      <c r="G560" s="5">
        <f>4221/17</f>
        <v>248.29411764705881</v>
      </c>
      <c r="H560" s="4" t="s">
        <v>1</v>
      </c>
      <c r="I560" s="1">
        <f t="shared" si="83"/>
        <v>0</v>
      </c>
      <c r="J560" s="1" t="s">
        <v>2</v>
      </c>
      <c r="K560" s="1">
        <f t="shared" si="84"/>
        <v>1</v>
      </c>
      <c r="L560" s="1" t="s">
        <v>2</v>
      </c>
      <c r="M560" s="1">
        <f t="shared" si="85"/>
        <v>1</v>
      </c>
      <c r="N560" s="1" t="s">
        <v>2</v>
      </c>
      <c r="O560" s="8">
        <v>0.40200000000000002</v>
      </c>
      <c r="P560" s="7">
        <v>0.66700000000000004</v>
      </c>
      <c r="Q560" s="3">
        <f>10/17</f>
        <v>0.58823529411764708</v>
      </c>
      <c r="R560" s="10">
        <f t="shared" si="86"/>
        <v>3.6000000000000014</v>
      </c>
      <c r="S560" s="13">
        <v>25.1</v>
      </c>
      <c r="T560" s="13">
        <v>21.5</v>
      </c>
      <c r="U560" s="10">
        <v>20</v>
      </c>
      <c r="V560" s="10">
        <v>24</v>
      </c>
      <c r="W560" s="10">
        <f t="shared" si="87"/>
        <v>-4</v>
      </c>
      <c r="X560" s="9" t="s">
        <v>2</v>
      </c>
      <c r="Y560" s="11">
        <f t="shared" si="88"/>
        <v>1</v>
      </c>
      <c r="Z560" s="14">
        <v>7</v>
      </c>
    </row>
    <row r="561" spans="1:26" x14ac:dyDescent="0.2">
      <c r="A561" s="12">
        <f>A560+1</f>
        <v>2022</v>
      </c>
      <c r="B561" s="1" t="s">
        <v>46</v>
      </c>
      <c r="C561" s="1">
        <v>28</v>
      </c>
      <c r="D561" s="15">
        <v>622000000</v>
      </c>
      <c r="E561" s="15">
        <f>(292.7/292.7)*622000000</f>
        <v>622000000</v>
      </c>
      <c r="F561" s="10">
        <f t="shared" si="82"/>
        <v>42.8</v>
      </c>
      <c r="G561" s="5">
        <f>3856/17</f>
        <v>226.8235294117647</v>
      </c>
      <c r="H561" s="4" t="s">
        <v>1</v>
      </c>
      <c r="I561" s="1">
        <f t="shared" si="83"/>
        <v>0</v>
      </c>
      <c r="J561" s="1" t="s">
        <v>2</v>
      </c>
      <c r="K561" s="1">
        <f t="shared" si="84"/>
        <v>1</v>
      </c>
      <c r="L561" s="1" t="s">
        <v>2</v>
      </c>
      <c r="M561" s="1">
        <f t="shared" si="85"/>
        <v>1</v>
      </c>
      <c r="N561" s="1" t="s">
        <v>2</v>
      </c>
      <c r="O561" s="8">
        <v>0.45</v>
      </c>
      <c r="P561" s="7">
        <v>0.54</v>
      </c>
      <c r="Q561" s="3">
        <f>13/17</f>
        <v>0.76470588235294112</v>
      </c>
      <c r="R561" s="10">
        <f t="shared" si="86"/>
        <v>10.199999999999999</v>
      </c>
      <c r="S561" s="13">
        <v>26.5</v>
      </c>
      <c r="T561" s="13">
        <v>16.3</v>
      </c>
      <c r="U561" s="10">
        <v>30</v>
      </c>
      <c r="V561" s="10">
        <v>17</v>
      </c>
      <c r="W561" s="10">
        <f t="shared" si="87"/>
        <v>13</v>
      </c>
      <c r="X561" s="9" t="s">
        <v>2</v>
      </c>
      <c r="Y561" s="11">
        <f t="shared" si="88"/>
        <v>1</v>
      </c>
      <c r="Z561" s="14">
        <v>6</v>
      </c>
    </row>
    <row r="562" spans="1:26" x14ac:dyDescent="0.2">
      <c r="A562" s="12">
        <v>2002</v>
      </c>
      <c r="B562" s="1" t="s">
        <v>47</v>
      </c>
      <c r="C562" s="1">
        <v>29</v>
      </c>
      <c r="D562" s="15">
        <v>153000000</v>
      </c>
      <c r="E562" s="15">
        <f>(292.7/179.9)*153000000</f>
        <v>248933296.27570873</v>
      </c>
      <c r="F562" s="10">
        <f t="shared" si="82"/>
        <v>45.3</v>
      </c>
      <c r="G562" s="5">
        <f>4078/16</f>
        <v>254.875</v>
      </c>
      <c r="H562" s="4" t="s">
        <v>1</v>
      </c>
      <c r="I562" s="1">
        <f t="shared" si="83"/>
        <v>0</v>
      </c>
      <c r="J562" s="1" t="s">
        <v>1</v>
      </c>
      <c r="K562" s="1">
        <f t="shared" si="84"/>
        <v>0</v>
      </c>
      <c r="L562" s="1" t="s">
        <v>1</v>
      </c>
      <c r="M562" s="1">
        <f t="shared" si="85"/>
        <v>0</v>
      </c>
      <c r="N562" s="1" t="s">
        <v>1</v>
      </c>
      <c r="O562" s="8">
        <v>0.43099999999999999</v>
      </c>
      <c r="P562" s="7">
        <v>0.50900000000000001</v>
      </c>
      <c r="Q562" s="3">
        <f>7/16</f>
        <v>0.4375</v>
      </c>
      <c r="R562" s="10">
        <f t="shared" si="86"/>
        <v>-0.90000000000000213</v>
      </c>
      <c r="S562" s="13">
        <v>22.2</v>
      </c>
      <c r="T562" s="13">
        <v>23.1</v>
      </c>
      <c r="U562" s="10">
        <v>30</v>
      </c>
      <c r="V562" s="10">
        <v>28</v>
      </c>
      <c r="W562" s="10">
        <f t="shared" si="87"/>
        <v>2</v>
      </c>
      <c r="X562" s="9" t="s">
        <v>1</v>
      </c>
      <c r="Y562" s="11">
        <f t="shared" si="88"/>
        <v>0</v>
      </c>
      <c r="Z562" s="14">
        <v>1</v>
      </c>
    </row>
    <row r="563" spans="1:26" x14ac:dyDescent="0.2">
      <c r="A563" s="12">
        <f>A562+1</f>
        <v>2003</v>
      </c>
      <c r="B563" s="1" t="s">
        <v>47</v>
      </c>
      <c r="C563" s="1">
        <v>29</v>
      </c>
      <c r="D563" s="15">
        <v>158000000</v>
      </c>
      <c r="E563" s="15">
        <f>(292.7/184)*158000000</f>
        <v>251340217.39130434</v>
      </c>
      <c r="F563" s="10">
        <f t="shared" si="82"/>
        <v>45.7</v>
      </c>
      <c r="G563" s="5">
        <f>3618/16</f>
        <v>226.125</v>
      </c>
      <c r="H563" s="4" t="s">
        <v>1</v>
      </c>
      <c r="I563" s="1">
        <f t="shared" si="83"/>
        <v>0</v>
      </c>
      <c r="J563" s="1" t="s">
        <v>1</v>
      </c>
      <c r="K563" s="1">
        <f t="shared" si="84"/>
        <v>0</v>
      </c>
      <c r="L563" s="1" t="s">
        <v>1</v>
      </c>
      <c r="M563" s="1">
        <f t="shared" si="85"/>
        <v>0</v>
      </c>
      <c r="N563" s="1" t="s">
        <v>1</v>
      </c>
      <c r="O563" s="8">
        <v>0.46800000000000003</v>
      </c>
      <c r="P563" s="7">
        <v>0.62</v>
      </c>
      <c r="Q563" s="3">
        <f>10/16</f>
        <v>0.625</v>
      </c>
      <c r="R563" s="10">
        <f t="shared" si="86"/>
        <v>4.9000000000000021</v>
      </c>
      <c r="S563" s="13">
        <v>25.3</v>
      </c>
      <c r="T563" s="13">
        <v>20.399999999999999</v>
      </c>
      <c r="U563" s="10">
        <v>28</v>
      </c>
      <c r="V563" s="10">
        <v>29</v>
      </c>
      <c r="W563" s="10">
        <f t="shared" si="87"/>
        <v>-1</v>
      </c>
      <c r="X563" s="9" t="s">
        <v>2</v>
      </c>
      <c r="Y563" s="11">
        <f t="shared" si="88"/>
        <v>1</v>
      </c>
      <c r="Z563" s="14">
        <v>5</v>
      </c>
    </row>
    <row r="564" spans="1:26" x14ac:dyDescent="0.2">
      <c r="A564" s="12">
        <f>A563+1</f>
        <v>2004</v>
      </c>
      <c r="B564" s="1" t="s">
        <v>47</v>
      </c>
      <c r="C564" s="1">
        <v>29</v>
      </c>
      <c r="D564" s="15">
        <v>183000000</v>
      </c>
      <c r="E564" s="15">
        <f>(292.7/188.9)*183000000</f>
        <v>283557967.17840123</v>
      </c>
      <c r="F564" s="10">
        <f t="shared" si="82"/>
        <v>46.5</v>
      </c>
      <c r="G564" s="5">
        <f>3539/16</f>
        <v>221.1875</v>
      </c>
      <c r="H564" s="4" t="s">
        <v>1</v>
      </c>
      <c r="I564" s="1">
        <f t="shared" si="83"/>
        <v>0</v>
      </c>
      <c r="J564" s="1" t="s">
        <v>1</v>
      </c>
      <c r="K564" s="1">
        <f t="shared" si="84"/>
        <v>0</v>
      </c>
      <c r="L564" s="1" t="s">
        <v>1</v>
      </c>
      <c r="M564" s="1">
        <f t="shared" si="85"/>
        <v>0</v>
      </c>
      <c r="N564" s="1" t="s">
        <v>1</v>
      </c>
      <c r="O564" s="8">
        <v>0.36199999999999999</v>
      </c>
      <c r="P564" s="7">
        <v>0.58499999999999996</v>
      </c>
      <c r="Q564" s="3">
        <f>9/16</f>
        <v>0.5625</v>
      </c>
      <c r="R564" s="10">
        <f t="shared" si="86"/>
        <v>-0.10000000000000142</v>
      </c>
      <c r="S564" s="13">
        <v>23.2</v>
      </c>
      <c r="T564" s="13">
        <v>23.3</v>
      </c>
      <c r="U564" s="10">
        <v>35</v>
      </c>
      <c r="V564" s="10">
        <v>27</v>
      </c>
      <c r="W564" s="10">
        <f t="shared" si="87"/>
        <v>8</v>
      </c>
      <c r="X564" s="9" t="s">
        <v>2</v>
      </c>
      <c r="Y564" s="11">
        <f t="shared" si="88"/>
        <v>1</v>
      </c>
      <c r="Z564" s="14">
        <v>3</v>
      </c>
    </row>
    <row r="565" spans="1:26" x14ac:dyDescent="0.2">
      <c r="A565" s="12">
        <f>A564+1</f>
        <v>2005</v>
      </c>
      <c r="B565" s="1" t="s">
        <v>47</v>
      </c>
      <c r="C565" s="1">
        <v>29</v>
      </c>
      <c r="D565" s="15">
        <v>189000000</v>
      </c>
      <c r="E565" s="15">
        <f>(292.7/195.3)*189000000</f>
        <v>283258064.51612902</v>
      </c>
      <c r="F565" s="10">
        <f t="shared" si="82"/>
        <v>45.2</v>
      </c>
      <c r="G565" s="5">
        <f>3458/16</f>
        <v>216.125</v>
      </c>
      <c r="H565" s="4" t="s">
        <v>1</v>
      </c>
      <c r="I565" s="1">
        <f t="shared" si="83"/>
        <v>0</v>
      </c>
      <c r="J565" s="1" t="s">
        <v>1</v>
      </c>
      <c r="K565" s="1">
        <f t="shared" si="84"/>
        <v>0</v>
      </c>
      <c r="L565" s="1" t="s">
        <v>1</v>
      </c>
      <c r="M565" s="1">
        <f t="shared" si="85"/>
        <v>0</v>
      </c>
      <c r="N565" s="1" t="s">
        <v>1</v>
      </c>
      <c r="O565" s="8">
        <v>0.39600000000000002</v>
      </c>
      <c r="P565" s="7">
        <v>0.71699999999999997</v>
      </c>
      <c r="Q565" s="3">
        <f>13/16</f>
        <v>0.8125</v>
      </c>
      <c r="R565" s="10">
        <f t="shared" si="86"/>
        <v>11.400000000000002</v>
      </c>
      <c r="S565" s="13">
        <v>28.3</v>
      </c>
      <c r="T565" s="13">
        <v>16.899999999999999</v>
      </c>
      <c r="U565" s="10">
        <v>27</v>
      </c>
      <c r="V565" s="10">
        <v>17</v>
      </c>
      <c r="W565" s="10">
        <f t="shared" si="87"/>
        <v>10</v>
      </c>
      <c r="X565" s="9" t="s">
        <v>2</v>
      </c>
      <c r="Y565" s="11">
        <f t="shared" si="88"/>
        <v>1</v>
      </c>
      <c r="Z565" s="14">
        <v>7</v>
      </c>
    </row>
    <row r="566" spans="1:26" x14ac:dyDescent="0.2">
      <c r="A566" s="12">
        <f>A565+1</f>
        <v>2006</v>
      </c>
      <c r="B566" s="1" t="s">
        <v>47</v>
      </c>
      <c r="C566" s="1">
        <v>29</v>
      </c>
      <c r="D566" s="15">
        <v>196000000</v>
      </c>
      <c r="E566" s="15">
        <f>(292.7/201.6)*196000000</f>
        <v>284569444.44444448</v>
      </c>
      <c r="F566" s="10">
        <f t="shared" si="82"/>
        <v>42.2</v>
      </c>
      <c r="G566" s="5">
        <f>3054/16</f>
        <v>190.875</v>
      </c>
      <c r="H566" s="4" t="s">
        <v>1</v>
      </c>
      <c r="I566" s="1">
        <f t="shared" si="83"/>
        <v>0</v>
      </c>
      <c r="J566" s="1" t="s">
        <v>1</v>
      </c>
      <c r="K566" s="1">
        <f t="shared" si="84"/>
        <v>0</v>
      </c>
      <c r="L566" s="1" t="s">
        <v>1</v>
      </c>
      <c r="M566" s="1">
        <f t="shared" si="85"/>
        <v>0</v>
      </c>
      <c r="N566" s="1" t="s">
        <v>1</v>
      </c>
      <c r="O566" s="8">
        <v>0.379</v>
      </c>
      <c r="P566" s="7">
        <v>0.52400000000000002</v>
      </c>
      <c r="Q566" s="3">
        <f>9/16</f>
        <v>0.5625</v>
      </c>
      <c r="R566" s="10">
        <f t="shared" si="86"/>
        <v>-0.40000000000000213</v>
      </c>
      <c r="S566" s="13">
        <v>20.9</v>
      </c>
      <c r="T566" s="13">
        <v>21.3</v>
      </c>
      <c r="U566" s="10">
        <v>26</v>
      </c>
      <c r="V566" s="10">
        <v>34</v>
      </c>
      <c r="W566" s="10">
        <f t="shared" si="87"/>
        <v>-8</v>
      </c>
      <c r="X566" s="9" t="s">
        <v>2</v>
      </c>
      <c r="Y566" s="11">
        <f t="shared" si="88"/>
        <v>1</v>
      </c>
      <c r="Z566" s="14">
        <v>4</v>
      </c>
    </row>
    <row r="567" spans="1:26" x14ac:dyDescent="0.2">
      <c r="A567" s="12">
        <f>A566+1</f>
        <v>2007</v>
      </c>
      <c r="B567" s="1" t="s">
        <v>47</v>
      </c>
      <c r="C567" s="1">
        <v>29</v>
      </c>
      <c r="D567" s="15">
        <v>215000000</v>
      </c>
      <c r="E567" s="15">
        <f>(292.7/207.3)*215000000</f>
        <v>303572117.70381087</v>
      </c>
      <c r="F567" s="10">
        <f t="shared" si="82"/>
        <v>42.8</v>
      </c>
      <c r="G567" s="5">
        <f>3964/16</f>
        <v>247.75</v>
      </c>
      <c r="H567" s="4" t="s">
        <v>1</v>
      </c>
      <c r="I567" s="1">
        <f t="shared" si="83"/>
        <v>0</v>
      </c>
      <c r="J567" s="1" t="s">
        <v>1</v>
      </c>
      <c r="K567" s="1">
        <f t="shared" si="84"/>
        <v>0</v>
      </c>
      <c r="L567" s="1" t="s">
        <v>1</v>
      </c>
      <c r="M567" s="1">
        <f t="shared" si="85"/>
        <v>0</v>
      </c>
      <c r="N567" s="1" t="s">
        <v>1</v>
      </c>
      <c r="O567" s="8">
        <v>0.35</v>
      </c>
      <c r="P567" s="7">
        <v>0.57099999999999995</v>
      </c>
      <c r="Q567" s="3">
        <f>10/16</f>
        <v>0.625</v>
      </c>
      <c r="R567" s="10">
        <f t="shared" si="86"/>
        <v>6.4000000000000021</v>
      </c>
      <c r="S567" s="13">
        <v>24.6</v>
      </c>
      <c r="T567" s="13">
        <v>18.2</v>
      </c>
      <c r="U567" s="10">
        <v>34</v>
      </c>
      <c r="V567" s="10">
        <v>24</v>
      </c>
      <c r="W567" s="10">
        <f t="shared" si="87"/>
        <v>10</v>
      </c>
      <c r="X567" s="9" t="s">
        <v>2</v>
      </c>
      <c r="Y567" s="11">
        <f t="shared" si="88"/>
        <v>1</v>
      </c>
      <c r="Z567" s="14">
        <v>6</v>
      </c>
    </row>
    <row r="568" spans="1:26" x14ac:dyDescent="0.2">
      <c r="A568" s="12">
        <v>2008</v>
      </c>
      <c r="B568" s="1" t="s">
        <v>47</v>
      </c>
      <c r="C568" s="1">
        <v>29</v>
      </c>
      <c r="D568" s="15">
        <v>231000000</v>
      </c>
      <c r="E568" s="15">
        <f>(292.7/215.3)*231000000</f>
        <v>314044124.47747332</v>
      </c>
      <c r="F568" s="10">
        <f t="shared" si="82"/>
        <v>42.9</v>
      </c>
      <c r="G568" s="5">
        <f>2617/16</f>
        <v>163.5625</v>
      </c>
      <c r="H568" s="4" t="s">
        <v>1</v>
      </c>
      <c r="I568" s="1">
        <f t="shared" si="83"/>
        <v>0</v>
      </c>
      <c r="J568" s="1" t="s">
        <v>1</v>
      </c>
      <c r="K568" s="1">
        <f t="shared" si="84"/>
        <v>0</v>
      </c>
      <c r="L568" s="1" t="s">
        <v>1</v>
      </c>
      <c r="M568" s="1">
        <f t="shared" si="85"/>
        <v>0</v>
      </c>
      <c r="N568" s="1" t="s">
        <v>1</v>
      </c>
      <c r="O568" s="8">
        <v>0.313</v>
      </c>
      <c r="P568" s="7">
        <v>0.5</v>
      </c>
      <c r="Q568" s="3">
        <f>4/16</f>
        <v>0.25</v>
      </c>
      <c r="R568" s="10">
        <f t="shared" si="86"/>
        <v>-6.1000000000000014</v>
      </c>
      <c r="S568" s="13">
        <v>18.399999999999999</v>
      </c>
      <c r="T568" s="13">
        <v>24.5</v>
      </c>
      <c r="U568" s="10">
        <v>20</v>
      </c>
      <c r="V568" s="10">
        <v>27</v>
      </c>
      <c r="W568" s="10">
        <f t="shared" si="87"/>
        <v>-7</v>
      </c>
      <c r="X568" s="9" t="s">
        <v>1</v>
      </c>
      <c r="Y568" s="11">
        <f t="shared" si="88"/>
        <v>0</v>
      </c>
      <c r="Z568" s="14">
        <v>2</v>
      </c>
    </row>
    <row r="569" spans="1:26" x14ac:dyDescent="0.2">
      <c r="A569" s="12">
        <f t="shared" ref="A569:A579" si="91">A568+1</f>
        <v>2009</v>
      </c>
      <c r="B569" s="1" t="s">
        <v>47</v>
      </c>
      <c r="C569" s="1">
        <v>29</v>
      </c>
      <c r="D569" s="15">
        <v>241000000</v>
      </c>
      <c r="E569" s="15">
        <f>(292.7/214.5)*241000000</f>
        <v>328861072.26107228</v>
      </c>
      <c r="F569" s="10">
        <f t="shared" si="82"/>
        <v>41.9</v>
      </c>
      <c r="G569" s="5">
        <f>3503/16</f>
        <v>218.9375</v>
      </c>
      <c r="H569" s="4" t="s">
        <v>2</v>
      </c>
      <c r="I569" s="1">
        <f t="shared" si="83"/>
        <v>1</v>
      </c>
      <c r="J569" s="1" t="s">
        <v>1</v>
      </c>
      <c r="K569" s="1">
        <f t="shared" si="84"/>
        <v>0</v>
      </c>
      <c r="L569" s="1" t="s">
        <v>2</v>
      </c>
      <c r="M569" s="1">
        <f t="shared" si="85"/>
        <v>1</v>
      </c>
      <c r="N569" s="1" t="s">
        <v>1</v>
      </c>
      <c r="O569" s="8">
        <v>0.33300000000000002</v>
      </c>
      <c r="P569" s="7">
        <v>0.39600000000000002</v>
      </c>
      <c r="Q569" s="3">
        <f>5/16</f>
        <v>0.3125</v>
      </c>
      <c r="R569" s="10">
        <f t="shared" si="86"/>
        <v>-6.8999999999999986</v>
      </c>
      <c r="S569" s="13">
        <v>17.5</v>
      </c>
      <c r="T569" s="13">
        <v>24.4</v>
      </c>
      <c r="U569" s="10">
        <v>23</v>
      </c>
      <c r="V569" s="10">
        <v>31</v>
      </c>
      <c r="W569" s="10">
        <f t="shared" si="87"/>
        <v>-8</v>
      </c>
      <c r="X569" s="9" t="s">
        <v>1</v>
      </c>
      <c r="Y569" s="11">
        <f t="shared" si="88"/>
        <v>0</v>
      </c>
      <c r="Z569" s="14">
        <v>0</v>
      </c>
    </row>
    <row r="570" spans="1:26" x14ac:dyDescent="0.2">
      <c r="A570" s="12">
        <f t="shared" si="91"/>
        <v>2010</v>
      </c>
      <c r="B570" s="1" t="s">
        <v>47</v>
      </c>
      <c r="C570" s="1">
        <v>29</v>
      </c>
      <c r="D570" s="15">
        <v>249000000</v>
      </c>
      <c r="E570" s="15">
        <f>(292.7/218.1)*249000000</f>
        <v>334169188.44566715</v>
      </c>
      <c r="F570" s="10">
        <f t="shared" si="82"/>
        <v>44.8</v>
      </c>
      <c r="G570" s="5">
        <f>3341/16</f>
        <v>208.8125</v>
      </c>
      <c r="H570" s="4" t="s">
        <v>2</v>
      </c>
      <c r="I570" s="1">
        <f t="shared" si="83"/>
        <v>1</v>
      </c>
      <c r="J570" s="1" t="s">
        <v>1</v>
      </c>
      <c r="K570" s="1">
        <f t="shared" si="84"/>
        <v>0</v>
      </c>
      <c r="L570" s="1" t="s">
        <v>2</v>
      </c>
      <c r="M570" s="1">
        <f t="shared" si="85"/>
        <v>1</v>
      </c>
      <c r="N570" s="1" t="s">
        <v>1</v>
      </c>
      <c r="O570" s="8">
        <v>0.35499999999999998</v>
      </c>
      <c r="P570" s="7">
        <v>0.42</v>
      </c>
      <c r="Q570" s="3">
        <f>7/16</f>
        <v>0.4375</v>
      </c>
      <c r="R570" s="10">
        <f t="shared" si="86"/>
        <v>-6</v>
      </c>
      <c r="S570" s="13">
        <v>19.399999999999999</v>
      </c>
      <c r="T570" s="13">
        <v>25.4</v>
      </c>
      <c r="U570" s="10">
        <v>22</v>
      </c>
      <c r="V570" s="10">
        <v>31</v>
      </c>
      <c r="W570" s="10">
        <f t="shared" si="87"/>
        <v>-9</v>
      </c>
      <c r="X570" s="9" t="s">
        <v>2</v>
      </c>
      <c r="Y570" s="11">
        <f t="shared" si="88"/>
        <v>1</v>
      </c>
      <c r="Z570" s="14">
        <v>0</v>
      </c>
    </row>
    <row r="571" spans="1:26" x14ac:dyDescent="0.2">
      <c r="A571" s="12">
        <f t="shared" si="91"/>
        <v>2011</v>
      </c>
      <c r="B571" s="1" t="s">
        <v>47</v>
      </c>
      <c r="C571" s="1">
        <v>29</v>
      </c>
      <c r="D571" s="15">
        <v>260000000</v>
      </c>
      <c r="E571" s="15">
        <f>(292.7/224.9)*260000000</f>
        <v>338381502.89017338</v>
      </c>
      <c r="F571" s="10">
        <f t="shared" si="82"/>
        <v>39.799999999999997</v>
      </c>
      <c r="G571" s="5">
        <f>3105/16</f>
        <v>194.0625</v>
      </c>
      <c r="H571" s="4" t="s">
        <v>2</v>
      </c>
      <c r="I571" s="1">
        <f t="shared" si="83"/>
        <v>1</v>
      </c>
      <c r="J571" s="1" t="s">
        <v>1</v>
      </c>
      <c r="K571" s="1">
        <f t="shared" si="84"/>
        <v>0</v>
      </c>
      <c r="L571" s="1" t="s">
        <v>2</v>
      </c>
      <c r="M571" s="1">
        <f t="shared" si="85"/>
        <v>1</v>
      </c>
      <c r="N571" s="1" t="s">
        <v>1</v>
      </c>
      <c r="O571" s="8">
        <v>0.33800000000000002</v>
      </c>
      <c r="P571" s="7">
        <v>0.47799999999999998</v>
      </c>
      <c r="Q571" s="3">
        <f>7/16</f>
        <v>0.4375</v>
      </c>
      <c r="R571" s="10">
        <f t="shared" si="86"/>
        <v>0.40000000000000213</v>
      </c>
      <c r="S571" s="13">
        <v>20.100000000000001</v>
      </c>
      <c r="T571" s="13">
        <v>19.7</v>
      </c>
      <c r="U571" s="10">
        <v>31</v>
      </c>
      <c r="V571" s="10">
        <v>23</v>
      </c>
      <c r="W571" s="10">
        <f t="shared" si="87"/>
        <v>8</v>
      </c>
      <c r="X571" s="9" t="s">
        <v>1</v>
      </c>
      <c r="Y571" s="11">
        <f t="shared" si="88"/>
        <v>0</v>
      </c>
      <c r="Z571" s="14">
        <v>5</v>
      </c>
    </row>
    <row r="572" spans="1:26" x14ac:dyDescent="0.2">
      <c r="A572" s="12">
        <f t="shared" si="91"/>
        <v>2012</v>
      </c>
      <c r="B572" s="1" t="s">
        <v>47</v>
      </c>
      <c r="C572" s="1">
        <v>29</v>
      </c>
      <c r="D572" s="15">
        <v>270000000</v>
      </c>
      <c r="E572" s="15">
        <f>(292.7/229.6)*270000000</f>
        <v>344202961.67247385</v>
      </c>
      <c r="F572" s="10">
        <f t="shared" si="82"/>
        <v>41.1</v>
      </c>
      <c r="G572" s="5">
        <f>3031/16</f>
        <v>189.4375</v>
      </c>
      <c r="H572" s="4" t="s">
        <v>2</v>
      </c>
      <c r="I572" s="1">
        <f t="shared" si="83"/>
        <v>1</v>
      </c>
      <c r="J572" s="1" t="s">
        <v>1</v>
      </c>
      <c r="K572" s="1">
        <f t="shared" si="84"/>
        <v>0</v>
      </c>
      <c r="L572" s="1" t="s">
        <v>2</v>
      </c>
      <c r="M572" s="1">
        <f t="shared" si="85"/>
        <v>1</v>
      </c>
      <c r="N572" s="1" t="s">
        <v>1</v>
      </c>
      <c r="O572" s="8">
        <v>0.40200000000000002</v>
      </c>
      <c r="P572" s="7">
        <v>0.57399999999999995</v>
      </c>
      <c r="Q572" s="3">
        <f>11/16</f>
        <v>0.6875</v>
      </c>
      <c r="R572" s="10">
        <f t="shared" si="86"/>
        <v>10.5</v>
      </c>
      <c r="S572" s="13">
        <v>25.8</v>
      </c>
      <c r="T572" s="13">
        <v>15.3</v>
      </c>
      <c r="U572" s="10">
        <v>31</v>
      </c>
      <c r="V572" s="10">
        <v>18</v>
      </c>
      <c r="W572" s="10">
        <f t="shared" si="87"/>
        <v>13</v>
      </c>
      <c r="X572" s="9" t="s">
        <v>2</v>
      </c>
      <c r="Y572" s="11">
        <f t="shared" si="88"/>
        <v>1</v>
      </c>
      <c r="Z572" s="14">
        <v>6</v>
      </c>
    </row>
    <row r="573" spans="1:26" x14ac:dyDescent="0.2">
      <c r="A573" s="12">
        <f t="shared" si="91"/>
        <v>2013</v>
      </c>
      <c r="B573" s="1" t="s">
        <v>47</v>
      </c>
      <c r="C573" s="1">
        <v>29</v>
      </c>
      <c r="D573" s="15">
        <v>288000000</v>
      </c>
      <c r="E573" s="15">
        <f>(292.7/233)*288000000</f>
        <v>361792274.67811161</v>
      </c>
      <c r="F573" s="10">
        <f t="shared" si="82"/>
        <v>40.5</v>
      </c>
      <c r="G573" s="5">
        <f>3236/16</f>
        <v>202.25</v>
      </c>
      <c r="H573" s="4" t="s">
        <v>2</v>
      </c>
      <c r="I573" s="1">
        <f t="shared" si="83"/>
        <v>1</v>
      </c>
      <c r="J573" s="1" t="s">
        <v>1</v>
      </c>
      <c r="K573" s="1">
        <f t="shared" si="84"/>
        <v>0</v>
      </c>
      <c r="L573" s="1" t="s">
        <v>2</v>
      </c>
      <c r="M573" s="1">
        <f t="shared" si="85"/>
        <v>1</v>
      </c>
      <c r="N573" s="1" t="s">
        <v>1</v>
      </c>
      <c r="O573" s="8">
        <v>0.373</v>
      </c>
      <c r="P573" s="7">
        <v>0.56100000000000005</v>
      </c>
      <c r="Q573" s="3">
        <f>13/16</f>
        <v>0.8125</v>
      </c>
      <c r="R573" s="10">
        <f t="shared" si="86"/>
        <v>11.700000000000001</v>
      </c>
      <c r="S573" s="13">
        <v>26.1</v>
      </c>
      <c r="T573" s="13">
        <v>14.4</v>
      </c>
      <c r="U573" s="10">
        <v>39</v>
      </c>
      <c r="V573" s="10">
        <v>19</v>
      </c>
      <c r="W573" s="10">
        <f t="shared" si="87"/>
        <v>20</v>
      </c>
      <c r="X573" s="9" t="s">
        <v>2</v>
      </c>
      <c r="Y573" s="11">
        <f t="shared" si="88"/>
        <v>1</v>
      </c>
      <c r="Z573" s="14">
        <v>6</v>
      </c>
    </row>
    <row r="574" spans="1:26" x14ac:dyDescent="0.2">
      <c r="A574" s="12">
        <f t="shared" si="91"/>
        <v>2014</v>
      </c>
      <c r="B574" s="1" t="s">
        <v>47</v>
      </c>
      <c r="C574" s="1">
        <v>29</v>
      </c>
      <c r="D574" s="15">
        <v>334000000</v>
      </c>
      <c r="E574" s="15">
        <f>(292.7/236.7)*334000000</f>
        <v>413019856.35825938</v>
      </c>
      <c r="F574" s="10">
        <f t="shared" si="82"/>
        <v>40.5</v>
      </c>
      <c r="G574" s="5">
        <f>3250/16</f>
        <v>203.125</v>
      </c>
      <c r="H574" s="4" t="s">
        <v>2</v>
      </c>
      <c r="I574" s="1">
        <f t="shared" si="83"/>
        <v>1</v>
      </c>
      <c r="J574" s="1" t="s">
        <v>1</v>
      </c>
      <c r="K574" s="1">
        <f t="shared" si="84"/>
        <v>0</v>
      </c>
      <c r="L574" s="1" t="s">
        <v>2</v>
      </c>
      <c r="M574" s="1">
        <f t="shared" si="85"/>
        <v>1</v>
      </c>
      <c r="N574" s="1" t="s">
        <v>1</v>
      </c>
      <c r="O574" s="8">
        <v>0.42499999999999999</v>
      </c>
      <c r="P574" s="7">
        <v>0.51700000000000002</v>
      </c>
      <c r="Q574" s="3">
        <f>12/16</f>
        <v>0.75</v>
      </c>
      <c r="R574" s="10">
        <f t="shared" si="86"/>
        <v>8.7000000000000011</v>
      </c>
      <c r="S574" s="13">
        <v>24.6</v>
      </c>
      <c r="T574" s="13">
        <v>15.9</v>
      </c>
      <c r="U574" s="10">
        <v>24</v>
      </c>
      <c r="V574" s="10">
        <v>14</v>
      </c>
      <c r="W574" s="10">
        <f t="shared" si="87"/>
        <v>10</v>
      </c>
      <c r="X574" s="9" t="s">
        <v>2</v>
      </c>
      <c r="Y574" s="11">
        <f t="shared" si="88"/>
        <v>1</v>
      </c>
      <c r="Z574" s="14">
        <v>6</v>
      </c>
    </row>
    <row r="575" spans="1:26" x14ac:dyDescent="0.2">
      <c r="A575" s="12">
        <f t="shared" si="91"/>
        <v>2015</v>
      </c>
      <c r="B575" s="1" t="s">
        <v>47</v>
      </c>
      <c r="C575" s="1">
        <v>29</v>
      </c>
      <c r="D575" s="15">
        <v>377000000</v>
      </c>
      <c r="E575" s="15">
        <f>(292.7/237)*377000000</f>
        <v>465602953.5864979</v>
      </c>
      <c r="F575" s="10">
        <f t="shared" si="82"/>
        <v>43.7</v>
      </c>
      <c r="G575" s="5">
        <f>3790/16</f>
        <v>236.875</v>
      </c>
      <c r="H575" s="4" t="s">
        <v>2</v>
      </c>
      <c r="I575" s="1">
        <f t="shared" si="83"/>
        <v>1</v>
      </c>
      <c r="J575" s="1" t="s">
        <v>1</v>
      </c>
      <c r="K575" s="1">
        <f t="shared" si="84"/>
        <v>0</v>
      </c>
      <c r="L575" s="1" t="s">
        <v>2</v>
      </c>
      <c r="M575" s="1">
        <f t="shared" si="85"/>
        <v>1</v>
      </c>
      <c r="N575" s="1" t="s">
        <v>2</v>
      </c>
      <c r="O575" s="8">
        <v>0.46500000000000002</v>
      </c>
      <c r="P575" s="7">
        <v>0.55100000000000005</v>
      </c>
      <c r="Q575" s="3">
        <f>10/16</f>
        <v>0.625</v>
      </c>
      <c r="R575" s="10">
        <f t="shared" si="86"/>
        <v>9.0999999999999979</v>
      </c>
      <c r="S575" s="13">
        <v>26.4</v>
      </c>
      <c r="T575" s="13">
        <v>17.3</v>
      </c>
      <c r="U575" s="10">
        <v>23</v>
      </c>
      <c r="V575" s="10">
        <v>16</v>
      </c>
      <c r="W575" s="10">
        <f t="shared" si="87"/>
        <v>7</v>
      </c>
      <c r="X575" s="9" t="s">
        <v>2</v>
      </c>
      <c r="Y575" s="11">
        <f t="shared" si="88"/>
        <v>1</v>
      </c>
      <c r="Z575" s="14">
        <v>7</v>
      </c>
    </row>
    <row r="576" spans="1:26" x14ac:dyDescent="0.2">
      <c r="A576" s="12">
        <f t="shared" si="91"/>
        <v>2016</v>
      </c>
      <c r="B576" s="1" t="s">
        <v>47</v>
      </c>
      <c r="C576" s="1">
        <v>29</v>
      </c>
      <c r="D576" s="15">
        <v>399000000</v>
      </c>
      <c r="E576" s="15">
        <f>(292.7/240)*399000000</f>
        <v>486613749.99999994</v>
      </c>
      <c r="F576" s="10">
        <f t="shared" si="82"/>
        <v>40.400000000000006</v>
      </c>
      <c r="G576" s="5">
        <f>4124/16</f>
        <v>257.75</v>
      </c>
      <c r="H576" s="4" t="s">
        <v>2</v>
      </c>
      <c r="I576" s="1">
        <f t="shared" si="83"/>
        <v>1</v>
      </c>
      <c r="J576" s="1" t="s">
        <v>1</v>
      </c>
      <c r="K576" s="1">
        <f t="shared" si="84"/>
        <v>0</v>
      </c>
      <c r="L576" s="1" t="s">
        <v>2</v>
      </c>
      <c r="M576" s="1">
        <f t="shared" si="85"/>
        <v>1</v>
      </c>
      <c r="N576" s="1" t="s">
        <v>2</v>
      </c>
      <c r="O576" s="8">
        <v>0.38200000000000001</v>
      </c>
      <c r="P576" s="7">
        <v>0.46400000000000002</v>
      </c>
      <c r="Q576" s="3">
        <f>10.5/16</f>
        <v>0.65625</v>
      </c>
      <c r="R576" s="10">
        <f t="shared" si="86"/>
        <v>3.8000000000000007</v>
      </c>
      <c r="S576" s="13">
        <v>22.1</v>
      </c>
      <c r="T576" s="13">
        <v>18.3</v>
      </c>
      <c r="U576" s="10">
        <v>19</v>
      </c>
      <c r="V576" s="10">
        <v>18</v>
      </c>
      <c r="W576" s="10">
        <f t="shared" si="87"/>
        <v>1</v>
      </c>
      <c r="X576" s="9" t="s">
        <v>2</v>
      </c>
      <c r="Y576" s="11">
        <f t="shared" si="88"/>
        <v>1</v>
      </c>
      <c r="Z576" s="14">
        <v>7</v>
      </c>
    </row>
    <row r="577" spans="1:26" x14ac:dyDescent="0.2">
      <c r="A577" s="12">
        <f t="shared" si="91"/>
        <v>2017</v>
      </c>
      <c r="B577" s="1" t="s">
        <v>47</v>
      </c>
      <c r="C577" s="1">
        <v>29</v>
      </c>
      <c r="D577" s="15">
        <v>413000000</v>
      </c>
      <c r="E577" s="15">
        <f>(292.7/245.1)*413000000</f>
        <v>493207262.34190124</v>
      </c>
      <c r="F577" s="10">
        <f t="shared" si="82"/>
        <v>43.7</v>
      </c>
      <c r="G577" s="5">
        <f>3657/16</f>
        <v>228.5625</v>
      </c>
      <c r="H577" s="4" t="s">
        <v>2</v>
      </c>
      <c r="I577" s="1">
        <f t="shared" si="83"/>
        <v>1</v>
      </c>
      <c r="J577" s="1" t="s">
        <v>1</v>
      </c>
      <c r="K577" s="1">
        <f t="shared" si="84"/>
        <v>0</v>
      </c>
      <c r="L577" s="1" t="s">
        <v>2</v>
      </c>
      <c r="M577" s="1">
        <f t="shared" si="85"/>
        <v>1</v>
      </c>
      <c r="N577" s="1" t="s">
        <v>2</v>
      </c>
      <c r="O577" s="8">
        <v>0.373</v>
      </c>
      <c r="P577" s="7">
        <v>0.55600000000000005</v>
      </c>
      <c r="Q577" s="3">
        <f>9/16</f>
        <v>0.5625</v>
      </c>
      <c r="R577" s="10">
        <f t="shared" si="86"/>
        <v>2.0999999999999979</v>
      </c>
      <c r="S577" s="13">
        <v>22.9</v>
      </c>
      <c r="T577" s="13">
        <v>20.8</v>
      </c>
      <c r="U577" s="10">
        <v>25</v>
      </c>
      <c r="V577" s="10">
        <v>17</v>
      </c>
      <c r="W577" s="10">
        <f t="shared" si="87"/>
        <v>8</v>
      </c>
      <c r="X577" s="9" t="s">
        <v>1</v>
      </c>
      <c r="Y577" s="11">
        <f t="shared" si="88"/>
        <v>0</v>
      </c>
      <c r="Z577" s="14">
        <v>6</v>
      </c>
    </row>
    <row r="578" spans="1:26" x14ac:dyDescent="0.2">
      <c r="A578" s="12">
        <f t="shared" si="91"/>
        <v>2018</v>
      </c>
      <c r="B578" s="1" t="s">
        <v>47</v>
      </c>
      <c r="C578" s="1">
        <v>29</v>
      </c>
      <c r="D578" s="15">
        <v>439000000</v>
      </c>
      <c r="E578" s="15">
        <f>(292.7/251.1)*439000000</f>
        <v>511729589.80485862</v>
      </c>
      <c r="F578" s="10">
        <f t="shared" ref="F578:F641" si="92">S578+T578</f>
        <v>48.5</v>
      </c>
      <c r="G578" s="5">
        <f>3093/16</f>
        <v>193.3125</v>
      </c>
      <c r="H578" s="4" t="s">
        <v>1</v>
      </c>
      <c r="I578" s="1">
        <f t="shared" ref="I578:I641" si="93">IF(H578="No",0,1)</f>
        <v>0</v>
      </c>
      <c r="J578" s="1" t="s">
        <v>2</v>
      </c>
      <c r="K578" s="1">
        <f t="shared" ref="K578:K641" si="94">IF(J578="No",0,1)</f>
        <v>1</v>
      </c>
      <c r="L578" s="1" t="s">
        <v>2</v>
      </c>
      <c r="M578" s="1">
        <f t="shared" ref="M578:M641" si="95">IF(L578="No",0,1)</f>
        <v>1</v>
      </c>
      <c r="N578" s="1" t="s">
        <v>2</v>
      </c>
      <c r="O578" s="8">
        <v>0.38900000000000001</v>
      </c>
      <c r="P578" s="7">
        <v>0.65500000000000003</v>
      </c>
      <c r="Q578" s="3">
        <f>10/16</f>
        <v>0.625</v>
      </c>
      <c r="R578" s="10">
        <f t="shared" ref="R578:R641" si="96">S578-T578</f>
        <v>5.1000000000000014</v>
      </c>
      <c r="S578" s="13">
        <v>26.8</v>
      </c>
      <c r="T578" s="13">
        <v>21.7</v>
      </c>
      <c r="U578" s="10">
        <v>26</v>
      </c>
      <c r="V578" s="10">
        <v>11</v>
      </c>
      <c r="W578" s="10">
        <f t="shared" ref="W578:W641" si="97">U578-V578</f>
        <v>15</v>
      </c>
      <c r="X578" s="9" t="s">
        <v>2</v>
      </c>
      <c r="Y578" s="11">
        <f t="shared" ref="Y578:Y641" si="98">IF(X578="No",0,1)</f>
        <v>1</v>
      </c>
      <c r="Z578" s="14">
        <v>3</v>
      </c>
    </row>
    <row r="579" spans="1:26" x14ac:dyDescent="0.2">
      <c r="A579" s="12">
        <f t="shared" si="91"/>
        <v>2019</v>
      </c>
      <c r="B579" s="1" t="s">
        <v>47</v>
      </c>
      <c r="C579" s="1">
        <v>29</v>
      </c>
      <c r="D579" s="15">
        <v>472000000</v>
      </c>
      <c r="E579" s="15">
        <f>(292.7/255.7)*472000000</f>
        <v>540298787.64176774</v>
      </c>
      <c r="F579" s="10">
        <f t="shared" si="92"/>
        <v>50.2</v>
      </c>
      <c r="G579" s="5">
        <f>3791/16</f>
        <v>236.9375</v>
      </c>
      <c r="H579" s="4" t="s">
        <v>1</v>
      </c>
      <c r="I579" s="1">
        <f t="shared" si="93"/>
        <v>0</v>
      </c>
      <c r="J579" s="1" t="s">
        <v>2</v>
      </c>
      <c r="K579" s="1">
        <f t="shared" si="94"/>
        <v>1</v>
      </c>
      <c r="L579" s="1" t="s">
        <v>2</v>
      </c>
      <c r="M579" s="1">
        <f t="shared" si="95"/>
        <v>1</v>
      </c>
      <c r="N579" s="1" t="s">
        <v>2</v>
      </c>
      <c r="O579" s="8">
        <v>0.39500000000000002</v>
      </c>
      <c r="P579" s="7">
        <v>0.63300000000000001</v>
      </c>
      <c r="Q579" s="3">
        <f>11/16</f>
        <v>0.6875</v>
      </c>
      <c r="R579" s="10">
        <f t="shared" si="96"/>
        <v>0.40000000000000213</v>
      </c>
      <c r="S579" s="13">
        <v>25.3</v>
      </c>
      <c r="T579" s="13">
        <v>24.9</v>
      </c>
      <c r="U579" s="10">
        <v>32</v>
      </c>
      <c r="V579" s="10">
        <v>20</v>
      </c>
      <c r="W579" s="10">
        <f t="shared" si="97"/>
        <v>12</v>
      </c>
      <c r="X579" s="9" t="s">
        <v>2</v>
      </c>
      <c r="Y579" s="11">
        <f t="shared" si="98"/>
        <v>1</v>
      </c>
      <c r="Z579" s="14">
        <v>3</v>
      </c>
    </row>
    <row r="580" spans="1:26" x14ac:dyDescent="0.2">
      <c r="A580" s="12">
        <v>2021</v>
      </c>
      <c r="B580" s="1" t="s">
        <v>47</v>
      </c>
      <c r="C580" s="1">
        <v>29</v>
      </c>
      <c r="D580" s="15">
        <v>518000000</v>
      </c>
      <c r="E580" s="15">
        <f>(292.7/271)*518000000</f>
        <v>559478228.78228784</v>
      </c>
      <c r="F580" s="10">
        <f t="shared" si="92"/>
        <v>44.7</v>
      </c>
      <c r="G580" s="5">
        <f>3432/17</f>
        <v>201.88235294117646</v>
      </c>
      <c r="H580" s="4" t="s">
        <v>1</v>
      </c>
      <c r="I580" s="1">
        <f t="shared" si="93"/>
        <v>0</v>
      </c>
      <c r="J580" s="1" t="s">
        <v>2</v>
      </c>
      <c r="K580" s="1">
        <f t="shared" si="94"/>
        <v>1</v>
      </c>
      <c r="L580" s="1" t="s">
        <v>2</v>
      </c>
      <c r="M580" s="1">
        <f t="shared" si="95"/>
        <v>1</v>
      </c>
      <c r="N580" s="1" t="s">
        <v>2</v>
      </c>
      <c r="O580" s="8">
        <v>0.373</v>
      </c>
      <c r="P580" s="7">
        <v>0.64600000000000002</v>
      </c>
      <c r="Q580" s="3">
        <f>7/17</f>
        <v>0.41176470588235292</v>
      </c>
      <c r="R580" s="10">
        <f t="shared" si="96"/>
        <v>1.6999999999999993</v>
      </c>
      <c r="S580" s="13">
        <v>23.2</v>
      </c>
      <c r="T580" s="13">
        <v>21.5</v>
      </c>
      <c r="U580" s="10">
        <v>18</v>
      </c>
      <c r="V580" s="10">
        <v>13</v>
      </c>
      <c r="W580" s="10">
        <f t="shared" si="97"/>
        <v>5</v>
      </c>
      <c r="X580" s="9" t="s">
        <v>1</v>
      </c>
      <c r="Y580" s="11">
        <f t="shared" si="98"/>
        <v>0</v>
      </c>
      <c r="Z580" s="14">
        <v>4</v>
      </c>
    </row>
    <row r="581" spans="1:26" x14ac:dyDescent="0.2">
      <c r="A581" s="12">
        <f>A580+1</f>
        <v>2022</v>
      </c>
      <c r="B581" s="1" t="s">
        <v>47</v>
      </c>
      <c r="C581" s="1">
        <v>29</v>
      </c>
      <c r="D581" s="15">
        <v>555000000</v>
      </c>
      <c r="E581" s="15">
        <f>(292.7/292.7)*555000000</f>
        <v>555000000</v>
      </c>
      <c r="F581" s="10">
        <f t="shared" si="92"/>
        <v>47.5</v>
      </c>
      <c r="G581" s="5">
        <f>3934/17</f>
        <v>231.41176470588235</v>
      </c>
      <c r="H581" s="4" t="s">
        <v>1</v>
      </c>
      <c r="I581" s="1">
        <f t="shared" si="93"/>
        <v>0</v>
      </c>
      <c r="J581" s="1" t="s">
        <v>2</v>
      </c>
      <c r="K581" s="1">
        <f t="shared" si="94"/>
        <v>1</v>
      </c>
      <c r="L581" s="1" t="s">
        <v>2</v>
      </c>
      <c r="M581" s="1">
        <f t="shared" si="95"/>
        <v>1</v>
      </c>
      <c r="N581" s="1" t="s">
        <v>2</v>
      </c>
      <c r="O581" s="8">
        <v>0.378</v>
      </c>
      <c r="P581" s="7">
        <v>0.47299999999999998</v>
      </c>
      <c r="Q581" s="3">
        <f>9/17</f>
        <v>0.52941176470588236</v>
      </c>
      <c r="R581" s="10">
        <f t="shared" si="96"/>
        <v>0.29999999999999716</v>
      </c>
      <c r="S581" s="13">
        <v>23.9</v>
      </c>
      <c r="T581" s="13">
        <v>23.6</v>
      </c>
      <c r="U581" s="10">
        <v>25</v>
      </c>
      <c r="V581" s="10">
        <v>23</v>
      </c>
      <c r="W581" s="10">
        <f t="shared" si="97"/>
        <v>2</v>
      </c>
      <c r="X581" s="9" t="s">
        <v>2</v>
      </c>
      <c r="Y581" s="11">
        <f t="shared" si="98"/>
        <v>1</v>
      </c>
      <c r="Z581" s="14">
        <v>4</v>
      </c>
    </row>
    <row r="582" spans="1:26" x14ac:dyDescent="0.2">
      <c r="A582" s="12">
        <v>2002</v>
      </c>
      <c r="B582" s="1" t="s">
        <v>48</v>
      </c>
      <c r="C582" s="1">
        <v>30</v>
      </c>
      <c r="D582" s="15">
        <v>168000000</v>
      </c>
      <c r="E582" s="15">
        <f>(292.7/179.9)*168000000</f>
        <v>273338521.40077823</v>
      </c>
      <c r="F582" s="10">
        <f t="shared" si="92"/>
        <v>33.900000000000006</v>
      </c>
      <c r="G582" s="5">
        <f>3445/16</f>
        <v>215.3125</v>
      </c>
      <c r="H582" s="4" t="s">
        <v>1</v>
      </c>
      <c r="I582" s="1">
        <f t="shared" si="93"/>
        <v>0</v>
      </c>
      <c r="J582" s="1" t="s">
        <v>1</v>
      </c>
      <c r="K582" s="1">
        <f t="shared" si="94"/>
        <v>0</v>
      </c>
      <c r="L582" s="1" t="s">
        <v>1</v>
      </c>
      <c r="M582" s="1">
        <f t="shared" si="95"/>
        <v>0</v>
      </c>
      <c r="N582" s="1" t="s">
        <v>1</v>
      </c>
      <c r="O582" s="8">
        <v>0.35599999999999998</v>
      </c>
      <c r="P582" s="7">
        <v>0.45100000000000001</v>
      </c>
      <c r="Q582" s="3">
        <f>12/16</f>
        <v>0.75</v>
      </c>
      <c r="R582" s="10">
        <f t="shared" si="96"/>
        <v>9.3000000000000007</v>
      </c>
      <c r="S582" s="13">
        <v>21.6</v>
      </c>
      <c r="T582" s="13">
        <v>12.3</v>
      </c>
      <c r="U582" s="10">
        <v>38</v>
      </c>
      <c r="V582" s="10">
        <v>21</v>
      </c>
      <c r="W582" s="10">
        <f t="shared" si="97"/>
        <v>17</v>
      </c>
      <c r="X582" s="9" t="s">
        <v>2</v>
      </c>
      <c r="Y582" s="11">
        <f t="shared" si="98"/>
        <v>1</v>
      </c>
      <c r="Z582" s="14">
        <v>7</v>
      </c>
    </row>
    <row r="583" spans="1:26" x14ac:dyDescent="0.2">
      <c r="A583" s="12">
        <f>A582+1</f>
        <v>2003</v>
      </c>
      <c r="B583" s="1" t="s">
        <v>48</v>
      </c>
      <c r="C583" s="1">
        <v>30</v>
      </c>
      <c r="D583" s="15">
        <v>175000000</v>
      </c>
      <c r="E583" s="15">
        <f>(292.7/184)*175000000</f>
        <v>278383152.17391306</v>
      </c>
      <c r="F583" s="10">
        <f t="shared" si="92"/>
        <v>35.299999999999997</v>
      </c>
      <c r="G583" s="5">
        <f>3805/16</f>
        <v>237.8125</v>
      </c>
      <c r="H583" s="4" t="s">
        <v>1</v>
      </c>
      <c r="I583" s="1">
        <f t="shared" si="93"/>
        <v>0</v>
      </c>
      <c r="J583" s="1" t="s">
        <v>1</v>
      </c>
      <c r="K583" s="1">
        <f t="shared" si="94"/>
        <v>0</v>
      </c>
      <c r="L583" s="1" t="s">
        <v>1</v>
      </c>
      <c r="M583" s="1">
        <f t="shared" si="95"/>
        <v>0</v>
      </c>
      <c r="N583" s="1" t="s">
        <v>1</v>
      </c>
      <c r="O583" s="8">
        <v>0.35499999999999998</v>
      </c>
      <c r="P583" s="7">
        <v>0.55000000000000004</v>
      </c>
      <c r="Q583" s="3">
        <f>7/16</f>
        <v>0.4375</v>
      </c>
      <c r="R583" s="10">
        <f t="shared" si="96"/>
        <v>2.3000000000000007</v>
      </c>
      <c r="S583" s="13">
        <v>18.8</v>
      </c>
      <c r="T583" s="13">
        <v>16.5</v>
      </c>
      <c r="U583" s="10">
        <v>33</v>
      </c>
      <c r="V583" s="10">
        <v>31</v>
      </c>
      <c r="W583" s="10">
        <f t="shared" si="97"/>
        <v>2</v>
      </c>
      <c r="X583" s="9" t="s">
        <v>1</v>
      </c>
      <c r="Y583" s="11">
        <f t="shared" si="98"/>
        <v>0</v>
      </c>
      <c r="Z583" s="14">
        <v>4</v>
      </c>
    </row>
    <row r="584" spans="1:26" x14ac:dyDescent="0.2">
      <c r="A584" s="12">
        <f>A583+1</f>
        <v>2004</v>
      </c>
      <c r="B584" s="1" t="s">
        <v>48</v>
      </c>
      <c r="C584" s="1">
        <v>30</v>
      </c>
      <c r="D584" s="15">
        <v>195000000</v>
      </c>
      <c r="E584" s="15">
        <f>(292.7/188.9)*195000000</f>
        <v>302151932.23928005</v>
      </c>
      <c r="F584" s="10">
        <f t="shared" si="92"/>
        <v>37.799999999999997</v>
      </c>
      <c r="G584" s="5">
        <f>3474/16</f>
        <v>217.125</v>
      </c>
      <c r="H584" s="4" t="s">
        <v>1</v>
      </c>
      <c r="I584" s="1">
        <f t="shared" si="93"/>
        <v>0</v>
      </c>
      <c r="J584" s="1" t="s">
        <v>1</v>
      </c>
      <c r="K584" s="1">
        <f t="shared" si="94"/>
        <v>0</v>
      </c>
      <c r="L584" s="1" t="s">
        <v>1</v>
      </c>
      <c r="M584" s="1">
        <f t="shared" si="95"/>
        <v>0</v>
      </c>
      <c r="N584" s="1" t="s">
        <v>1</v>
      </c>
      <c r="O584" s="8">
        <v>0.377</v>
      </c>
      <c r="P584" s="7">
        <v>0.52500000000000002</v>
      </c>
      <c r="Q584" s="3">
        <f>5/16</f>
        <v>0.3125</v>
      </c>
      <c r="R584" s="10">
        <f t="shared" si="96"/>
        <v>-0.19999999999999929</v>
      </c>
      <c r="S584" s="13">
        <v>18.8</v>
      </c>
      <c r="T584" s="13">
        <v>19</v>
      </c>
      <c r="U584" s="10">
        <v>27</v>
      </c>
      <c r="V584" s="10">
        <v>36</v>
      </c>
      <c r="W584" s="10">
        <f t="shared" si="97"/>
        <v>-9</v>
      </c>
      <c r="X584" s="9" t="s">
        <v>1</v>
      </c>
      <c r="Y584" s="11">
        <f t="shared" si="98"/>
        <v>0</v>
      </c>
      <c r="Z584" s="14">
        <v>2</v>
      </c>
    </row>
    <row r="585" spans="1:26" x14ac:dyDescent="0.2">
      <c r="A585" s="12">
        <f>A584+1</f>
        <v>2005</v>
      </c>
      <c r="B585" s="1" t="s">
        <v>48</v>
      </c>
      <c r="C585" s="1">
        <v>30</v>
      </c>
      <c r="D585" s="15">
        <v>203000000</v>
      </c>
      <c r="E585" s="15">
        <f>(292.7/195.3)*203000000</f>
        <v>304240143.36917561</v>
      </c>
      <c r="F585" s="10">
        <f t="shared" si="92"/>
        <v>35.900000000000006</v>
      </c>
      <c r="G585" s="5">
        <f>2890/16</f>
        <v>180.625</v>
      </c>
      <c r="H585" s="4" t="s">
        <v>1</v>
      </c>
      <c r="I585" s="1">
        <f t="shared" si="93"/>
        <v>0</v>
      </c>
      <c r="J585" s="1" t="s">
        <v>1</v>
      </c>
      <c r="K585" s="1">
        <f t="shared" si="94"/>
        <v>0</v>
      </c>
      <c r="L585" s="1" t="s">
        <v>1</v>
      </c>
      <c r="M585" s="1">
        <f t="shared" si="95"/>
        <v>0</v>
      </c>
      <c r="N585" s="1" t="s">
        <v>1</v>
      </c>
      <c r="O585" s="8">
        <v>0.39400000000000002</v>
      </c>
      <c r="P585" s="7">
        <v>0.51300000000000001</v>
      </c>
      <c r="Q585" s="3">
        <f>11/16</f>
        <v>0.6875</v>
      </c>
      <c r="R585" s="10">
        <f t="shared" si="96"/>
        <v>1.6999999999999993</v>
      </c>
      <c r="S585" s="13">
        <v>18.8</v>
      </c>
      <c r="T585" s="13">
        <v>17.100000000000001</v>
      </c>
      <c r="U585" s="10">
        <v>30</v>
      </c>
      <c r="V585" s="10">
        <v>23</v>
      </c>
      <c r="W585" s="10">
        <f t="shared" si="97"/>
        <v>7</v>
      </c>
      <c r="X585" s="9" t="s">
        <v>2</v>
      </c>
      <c r="Y585" s="11">
        <f t="shared" si="98"/>
        <v>1</v>
      </c>
      <c r="Z585" s="14">
        <v>3</v>
      </c>
    </row>
    <row r="586" spans="1:26" x14ac:dyDescent="0.2">
      <c r="A586" s="12">
        <f>A585+1</f>
        <v>2006</v>
      </c>
      <c r="B586" s="1" t="s">
        <v>48</v>
      </c>
      <c r="C586" s="1">
        <v>30</v>
      </c>
      <c r="D586" s="15">
        <v>205000000</v>
      </c>
      <c r="E586" s="15">
        <f>(292.7/201.6)*205000000</f>
        <v>297636408.73015875</v>
      </c>
      <c r="F586" s="10">
        <f t="shared" si="92"/>
        <v>35.299999999999997</v>
      </c>
      <c r="G586" s="5">
        <f>2798/16</f>
        <v>174.875</v>
      </c>
      <c r="H586" s="4" t="s">
        <v>1</v>
      </c>
      <c r="I586" s="1">
        <f t="shared" si="93"/>
        <v>0</v>
      </c>
      <c r="J586" s="1" t="s">
        <v>1</v>
      </c>
      <c r="K586" s="1">
        <f t="shared" si="94"/>
        <v>0</v>
      </c>
      <c r="L586" s="1" t="s">
        <v>1</v>
      </c>
      <c r="M586" s="1">
        <f t="shared" si="95"/>
        <v>0</v>
      </c>
      <c r="N586" s="1" t="s">
        <v>1</v>
      </c>
      <c r="O586" s="8">
        <v>0.36899999999999999</v>
      </c>
      <c r="P586" s="7">
        <v>0.432</v>
      </c>
      <c r="Q586" s="3">
        <f>4/16</f>
        <v>0.25</v>
      </c>
      <c r="R586" s="10">
        <f t="shared" si="96"/>
        <v>-8.9000000000000021</v>
      </c>
      <c r="S586" s="13">
        <v>13.2</v>
      </c>
      <c r="T586" s="13">
        <v>22.1</v>
      </c>
      <c r="U586" s="10">
        <v>20</v>
      </c>
      <c r="V586" s="10">
        <v>32</v>
      </c>
      <c r="W586" s="10">
        <f t="shared" si="97"/>
        <v>-12</v>
      </c>
      <c r="X586" s="9" t="s">
        <v>1</v>
      </c>
      <c r="Y586" s="11">
        <f t="shared" si="98"/>
        <v>0</v>
      </c>
      <c r="Z586" s="14">
        <v>3</v>
      </c>
    </row>
    <row r="587" spans="1:26" x14ac:dyDescent="0.2">
      <c r="A587" s="12">
        <f>A586+1</f>
        <v>2007</v>
      </c>
      <c r="B587" s="1" t="s">
        <v>48</v>
      </c>
      <c r="C587" s="1">
        <v>30</v>
      </c>
      <c r="D587" s="15">
        <v>224000000</v>
      </c>
      <c r="E587" s="15">
        <f>(292.7/207.3)*224000000</f>
        <v>316279787.74722618</v>
      </c>
      <c r="F587" s="10">
        <f t="shared" si="92"/>
        <v>37.799999999999997</v>
      </c>
      <c r="G587" s="5">
        <f>3357/16</f>
        <v>209.8125</v>
      </c>
      <c r="H587" s="4" t="s">
        <v>1</v>
      </c>
      <c r="I587" s="1">
        <f t="shared" si="93"/>
        <v>0</v>
      </c>
      <c r="J587" s="1" t="s">
        <v>1</v>
      </c>
      <c r="K587" s="1">
        <f t="shared" si="94"/>
        <v>0</v>
      </c>
      <c r="L587" s="1" t="s">
        <v>1</v>
      </c>
      <c r="M587" s="1">
        <f t="shared" si="95"/>
        <v>0</v>
      </c>
      <c r="N587" s="1" t="s">
        <v>1</v>
      </c>
      <c r="O587" s="8">
        <v>0.38500000000000001</v>
      </c>
      <c r="P587" s="7">
        <v>0.435</v>
      </c>
      <c r="Q587" s="3">
        <f>9/16</f>
        <v>0.5625</v>
      </c>
      <c r="R587" s="10">
        <f t="shared" si="96"/>
        <v>4</v>
      </c>
      <c r="S587" s="13">
        <v>20.9</v>
      </c>
      <c r="T587" s="13">
        <v>16.899999999999999</v>
      </c>
      <c r="U587" s="10">
        <v>19</v>
      </c>
      <c r="V587" s="10">
        <v>12</v>
      </c>
      <c r="W587" s="10">
        <f t="shared" si="97"/>
        <v>7</v>
      </c>
      <c r="X587" s="9" t="s">
        <v>2</v>
      </c>
      <c r="Y587" s="11">
        <f t="shared" si="98"/>
        <v>1</v>
      </c>
      <c r="Z587" s="14">
        <v>1</v>
      </c>
    </row>
    <row r="588" spans="1:26" x14ac:dyDescent="0.2">
      <c r="A588" s="12">
        <v>2008</v>
      </c>
      <c r="B588" s="1" t="s">
        <v>48</v>
      </c>
      <c r="C588" s="1">
        <v>30</v>
      </c>
      <c r="D588" s="15">
        <v>241000000</v>
      </c>
      <c r="E588" s="15">
        <f>(292.7/215.3)*241000000</f>
        <v>327639108.22108686</v>
      </c>
      <c r="F588" s="10">
        <f t="shared" si="92"/>
        <v>42.8</v>
      </c>
      <c r="G588" s="5">
        <f>3619/16</f>
        <v>226.1875</v>
      </c>
      <c r="H588" s="4" t="s">
        <v>1</v>
      </c>
      <c r="I588" s="1">
        <f t="shared" si="93"/>
        <v>0</v>
      </c>
      <c r="J588" s="1" t="s">
        <v>1</v>
      </c>
      <c r="K588" s="1">
        <f t="shared" si="94"/>
        <v>0</v>
      </c>
      <c r="L588" s="1" t="s">
        <v>1</v>
      </c>
      <c r="M588" s="1">
        <f t="shared" si="95"/>
        <v>0</v>
      </c>
      <c r="N588" s="1" t="s">
        <v>1</v>
      </c>
      <c r="O588" s="8">
        <v>0.38400000000000001</v>
      </c>
      <c r="P588" s="7">
        <v>0.39400000000000002</v>
      </c>
      <c r="Q588" s="3">
        <f>9/16</f>
        <v>0.5625</v>
      </c>
      <c r="R588" s="10">
        <f t="shared" si="96"/>
        <v>2.4000000000000021</v>
      </c>
      <c r="S588" s="13">
        <v>22.6</v>
      </c>
      <c r="T588" s="13">
        <v>20.2</v>
      </c>
      <c r="U588" s="10">
        <v>30</v>
      </c>
      <c r="V588" s="10">
        <v>26</v>
      </c>
      <c r="W588" s="10">
        <f t="shared" si="97"/>
        <v>4</v>
      </c>
      <c r="X588" s="9" t="s">
        <v>1</v>
      </c>
      <c r="Y588" s="11">
        <f t="shared" si="98"/>
        <v>0</v>
      </c>
      <c r="Z588" s="14">
        <v>4</v>
      </c>
    </row>
    <row r="589" spans="1:26" x14ac:dyDescent="0.2">
      <c r="A589" s="12">
        <f t="shared" ref="A589:A599" si="99">A588+1</f>
        <v>2009</v>
      </c>
      <c r="B589" s="1" t="s">
        <v>48</v>
      </c>
      <c r="C589" s="1">
        <v>30</v>
      </c>
      <c r="D589" s="15">
        <v>246000000</v>
      </c>
      <c r="E589" s="15">
        <f>(292.7/214.5)*246000000</f>
        <v>335683916.08391607</v>
      </c>
      <c r="F589" s="10">
        <f t="shared" si="92"/>
        <v>40.299999999999997</v>
      </c>
      <c r="G589" s="5">
        <f>2973/16</f>
        <v>185.8125</v>
      </c>
      <c r="H589" s="4" t="s">
        <v>2</v>
      </c>
      <c r="I589" s="1">
        <f t="shared" si="93"/>
        <v>1</v>
      </c>
      <c r="J589" s="1" t="s">
        <v>1</v>
      </c>
      <c r="K589" s="1">
        <f t="shared" si="94"/>
        <v>0</v>
      </c>
      <c r="L589" s="1" t="s">
        <v>2</v>
      </c>
      <c r="M589" s="1">
        <f t="shared" si="95"/>
        <v>1</v>
      </c>
      <c r="N589" s="1" t="s">
        <v>1</v>
      </c>
      <c r="O589" s="8">
        <v>0.32600000000000001</v>
      </c>
      <c r="P589" s="7">
        <v>0.51600000000000001</v>
      </c>
      <c r="Q589" s="3">
        <f>3/16</f>
        <v>0.1875</v>
      </c>
      <c r="R589" s="10">
        <f t="shared" si="96"/>
        <v>-9.6999999999999993</v>
      </c>
      <c r="S589" s="13">
        <v>15.3</v>
      </c>
      <c r="T589" s="13">
        <v>25</v>
      </c>
      <c r="U589" s="10">
        <v>29</v>
      </c>
      <c r="V589" s="10">
        <v>34</v>
      </c>
      <c r="W589" s="10">
        <f t="shared" si="97"/>
        <v>-5</v>
      </c>
      <c r="X589" s="9" t="s">
        <v>1</v>
      </c>
      <c r="Y589" s="11">
        <f t="shared" si="98"/>
        <v>0</v>
      </c>
      <c r="Z589" s="14">
        <v>0</v>
      </c>
    </row>
    <row r="590" spans="1:26" x14ac:dyDescent="0.2">
      <c r="A590" s="12">
        <f t="shared" si="99"/>
        <v>2010</v>
      </c>
      <c r="B590" s="1" t="s">
        <v>48</v>
      </c>
      <c r="C590" s="1">
        <v>30</v>
      </c>
      <c r="D590" s="15">
        <v>245000000</v>
      </c>
      <c r="E590" s="15">
        <f>(292.7/218.1)*245000000</f>
        <v>328801008.71160018</v>
      </c>
      <c r="F590" s="10">
        <f t="shared" si="92"/>
        <v>41.2</v>
      </c>
      <c r="G590" s="5">
        <f>3361/16</f>
        <v>210.0625</v>
      </c>
      <c r="H590" s="4" t="s">
        <v>2</v>
      </c>
      <c r="I590" s="1">
        <f t="shared" si="93"/>
        <v>1</v>
      </c>
      <c r="J590" s="1" t="s">
        <v>1</v>
      </c>
      <c r="K590" s="1">
        <f t="shared" si="94"/>
        <v>0</v>
      </c>
      <c r="L590" s="1" t="s">
        <v>2</v>
      </c>
      <c r="M590" s="1">
        <f t="shared" si="95"/>
        <v>1</v>
      </c>
      <c r="N590" s="1" t="s">
        <v>1</v>
      </c>
      <c r="O590" s="8">
        <v>0.42199999999999999</v>
      </c>
      <c r="P590" s="7">
        <v>0.52300000000000002</v>
      </c>
      <c r="Q590" s="3">
        <f>10/16</f>
        <v>0.625</v>
      </c>
      <c r="R590" s="10">
        <f t="shared" si="96"/>
        <v>1.4000000000000021</v>
      </c>
      <c r="S590" s="13">
        <v>21.3</v>
      </c>
      <c r="T590" s="13">
        <v>19.899999999999999</v>
      </c>
      <c r="U590" s="10">
        <v>28</v>
      </c>
      <c r="V590" s="10">
        <v>19</v>
      </c>
      <c r="W590" s="10">
        <f t="shared" si="97"/>
        <v>9</v>
      </c>
      <c r="X590" s="9" t="s">
        <v>1</v>
      </c>
      <c r="Y590" s="11">
        <f t="shared" si="98"/>
        <v>0</v>
      </c>
      <c r="Z590" s="14">
        <v>1</v>
      </c>
    </row>
    <row r="591" spans="1:26" x14ac:dyDescent="0.2">
      <c r="A591" s="12">
        <f t="shared" si="99"/>
        <v>2011</v>
      </c>
      <c r="B591" s="1" t="s">
        <v>48</v>
      </c>
      <c r="C591" s="1">
        <v>30</v>
      </c>
      <c r="D591" s="15">
        <v>258000000</v>
      </c>
      <c r="E591" s="15">
        <f>(292.7/224.9)*258000000</f>
        <v>335778568.25255668</v>
      </c>
      <c r="F591" s="10">
        <f t="shared" si="92"/>
        <v>48.8</v>
      </c>
      <c r="G591" s="5">
        <f>3650/16</f>
        <v>228.125</v>
      </c>
      <c r="H591" s="4" t="s">
        <v>2</v>
      </c>
      <c r="I591" s="1">
        <f t="shared" si="93"/>
        <v>1</v>
      </c>
      <c r="J591" s="1" t="s">
        <v>1</v>
      </c>
      <c r="K591" s="1">
        <f t="shared" si="94"/>
        <v>0</v>
      </c>
      <c r="L591" s="1" t="s">
        <v>2</v>
      </c>
      <c r="M591" s="1">
        <f t="shared" si="95"/>
        <v>1</v>
      </c>
      <c r="N591" s="1" t="s">
        <v>1</v>
      </c>
      <c r="O591" s="8">
        <v>0.36899999999999999</v>
      </c>
      <c r="P591" s="7">
        <v>0.5</v>
      </c>
      <c r="Q591" s="3">
        <f>4/16</f>
        <v>0.25</v>
      </c>
      <c r="R591" s="10">
        <f t="shared" si="96"/>
        <v>-13</v>
      </c>
      <c r="S591" s="13">
        <v>17.899999999999999</v>
      </c>
      <c r="T591" s="13">
        <v>30.9</v>
      </c>
      <c r="U591" s="10">
        <v>24</v>
      </c>
      <c r="V591" s="10">
        <v>40</v>
      </c>
      <c r="W591" s="10">
        <f t="shared" si="97"/>
        <v>-16</v>
      </c>
      <c r="X591" s="9" t="s">
        <v>1</v>
      </c>
      <c r="Y591" s="11">
        <f t="shared" si="98"/>
        <v>0</v>
      </c>
      <c r="Z591" s="14">
        <v>1</v>
      </c>
    </row>
    <row r="592" spans="1:26" x14ac:dyDescent="0.2">
      <c r="A592" s="12">
        <f t="shared" si="99"/>
        <v>2012</v>
      </c>
      <c r="B592" s="1" t="s">
        <v>48</v>
      </c>
      <c r="C592" s="1">
        <v>30</v>
      </c>
      <c r="D592" s="15">
        <v>267000000</v>
      </c>
      <c r="E592" s="15">
        <f>(292.7/229.6)*267000000</f>
        <v>340378484.32055748</v>
      </c>
      <c r="F592" s="10">
        <f t="shared" si="92"/>
        <v>48.900000000000006</v>
      </c>
      <c r="G592" s="5">
        <f>3983/16</f>
        <v>248.9375</v>
      </c>
      <c r="H592" s="4" t="s">
        <v>2</v>
      </c>
      <c r="I592" s="1">
        <f t="shared" si="93"/>
        <v>1</v>
      </c>
      <c r="J592" s="1" t="s">
        <v>1</v>
      </c>
      <c r="K592" s="1">
        <f t="shared" si="94"/>
        <v>0</v>
      </c>
      <c r="L592" s="1" t="s">
        <v>2</v>
      </c>
      <c r="M592" s="1">
        <f t="shared" si="95"/>
        <v>1</v>
      </c>
      <c r="N592" s="1" t="s">
        <v>1</v>
      </c>
      <c r="O592" s="8">
        <v>0.35799999999999998</v>
      </c>
      <c r="P592" s="7">
        <v>0.59599999999999997</v>
      </c>
      <c r="Q592" s="3">
        <f>7/16</f>
        <v>0.4375</v>
      </c>
      <c r="R592" s="10">
        <f t="shared" si="96"/>
        <v>-0.30000000000000071</v>
      </c>
      <c r="S592" s="13">
        <v>24.3</v>
      </c>
      <c r="T592" s="13">
        <v>24.6</v>
      </c>
      <c r="U592" s="10">
        <v>26</v>
      </c>
      <c r="V592" s="10">
        <v>23</v>
      </c>
      <c r="W592" s="10">
        <f t="shared" si="97"/>
        <v>3</v>
      </c>
      <c r="X592" s="9" t="s">
        <v>1</v>
      </c>
      <c r="Y592" s="11">
        <f t="shared" si="98"/>
        <v>0</v>
      </c>
      <c r="Z592" s="14">
        <v>3</v>
      </c>
    </row>
    <row r="593" spans="1:26" x14ac:dyDescent="0.2">
      <c r="A593" s="12">
        <f t="shared" si="99"/>
        <v>2013</v>
      </c>
      <c r="B593" s="1" t="s">
        <v>48</v>
      </c>
      <c r="C593" s="1">
        <v>30</v>
      </c>
      <c r="D593" s="15">
        <v>275000000</v>
      </c>
      <c r="E593" s="15">
        <f>(292.7/233)*275000000</f>
        <v>345461373.39055794</v>
      </c>
      <c r="F593" s="10">
        <f t="shared" si="92"/>
        <v>42.3</v>
      </c>
      <c r="G593" s="5">
        <f>2820/16</f>
        <v>176.25</v>
      </c>
      <c r="H593" s="4" t="s">
        <v>2</v>
      </c>
      <c r="I593" s="1">
        <f t="shared" si="93"/>
        <v>1</v>
      </c>
      <c r="J593" s="1" t="s">
        <v>1</v>
      </c>
      <c r="K593" s="1">
        <f t="shared" si="94"/>
        <v>0</v>
      </c>
      <c r="L593" s="1" t="s">
        <v>2</v>
      </c>
      <c r="M593" s="1">
        <f t="shared" si="95"/>
        <v>1</v>
      </c>
      <c r="N593" s="1" t="s">
        <v>1</v>
      </c>
      <c r="O593" s="8">
        <v>0.312</v>
      </c>
      <c r="P593" s="7">
        <v>0.51400000000000001</v>
      </c>
      <c r="Q593" s="3">
        <f>4/16</f>
        <v>0.25</v>
      </c>
      <c r="R593" s="10">
        <f t="shared" si="96"/>
        <v>-6.3000000000000007</v>
      </c>
      <c r="S593" s="13">
        <v>18</v>
      </c>
      <c r="T593" s="13">
        <v>24.3</v>
      </c>
      <c r="U593" s="10">
        <v>31</v>
      </c>
      <c r="V593" s="10">
        <v>21</v>
      </c>
      <c r="W593" s="10">
        <f t="shared" si="97"/>
        <v>10</v>
      </c>
      <c r="X593" s="9" t="s">
        <v>1</v>
      </c>
      <c r="Y593" s="11">
        <f t="shared" si="98"/>
        <v>0</v>
      </c>
      <c r="Z593" s="14">
        <v>2</v>
      </c>
    </row>
    <row r="594" spans="1:26" x14ac:dyDescent="0.2">
      <c r="A594" s="12">
        <f t="shared" si="99"/>
        <v>2014</v>
      </c>
      <c r="B594" s="1" t="s">
        <v>48</v>
      </c>
      <c r="C594" s="1">
        <v>30</v>
      </c>
      <c r="D594" s="15">
        <v>313000000</v>
      </c>
      <c r="E594" s="15">
        <f>(292.7/236.7)*313000000</f>
        <v>387051542.03633291</v>
      </c>
      <c r="F594" s="10">
        <f t="shared" si="92"/>
        <v>42.900000000000006</v>
      </c>
      <c r="G594" s="5">
        <f>3297/16</f>
        <v>206.0625</v>
      </c>
      <c r="H594" s="4" t="s">
        <v>2</v>
      </c>
      <c r="I594" s="1">
        <f t="shared" si="93"/>
        <v>1</v>
      </c>
      <c r="J594" s="1" t="s">
        <v>1</v>
      </c>
      <c r="K594" s="1">
        <f t="shared" si="94"/>
        <v>0</v>
      </c>
      <c r="L594" s="1" t="s">
        <v>2</v>
      </c>
      <c r="M594" s="1">
        <f t="shared" si="95"/>
        <v>1</v>
      </c>
      <c r="N594" s="1" t="s">
        <v>1</v>
      </c>
      <c r="O594" s="8">
        <v>0.374</v>
      </c>
      <c r="P594" s="7">
        <v>0.53800000000000003</v>
      </c>
      <c r="Q594" s="3">
        <f>2/16</f>
        <v>0.125</v>
      </c>
      <c r="R594" s="10">
        <f t="shared" si="96"/>
        <v>-8.3000000000000007</v>
      </c>
      <c r="S594" s="13">
        <v>17.3</v>
      </c>
      <c r="T594" s="13">
        <v>25.6</v>
      </c>
      <c r="U594" s="10">
        <v>25</v>
      </c>
      <c r="V594" s="10">
        <v>33</v>
      </c>
      <c r="W594" s="10">
        <f t="shared" si="97"/>
        <v>-8</v>
      </c>
      <c r="X594" s="9" t="s">
        <v>1</v>
      </c>
      <c r="Y594" s="11">
        <f t="shared" si="98"/>
        <v>0</v>
      </c>
      <c r="Z594" s="14">
        <v>1</v>
      </c>
    </row>
    <row r="595" spans="1:26" x14ac:dyDescent="0.2">
      <c r="A595" s="12">
        <f t="shared" si="99"/>
        <v>2015</v>
      </c>
      <c r="B595" s="1" t="s">
        <v>48</v>
      </c>
      <c r="C595" s="1">
        <v>30</v>
      </c>
      <c r="D595" s="15">
        <v>341000000</v>
      </c>
      <c r="E595" s="15">
        <f>(292.7/237)*341000000</f>
        <v>421142194.09282702</v>
      </c>
      <c r="F595" s="10">
        <f t="shared" si="92"/>
        <v>47.5</v>
      </c>
      <c r="G595" s="5">
        <f>3852/16</f>
        <v>240.75</v>
      </c>
      <c r="H595" s="4" t="s">
        <v>2</v>
      </c>
      <c r="I595" s="1">
        <f t="shared" si="93"/>
        <v>1</v>
      </c>
      <c r="J595" s="1" t="s">
        <v>1</v>
      </c>
      <c r="K595" s="1">
        <f t="shared" si="94"/>
        <v>0</v>
      </c>
      <c r="L595" s="1" t="s">
        <v>2</v>
      </c>
      <c r="M595" s="1">
        <f t="shared" si="95"/>
        <v>1</v>
      </c>
      <c r="N595" s="1" t="s">
        <v>2</v>
      </c>
      <c r="O595" s="8">
        <v>0.41599999999999998</v>
      </c>
      <c r="P595" s="7">
        <v>0.52900000000000003</v>
      </c>
      <c r="Q595" s="3">
        <f>6/16</f>
        <v>0.375</v>
      </c>
      <c r="R595" s="10">
        <f t="shared" si="96"/>
        <v>-4.7000000000000028</v>
      </c>
      <c r="S595" s="13">
        <v>21.4</v>
      </c>
      <c r="T595" s="13">
        <v>26.1</v>
      </c>
      <c r="U595" s="10">
        <v>23</v>
      </c>
      <c r="V595" s="10">
        <v>28</v>
      </c>
      <c r="W595" s="10">
        <f t="shared" si="97"/>
        <v>-5</v>
      </c>
      <c r="X595" s="9" t="s">
        <v>1</v>
      </c>
      <c r="Y595" s="11">
        <f t="shared" si="98"/>
        <v>0</v>
      </c>
      <c r="Z595" s="14">
        <v>5</v>
      </c>
    </row>
    <row r="596" spans="1:26" x14ac:dyDescent="0.2">
      <c r="A596" s="12">
        <f t="shared" si="99"/>
        <v>2016</v>
      </c>
      <c r="B596" s="1" t="s">
        <v>48</v>
      </c>
      <c r="C596" s="1">
        <v>30</v>
      </c>
      <c r="D596" s="15">
        <v>367000000</v>
      </c>
      <c r="E596" s="15">
        <f>(292.7/240)*367000000</f>
        <v>447587083.33333331</v>
      </c>
      <c r="F596" s="10">
        <f t="shared" si="92"/>
        <v>45.2</v>
      </c>
      <c r="G596" s="5">
        <f>3926/16</f>
        <v>245.375</v>
      </c>
      <c r="H596" s="4" t="s">
        <v>2</v>
      </c>
      <c r="I596" s="1">
        <f t="shared" si="93"/>
        <v>1</v>
      </c>
      <c r="J596" s="1" t="s">
        <v>1</v>
      </c>
      <c r="K596" s="1">
        <f t="shared" si="94"/>
        <v>0</v>
      </c>
      <c r="L596" s="1" t="s">
        <v>2</v>
      </c>
      <c r="M596" s="1">
        <f t="shared" si="95"/>
        <v>1</v>
      </c>
      <c r="N596" s="1" t="s">
        <v>2</v>
      </c>
      <c r="O596" s="8">
        <v>0.439</v>
      </c>
      <c r="P596" s="7">
        <v>0.51900000000000002</v>
      </c>
      <c r="Q596" s="3">
        <f>9/16</f>
        <v>0.5625</v>
      </c>
      <c r="R596" s="10">
        <f t="shared" si="96"/>
        <v>-1</v>
      </c>
      <c r="S596" s="13">
        <v>22.1</v>
      </c>
      <c r="T596" s="13">
        <v>23.1</v>
      </c>
      <c r="U596" s="10">
        <v>29</v>
      </c>
      <c r="V596" s="10">
        <v>27</v>
      </c>
      <c r="W596" s="10">
        <f t="shared" si="97"/>
        <v>2</v>
      </c>
      <c r="X596" s="9" t="s">
        <v>1</v>
      </c>
      <c r="Y596" s="11">
        <f t="shared" si="98"/>
        <v>0</v>
      </c>
      <c r="Z596" s="14">
        <v>2</v>
      </c>
    </row>
    <row r="597" spans="1:26" x14ac:dyDescent="0.2">
      <c r="A597" s="12">
        <f t="shared" si="99"/>
        <v>2017</v>
      </c>
      <c r="B597" s="1" t="s">
        <v>48</v>
      </c>
      <c r="C597" s="1">
        <v>30</v>
      </c>
      <c r="D597" s="15">
        <v>383000000</v>
      </c>
      <c r="E597" s="15">
        <f>(292.7/245.1)*383000000</f>
        <v>457381068.95144838</v>
      </c>
      <c r="F597" s="10">
        <f t="shared" si="92"/>
        <v>44.8</v>
      </c>
      <c r="G597" s="5">
        <f>4366/16</f>
        <v>272.875</v>
      </c>
      <c r="H597" s="4" t="s">
        <v>2</v>
      </c>
      <c r="I597" s="1">
        <f t="shared" si="93"/>
        <v>1</v>
      </c>
      <c r="J597" s="1" t="s">
        <v>1</v>
      </c>
      <c r="K597" s="1">
        <f t="shared" si="94"/>
        <v>0</v>
      </c>
      <c r="L597" s="1" t="s">
        <v>2</v>
      </c>
      <c r="M597" s="1">
        <f t="shared" si="95"/>
        <v>1</v>
      </c>
      <c r="N597" s="1" t="s">
        <v>2</v>
      </c>
      <c r="O597" s="8">
        <v>0.434</v>
      </c>
      <c r="P597" s="7">
        <v>0.49099999999999999</v>
      </c>
      <c r="Q597" s="3">
        <f>5/16</f>
        <v>0.3125</v>
      </c>
      <c r="R597" s="10">
        <f t="shared" si="96"/>
        <v>-3</v>
      </c>
      <c r="S597" s="13">
        <v>20.9</v>
      </c>
      <c r="T597" s="13">
        <v>23.9</v>
      </c>
      <c r="U597" s="10">
        <v>26</v>
      </c>
      <c r="V597" s="10">
        <v>27</v>
      </c>
      <c r="W597" s="10">
        <f t="shared" si="97"/>
        <v>-1</v>
      </c>
      <c r="X597" s="9" t="s">
        <v>1</v>
      </c>
      <c r="Y597" s="11">
        <f t="shared" si="98"/>
        <v>0</v>
      </c>
      <c r="Z597" s="14">
        <v>2</v>
      </c>
    </row>
    <row r="598" spans="1:26" x14ac:dyDescent="0.2">
      <c r="A598" s="12">
        <f t="shared" si="99"/>
        <v>2018</v>
      </c>
      <c r="B598" s="1" t="s">
        <v>48</v>
      </c>
      <c r="C598" s="1">
        <v>30</v>
      </c>
      <c r="D598" s="15">
        <v>400000000</v>
      </c>
      <c r="E598" s="15">
        <f>(292.7/251.1)*400000000</f>
        <v>466268418.95659101</v>
      </c>
      <c r="F598" s="10">
        <f t="shared" si="92"/>
        <v>53.8</v>
      </c>
      <c r="G598" s="5">
        <f>5125/16</f>
        <v>320.3125</v>
      </c>
      <c r="H598" s="4" t="s">
        <v>1</v>
      </c>
      <c r="I598" s="1">
        <f t="shared" si="93"/>
        <v>0</v>
      </c>
      <c r="J598" s="1" t="s">
        <v>2</v>
      </c>
      <c r="K598" s="1">
        <f t="shared" si="94"/>
        <v>1</v>
      </c>
      <c r="L598" s="1" t="s">
        <v>2</v>
      </c>
      <c r="M598" s="1">
        <f t="shared" si="95"/>
        <v>1</v>
      </c>
      <c r="N598" s="1" t="s">
        <v>2</v>
      </c>
      <c r="O598" s="8">
        <v>0.46</v>
      </c>
      <c r="P598" s="7">
        <v>0.6</v>
      </c>
      <c r="Q598" s="3">
        <f>5/16</f>
        <v>0.3125</v>
      </c>
      <c r="R598" s="10">
        <f t="shared" si="96"/>
        <v>-4.1999999999999993</v>
      </c>
      <c r="S598" s="13">
        <v>24.8</v>
      </c>
      <c r="T598" s="13">
        <v>29</v>
      </c>
      <c r="U598" s="10">
        <v>17</v>
      </c>
      <c r="V598" s="10">
        <v>35</v>
      </c>
      <c r="W598" s="10">
        <f t="shared" si="97"/>
        <v>-18</v>
      </c>
      <c r="X598" s="9" t="s">
        <v>1</v>
      </c>
      <c r="Y598" s="11">
        <f t="shared" si="98"/>
        <v>0</v>
      </c>
      <c r="Z598" s="14">
        <v>1</v>
      </c>
    </row>
    <row r="599" spans="1:26" x14ac:dyDescent="0.2">
      <c r="A599" s="12">
        <f t="shared" si="99"/>
        <v>2019</v>
      </c>
      <c r="B599" s="1" t="s">
        <v>48</v>
      </c>
      <c r="C599" s="1">
        <v>30</v>
      </c>
      <c r="D599" s="15">
        <v>419000000</v>
      </c>
      <c r="E599" s="15">
        <f>(292.7/255.7)*419000000</f>
        <v>479629644.11419636</v>
      </c>
      <c r="F599" s="10">
        <f t="shared" si="92"/>
        <v>56.7</v>
      </c>
      <c r="G599" s="5">
        <f>4845/16</f>
        <v>302.8125</v>
      </c>
      <c r="H599" s="4" t="s">
        <v>1</v>
      </c>
      <c r="I599" s="1">
        <f t="shared" si="93"/>
        <v>0</v>
      </c>
      <c r="J599" s="1" t="s">
        <v>2</v>
      </c>
      <c r="K599" s="1">
        <f t="shared" si="94"/>
        <v>1</v>
      </c>
      <c r="L599" s="1" t="s">
        <v>2</v>
      </c>
      <c r="M599" s="1">
        <f t="shared" si="95"/>
        <v>1</v>
      </c>
      <c r="N599" s="1" t="s">
        <v>2</v>
      </c>
      <c r="O599" s="8">
        <v>0.41499999999999998</v>
      </c>
      <c r="P599" s="7">
        <v>0.64800000000000002</v>
      </c>
      <c r="Q599" s="3">
        <f>7/16</f>
        <v>0.4375</v>
      </c>
      <c r="R599" s="10">
        <f t="shared" si="96"/>
        <v>0.5</v>
      </c>
      <c r="S599" s="13">
        <v>28.6</v>
      </c>
      <c r="T599" s="13">
        <v>28.1</v>
      </c>
      <c r="U599" s="10">
        <v>28</v>
      </c>
      <c r="V599" s="10">
        <v>41</v>
      </c>
      <c r="W599" s="10">
        <f t="shared" si="97"/>
        <v>-13</v>
      </c>
      <c r="X599" s="9" t="s">
        <v>1</v>
      </c>
      <c r="Y599" s="11">
        <f t="shared" si="98"/>
        <v>0</v>
      </c>
      <c r="Z599" s="14">
        <v>3</v>
      </c>
    </row>
    <row r="600" spans="1:26" x14ac:dyDescent="0.2">
      <c r="A600" s="12">
        <v>2021</v>
      </c>
      <c r="B600" s="1" t="s">
        <v>48</v>
      </c>
      <c r="C600" s="1">
        <v>30</v>
      </c>
      <c r="D600" s="15">
        <v>492000000</v>
      </c>
      <c r="E600" s="15">
        <f>(292.7/271)*492000000</f>
        <v>531396309.9630996</v>
      </c>
      <c r="F600" s="10">
        <f t="shared" si="92"/>
        <v>50.900000000000006</v>
      </c>
      <c r="G600" s="5">
        <f>5229/17</f>
        <v>307.58823529411762</v>
      </c>
      <c r="H600" s="4" t="s">
        <v>1</v>
      </c>
      <c r="I600" s="1">
        <f t="shared" si="93"/>
        <v>0</v>
      </c>
      <c r="J600" s="1" t="s">
        <v>2</v>
      </c>
      <c r="K600" s="1">
        <f t="shared" si="94"/>
        <v>1</v>
      </c>
      <c r="L600" s="1" t="s">
        <v>2</v>
      </c>
      <c r="M600" s="1">
        <f t="shared" si="95"/>
        <v>1</v>
      </c>
      <c r="N600" s="1" t="s">
        <v>2</v>
      </c>
      <c r="O600" s="8">
        <v>0.47099999999999997</v>
      </c>
      <c r="P600" s="7">
        <v>0.66300000000000003</v>
      </c>
      <c r="Q600" s="3">
        <f>13/17</f>
        <v>0.76470588235294112</v>
      </c>
      <c r="R600" s="10">
        <f t="shared" si="96"/>
        <v>9.3000000000000007</v>
      </c>
      <c r="S600" s="13">
        <v>30.1</v>
      </c>
      <c r="T600" s="13">
        <v>20.8</v>
      </c>
      <c r="U600" s="10">
        <v>29</v>
      </c>
      <c r="V600" s="10">
        <v>19</v>
      </c>
      <c r="W600" s="10">
        <f t="shared" si="97"/>
        <v>10</v>
      </c>
      <c r="X600" s="9" t="s">
        <v>2</v>
      </c>
      <c r="Y600" s="11">
        <f t="shared" si="98"/>
        <v>1</v>
      </c>
      <c r="Z600" s="14">
        <v>9</v>
      </c>
    </row>
    <row r="601" spans="1:26" x14ac:dyDescent="0.2">
      <c r="A601" s="12">
        <f>A600+1</f>
        <v>2022</v>
      </c>
      <c r="B601" s="1" t="s">
        <v>48</v>
      </c>
      <c r="C601" s="1">
        <v>30</v>
      </c>
      <c r="D601" s="15">
        <v>531000000</v>
      </c>
      <c r="E601" s="15">
        <f>(292.7/292.7)*531000000</f>
        <v>531000000</v>
      </c>
      <c r="F601" s="10">
        <f t="shared" si="92"/>
        <v>39.5</v>
      </c>
      <c r="G601" s="5">
        <f>4586/17</f>
        <v>269.76470588235293</v>
      </c>
      <c r="H601" s="4" t="s">
        <v>1</v>
      </c>
      <c r="I601" s="1">
        <f t="shared" si="93"/>
        <v>0</v>
      </c>
      <c r="J601" s="1" t="s">
        <v>2</v>
      </c>
      <c r="K601" s="1">
        <f t="shared" si="94"/>
        <v>1</v>
      </c>
      <c r="L601" s="1" t="s">
        <v>2</v>
      </c>
      <c r="M601" s="1">
        <f t="shared" si="95"/>
        <v>1</v>
      </c>
      <c r="N601" s="1" t="s">
        <v>2</v>
      </c>
      <c r="O601" s="8">
        <v>0.374</v>
      </c>
      <c r="P601" s="7">
        <v>0.52</v>
      </c>
      <c r="Q601" s="3">
        <f>8/17</f>
        <v>0.47058823529411764</v>
      </c>
      <c r="R601" s="10">
        <f t="shared" si="96"/>
        <v>-2.7000000000000028</v>
      </c>
      <c r="S601" s="13">
        <v>18.399999999999999</v>
      </c>
      <c r="T601" s="13">
        <v>21.1</v>
      </c>
      <c r="U601" s="10">
        <v>20</v>
      </c>
      <c r="V601" s="10">
        <v>22</v>
      </c>
      <c r="W601" s="10">
        <f t="shared" si="97"/>
        <v>-2</v>
      </c>
      <c r="X601" s="9" t="s">
        <v>2</v>
      </c>
      <c r="Y601" s="11">
        <f t="shared" si="98"/>
        <v>1</v>
      </c>
      <c r="Z601" s="14">
        <v>1</v>
      </c>
    </row>
    <row r="602" spans="1:26" x14ac:dyDescent="0.2">
      <c r="A602" s="12">
        <v>2002</v>
      </c>
      <c r="B602" s="1" t="s">
        <v>49</v>
      </c>
      <c r="C602" s="1">
        <v>31</v>
      </c>
      <c r="D602" s="15">
        <v>155000000</v>
      </c>
      <c r="E602" s="15">
        <f>(292.7/179.9)*155000000</f>
        <v>252187326.29238465</v>
      </c>
      <c r="F602" s="10">
        <f t="shared" si="92"/>
        <v>43.2</v>
      </c>
      <c r="G602" s="5">
        <f>3320/16</f>
        <v>207.5</v>
      </c>
      <c r="H602" s="4" t="s">
        <v>1</v>
      </c>
      <c r="I602" s="1">
        <f t="shared" si="93"/>
        <v>0</v>
      </c>
      <c r="J602" s="1" t="s">
        <v>1</v>
      </c>
      <c r="K602" s="1">
        <f t="shared" si="94"/>
        <v>0</v>
      </c>
      <c r="L602" s="1" t="s">
        <v>1</v>
      </c>
      <c r="M602" s="1">
        <f t="shared" si="95"/>
        <v>0</v>
      </c>
      <c r="N602" s="1" t="s">
        <v>1</v>
      </c>
      <c r="O602" s="8">
        <v>0.435</v>
      </c>
      <c r="P602" s="7">
        <v>0.58899999999999997</v>
      </c>
      <c r="Q602" s="3">
        <f>11/16</f>
        <v>0.6875</v>
      </c>
      <c r="R602" s="10">
        <f t="shared" si="96"/>
        <v>2.5999999999999979</v>
      </c>
      <c r="S602" s="13">
        <v>22.9</v>
      </c>
      <c r="T602" s="13">
        <v>20.3</v>
      </c>
      <c r="U602" s="10">
        <v>29</v>
      </c>
      <c r="V602" s="10">
        <v>25</v>
      </c>
      <c r="W602" s="10">
        <f t="shared" si="97"/>
        <v>4</v>
      </c>
      <c r="X602" s="9" t="s">
        <v>2</v>
      </c>
      <c r="Y602" s="11">
        <f t="shared" si="98"/>
        <v>1</v>
      </c>
      <c r="Z602" s="14">
        <v>1</v>
      </c>
    </row>
    <row r="603" spans="1:26" x14ac:dyDescent="0.2">
      <c r="A603" s="12">
        <f>A602+1</f>
        <v>2003</v>
      </c>
      <c r="B603" s="1" t="s">
        <v>49</v>
      </c>
      <c r="C603" s="1">
        <v>31</v>
      </c>
      <c r="D603" s="15">
        <v>164000000</v>
      </c>
      <c r="E603" s="15">
        <f>(292.7/184)*164000000</f>
        <v>260884782.60869566</v>
      </c>
      <c r="F603" s="10">
        <f t="shared" si="92"/>
        <v>47.5</v>
      </c>
      <c r="G603" s="5">
        <f>3878/16</f>
        <v>242.375</v>
      </c>
      <c r="H603" s="4" t="s">
        <v>1</v>
      </c>
      <c r="I603" s="1">
        <f t="shared" si="93"/>
        <v>0</v>
      </c>
      <c r="J603" s="1" t="s">
        <v>1</v>
      </c>
      <c r="K603" s="1">
        <f t="shared" si="94"/>
        <v>0</v>
      </c>
      <c r="L603" s="1" t="s">
        <v>1</v>
      </c>
      <c r="M603" s="1">
        <f t="shared" si="95"/>
        <v>0</v>
      </c>
      <c r="N603" s="1" t="s">
        <v>1</v>
      </c>
      <c r="O603" s="8">
        <v>0.40799999999999997</v>
      </c>
      <c r="P603" s="7">
        <v>0.53300000000000003</v>
      </c>
      <c r="Q603" s="3">
        <f>12/16</f>
        <v>0.75</v>
      </c>
      <c r="R603" s="10">
        <f t="shared" si="96"/>
        <v>6.8999999999999986</v>
      </c>
      <c r="S603" s="13">
        <v>27.2</v>
      </c>
      <c r="T603" s="13">
        <v>20.3</v>
      </c>
      <c r="U603" s="10">
        <v>34</v>
      </c>
      <c r="V603" s="10">
        <v>21</v>
      </c>
      <c r="W603" s="10">
        <f t="shared" si="97"/>
        <v>13</v>
      </c>
      <c r="X603" s="9" t="s">
        <v>2</v>
      </c>
      <c r="Y603" s="11">
        <f t="shared" si="98"/>
        <v>1</v>
      </c>
      <c r="Z603" s="14">
        <v>5</v>
      </c>
    </row>
    <row r="604" spans="1:26" x14ac:dyDescent="0.2">
      <c r="A604" s="12">
        <f>A603+1</f>
        <v>2004</v>
      </c>
      <c r="B604" s="1" t="s">
        <v>49</v>
      </c>
      <c r="C604" s="1">
        <v>31</v>
      </c>
      <c r="D604" s="15">
        <v>186000000</v>
      </c>
      <c r="E604" s="15">
        <f>(292.7/188.9)*186000000</f>
        <v>288206458.44362092</v>
      </c>
      <c r="F604" s="10">
        <f t="shared" si="92"/>
        <v>48.9</v>
      </c>
      <c r="G604" s="5">
        <f>3616/16</f>
        <v>226</v>
      </c>
      <c r="H604" s="4" t="s">
        <v>1</v>
      </c>
      <c r="I604" s="1">
        <f t="shared" si="93"/>
        <v>0</v>
      </c>
      <c r="J604" s="1" t="s">
        <v>1</v>
      </c>
      <c r="K604" s="1">
        <f t="shared" si="94"/>
        <v>0</v>
      </c>
      <c r="L604" s="1" t="s">
        <v>1</v>
      </c>
      <c r="M604" s="1">
        <f t="shared" si="95"/>
        <v>0</v>
      </c>
      <c r="N604" s="1" t="s">
        <v>1</v>
      </c>
      <c r="O604" s="8">
        <v>0.34100000000000003</v>
      </c>
      <c r="P604" s="7">
        <v>0.55600000000000005</v>
      </c>
      <c r="Q604" s="3">
        <f>5/16</f>
        <v>0.3125</v>
      </c>
      <c r="R604" s="10">
        <f t="shared" si="96"/>
        <v>-5.8999999999999986</v>
      </c>
      <c r="S604" s="13">
        <v>21.5</v>
      </c>
      <c r="T604" s="13">
        <v>27.4</v>
      </c>
      <c r="U604" s="10">
        <v>30</v>
      </c>
      <c r="V604" s="10">
        <v>31</v>
      </c>
      <c r="W604" s="10">
        <f t="shared" si="97"/>
        <v>-1</v>
      </c>
      <c r="X604" s="9" t="s">
        <v>1</v>
      </c>
      <c r="Y604" s="11">
        <f t="shared" si="98"/>
        <v>0</v>
      </c>
      <c r="Z604" s="14">
        <v>0</v>
      </c>
    </row>
    <row r="605" spans="1:26" x14ac:dyDescent="0.2">
      <c r="A605" s="12">
        <f>A604+1</f>
        <v>2005</v>
      </c>
      <c r="B605" s="1" t="s">
        <v>49</v>
      </c>
      <c r="C605" s="1">
        <v>31</v>
      </c>
      <c r="D605" s="15">
        <v>189000000</v>
      </c>
      <c r="E605" s="15">
        <f>(292.7/195.3)*189000000</f>
        <v>283258064.51612902</v>
      </c>
      <c r="F605" s="10">
        <f t="shared" si="92"/>
        <v>45</v>
      </c>
      <c r="G605" s="5">
        <f>3597/16</f>
        <v>224.8125</v>
      </c>
      <c r="H605" s="4" t="s">
        <v>1</v>
      </c>
      <c r="I605" s="1">
        <f t="shared" si="93"/>
        <v>0</v>
      </c>
      <c r="J605" s="1" t="s">
        <v>1</v>
      </c>
      <c r="K605" s="1">
        <f t="shared" si="94"/>
        <v>0</v>
      </c>
      <c r="L605" s="1" t="s">
        <v>1</v>
      </c>
      <c r="M605" s="1">
        <f t="shared" si="95"/>
        <v>0</v>
      </c>
      <c r="N605" s="1" t="s">
        <v>1</v>
      </c>
      <c r="O605" s="8">
        <v>0.34399999999999997</v>
      </c>
      <c r="P605" s="7">
        <v>0.47799999999999998</v>
      </c>
      <c r="Q605" s="3">
        <f>4/16</f>
        <v>0.25</v>
      </c>
      <c r="R605" s="10">
        <f t="shared" si="96"/>
        <v>-7.6000000000000014</v>
      </c>
      <c r="S605" s="13">
        <v>18.7</v>
      </c>
      <c r="T605" s="13">
        <v>26.3</v>
      </c>
      <c r="U605" s="10">
        <v>20</v>
      </c>
      <c r="V605" s="10">
        <v>26</v>
      </c>
      <c r="W605" s="10">
        <f t="shared" si="97"/>
        <v>-6</v>
      </c>
      <c r="X605" s="9" t="s">
        <v>1</v>
      </c>
      <c r="Y605" s="11">
        <f t="shared" si="98"/>
        <v>0</v>
      </c>
      <c r="Z605" s="14">
        <v>2</v>
      </c>
    </row>
    <row r="606" spans="1:26" x14ac:dyDescent="0.2">
      <c r="A606" s="12">
        <f>A605+1</f>
        <v>2006</v>
      </c>
      <c r="B606" s="1" t="s">
        <v>49</v>
      </c>
      <c r="C606" s="1">
        <v>31</v>
      </c>
      <c r="D606" s="15">
        <v>196000000</v>
      </c>
      <c r="E606" s="15">
        <f>(292.7/201.6)*196000000</f>
        <v>284569444.44444448</v>
      </c>
      <c r="F606" s="10">
        <f t="shared" si="92"/>
        <v>45.3</v>
      </c>
      <c r="G606" s="5">
        <f>2596/16</f>
        <v>162.25</v>
      </c>
      <c r="H606" s="4" t="s">
        <v>1</v>
      </c>
      <c r="I606" s="1">
        <f t="shared" si="93"/>
        <v>0</v>
      </c>
      <c r="J606" s="1" t="s">
        <v>1</v>
      </c>
      <c r="K606" s="1">
        <f t="shared" si="94"/>
        <v>0</v>
      </c>
      <c r="L606" s="1" t="s">
        <v>1</v>
      </c>
      <c r="M606" s="1">
        <f t="shared" si="95"/>
        <v>0</v>
      </c>
      <c r="N606" s="1" t="s">
        <v>1</v>
      </c>
      <c r="O606" s="8">
        <v>0.32700000000000001</v>
      </c>
      <c r="P606" s="7">
        <v>0.44700000000000001</v>
      </c>
      <c r="Q606" s="3">
        <f>8/16</f>
        <v>0.5</v>
      </c>
      <c r="R606" s="10">
        <f t="shared" si="96"/>
        <v>-4.6999999999999993</v>
      </c>
      <c r="S606" s="13">
        <v>20.3</v>
      </c>
      <c r="T606" s="13">
        <v>25</v>
      </c>
      <c r="U606" s="10">
        <v>28</v>
      </c>
      <c r="V606" s="10">
        <v>26</v>
      </c>
      <c r="W606" s="10">
        <f t="shared" si="97"/>
        <v>2</v>
      </c>
      <c r="X606" s="9" t="s">
        <v>1</v>
      </c>
      <c r="Y606" s="11">
        <f t="shared" si="98"/>
        <v>0</v>
      </c>
      <c r="Z606" s="14">
        <v>1</v>
      </c>
    </row>
    <row r="607" spans="1:26" x14ac:dyDescent="0.2">
      <c r="A607" s="12">
        <f>A606+1</f>
        <v>2007</v>
      </c>
      <c r="B607" s="1" t="s">
        <v>49</v>
      </c>
      <c r="C607" s="1">
        <v>31</v>
      </c>
      <c r="D607" s="15">
        <v>216000000</v>
      </c>
      <c r="E607" s="15">
        <f>(292.7/207.3)*216000000</f>
        <v>304984081.04196811</v>
      </c>
      <c r="F607" s="10">
        <f t="shared" si="92"/>
        <v>37.400000000000006</v>
      </c>
      <c r="G607" s="5">
        <f>2878/16</f>
        <v>179.875</v>
      </c>
      <c r="H607" s="4" t="s">
        <v>1</v>
      </c>
      <c r="I607" s="1">
        <f t="shared" si="93"/>
        <v>0</v>
      </c>
      <c r="J607" s="1" t="s">
        <v>1</v>
      </c>
      <c r="K607" s="1">
        <f t="shared" si="94"/>
        <v>0</v>
      </c>
      <c r="L607" s="1" t="s">
        <v>1</v>
      </c>
      <c r="M607" s="1">
        <f t="shared" si="95"/>
        <v>0</v>
      </c>
      <c r="N607" s="1" t="s">
        <v>1</v>
      </c>
      <c r="O607" s="8">
        <v>0.41</v>
      </c>
      <c r="P607" s="7">
        <v>0.36399999999999999</v>
      </c>
      <c r="Q607" s="3">
        <f>10/16</f>
        <v>0.625</v>
      </c>
      <c r="R607" s="10">
        <f t="shared" si="96"/>
        <v>0.19999999999999929</v>
      </c>
      <c r="S607" s="13">
        <v>18.8</v>
      </c>
      <c r="T607" s="13">
        <v>18.600000000000001</v>
      </c>
      <c r="U607" s="10">
        <v>34</v>
      </c>
      <c r="V607" s="10">
        <v>34</v>
      </c>
      <c r="W607" s="10">
        <f t="shared" si="97"/>
        <v>0</v>
      </c>
      <c r="X607" s="9" t="s">
        <v>2</v>
      </c>
      <c r="Y607" s="11">
        <f t="shared" si="98"/>
        <v>1</v>
      </c>
      <c r="Z607" s="14">
        <v>3</v>
      </c>
    </row>
    <row r="608" spans="1:26" x14ac:dyDescent="0.2">
      <c r="A608" s="12">
        <v>2008</v>
      </c>
      <c r="B608" s="1" t="s">
        <v>49</v>
      </c>
      <c r="C608" s="1">
        <v>31</v>
      </c>
      <c r="D608" s="15">
        <v>232000000</v>
      </c>
      <c r="E608" s="15">
        <f>(292.7/215.3)*232000000</f>
        <v>315403622.85183465</v>
      </c>
      <c r="F608" s="10">
        <f t="shared" si="92"/>
        <v>38</v>
      </c>
      <c r="G608" s="5">
        <f>2819/16</f>
        <v>176.1875</v>
      </c>
      <c r="H608" s="4" t="s">
        <v>1</v>
      </c>
      <c r="I608" s="1">
        <f t="shared" si="93"/>
        <v>0</v>
      </c>
      <c r="J608" s="1" t="s">
        <v>1</v>
      </c>
      <c r="K608" s="1">
        <f t="shared" si="94"/>
        <v>0</v>
      </c>
      <c r="L608" s="1" t="s">
        <v>1</v>
      </c>
      <c r="M608" s="1">
        <f t="shared" si="95"/>
        <v>0</v>
      </c>
      <c r="N608" s="1" t="s">
        <v>1</v>
      </c>
      <c r="O608" s="8">
        <v>0.36099999999999999</v>
      </c>
      <c r="P608" s="7">
        <v>0.622</v>
      </c>
      <c r="Q608" s="3">
        <f>13/16</f>
        <v>0.8125</v>
      </c>
      <c r="R608" s="10">
        <f t="shared" si="96"/>
        <v>8.7999999999999989</v>
      </c>
      <c r="S608" s="13">
        <v>23.4</v>
      </c>
      <c r="T608" s="13">
        <v>14.6</v>
      </c>
      <c r="U608" s="10">
        <v>31</v>
      </c>
      <c r="V608" s="10">
        <v>17</v>
      </c>
      <c r="W608" s="10">
        <f t="shared" si="97"/>
        <v>14</v>
      </c>
      <c r="X608" s="9" t="s">
        <v>2</v>
      </c>
      <c r="Y608" s="11">
        <f t="shared" si="98"/>
        <v>1</v>
      </c>
      <c r="Z608" s="14">
        <v>8</v>
      </c>
    </row>
    <row r="609" spans="1:26" x14ac:dyDescent="0.2">
      <c r="A609" s="12">
        <f t="shared" ref="A609:A619" si="100">A608+1</f>
        <v>2009</v>
      </c>
      <c r="B609" s="1" t="s">
        <v>49</v>
      </c>
      <c r="C609" s="1">
        <v>31</v>
      </c>
      <c r="D609" s="15">
        <v>242000000</v>
      </c>
      <c r="E609" s="15">
        <f>(292.7/214.5)*242000000</f>
        <v>330225641.02564102</v>
      </c>
      <c r="F609" s="10">
        <f t="shared" si="92"/>
        <v>47.2</v>
      </c>
      <c r="G609" s="5">
        <f>3031/16</f>
        <v>189.4375</v>
      </c>
      <c r="H609" s="4" t="s">
        <v>2</v>
      </c>
      <c r="I609" s="1">
        <f t="shared" si="93"/>
        <v>1</v>
      </c>
      <c r="J609" s="1" t="s">
        <v>1</v>
      </c>
      <c r="K609" s="1">
        <f t="shared" si="94"/>
        <v>0</v>
      </c>
      <c r="L609" s="1" t="s">
        <v>2</v>
      </c>
      <c r="M609" s="1">
        <f t="shared" si="95"/>
        <v>1</v>
      </c>
      <c r="N609" s="1" t="s">
        <v>1</v>
      </c>
      <c r="O609" s="8">
        <v>0.41599999999999998</v>
      </c>
      <c r="P609" s="7">
        <v>0.56399999999999995</v>
      </c>
      <c r="Q609" s="3">
        <f>8/16</f>
        <v>0.5</v>
      </c>
      <c r="R609" s="10">
        <f t="shared" si="96"/>
        <v>-3</v>
      </c>
      <c r="S609" s="13">
        <v>22.1</v>
      </c>
      <c r="T609" s="13">
        <v>25.1</v>
      </c>
      <c r="U609" s="10">
        <v>7</v>
      </c>
      <c r="V609" s="10">
        <v>16</v>
      </c>
      <c r="W609" s="10">
        <f t="shared" si="97"/>
        <v>-9</v>
      </c>
      <c r="X609" s="9" t="s">
        <v>1</v>
      </c>
      <c r="Y609" s="11">
        <f t="shared" si="98"/>
        <v>0</v>
      </c>
      <c r="Z609" s="14">
        <v>4</v>
      </c>
    </row>
    <row r="610" spans="1:26" x14ac:dyDescent="0.2">
      <c r="A610" s="12">
        <f t="shared" si="100"/>
        <v>2010</v>
      </c>
      <c r="B610" s="1" t="s">
        <v>49</v>
      </c>
      <c r="C610" s="1">
        <v>31</v>
      </c>
      <c r="D610" s="15">
        <v>250000000</v>
      </c>
      <c r="E610" s="15">
        <f>(292.7/218.1)*250000000</f>
        <v>335511233.37918389</v>
      </c>
      <c r="F610" s="10">
        <f t="shared" si="92"/>
        <v>43.5</v>
      </c>
      <c r="G610" s="5">
        <f>3107/16</f>
        <v>194.1875</v>
      </c>
      <c r="H610" s="4" t="s">
        <v>2</v>
      </c>
      <c r="I610" s="1">
        <f t="shared" si="93"/>
        <v>1</v>
      </c>
      <c r="J610" s="1" t="s">
        <v>1</v>
      </c>
      <c r="K610" s="1">
        <f t="shared" si="94"/>
        <v>0</v>
      </c>
      <c r="L610" s="1" t="s">
        <v>2</v>
      </c>
      <c r="M610" s="1">
        <f t="shared" si="95"/>
        <v>1</v>
      </c>
      <c r="N610" s="1" t="s">
        <v>1</v>
      </c>
      <c r="O610" s="8">
        <v>0.34799999999999998</v>
      </c>
      <c r="P610" s="7">
        <v>0.58099999999999996</v>
      </c>
      <c r="Q610" s="3">
        <f>6/16</f>
        <v>0.375</v>
      </c>
      <c r="R610" s="10">
        <f t="shared" si="96"/>
        <v>1.1000000000000014</v>
      </c>
      <c r="S610" s="13">
        <v>22.3</v>
      </c>
      <c r="T610" s="13">
        <v>21.2</v>
      </c>
      <c r="U610" s="10">
        <v>25</v>
      </c>
      <c r="V610" s="10">
        <v>29</v>
      </c>
      <c r="W610" s="10">
        <f t="shared" si="97"/>
        <v>-4</v>
      </c>
      <c r="X610" s="9" t="s">
        <v>1</v>
      </c>
      <c r="Y610" s="11">
        <f t="shared" si="98"/>
        <v>0</v>
      </c>
      <c r="Z610" s="14">
        <v>4</v>
      </c>
    </row>
    <row r="611" spans="1:26" x14ac:dyDescent="0.2">
      <c r="A611" s="12">
        <f t="shared" si="100"/>
        <v>2011</v>
      </c>
      <c r="B611" s="1" t="s">
        <v>49</v>
      </c>
      <c r="C611" s="1">
        <v>31</v>
      </c>
      <c r="D611" s="15">
        <v>262000000</v>
      </c>
      <c r="E611" s="15">
        <f>(292.7/224.9)*262000000</f>
        <v>340984437.52779013</v>
      </c>
      <c r="F611" s="10">
        <f t="shared" si="92"/>
        <v>40.1</v>
      </c>
      <c r="G611" s="5">
        <f>3923/16</f>
        <v>245.1875</v>
      </c>
      <c r="H611" s="4" t="s">
        <v>2</v>
      </c>
      <c r="I611" s="1">
        <f t="shared" si="93"/>
        <v>1</v>
      </c>
      <c r="J611" s="1" t="s">
        <v>1</v>
      </c>
      <c r="K611" s="1">
        <f t="shared" si="94"/>
        <v>0</v>
      </c>
      <c r="L611" s="1" t="s">
        <v>2</v>
      </c>
      <c r="M611" s="1">
        <f t="shared" si="95"/>
        <v>1</v>
      </c>
      <c r="N611" s="1" t="s">
        <v>1</v>
      </c>
      <c r="O611" s="8">
        <v>0.36699999999999999</v>
      </c>
      <c r="P611" s="7">
        <v>0.59499999999999997</v>
      </c>
      <c r="Q611" s="3">
        <f>9/16</f>
        <v>0.5625</v>
      </c>
      <c r="R611" s="10">
        <f t="shared" si="96"/>
        <v>0.5</v>
      </c>
      <c r="S611" s="13">
        <v>20.3</v>
      </c>
      <c r="T611" s="13">
        <v>19.8</v>
      </c>
      <c r="U611" s="10">
        <v>23</v>
      </c>
      <c r="V611" s="10">
        <v>22</v>
      </c>
      <c r="W611" s="10">
        <f t="shared" si="97"/>
        <v>1</v>
      </c>
      <c r="X611" s="9" t="s">
        <v>1</v>
      </c>
      <c r="Y611" s="11">
        <f t="shared" si="98"/>
        <v>0</v>
      </c>
      <c r="Z611" s="14">
        <v>0</v>
      </c>
    </row>
    <row r="612" spans="1:26" x14ac:dyDescent="0.2">
      <c r="A612" s="12">
        <f t="shared" si="100"/>
        <v>2012</v>
      </c>
      <c r="B612" s="1" t="s">
        <v>49</v>
      </c>
      <c r="C612" s="1">
        <v>31</v>
      </c>
      <c r="D612" s="15">
        <v>270000000</v>
      </c>
      <c r="E612" s="15">
        <f>(292.7/229.6)*270000000</f>
        <v>344202961.67247385</v>
      </c>
      <c r="F612" s="10">
        <f t="shared" si="92"/>
        <v>50</v>
      </c>
      <c r="G612" s="5">
        <f>3323/16</f>
        <v>207.6875</v>
      </c>
      <c r="H612" s="4" t="s">
        <v>2</v>
      </c>
      <c r="I612" s="1">
        <f t="shared" si="93"/>
        <v>1</v>
      </c>
      <c r="J612" s="1" t="s">
        <v>1</v>
      </c>
      <c r="K612" s="1">
        <f t="shared" si="94"/>
        <v>0</v>
      </c>
      <c r="L612" s="1" t="s">
        <v>2</v>
      </c>
      <c r="M612" s="1">
        <f t="shared" si="95"/>
        <v>1</v>
      </c>
      <c r="N612" s="1" t="s">
        <v>1</v>
      </c>
      <c r="O612" s="8">
        <v>0.38200000000000001</v>
      </c>
      <c r="P612" s="7">
        <v>0.5</v>
      </c>
      <c r="Q612" s="3">
        <f>6/16</f>
        <v>0.375</v>
      </c>
      <c r="R612" s="10">
        <f t="shared" si="96"/>
        <v>-8.7999999999999972</v>
      </c>
      <c r="S612" s="13">
        <v>20.6</v>
      </c>
      <c r="T612" s="13">
        <v>29.4</v>
      </c>
      <c r="U612" s="10">
        <v>24</v>
      </c>
      <c r="V612" s="10">
        <v>28</v>
      </c>
      <c r="W612" s="10">
        <f t="shared" si="97"/>
        <v>-4</v>
      </c>
      <c r="X612" s="9" t="s">
        <v>1</v>
      </c>
      <c r="Y612" s="11">
        <f t="shared" si="98"/>
        <v>0</v>
      </c>
      <c r="Z612" s="14">
        <v>0</v>
      </c>
    </row>
    <row r="613" spans="1:26" x14ac:dyDescent="0.2">
      <c r="A613" s="12">
        <f t="shared" si="100"/>
        <v>2013</v>
      </c>
      <c r="B613" s="1" t="s">
        <v>49</v>
      </c>
      <c r="C613" s="1">
        <v>31</v>
      </c>
      <c r="D613" s="15">
        <v>278000000</v>
      </c>
      <c r="E613" s="15">
        <f>(292.7/233)*278000000</f>
        <v>349230042.91845495</v>
      </c>
      <c r="F613" s="10">
        <f t="shared" si="92"/>
        <v>46.400000000000006</v>
      </c>
      <c r="G613" s="5">
        <f>3496/16</f>
        <v>218.5</v>
      </c>
      <c r="H613" s="4" t="s">
        <v>2</v>
      </c>
      <c r="I613" s="1">
        <f t="shared" si="93"/>
        <v>1</v>
      </c>
      <c r="J613" s="1" t="s">
        <v>1</v>
      </c>
      <c r="K613" s="1">
        <f t="shared" si="94"/>
        <v>0</v>
      </c>
      <c r="L613" s="1" t="s">
        <v>2</v>
      </c>
      <c r="M613" s="1">
        <f t="shared" si="95"/>
        <v>1</v>
      </c>
      <c r="N613" s="1" t="s">
        <v>1</v>
      </c>
      <c r="O613" s="8">
        <v>0.41399999999999998</v>
      </c>
      <c r="P613" s="7">
        <v>0.57099999999999995</v>
      </c>
      <c r="Q613" s="3">
        <f>7/16</f>
        <v>0.4375</v>
      </c>
      <c r="R613" s="10">
        <f t="shared" si="96"/>
        <v>-1.1999999999999993</v>
      </c>
      <c r="S613" s="13">
        <v>22.6</v>
      </c>
      <c r="T613" s="13">
        <v>23.8</v>
      </c>
      <c r="U613" s="10">
        <v>25</v>
      </c>
      <c r="V613" s="10">
        <v>25</v>
      </c>
      <c r="W613" s="10">
        <f t="shared" si="97"/>
        <v>0</v>
      </c>
      <c r="X613" s="9" t="s">
        <v>1</v>
      </c>
      <c r="Y613" s="11">
        <f t="shared" si="98"/>
        <v>0</v>
      </c>
      <c r="Z613" s="14">
        <v>1</v>
      </c>
    </row>
    <row r="614" spans="1:26" x14ac:dyDescent="0.2">
      <c r="A614" s="12">
        <f t="shared" si="100"/>
        <v>2014</v>
      </c>
      <c r="B614" s="1" t="s">
        <v>49</v>
      </c>
      <c r="C614" s="1">
        <v>31</v>
      </c>
      <c r="D614" s="15">
        <v>318000000</v>
      </c>
      <c r="E614" s="15">
        <f>(292.7/236.7)*318000000</f>
        <v>393234474.01774395</v>
      </c>
      <c r="F614" s="10">
        <f t="shared" si="92"/>
        <v>43.3</v>
      </c>
      <c r="G614" s="5">
        <f>3412/16</f>
        <v>213.25</v>
      </c>
      <c r="H614" s="4" t="s">
        <v>2</v>
      </c>
      <c r="I614" s="1">
        <f t="shared" si="93"/>
        <v>1</v>
      </c>
      <c r="J614" s="1" t="s">
        <v>1</v>
      </c>
      <c r="K614" s="1">
        <f t="shared" si="94"/>
        <v>0</v>
      </c>
      <c r="L614" s="1" t="s">
        <v>2</v>
      </c>
      <c r="M614" s="1">
        <f t="shared" si="95"/>
        <v>1</v>
      </c>
      <c r="N614" s="1" t="s">
        <v>1</v>
      </c>
      <c r="O614" s="8">
        <v>0.30099999999999999</v>
      </c>
      <c r="P614" s="7">
        <v>0.48699999999999999</v>
      </c>
      <c r="Q614" s="3">
        <f>2/16</f>
        <v>0.125</v>
      </c>
      <c r="R614" s="10">
        <f t="shared" si="96"/>
        <v>-11.499999999999998</v>
      </c>
      <c r="S614" s="13">
        <v>15.9</v>
      </c>
      <c r="T614" s="13">
        <v>27.4</v>
      </c>
      <c r="U614" s="10">
        <v>16</v>
      </c>
      <c r="V614" s="10">
        <v>26</v>
      </c>
      <c r="W614" s="10">
        <f t="shared" si="97"/>
        <v>-10</v>
      </c>
      <c r="X614" s="9" t="s">
        <v>1</v>
      </c>
      <c r="Y614" s="11">
        <f t="shared" si="98"/>
        <v>0</v>
      </c>
      <c r="Z614" s="14">
        <v>0</v>
      </c>
    </row>
    <row r="615" spans="1:26" x14ac:dyDescent="0.2">
      <c r="A615" s="12">
        <f t="shared" si="100"/>
        <v>2015</v>
      </c>
      <c r="B615" s="1" t="s">
        <v>49</v>
      </c>
      <c r="C615" s="1">
        <v>31</v>
      </c>
      <c r="D615" s="15">
        <v>342000000</v>
      </c>
      <c r="E615" s="15">
        <f>(292.7/237)*342000000</f>
        <v>422377215.1898734</v>
      </c>
      <c r="F615" s="10">
        <f t="shared" si="92"/>
        <v>45.099999999999994</v>
      </c>
      <c r="G615" s="5">
        <f>3503/16</f>
        <v>218.9375</v>
      </c>
      <c r="H615" s="4" t="s">
        <v>2</v>
      </c>
      <c r="I615" s="1">
        <f t="shared" si="93"/>
        <v>1</v>
      </c>
      <c r="J615" s="1" t="s">
        <v>1</v>
      </c>
      <c r="K615" s="1">
        <f t="shared" si="94"/>
        <v>0</v>
      </c>
      <c r="L615" s="1" t="s">
        <v>2</v>
      </c>
      <c r="M615" s="1">
        <f t="shared" si="95"/>
        <v>1</v>
      </c>
      <c r="N615" s="1" t="s">
        <v>2</v>
      </c>
      <c r="O615" s="8">
        <v>0.318</v>
      </c>
      <c r="P615" s="7">
        <v>0.65</v>
      </c>
      <c r="Q615" s="3">
        <f>3/16</f>
        <v>0.1875</v>
      </c>
      <c r="R615" s="10">
        <f t="shared" si="96"/>
        <v>-7.6999999999999993</v>
      </c>
      <c r="S615" s="13">
        <v>18.7</v>
      </c>
      <c r="T615" s="13">
        <v>26.4</v>
      </c>
      <c r="U615" s="10">
        <v>19</v>
      </c>
      <c r="V615" s="10">
        <v>33</v>
      </c>
      <c r="W615" s="10">
        <f t="shared" si="97"/>
        <v>-14</v>
      </c>
      <c r="X615" s="9" t="s">
        <v>1</v>
      </c>
      <c r="Y615" s="11">
        <f t="shared" si="98"/>
        <v>0</v>
      </c>
      <c r="Z615" s="14">
        <v>2</v>
      </c>
    </row>
    <row r="616" spans="1:26" x14ac:dyDescent="0.2">
      <c r="A616" s="12">
        <f t="shared" si="100"/>
        <v>2016</v>
      </c>
      <c r="B616" s="1" t="s">
        <v>49</v>
      </c>
      <c r="C616" s="1">
        <v>31</v>
      </c>
      <c r="D616" s="15">
        <v>366000000</v>
      </c>
      <c r="E616" s="15">
        <f>(292.7/240)*366000000</f>
        <v>446367499.99999994</v>
      </c>
      <c r="F616" s="10">
        <f t="shared" si="92"/>
        <v>47.400000000000006</v>
      </c>
      <c r="G616" s="5">
        <f>3541/16</f>
        <v>221.3125</v>
      </c>
      <c r="H616" s="4" t="s">
        <v>2</v>
      </c>
      <c r="I616" s="1">
        <f t="shared" si="93"/>
        <v>1</v>
      </c>
      <c r="J616" s="1" t="s">
        <v>1</v>
      </c>
      <c r="K616" s="1">
        <f t="shared" si="94"/>
        <v>0</v>
      </c>
      <c r="L616" s="1" t="s">
        <v>2</v>
      </c>
      <c r="M616" s="1">
        <f t="shared" si="95"/>
        <v>1</v>
      </c>
      <c r="N616" s="1" t="s">
        <v>2</v>
      </c>
      <c r="O616" s="8">
        <v>0.46100000000000002</v>
      </c>
      <c r="P616" s="7">
        <v>0.72</v>
      </c>
      <c r="Q616" s="3">
        <f>9/16</f>
        <v>0.5625</v>
      </c>
      <c r="R616" s="10">
        <f t="shared" si="96"/>
        <v>0.19999999999999929</v>
      </c>
      <c r="S616" s="13">
        <v>23.8</v>
      </c>
      <c r="T616" s="13">
        <v>23.6</v>
      </c>
      <c r="U616" s="10">
        <v>18</v>
      </c>
      <c r="V616" s="10">
        <v>18</v>
      </c>
      <c r="W616" s="10">
        <f t="shared" si="97"/>
        <v>0</v>
      </c>
      <c r="X616" s="9" t="s">
        <v>1</v>
      </c>
      <c r="Y616" s="11">
        <f t="shared" si="98"/>
        <v>0</v>
      </c>
      <c r="Z616" s="14">
        <v>5</v>
      </c>
    </row>
    <row r="617" spans="1:26" x14ac:dyDescent="0.2">
      <c r="A617" s="12">
        <f t="shared" si="100"/>
        <v>2017</v>
      </c>
      <c r="B617" s="1" t="s">
        <v>49</v>
      </c>
      <c r="C617" s="1">
        <v>31</v>
      </c>
      <c r="D617" s="15">
        <v>371000000</v>
      </c>
      <c r="E617" s="15">
        <f>(292.7/245.1)*371000000</f>
        <v>443050591.59526724</v>
      </c>
      <c r="F617" s="10">
        <f t="shared" si="92"/>
        <v>43.2</v>
      </c>
      <c r="G617" s="5">
        <f>3191/16</f>
        <v>199.4375</v>
      </c>
      <c r="H617" s="4" t="s">
        <v>2</v>
      </c>
      <c r="I617" s="1">
        <f t="shared" si="93"/>
        <v>1</v>
      </c>
      <c r="J617" s="1" t="s">
        <v>1</v>
      </c>
      <c r="K617" s="1">
        <f t="shared" si="94"/>
        <v>0</v>
      </c>
      <c r="L617" s="1" t="s">
        <v>2</v>
      </c>
      <c r="M617" s="1">
        <f t="shared" si="95"/>
        <v>1</v>
      </c>
      <c r="N617" s="1" t="s">
        <v>2</v>
      </c>
      <c r="O617" s="8">
        <v>0.35099999999999998</v>
      </c>
      <c r="P617" s="7">
        <v>0.52500000000000002</v>
      </c>
      <c r="Q617" s="3">
        <f>9/16</f>
        <v>0.5625</v>
      </c>
      <c r="R617" s="10">
        <f t="shared" si="96"/>
        <v>-1.4000000000000021</v>
      </c>
      <c r="S617" s="13">
        <v>20.9</v>
      </c>
      <c r="T617" s="13">
        <v>22.3</v>
      </c>
      <c r="U617" s="10">
        <v>21</v>
      </c>
      <c r="V617" s="10">
        <v>25</v>
      </c>
      <c r="W617" s="10">
        <f t="shared" si="97"/>
        <v>-4</v>
      </c>
      <c r="X617" s="9" t="s">
        <v>2</v>
      </c>
      <c r="Y617" s="11">
        <f t="shared" si="98"/>
        <v>1</v>
      </c>
      <c r="Z617" s="14">
        <v>6</v>
      </c>
    </row>
    <row r="618" spans="1:26" x14ac:dyDescent="0.2">
      <c r="A618" s="12">
        <f t="shared" si="100"/>
        <v>2018</v>
      </c>
      <c r="B618" s="1" t="s">
        <v>49</v>
      </c>
      <c r="C618" s="1">
        <v>31</v>
      </c>
      <c r="D618" s="15">
        <v>394000000</v>
      </c>
      <c r="E618" s="15">
        <f>(292.7/251.1)*394000000</f>
        <v>459274392.67224216</v>
      </c>
      <c r="F618" s="10">
        <f t="shared" si="92"/>
        <v>38.299999999999997</v>
      </c>
      <c r="G618" s="5">
        <f>2975/16</f>
        <v>185.9375</v>
      </c>
      <c r="H618" s="4" t="s">
        <v>1</v>
      </c>
      <c r="I618" s="1">
        <f t="shared" si="93"/>
        <v>0</v>
      </c>
      <c r="J618" s="1" t="s">
        <v>2</v>
      </c>
      <c r="K618" s="1">
        <f t="shared" si="94"/>
        <v>1</v>
      </c>
      <c r="L618" s="1" t="s">
        <v>2</v>
      </c>
      <c r="M618" s="1">
        <f t="shared" si="95"/>
        <v>1</v>
      </c>
      <c r="N618" s="1" t="s">
        <v>2</v>
      </c>
      <c r="O618" s="8">
        <v>0.4</v>
      </c>
      <c r="P618" s="7">
        <v>0.53200000000000003</v>
      </c>
      <c r="Q618" s="3">
        <f>9/16</f>
        <v>0.5625</v>
      </c>
      <c r="R618" s="10">
        <f t="shared" si="96"/>
        <v>0.5</v>
      </c>
      <c r="S618" s="13">
        <v>19.399999999999999</v>
      </c>
      <c r="T618" s="13">
        <v>18.899999999999999</v>
      </c>
      <c r="U618" s="10">
        <v>17</v>
      </c>
      <c r="V618" s="10">
        <v>18</v>
      </c>
      <c r="W618" s="10">
        <f t="shared" si="97"/>
        <v>-1</v>
      </c>
      <c r="X618" s="9" t="s">
        <v>1</v>
      </c>
      <c r="Y618" s="11">
        <f t="shared" si="98"/>
        <v>0</v>
      </c>
      <c r="Z618" s="14">
        <v>3</v>
      </c>
    </row>
    <row r="619" spans="1:26" x14ac:dyDescent="0.2">
      <c r="A619" s="12">
        <f t="shared" si="100"/>
        <v>2019</v>
      </c>
      <c r="B619" s="1" t="s">
        <v>49</v>
      </c>
      <c r="C619" s="1">
        <v>31</v>
      </c>
      <c r="D619" s="15">
        <v>422000000</v>
      </c>
      <c r="E619" s="15">
        <f>(292.7/255.7)*422000000</f>
        <v>483063746.57802117</v>
      </c>
      <c r="F619" s="10">
        <f t="shared" si="92"/>
        <v>45.8</v>
      </c>
      <c r="G619" s="5">
        <f>3582/16</f>
        <v>223.875</v>
      </c>
      <c r="H619" s="4" t="s">
        <v>1</v>
      </c>
      <c r="I619" s="1">
        <f t="shared" si="93"/>
        <v>0</v>
      </c>
      <c r="J619" s="1" t="s">
        <v>2</v>
      </c>
      <c r="K619" s="1">
        <f t="shared" si="94"/>
        <v>1</v>
      </c>
      <c r="L619" s="1" t="s">
        <v>2</v>
      </c>
      <c r="M619" s="1">
        <f t="shared" si="95"/>
        <v>1</v>
      </c>
      <c r="N619" s="1" t="s">
        <v>2</v>
      </c>
      <c r="O619" s="8">
        <v>0.378</v>
      </c>
      <c r="P619" s="7">
        <v>0.75600000000000001</v>
      </c>
      <c r="Q619" s="3">
        <f>9/16</f>
        <v>0.5625</v>
      </c>
      <c r="R619" s="10">
        <f t="shared" si="96"/>
        <v>4.4000000000000021</v>
      </c>
      <c r="S619" s="13">
        <v>25.1</v>
      </c>
      <c r="T619" s="13">
        <v>20.7</v>
      </c>
      <c r="U619" s="10">
        <v>23</v>
      </c>
      <c r="V619" s="10">
        <v>17</v>
      </c>
      <c r="W619" s="10">
        <f t="shared" si="97"/>
        <v>6</v>
      </c>
      <c r="X619" s="9" t="s">
        <v>2</v>
      </c>
      <c r="Y619" s="11">
        <f t="shared" si="98"/>
        <v>1</v>
      </c>
      <c r="Z619" s="14">
        <v>4</v>
      </c>
    </row>
    <row r="620" spans="1:26" x14ac:dyDescent="0.2">
      <c r="A620" s="12">
        <v>2021</v>
      </c>
      <c r="B620" s="1" t="s">
        <v>49</v>
      </c>
      <c r="C620" s="1">
        <v>31</v>
      </c>
      <c r="D620" s="15">
        <v>481000000</v>
      </c>
      <c r="E620" s="15">
        <f>(292.7/271)*481000000</f>
        <v>519515498.15498149</v>
      </c>
      <c r="F620" s="10">
        <f t="shared" si="92"/>
        <v>45.400000000000006</v>
      </c>
      <c r="G620" s="5">
        <f>3418/17</f>
        <v>201.05882352941177</v>
      </c>
      <c r="H620" s="4" t="s">
        <v>1</v>
      </c>
      <c r="I620" s="1">
        <f t="shared" si="93"/>
        <v>0</v>
      </c>
      <c r="J620" s="1" t="s">
        <v>2</v>
      </c>
      <c r="K620" s="1">
        <f t="shared" si="94"/>
        <v>1</v>
      </c>
      <c r="L620" s="1" t="s">
        <v>2</v>
      </c>
      <c r="M620" s="1">
        <f t="shared" si="95"/>
        <v>1</v>
      </c>
      <c r="N620" s="1" t="s">
        <v>2</v>
      </c>
      <c r="O620" s="8">
        <v>0.436</v>
      </c>
      <c r="P620" s="7">
        <v>0.63900000000000001</v>
      </c>
      <c r="Q620" s="3">
        <f>12/17</f>
        <v>0.70588235294117652</v>
      </c>
      <c r="R620" s="10">
        <f t="shared" si="96"/>
        <v>3.8000000000000007</v>
      </c>
      <c r="S620" s="13">
        <v>24.6</v>
      </c>
      <c r="T620" s="13">
        <v>20.8</v>
      </c>
      <c r="U620" s="10">
        <v>22</v>
      </c>
      <c r="V620" s="10">
        <v>25</v>
      </c>
      <c r="W620" s="10">
        <f t="shared" si="97"/>
        <v>-3</v>
      </c>
      <c r="X620" s="9" t="s">
        <v>2</v>
      </c>
      <c r="Y620" s="11">
        <f t="shared" si="98"/>
        <v>1</v>
      </c>
      <c r="Z620" s="14">
        <v>4</v>
      </c>
    </row>
    <row r="621" spans="1:26" x14ac:dyDescent="0.2">
      <c r="A621" s="12">
        <f>A620+1</f>
        <v>2022</v>
      </c>
      <c r="B621" s="1" t="s">
        <v>49</v>
      </c>
      <c r="C621" s="1">
        <v>31</v>
      </c>
      <c r="D621" s="15">
        <v>516000000</v>
      </c>
      <c r="E621" s="15">
        <f>(292.7/292.7)*516000000</f>
        <v>516000000</v>
      </c>
      <c r="F621" s="10">
        <f t="shared" si="92"/>
        <v>38.6</v>
      </c>
      <c r="G621" s="5">
        <f>2914/17</f>
        <v>171.41176470588235</v>
      </c>
      <c r="H621" s="4" t="s">
        <v>1</v>
      </c>
      <c r="I621" s="1">
        <f t="shared" si="93"/>
        <v>0</v>
      </c>
      <c r="J621" s="1" t="s">
        <v>2</v>
      </c>
      <c r="K621" s="1">
        <f t="shared" si="94"/>
        <v>1</v>
      </c>
      <c r="L621" s="1" t="s">
        <v>2</v>
      </c>
      <c r="M621" s="1">
        <f t="shared" si="95"/>
        <v>1</v>
      </c>
      <c r="N621" s="1" t="s">
        <v>2</v>
      </c>
      <c r="O621" s="8">
        <v>0.36499999999999999</v>
      </c>
      <c r="P621" s="7">
        <v>0.64300000000000002</v>
      </c>
      <c r="Q621" s="3">
        <f>7/17</f>
        <v>0.41176470588235292</v>
      </c>
      <c r="R621" s="10">
        <f t="shared" si="96"/>
        <v>-3.6000000000000014</v>
      </c>
      <c r="S621" s="13">
        <v>17.5</v>
      </c>
      <c r="T621" s="13">
        <v>21.1</v>
      </c>
      <c r="U621" s="10">
        <v>20</v>
      </c>
      <c r="V621" s="10">
        <v>23</v>
      </c>
      <c r="W621" s="10">
        <f t="shared" si="97"/>
        <v>-3</v>
      </c>
      <c r="X621" s="9" t="s">
        <v>1</v>
      </c>
      <c r="Y621" s="11">
        <f t="shared" si="98"/>
        <v>0</v>
      </c>
      <c r="Z621" s="14">
        <v>4</v>
      </c>
    </row>
    <row r="622" spans="1:26" x14ac:dyDescent="0.2">
      <c r="A622" s="12">
        <v>2002</v>
      </c>
      <c r="B622" s="1" t="s">
        <v>50</v>
      </c>
      <c r="C622" s="1">
        <v>32</v>
      </c>
      <c r="D622" s="15">
        <v>227000000</v>
      </c>
      <c r="E622" s="15">
        <f>(292.7/179.9)*227000000</f>
        <v>369332406.8927182</v>
      </c>
      <c r="F622" s="10">
        <f t="shared" si="92"/>
        <v>42</v>
      </c>
      <c r="G622" s="5">
        <f>3254/16</f>
        <v>203.375</v>
      </c>
      <c r="H622" s="4" t="s">
        <v>1</v>
      </c>
      <c r="I622" s="1">
        <f t="shared" si="93"/>
        <v>0</v>
      </c>
      <c r="J622" s="1" t="s">
        <v>1</v>
      </c>
      <c r="K622" s="1">
        <f t="shared" si="94"/>
        <v>0</v>
      </c>
      <c r="L622" s="1" t="s">
        <v>1</v>
      </c>
      <c r="M622" s="1">
        <f t="shared" si="95"/>
        <v>0</v>
      </c>
      <c r="N622" s="1" t="s">
        <v>1</v>
      </c>
      <c r="O622" s="8">
        <v>0.39800000000000002</v>
      </c>
      <c r="P622" s="7">
        <v>0.59099999999999997</v>
      </c>
      <c r="Q622" s="3">
        <f>7/16</f>
        <v>0.4375</v>
      </c>
      <c r="R622" s="10">
        <f t="shared" si="96"/>
        <v>-3.6000000000000014</v>
      </c>
      <c r="S622" s="13">
        <v>19.2</v>
      </c>
      <c r="T622" s="13">
        <v>22.8</v>
      </c>
      <c r="U622" s="10">
        <v>26</v>
      </c>
      <c r="V622" s="10">
        <v>40</v>
      </c>
      <c r="W622" s="10">
        <f t="shared" si="97"/>
        <v>-14</v>
      </c>
      <c r="X622" s="9" t="s">
        <v>1</v>
      </c>
      <c r="Y622" s="11">
        <f t="shared" si="98"/>
        <v>0</v>
      </c>
      <c r="Z622" s="14">
        <v>3</v>
      </c>
    </row>
    <row r="623" spans="1:26" x14ac:dyDescent="0.2">
      <c r="A623" s="12">
        <f>A622+1</f>
        <v>2003</v>
      </c>
      <c r="B623" s="1" t="s">
        <v>50</v>
      </c>
      <c r="C623" s="1">
        <v>32</v>
      </c>
      <c r="D623" s="15">
        <v>245000000</v>
      </c>
      <c r="E623" s="15">
        <f>(292.7/184)*245000000</f>
        <v>389736413.04347825</v>
      </c>
      <c r="F623" s="10">
        <f t="shared" si="92"/>
        <v>41.2</v>
      </c>
      <c r="G623" s="5">
        <f>3006/16</f>
        <v>187.875</v>
      </c>
      <c r="H623" s="4" t="s">
        <v>1</v>
      </c>
      <c r="I623" s="1">
        <f t="shared" si="93"/>
        <v>0</v>
      </c>
      <c r="J623" s="1" t="s">
        <v>1</v>
      </c>
      <c r="K623" s="1">
        <f t="shared" si="94"/>
        <v>0</v>
      </c>
      <c r="L623" s="1" t="s">
        <v>1</v>
      </c>
      <c r="M623" s="1">
        <f t="shared" si="95"/>
        <v>0</v>
      </c>
      <c r="N623" s="1" t="s">
        <v>1</v>
      </c>
      <c r="O623" s="8">
        <v>0.34</v>
      </c>
      <c r="P623" s="7">
        <v>0.53300000000000003</v>
      </c>
      <c r="Q623" s="3">
        <f>5/16</f>
        <v>0.3125</v>
      </c>
      <c r="R623" s="10">
        <f t="shared" si="96"/>
        <v>-5.4000000000000021</v>
      </c>
      <c r="S623" s="13">
        <v>17.899999999999999</v>
      </c>
      <c r="T623" s="13">
        <v>23.3</v>
      </c>
      <c r="U623" s="10">
        <v>30</v>
      </c>
      <c r="V623" s="10">
        <v>28</v>
      </c>
      <c r="W623" s="10">
        <f t="shared" si="97"/>
        <v>2</v>
      </c>
      <c r="X623" s="9" t="s">
        <v>1</v>
      </c>
      <c r="Y623" s="11">
        <f t="shared" si="98"/>
        <v>0</v>
      </c>
      <c r="Z623" s="14">
        <v>3</v>
      </c>
    </row>
    <row r="624" spans="1:26" x14ac:dyDescent="0.2">
      <c r="A624" s="12">
        <f>A623+1</f>
        <v>2004</v>
      </c>
      <c r="B624" s="1" t="s">
        <v>50</v>
      </c>
      <c r="C624" s="1">
        <v>32</v>
      </c>
      <c r="D624" s="15">
        <v>287000000</v>
      </c>
      <c r="E624" s="15">
        <f>(292.7/188.9)*287000000</f>
        <v>444705664.37268394</v>
      </c>
      <c r="F624" s="10">
        <f t="shared" si="92"/>
        <v>31.6</v>
      </c>
      <c r="G624" s="5">
        <f>2632/16</f>
        <v>164.5</v>
      </c>
      <c r="H624" s="4" t="s">
        <v>1</v>
      </c>
      <c r="I624" s="1">
        <f t="shared" si="93"/>
        <v>0</v>
      </c>
      <c r="J624" s="1" t="s">
        <v>1</v>
      </c>
      <c r="K624" s="1">
        <f t="shared" si="94"/>
        <v>0</v>
      </c>
      <c r="L624" s="1" t="s">
        <v>1</v>
      </c>
      <c r="M624" s="1">
        <f t="shared" si="95"/>
        <v>0</v>
      </c>
      <c r="N624" s="1" t="s">
        <v>1</v>
      </c>
      <c r="O624" s="8">
        <v>0.317</v>
      </c>
      <c r="P624" s="7">
        <v>0.52300000000000002</v>
      </c>
      <c r="Q624" s="3">
        <f>6/16</f>
        <v>0.375</v>
      </c>
      <c r="R624" s="10">
        <f t="shared" si="96"/>
        <v>-1.6000000000000014</v>
      </c>
      <c r="S624" s="13">
        <v>15</v>
      </c>
      <c r="T624" s="13">
        <v>16.600000000000001</v>
      </c>
      <c r="U624" s="10">
        <v>26</v>
      </c>
      <c r="V624" s="10">
        <v>27</v>
      </c>
      <c r="W624" s="10">
        <f t="shared" si="97"/>
        <v>-1</v>
      </c>
      <c r="X624" s="9" t="s">
        <v>1</v>
      </c>
      <c r="Y624" s="11">
        <f t="shared" si="98"/>
        <v>0</v>
      </c>
      <c r="Z624" s="14">
        <v>1</v>
      </c>
    </row>
    <row r="625" spans="1:26" x14ac:dyDescent="0.2">
      <c r="A625" s="12">
        <f>A624+1</f>
        <v>2005</v>
      </c>
      <c r="B625" s="1" t="s">
        <v>50</v>
      </c>
      <c r="C625" s="1">
        <v>32</v>
      </c>
      <c r="D625" s="15">
        <v>303000000</v>
      </c>
      <c r="E625" s="15">
        <f>(292.7/195.3)*303000000</f>
        <v>454112135.17665124</v>
      </c>
      <c r="F625" s="10">
        <f t="shared" si="92"/>
        <v>40.700000000000003</v>
      </c>
      <c r="G625" s="5">
        <f>3106/16</f>
        <v>194.125</v>
      </c>
      <c r="H625" s="4" t="s">
        <v>1</v>
      </c>
      <c r="I625" s="1">
        <f t="shared" si="93"/>
        <v>0</v>
      </c>
      <c r="J625" s="1" t="s">
        <v>1</v>
      </c>
      <c r="K625" s="1">
        <f t="shared" si="94"/>
        <v>0</v>
      </c>
      <c r="L625" s="1" t="s">
        <v>1</v>
      </c>
      <c r="M625" s="1">
        <f t="shared" si="95"/>
        <v>0</v>
      </c>
      <c r="N625" s="1" t="s">
        <v>1</v>
      </c>
      <c r="O625" s="8">
        <v>0.42199999999999999</v>
      </c>
      <c r="P625" s="7">
        <v>0.63800000000000001</v>
      </c>
      <c r="Q625" s="3">
        <f>10/16</f>
        <v>0.625</v>
      </c>
      <c r="R625" s="10">
        <f t="shared" si="96"/>
        <v>4.0999999999999979</v>
      </c>
      <c r="S625" s="13">
        <v>22.4</v>
      </c>
      <c r="T625" s="13">
        <v>18.3</v>
      </c>
      <c r="U625" s="10">
        <v>28</v>
      </c>
      <c r="V625" s="10">
        <v>27</v>
      </c>
      <c r="W625" s="10">
        <f t="shared" si="97"/>
        <v>1</v>
      </c>
      <c r="X625" s="9" t="s">
        <v>2</v>
      </c>
      <c r="Y625" s="11">
        <f t="shared" si="98"/>
        <v>1</v>
      </c>
      <c r="Z625" s="14">
        <v>2</v>
      </c>
    </row>
    <row r="626" spans="1:26" x14ac:dyDescent="0.2">
      <c r="A626" s="12">
        <f>A625+1</f>
        <v>2006</v>
      </c>
      <c r="B626" s="1" t="s">
        <v>50</v>
      </c>
      <c r="C626" s="1">
        <v>32</v>
      </c>
      <c r="D626" s="15">
        <v>312000000</v>
      </c>
      <c r="E626" s="15">
        <f>(292.7/201.6)*312000000</f>
        <v>452988095.23809528</v>
      </c>
      <c r="F626" s="10">
        <f t="shared" si="92"/>
        <v>42.7</v>
      </c>
      <c r="G626" s="5">
        <f>3027/16</f>
        <v>189.1875</v>
      </c>
      <c r="H626" s="4" t="s">
        <v>1</v>
      </c>
      <c r="I626" s="1">
        <f t="shared" si="93"/>
        <v>0</v>
      </c>
      <c r="J626" s="1" t="s">
        <v>1</v>
      </c>
      <c r="K626" s="1">
        <f t="shared" si="94"/>
        <v>0</v>
      </c>
      <c r="L626" s="1" t="s">
        <v>1</v>
      </c>
      <c r="M626" s="1">
        <f t="shared" si="95"/>
        <v>0</v>
      </c>
      <c r="N626" s="1" t="s">
        <v>1</v>
      </c>
      <c r="O626" s="8">
        <v>0.374</v>
      </c>
      <c r="P626" s="7">
        <v>0.5</v>
      </c>
      <c r="Q626" s="3">
        <f>5/16</f>
        <v>0.3125</v>
      </c>
      <c r="R626" s="10">
        <f t="shared" si="96"/>
        <v>-4.3000000000000007</v>
      </c>
      <c r="S626" s="13">
        <v>19.2</v>
      </c>
      <c r="T626" s="13">
        <v>23.5</v>
      </c>
      <c r="U626" s="10">
        <v>12</v>
      </c>
      <c r="V626" s="10">
        <v>17</v>
      </c>
      <c r="W626" s="10">
        <f t="shared" si="97"/>
        <v>-5</v>
      </c>
      <c r="X626" s="9" t="s">
        <v>1</v>
      </c>
      <c r="Y626" s="11">
        <f t="shared" si="98"/>
        <v>0</v>
      </c>
      <c r="Z626" s="14">
        <v>2</v>
      </c>
    </row>
    <row r="627" spans="1:26" x14ac:dyDescent="0.2">
      <c r="A627" s="12">
        <f>A626+1</f>
        <v>2007</v>
      </c>
      <c r="B627" s="1" t="s">
        <v>50</v>
      </c>
      <c r="C627" s="1">
        <v>32</v>
      </c>
      <c r="D627" s="15">
        <v>327000000</v>
      </c>
      <c r="E627" s="15">
        <f>(292.7/207.3)*327000000</f>
        <v>461712011.57742399</v>
      </c>
      <c r="F627" s="10">
        <f t="shared" si="92"/>
        <v>40.299999999999997</v>
      </c>
      <c r="G627" s="5">
        <f>3463/16</f>
        <v>216.4375</v>
      </c>
      <c r="H627" s="4" t="s">
        <v>1</v>
      </c>
      <c r="I627" s="1">
        <f t="shared" si="93"/>
        <v>0</v>
      </c>
      <c r="J627" s="1" t="s">
        <v>1</v>
      </c>
      <c r="K627" s="1">
        <f t="shared" si="94"/>
        <v>0</v>
      </c>
      <c r="L627" s="1" t="s">
        <v>1</v>
      </c>
      <c r="M627" s="1">
        <f t="shared" si="95"/>
        <v>0</v>
      </c>
      <c r="N627" s="1" t="s">
        <v>1</v>
      </c>
      <c r="O627" s="8">
        <v>0.40699999999999997</v>
      </c>
      <c r="P627" s="7">
        <v>0.49099999999999999</v>
      </c>
      <c r="Q627" s="3">
        <f>9/16</f>
        <v>0.5625</v>
      </c>
      <c r="R627" s="10">
        <f t="shared" si="96"/>
        <v>1.5</v>
      </c>
      <c r="S627" s="13">
        <v>20.9</v>
      </c>
      <c r="T627" s="13">
        <v>19.399999999999999</v>
      </c>
      <c r="U627" s="10">
        <v>24</v>
      </c>
      <c r="V627" s="10">
        <v>29</v>
      </c>
      <c r="W627" s="10">
        <f t="shared" si="97"/>
        <v>-5</v>
      </c>
      <c r="X627" s="9" t="s">
        <v>2</v>
      </c>
      <c r="Y627" s="11">
        <f t="shared" si="98"/>
        <v>1</v>
      </c>
      <c r="Z627" s="14">
        <v>4</v>
      </c>
    </row>
    <row r="628" spans="1:26" x14ac:dyDescent="0.2">
      <c r="A628" s="12">
        <v>2008</v>
      </c>
      <c r="B628" s="1" t="s">
        <v>50</v>
      </c>
      <c r="C628" s="1">
        <v>32</v>
      </c>
      <c r="D628" s="15">
        <v>345000000</v>
      </c>
      <c r="E628" s="15">
        <f>(292.7/215.3)*345000000</f>
        <v>469026939.15466791</v>
      </c>
      <c r="F628" s="10">
        <f t="shared" si="92"/>
        <v>35.1</v>
      </c>
      <c r="G628" s="5">
        <f>3025/16</f>
        <v>189.0625</v>
      </c>
      <c r="H628" s="4" t="s">
        <v>1</v>
      </c>
      <c r="I628" s="1">
        <f t="shared" si="93"/>
        <v>0</v>
      </c>
      <c r="J628" s="1" t="s">
        <v>1</v>
      </c>
      <c r="K628" s="1">
        <f t="shared" si="94"/>
        <v>0</v>
      </c>
      <c r="L628" s="1" t="s">
        <v>1</v>
      </c>
      <c r="M628" s="1">
        <f t="shared" si="95"/>
        <v>0</v>
      </c>
      <c r="N628" s="1" t="s">
        <v>1</v>
      </c>
      <c r="O628" s="8">
        <v>0.35199999999999998</v>
      </c>
      <c r="P628" s="7">
        <v>0.47899999999999998</v>
      </c>
      <c r="Q628" s="3">
        <f>8/16</f>
        <v>0.5</v>
      </c>
      <c r="R628" s="10">
        <f t="shared" si="96"/>
        <v>-1.8999999999999986</v>
      </c>
      <c r="S628" s="13">
        <v>16.600000000000001</v>
      </c>
      <c r="T628" s="13">
        <v>18.5</v>
      </c>
      <c r="U628" s="10">
        <v>18</v>
      </c>
      <c r="V628" s="10">
        <v>18</v>
      </c>
      <c r="W628" s="10">
        <f t="shared" si="97"/>
        <v>0</v>
      </c>
      <c r="X628" s="9" t="s">
        <v>1</v>
      </c>
      <c r="Y628" s="11">
        <f t="shared" si="98"/>
        <v>0</v>
      </c>
      <c r="Z628" s="14">
        <v>4</v>
      </c>
    </row>
    <row r="629" spans="1:26" x14ac:dyDescent="0.2">
      <c r="A629" s="12">
        <f t="shared" ref="A629:A639" si="101">A628+1</f>
        <v>2009</v>
      </c>
      <c r="B629" s="1" t="s">
        <v>50</v>
      </c>
      <c r="C629" s="1">
        <v>32</v>
      </c>
      <c r="D629" s="15">
        <v>353000000</v>
      </c>
      <c r="E629" s="15">
        <f>(292.7/214.5)*353000000</f>
        <v>481692773.89277387</v>
      </c>
      <c r="F629" s="10">
        <f t="shared" si="92"/>
        <v>37.6</v>
      </c>
      <c r="G629" s="5">
        <f>3490/16</f>
        <v>218.125</v>
      </c>
      <c r="H629" s="4" t="s">
        <v>2</v>
      </c>
      <c r="I629" s="1">
        <f t="shared" si="93"/>
        <v>1</v>
      </c>
      <c r="J629" s="1" t="s">
        <v>1</v>
      </c>
      <c r="K629" s="1">
        <f t="shared" si="94"/>
        <v>0</v>
      </c>
      <c r="L629" s="1" t="s">
        <v>2</v>
      </c>
      <c r="M629" s="1">
        <f t="shared" si="95"/>
        <v>1</v>
      </c>
      <c r="N629" s="1" t="s">
        <v>1</v>
      </c>
      <c r="O629" s="8">
        <v>0.39800000000000002</v>
      </c>
      <c r="P629" s="7">
        <v>0.56499999999999995</v>
      </c>
      <c r="Q629" s="3">
        <f>4/16</f>
        <v>0.25</v>
      </c>
      <c r="R629" s="10">
        <f t="shared" si="96"/>
        <v>-4.3999999999999986</v>
      </c>
      <c r="S629" s="13">
        <v>16.600000000000001</v>
      </c>
      <c r="T629" s="13">
        <v>21</v>
      </c>
      <c r="U629" s="10">
        <v>17</v>
      </c>
      <c r="V629" s="10">
        <v>28</v>
      </c>
      <c r="W629" s="10">
        <f t="shared" si="97"/>
        <v>-11</v>
      </c>
      <c r="X629" s="9" t="s">
        <v>1</v>
      </c>
      <c r="Y629" s="11">
        <f t="shared" si="98"/>
        <v>0</v>
      </c>
      <c r="Z629" s="14">
        <v>2</v>
      </c>
    </row>
    <row r="630" spans="1:26" x14ac:dyDescent="0.2">
      <c r="A630" s="12">
        <f t="shared" si="101"/>
        <v>2010</v>
      </c>
      <c r="B630" s="1" t="s">
        <v>50</v>
      </c>
      <c r="C630" s="1">
        <v>32</v>
      </c>
      <c r="D630" s="15">
        <v>352000000</v>
      </c>
      <c r="E630" s="15">
        <f>(292.7/218.1)*352000000</f>
        <v>472399816.59789091</v>
      </c>
      <c r="F630" s="10">
        <f t="shared" si="92"/>
        <v>42.5</v>
      </c>
      <c r="G630" s="5">
        <f>3913/16</f>
        <v>244.5625</v>
      </c>
      <c r="H630" s="4" t="s">
        <v>2</v>
      </c>
      <c r="I630" s="1">
        <f t="shared" si="93"/>
        <v>1</v>
      </c>
      <c r="J630" s="1" t="s">
        <v>1</v>
      </c>
      <c r="K630" s="1">
        <f t="shared" si="94"/>
        <v>0</v>
      </c>
      <c r="L630" s="1" t="s">
        <v>2</v>
      </c>
      <c r="M630" s="1">
        <f t="shared" si="95"/>
        <v>1</v>
      </c>
      <c r="N630" s="1" t="s">
        <v>1</v>
      </c>
      <c r="O630" s="8">
        <v>0.29299999999999998</v>
      </c>
      <c r="P630" s="7">
        <v>0.51200000000000001</v>
      </c>
      <c r="Q630" s="3">
        <f>6/16</f>
        <v>0.375</v>
      </c>
      <c r="R630" s="10">
        <f t="shared" si="96"/>
        <v>-4.7000000000000028</v>
      </c>
      <c r="S630" s="13">
        <v>18.899999999999999</v>
      </c>
      <c r="T630" s="13">
        <v>23.6</v>
      </c>
      <c r="U630" s="10">
        <v>27</v>
      </c>
      <c r="V630" s="10">
        <v>31</v>
      </c>
      <c r="W630" s="10">
        <f t="shared" si="97"/>
        <v>-4</v>
      </c>
      <c r="X630" s="9" t="s">
        <v>1</v>
      </c>
      <c r="Y630" s="11">
        <f t="shared" si="98"/>
        <v>0</v>
      </c>
      <c r="Z630" s="14">
        <v>3</v>
      </c>
    </row>
    <row r="631" spans="1:26" x14ac:dyDescent="0.2">
      <c r="A631" s="12">
        <f t="shared" si="101"/>
        <v>2011</v>
      </c>
      <c r="B631" s="1" t="s">
        <v>50</v>
      </c>
      <c r="C631" s="1">
        <v>32</v>
      </c>
      <c r="D631" s="15">
        <v>373000000</v>
      </c>
      <c r="E631" s="15">
        <f>(292.7/224.9)*373000000</f>
        <v>485447309.91551799</v>
      </c>
      <c r="F631" s="10">
        <f t="shared" si="92"/>
        <v>40.9</v>
      </c>
      <c r="G631" s="5">
        <f>3773/16</f>
        <v>235.8125</v>
      </c>
      <c r="H631" s="4" t="s">
        <v>2</v>
      </c>
      <c r="I631" s="1">
        <f t="shared" si="93"/>
        <v>1</v>
      </c>
      <c r="J631" s="1" t="s">
        <v>1</v>
      </c>
      <c r="K631" s="1">
        <f t="shared" si="94"/>
        <v>0</v>
      </c>
      <c r="L631" s="1" t="s">
        <v>2</v>
      </c>
      <c r="M631" s="1">
        <f t="shared" si="95"/>
        <v>1</v>
      </c>
      <c r="N631" s="1" t="s">
        <v>1</v>
      </c>
      <c r="O631" s="8">
        <v>0.37</v>
      </c>
      <c r="P631" s="7">
        <v>0.41199999999999998</v>
      </c>
      <c r="Q631" s="3">
        <f>5/16</f>
        <v>0.3125</v>
      </c>
      <c r="R631" s="10">
        <f t="shared" si="96"/>
        <v>-4.8999999999999986</v>
      </c>
      <c r="S631" s="13">
        <v>18</v>
      </c>
      <c r="T631" s="13">
        <v>22.9</v>
      </c>
      <c r="U631" s="10">
        <v>21</v>
      </c>
      <c r="V631" s="10">
        <v>35</v>
      </c>
      <c r="W631" s="10">
        <f t="shared" si="97"/>
        <v>-14</v>
      </c>
      <c r="X631" s="9" t="s">
        <v>1</v>
      </c>
      <c r="Y631" s="11">
        <f t="shared" si="98"/>
        <v>0</v>
      </c>
      <c r="Z631" s="14">
        <v>1</v>
      </c>
    </row>
    <row r="632" spans="1:26" x14ac:dyDescent="0.2">
      <c r="A632" s="12">
        <f t="shared" si="101"/>
        <v>2012</v>
      </c>
      <c r="B632" s="1" t="s">
        <v>50</v>
      </c>
      <c r="C632" s="1">
        <v>32</v>
      </c>
      <c r="D632" s="15">
        <v>381000000</v>
      </c>
      <c r="E632" s="15">
        <f>(292.7/229.6)*381000000</f>
        <v>485708623.69337976</v>
      </c>
      <c r="F632" s="10">
        <f t="shared" si="92"/>
        <v>51.6</v>
      </c>
      <c r="G632" s="5">
        <f>3422/16</f>
        <v>213.875</v>
      </c>
      <c r="H632" s="4" t="s">
        <v>2</v>
      </c>
      <c r="I632" s="1">
        <f t="shared" si="93"/>
        <v>1</v>
      </c>
      <c r="J632" s="1" t="s">
        <v>1</v>
      </c>
      <c r="K632" s="1">
        <f t="shared" si="94"/>
        <v>0</v>
      </c>
      <c r="L632" s="1" t="s">
        <v>2</v>
      </c>
      <c r="M632" s="1">
        <f t="shared" si="95"/>
        <v>1</v>
      </c>
      <c r="N632" s="1" t="s">
        <v>1</v>
      </c>
      <c r="O632" s="8">
        <v>0.35799999999999998</v>
      </c>
      <c r="P632" s="7">
        <v>0.60399999999999998</v>
      </c>
      <c r="Q632" s="3">
        <f>10/16</f>
        <v>0.625</v>
      </c>
      <c r="R632" s="10">
        <f t="shared" si="96"/>
        <v>3</v>
      </c>
      <c r="S632" s="13">
        <v>27.3</v>
      </c>
      <c r="T632" s="13">
        <v>24.3</v>
      </c>
      <c r="U632" s="10">
        <v>31</v>
      </c>
      <c r="V632" s="10">
        <v>14</v>
      </c>
      <c r="W632" s="10">
        <f t="shared" si="97"/>
        <v>17</v>
      </c>
      <c r="X632" s="9" t="s">
        <v>2</v>
      </c>
      <c r="Y632" s="11">
        <f t="shared" si="98"/>
        <v>1</v>
      </c>
      <c r="Z632" s="14">
        <v>5</v>
      </c>
    </row>
    <row r="633" spans="1:26" x14ac:dyDescent="0.2">
      <c r="A633" s="12">
        <f t="shared" si="101"/>
        <v>2013</v>
      </c>
      <c r="B633" s="1" t="s">
        <v>50</v>
      </c>
      <c r="C633" s="1">
        <v>32</v>
      </c>
      <c r="D633" s="15">
        <v>395000000</v>
      </c>
      <c r="E633" s="15">
        <f>(292.7/233)*395000000</f>
        <v>496208154.50643778</v>
      </c>
      <c r="F633" s="10">
        <f t="shared" si="92"/>
        <v>50.8</v>
      </c>
      <c r="G633" s="5">
        <f>3751/16</f>
        <v>234.4375</v>
      </c>
      <c r="H633" s="4" t="s">
        <v>2</v>
      </c>
      <c r="I633" s="1">
        <f t="shared" si="93"/>
        <v>1</v>
      </c>
      <c r="J633" s="1" t="s">
        <v>1</v>
      </c>
      <c r="K633" s="1">
        <f t="shared" si="94"/>
        <v>0</v>
      </c>
      <c r="L633" s="1" t="s">
        <v>2</v>
      </c>
      <c r="M633" s="1">
        <f t="shared" si="95"/>
        <v>1</v>
      </c>
      <c r="N633" s="1" t="s">
        <v>1</v>
      </c>
      <c r="O633" s="8">
        <v>0.40400000000000003</v>
      </c>
      <c r="P633" s="7">
        <v>0.52</v>
      </c>
      <c r="Q633" s="3">
        <f>3/16</f>
        <v>0.1875</v>
      </c>
      <c r="R633" s="10">
        <f t="shared" si="96"/>
        <v>-9</v>
      </c>
      <c r="S633" s="13">
        <v>20.9</v>
      </c>
      <c r="T633" s="13">
        <v>29.9</v>
      </c>
      <c r="U633" s="10">
        <v>26</v>
      </c>
      <c r="V633" s="10">
        <v>34</v>
      </c>
      <c r="W633" s="10">
        <f t="shared" si="97"/>
        <v>-8</v>
      </c>
      <c r="X633" s="9" t="s">
        <v>1</v>
      </c>
      <c r="Y633" s="11">
        <f t="shared" si="98"/>
        <v>0</v>
      </c>
      <c r="Z633" s="14">
        <v>3</v>
      </c>
    </row>
    <row r="634" spans="1:26" x14ac:dyDescent="0.2">
      <c r="A634" s="12">
        <f t="shared" si="101"/>
        <v>2014</v>
      </c>
      <c r="B634" s="1" t="s">
        <v>50</v>
      </c>
      <c r="C634" s="1">
        <v>32</v>
      </c>
      <c r="D634" s="15">
        <v>439000000</v>
      </c>
      <c r="E634" s="15">
        <f>(292.7/236.7)*439000000</f>
        <v>542861427.96789181</v>
      </c>
      <c r="F634" s="10">
        <f t="shared" si="92"/>
        <v>46.2</v>
      </c>
      <c r="G634" s="5">
        <f>4047/16</f>
        <v>252.9375</v>
      </c>
      <c r="H634" s="4" t="s">
        <v>2</v>
      </c>
      <c r="I634" s="1">
        <f t="shared" si="93"/>
        <v>1</v>
      </c>
      <c r="J634" s="1" t="s">
        <v>1</v>
      </c>
      <c r="K634" s="1">
        <f t="shared" si="94"/>
        <v>0</v>
      </c>
      <c r="L634" s="1" t="s">
        <v>2</v>
      </c>
      <c r="M634" s="1">
        <f t="shared" si="95"/>
        <v>1</v>
      </c>
      <c r="N634" s="1" t="s">
        <v>1</v>
      </c>
      <c r="O634" s="8">
        <v>0.315</v>
      </c>
      <c r="P634" s="7">
        <v>0.47899999999999998</v>
      </c>
      <c r="Q634" s="3">
        <f>4/16</f>
        <v>0.25</v>
      </c>
      <c r="R634" s="10">
        <f t="shared" si="96"/>
        <v>-8.5999999999999979</v>
      </c>
      <c r="S634" s="13">
        <v>18.8</v>
      </c>
      <c r="T634" s="13">
        <v>27.4</v>
      </c>
      <c r="U634" s="10">
        <v>19</v>
      </c>
      <c r="V634" s="10">
        <v>31</v>
      </c>
      <c r="W634" s="10">
        <f t="shared" si="97"/>
        <v>-12</v>
      </c>
      <c r="X634" s="9" t="s">
        <v>1</v>
      </c>
      <c r="Y634" s="11">
        <f t="shared" si="98"/>
        <v>0</v>
      </c>
      <c r="Z634" s="14">
        <v>2</v>
      </c>
    </row>
    <row r="635" spans="1:26" x14ac:dyDescent="0.2">
      <c r="A635" s="12">
        <f t="shared" si="101"/>
        <v>2015</v>
      </c>
      <c r="B635" s="1" t="s">
        <v>50</v>
      </c>
      <c r="C635" s="1">
        <v>32</v>
      </c>
      <c r="D635" s="15">
        <v>447000000</v>
      </c>
      <c r="E635" s="15">
        <f>(292.7/237)*447000000</f>
        <v>552054430.37974679</v>
      </c>
      <c r="F635" s="10">
        <f t="shared" si="92"/>
        <v>48</v>
      </c>
      <c r="G635" s="5">
        <f>4095/16</f>
        <v>255.9375</v>
      </c>
      <c r="H635" s="4" t="s">
        <v>2</v>
      </c>
      <c r="I635" s="1">
        <f t="shared" si="93"/>
        <v>1</v>
      </c>
      <c r="J635" s="1" t="s">
        <v>1</v>
      </c>
      <c r="K635" s="1">
        <f t="shared" si="94"/>
        <v>0</v>
      </c>
      <c r="L635" s="1" t="s">
        <v>2</v>
      </c>
      <c r="M635" s="1">
        <f t="shared" si="95"/>
        <v>1</v>
      </c>
      <c r="N635" s="1" t="s">
        <v>2</v>
      </c>
      <c r="O635" s="8">
        <v>0.435</v>
      </c>
      <c r="P635" s="7">
        <v>0.61199999999999999</v>
      </c>
      <c r="Q635" s="3">
        <f>9/16</f>
        <v>0.5625</v>
      </c>
      <c r="R635" s="10">
        <f t="shared" si="96"/>
        <v>0.60000000000000142</v>
      </c>
      <c r="S635" s="13">
        <v>24.3</v>
      </c>
      <c r="T635" s="13">
        <v>23.7</v>
      </c>
      <c r="U635" s="10">
        <v>27</v>
      </c>
      <c r="V635" s="10">
        <v>22</v>
      </c>
      <c r="W635" s="10">
        <f t="shared" si="97"/>
        <v>5</v>
      </c>
      <c r="X635" s="9" t="s">
        <v>2</v>
      </c>
      <c r="Y635" s="11">
        <f t="shared" si="98"/>
        <v>1</v>
      </c>
      <c r="Z635" s="14">
        <v>1</v>
      </c>
    </row>
    <row r="636" spans="1:26" x14ac:dyDescent="0.2">
      <c r="A636" s="12">
        <f t="shared" si="101"/>
        <v>2016</v>
      </c>
      <c r="B636" s="1" t="s">
        <v>50</v>
      </c>
      <c r="C636" s="1">
        <v>32</v>
      </c>
      <c r="D636" s="15">
        <v>482000000</v>
      </c>
      <c r="E636" s="15">
        <f>(292.7/240)*482000000</f>
        <v>587839166.66666663</v>
      </c>
      <c r="F636" s="10">
        <f t="shared" si="92"/>
        <v>48.7</v>
      </c>
      <c r="G636" s="5">
        <f>4758/16</f>
        <v>297.375</v>
      </c>
      <c r="H636" s="4" t="s">
        <v>2</v>
      </c>
      <c r="I636" s="1">
        <f t="shared" si="93"/>
        <v>1</v>
      </c>
      <c r="J636" s="1" t="s">
        <v>1</v>
      </c>
      <c r="K636" s="1">
        <f t="shared" si="94"/>
        <v>0</v>
      </c>
      <c r="L636" s="1" t="s">
        <v>2</v>
      </c>
      <c r="M636" s="1">
        <f t="shared" si="95"/>
        <v>1</v>
      </c>
      <c r="N636" s="1" t="s">
        <v>2</v>
      </c>
      <c r="O636" s="8">
        <v>0.45200000000000001</v>
      </c>
      <c r="P636" s="7">
        <v>0.45900000000000002</v>
      </c>
      <c r="Q636" s="3">
        <f>8.5/16</f>
        <v>0.53125</v>
      </c>
      <c r="R636" s="10">
        <f t="shared" si="96"/>
        <v>0.90000000000000213</v>
      </c>
      <c r="S636" s="13">
        <v>24.8</v>
      </c>
      <c r="T636" s="13">
        <v>23.9</v>
      </c>
      <c r="U636" s="10">
        <v>21</v>
      </c>
      <c r="V636" s="10">
        <v>21</v>
      </c>
      <c r="W636" s="10">
        <f t="shared" si="97"/>
        <v>0</v>
      </c>
      <c r="X636" s="9" t="s">
        <v>1</v>
      </c>
      <c r="Y636" s="11">
        <f t="shared" si="98"/>
        <v>0</v>
      </c>
      <c r="Z636" s="14">
        <v>5</v>
      </c>
    </row>
    <row r="637" spans="1:26" x14ac:dyDescent="0.2">
      <c r="A637" s="12">
        <f t="shared" si="101"/>
        <v>2017</v>
      </c>
      <c r="B637" s="1" t="s">
        <v>50</v>
      </c>
      <c r="C637" s="1">
        <v>32</v>
      </c>
      <c r="D637" s="15">
        <v>491000000</v>
      </c>
      <c r="E637" s="15">
        <f>(292.7/245.1)*491000000</f>
        <v>586355365.15707874</v>
      </c>
      <c r="F637" s="10">
        <f t="shared" si="92"/>
        <v>45.7</v>
      </c>
      <c r="G637" s="5">
        <f>3751/16</f>
        <v>234.4375</v>
      </c>
      <c r="H637" s="4" t="s">
        <v>2</v>
      </c>
      <c r="I637" s="1">
        <f t="shared" si="93"/>
        <v>1</v>
      </c>
      <c r="J637" s="1" t="s">
        <v>1</v>
      </c>
      <c r="K637" s="1">
        <f t="shared" si="94"/>
        <v>0</v>
      </c>
      <c r="L637" s="1" t="s">
        <v>2</v>
      </c>
      <c r="M637" s="1">
        <f t="shared" si="95"/>
        <v>1</v>
      </c>
      <c r="N637" s="1" t="s">
        <v>2</v>
      </c>
      <c r="O637" s="8">
        <v>0.32400000000000001</v>
      </c>
      <c r="P637" s="7">
        <v>0.54300000000000004</v>
      </c>
      <c r="Q637" s="3">
        <f>7/16</f>
        <v>0.4375</v>
      </c>
      <c r="R637" s="10">
        <f t="shared" si="96"/>
        <v>-2.9000000000000021</v>
      </c>
      <c r="S637" s="13">
        <v>21.4</v>
      </c>
      <c r="T637" s="13">
        <v>24.3</v>
      </c>
      <c r="U637" s="10">
        <v>23</v>
      </c>
      <c r="V637" s="10">
        <v>27</v>
      </c>
      <c r="W637" s="10">
        <f t="shared" si="97"/>
        <v>-4</v>
      </c>
      <c r="X637" s="9" t="s">
        <v>1</v>
      </c>
      <c r="Y637" s="11">
        <f t="shared" si="98"/>
        <v>0</v>
      </c>
      <c r="Z637" s="14">
        <v>3</v>
      </c>
    </row>
    <row r="638" spans="1:26" x14ac:dyDescent="0.2">
      <c r="A638" s="12">
        <f t="shared" si="101"/>
        <v>2018</v>
      </c>
      <c r="B638" s="1" t="s">
        <v>50</v>
      </c>
      <c r="C638" s="1">
        <v>32</v>
      </c>
      <c r="D638" s="15">
        <v>493000000</v>
      </c>
      <c r="E638" s="15">
        <f>(292.7/251.1)*493000000</f>
        <v>574675826.36399841</v>
      </c>
      <c r="F638" s="10">
        <f t="shared" si="92"/>
        <v>40</v>
      </c>
      <c r="G638" s="5">
        <f>3021/16</f>
        <v>188.8125</v>
      </c>
      <c r="H638" s="4" t="s">
        <v>1</v>
      </c>
      <c r="I638" s="1">
        <f t="shared" si="93"/>
        <v>0</v>
      </c>
      <c r="J638" s="1" t="s">
        <v>2</v>
      </c>
      <c r="K638" s="1">
        <f t="shared" si="94"/>
        <v>1</v>
      </c>
      <c r="L638" s="1" t="s">
        <v>2</v>
      </c>
      <c r="M638" s="1">
        <f t="shared" si="95"/>
        <v>1</v>
      </c>
      <c r="N638" s="1" t="s">
        <v>2</v>
      </c>
      <c r="O638" s="8">
        <v>0.36399999999999999</v>
      </c>
      <c r="P638" s="7">
        <v>0.52500000000000002</v>
      </c>
      <c r="Q638" s="3">
        <f>7/16</f>
        <v>0.4375</v>
      </c>
      <c r="R638" s="10">
        <f t="shared" si="96"/>
        <v>-4.7999999999999972</v>
      </c>
      <c r="S638" s="13">
        <v>17.600000000000001</v>
      </c>
      <c r="T638" s="13">
        <v>22.4</v>
      </c>
      <c r="U638" s="10">
        <v>26</v>
      </c>
      <c r="V638" s="10">
        <v>19</v>
      </c>
      <c r="W638" s="10">
        <f t="shared" si="97"/>
        <v>7</v>
      </c>
      <c r="X638" s="9" t="s">
        <v>1</v>
      </c>
      <c r="Y638" s="11">
        <f t="shared" si="98"/>
        <v>0</v>
      </c>
      <c r="Z638" s="14">
        <v>2</v>
      </c>
    </row>
    <row r="639" spans="1:26" x14ac:dyDescent="0.2">
      <c r="A639" s="12">
        <f t="shared" si="101"/>
        <v>2019</v>
      </c>
      <c r="B639" s="1" t="s">
        <v>50</v>
      </c>
      <c r="C639" s="1">
        <v>32</v>
      </c>
      <c r="D639" s="15">
        <v>504000000</v>
      </c>
      <c r="E639" s="15">
        <f>(292.7/255.7)*504000000</f>
        <v>576929213.92256558</v>
      </c>
      <c r="F639" s="10">
        <f t="shared" si="92"/>
        <v>43.8</v>
      </c>
      <c r="G639" s="5">
        <f>2812/16</f>
        <v>175.75</v>
      </c>
      <c r="H639" s="4" t="s">
        <v>1</v>
      </c>
      <c r="I639" s="1">
        <f t="shared" si="93"/>
        <v>0</v>
      </c>
      <c r="J639" s="1" t="s">
        <v>2</v>
      </c>
      <c r="K639" s="1">
        <f t="shared" si="94"/>
        <v>1</v>
      </c>
      <c r="L639" s="1" t="s">
        <v>2</v>
      </c>
      <c r="M639" s="1">
        <f t="shared" si="95"/>
        <v>1</v>
      </c>
      <c r="N639" s="1" t="s">
        <v>2</v>
      </c>
      <c r="O639" s="8">
        <v>0.29099999999999998</v>
      </c>
      <c r="P639" s="7">
        <v>0.48799999999999999</v>
      </c>
      <c r="Q639" s="3">
        <f>3/16</f>
        <v>0.1875</v>
      </c>
      <c r="R639" s="10">
        <f t="shared" si="96"/>
        <v>-10.599999999999998</v>
      </c>
      <c r="S639" s="13">
        <v>16.600000000000001</v>
      </c>
      <c r="T639" s="13">
        <v>27.2</v>
      </c>
      <c r="U639" s="10">
        <v>22</v>
      </c>
      <c r="V639" s="10">
        <v>21</v>
      </c>
      <c r="W639" s="10">
        <f t="shared" si="97"/>
        <v>1</v>
      </c>
      <c r="X639" s="9" t="s">
        <v>1</v>
      </c>
      <c r="Y639" s="11">
        <f t="shared" si="98"/>
        <v>0</v>
      </c>
      <c r="Z639" s="14">
        <v>2</v>
      </c>
    </row>
    <row r="640" spans="1:26" x14ac:dyDescent="0.2">
      <c r="A640" s="12">
        <v>2021</v>
      </c>
      <c r="B640" s="1" t="s">
        <v>50</v>
      </c>
      <c r="C640" s="1">
        <v>32</v>
      </c>
      <c r="D640" s="15">
        <v>544000000</v>
      </c>
      <c r="E640" s="15">
        <f>(292.7/271)*544000000</f>
        <v>587560147.60147595</v>
      </c>
      <c r="F640" s="10">
        <f t="shared" si="92"/>
        <v>45.2</v>
      </c>
      <c r="G640" s="5">
        <f>3441/17</f>
        <v>202.41176470588235</v>
      </c>
      <c r="H640" s="4" t="s">
        <v>1</v>
      </c>
      <c r="I640" s="1">
        <f t="shared" si="93"/>
        <v>0</v>
      </c>
      <c r="J640" s="1" t="s">
        <v>2</v>
      </c>
      <c r="K640" s="1">
        <f t="shared" si="94"/>
        <v>1</v>
      </c>
      <c r="L640" s="1" t="s">
        <v>2</v>
      </c>
      <c r="M640" s="1">
        <f t="shared" si="95"/>
        <v>1</v>
      </c>
      <c r="N640" s="1" t="s">
        <v>2</v>
      </c>
      <c r="O640" s="8">
        <v>0.38800000000000001</v>
      </c>
      <c r="P640" s="7">
        <v>0.51</v>
      </c>
      <c r="Q640" s="3">
        <f>7/17</f>
        <v>0.41176470588235292</v>
      </c>
      <c r="R640" s="10">
        <f t="shared" si="96"/>
        <v>-5.8000000000000007</v>
      </c>
      <c r="S640" s="13">
        <v>19.7</v>
      </c>
      <c r="T640" s="13">
        <v>25.5</v>
      </c>
      <c r="U640" s="10">
        <v>19</v>
      </c>
      <c r="V640" s="10">
        <v>24</v>
      </c>
      <c r="W640" s="10">
        <f t="shared" si="97"/>
        <v>-5</v>
      </c>
      <c r="X640" s="9" t="s">
        <v>1</v>
      </c>
      <c r="Y640" s="11">
        <f t="shared" si="98"/>
        <v>0</v>
      </c>
      <c r="Z640" s="14">
        <v>2</v>
      </c>
    </row>
    <row r="641" spans="1:26" x14ac:dyDescent="0.2">
      <c r="A641" s="12">
        <f>A640+1</f>
        <v>2022</v>
      </c>
      <c r="B641" s="1" t="s">
        <v>50</v>
      </c>
      <c r="C641" s="1">
        <v>32</v>
      </c>
      <c r="D641" s="15">
        <v>545000000</v>
      </c>
      <c r="E641" s="15">
        <f>(292.7/292.7)*545000000</f>
        <v>545000000</v>
      </c>
      <c r="F641" s="10">
        <f t="shared" si="92"/>
        <v>39.099999999999994</v>
      </c>
      <c r="G641" s="5">
        <f>3472/17</f>
        <v>204.23529411764707</v>
      </c>
      <c r="H641" s="4" t="s">
        <v>1</v>
      </c>
      <c r="I641" s="1">
        <f t="shared" si="93"/>
        <v>0</v>
      </c>
      <c r="J641" s="1" t="s">
        <v>2</v>
      </c>
      <c r="K641" s="1">
        <f t="shared" si="94"/>
        <v>1</v>
      </c>
      <c r="L641" s="1" t="s">
        <v>2</v>
      </c>
      <c r="M641" s="1">
        <f t="shared" si="95"/>
        <v>1</v>
      </c>
      <c r="N641" s="1" t="s">
        <v>2</v>
      </c>
      <c r="O641" s="8">
        <v>0.35199999999999998</v>
      </c>
      <c r="P641" s="7">
        <v>0.51100000000000001</v>
      </c>
      <c r="Q641" s="3">
        <f>8.5/17</f>
        <v>0.5</v>
      </c>
      <c r="R641" s="10">
        <f t="shared" si="96"/>
        <v>-1.3000000000000007</v>
      </c>
      <c r="S641" s="13">
        <v>18.899999999999999</v>
      </c>
      <c r="T641" s="13">
        <v>20.2</v>
      </c>
      <c r="U641" s="10">
        <v>18</v>
      </c>
      <c r="V641" s="10">
        <v>23</v>
      </c>
      <c r="W641" s="10">
        <f t="shared" si="97"/>
        <v>-5</v>
      </c>
      <c r="X641" s="9" t="s">
        <v>1</v>
      </c>
      <c r="Y641" s="11">
        <f t="shared" si="98"/>
        <v>0</v>
      </c>
      <c r="Z641" s="14">
        <v>5</v>
      </c>
    </row>
    <row r="642" spans="1:26" x14ac:dyDescent="0.2">
      <c r="Q642" s="3"/>
    </row>
    <row r="643" spans="1:26" x14ac:dyDescent="0.2">
      <c r="Q643" s="3"/>
    </row>
    <row r="644" spans="1:26" x14ac:dyDescent="0.2">
      <c r="Q644" s="3"/>
    </row>
    <row r="645" spans="1:26" x14ac:dyDescent="0.2">
      <c r="Q645" s="3"/>
    </row>
    <row r="646" spans="1:26" x14ac:dyDescent="0.2">
      <c r="Q646" s="3"/>
    </row>
    <row r="647" spans="1:26" x14ac:dyDescent="0.2">
      <c r="Q647" s="3"/>
    </row>
    <row r="648" spans="1:26" x14ac:dyDescent="0.2">
      <c r="Q648" s="3"/>
    </row>
    <row r="649" spans="1:26" x14ac:dyDescent="0.2">
      <c r="Q649" s="3"/>
    </row>
    <row r="650" spans="1:26" x14ac:dyDescent="0.2">
      <c r="Q650" s="3"/>
    </row>
    <row r="651" spans="1:26" x14ac:dyDescent="0.2">
      <c r="Q651" s="3"/>
    </row>
    <row r="652" spans="1:26" x14ac:dyDescent="0.2">
      <c r="Q652" s="3"/>
    </row>
    <row r="653" spans="1:26" x14ac:dyDescent="0.2">
      <c r="Q653" s="3"/>
    </row>
    <row r="654" spans="1:26" x14ac:dyDescent="0.2">
      <c r="Q654" s="3"/>
    </row>
    <row r="655" spans="1:26" x14ac:dyDescent="0.2">
      <c r="Q655" s="3"/>
    </row>
    <row r="656" spans="1:26" x14ac:dyDescent="0.2">
      <c r="Q656" s="3"/>
    </row>
    <row r="657" spans="17:17" x14ac:dyDescent="0.2">
      <c r="Q657" s="3"/>
    </row>
    <row r="658" spans="17:17" x14ac:dyDescent="0.2">
      <c r="Q658" s="3"/>
    </row>
    <row r="659" spans="17:17" x14ac:dyDescent="0.2">
      <c r="Q659" s="3"/>
    </row>
    <row r="660" spans="17:17" x14ac:dyDescent="0.2">
      <c r="Q660" s="3"/>
    </row>
    <row r="661" spans="17:17" x14ac:dyDescent="0.2">
      <c r="Q661" s="3"/>
    </row>
    <row r="662" spans="17:17" x14ac:dyDescent="0.2">
      <c r="Q662" s="3"/>
    </row>
    <row r="663" spans="17:17" x14ac:dyDescent="0.2">
      <c r="Q663" s="3"/>
    </row>
    <row r="664" spans="17:17" x14ac:dyDescent="0.2">
      <c r="Q664" s="3"/>
    </row>
    <row r="665" spans="17:17" x14ac:dyDescent="0.2">
      <c r="Q665" s="3"/>
    </row>
    <row r="666" spans="17:17" x14ac:dyDescent="0.2">
      <c r="Q666" s="3"/>
    </row>
    <row r="667" spans="17:17" x14ac:dyDescent="0.2">
      <c r="Q667" s="3"/>
    </row>
    <row r="668" spans="17:17" x14ac:dyDescent="0.2">
      <c r="Q668" s="3"/>
    </row>
    <row r="669" spans="17:17" x14ac:dyDescent="0.2">
      <c r="Q669" s="3"/>
    </row>
    <row r="670" spans="17:17" x14ac:dyDescent="0.2">
      <c r="Q670" s="3"/>
    </row>
    <row r="671" spans="17:17" x14ac:dyDescent="0.2">
      <c r="Q671" s="3"/>
    </row>
    <row r="672" spans="17:17" x14ac:dyDescent="0.2">
      <c r="Q672" s="3"/>
    </row>
    <row r="673" spans="17:17" x14ac:dyDescent="0.2">
      <c r="Q673" s="3"/>
    </row>
    <row r="674" spans="17:17" x14ac:dyDescent="0.2">
      <c r="Q674" s="3"/>
    </row>
    <row r="675" spans="17:17" x14ac:dyDescent="0.2">
      <c r="Q675" s="3"/>
    </row>
    <row r="676" spans="17:17" x14ac:dyDescent="0.2">
      <c r="Q676" s="3"/>
    </row>
    <row r="677" spans="17:17" x14ac:dyDescent="0.2">
      <c r="Q677" s="3"/>
    </row>
    <row r="678" spans="17:17" x14ac:dyDescent="0.2">
      <c r="Q678" s="3"/>
    </row>
    <row r="679" spans="17:17" x14ac:dyDescent="0.2">
      <c r="Q679" s="3"/>
    </row>
    <row r="680" spans="17:17" x14ac:dyDescent="0.2">
      <c r="Q680" s="3"/>
    </row>
    <row r="681" spans="17:17" x14ac:dyDescent="0.2">
      <c r="Q681" s="3"/>
    </row>
    <row r="682" spans="17:17" x14ac:dyDescent="0.2">
      <c r="Q682" s="3"/>
    </row>
    <row r="683" spans="17:17" x14ac:dyDescent="0.2">
      <c r="Q683" s="3"/>
    </row>
    <row r="684" spans="17:17" x14ac:dyDescent="0.2">
      <c r="Q684" s="3"/>
    </row>
    <row r="685" spans="17:17" x14ac:dyDescent="0.2">
      <c r="Q685" s="3"/>
    </row>
    <row r="686" spans="17:17" x14ac:dyDescent="0.2">
      <c r="Q686" s="3"/>
    </row>
    <row r="687" spans="17:17" x14ac:dyDescent="0.2">
      <c r="Q687" s="3"/>
    </row>
    <row r="688" spans="17:17" x14ac:dyDescent="0.2">
      <c r="Q688" s="3"/>
    </row>
    <row r="689" spans="17:17" x14ac:dyDescent="0.2">
      <c r="Q689" s="3"/>
    </row>
    <row r="690" spans="17:17" x14ac:dyDescent="0.2">
      <c r="Q690" s="3"/>
    </row>
    <row r="691" spans="17:17" x14ac:dyDescent="0.2">
      <c r="Q691" s="3"/>
    </row>
    <row r="692" spans="17:17" x14ac:dyDescent="0.2">
      <c r="Q692" s="3"/>
    </row>
    <row r="693" spans="17:17" x14ac:dyDescent="0.2">
      <c r="Q693" s="3"/>
    </row>
    <row r="694" spans="17:17" x14ac:dyDescent="0.2">
      <c r="Q694" s="3"/>
    </row>
    <row r="695" spans="17:17" x14ac:dyDescent="0.2">
      <c r="Q695" s="3"/>
    </row>
    <row r="696" spans="17:17" x14ac:dyDescent="0.2">
      <c r="Q696" s="3"/>
    </row>
    <row r="697" spans="17:17" x14ac:dyDescent="0.2">
      <c r="Q697" s="3"/>
    </row>
    <row r="698" spans="17:17" x14ac:dyDescent="0.2">
      <c r="Q698" s="3"/>
    </row>
    <row r="699" spans="17:17" x14ac:dyDescent="0.2">
      <c r="Q699" s="3"/>
    </row>
    <row r="700" spans="17:17" x14ac:dyDescent="0.2">
      <c r="Q700" s="3"/>
    </row>
    <row r="701" spans="17:17" x14ac:dyDescent="0.2">
      <c r="Q701" s="3"/>
    </row>
    <row r="702" spans="17:17" x14ac:dyDescent="0.2">
      <c r="Q702" s="3"/>
    </row>
    <row r="703" spans="17:17" x14ac:dyDescent="0.2">
      <c r="Q703" s="3"/>
    </row>
    <row r="704" spans="17:17" x14ac:dyDescent="0.2">
      <c r="Q704" s="3"/>
    </row>
    <row r="705" spans="17:17" x14ac:dyDescent="0.2">
      <c r="Q705" s="3"/>
    </row>
    <row r="706" spans="17:17" x14ac:dyDescent="0.2">
      <c r="Q706" s="3"/>
    </row>
    <row r="707" spans="17:17" x14ac:dyDescent="0.2">
      <c r="Q707" s="3"/>
    </row>
    <row r="708" spans="17:17" x14ac:dyDescent="0.2">
      <c r="Q708" s="3"/>
    </row>
    <row r="709" spans="17:17" x14ac:dyDescent="0.2">
      <c r="Q709" s="3"/>
    </row>
    <row r="710" spans="17:17" x14ac:dyDescent="0.2">
      <c r="Q710" s="3"/>
    </row>
    <row r="711" spans="17:17" x14ac:dyDescent="0.2">
      <c r="Q711" s="3"/>
    </row>
    <row r="712" spans="17:17" x14ac:dyDescent="0.2">
      <c r="Q712" s="3"/>
    </row>
    <row r="713" spans="17:17" x14ac:dyDescent="0.2">
      <c r="Q713" s="3"/>
    </row>
    <row r="714" spans="17:17" x14ac:dyDescent="0.2">
      <c r="Q714" s="3"/>
    </row>
    <row r="715" spans="17:17" x14ac:dyDescent="0.2">
      <c r="Q715" s="3"/>
    </row>
    <row r="716" spans="17:17" x14ac:dyDescent="0.2">
      <c r="Q716" s="3"/>
    </row>
    <row r="717" spans="17:17" x14ac:dyDescent="0.2">
      <c r="Q717" s="3"/>
    </row>
    <row r="718" spans="17:17" x14ac:dyDescent="0.2">
      <c r="Q718" s="3"/>
    </row>
    <row r="719" spans="17:17" x14ac:dyDescent="0.2">
      <c r="Q719" s="3"/>
    </row>
    <row r="720" spans="17:17" x14ac:dyDescent="0.2">
      <c r="Q720" s="3"/>
    </row>
    <row r="721" spans="17:17" x14ac:dyDescent="0.2">
      <c r="Q721" s="3"/>
    </row>
    <row r="722" spans="17:17" x14ac:dyDescent="0.2">
      <c r="Q722" s="3"/>
    </row>
    <row r="723" spans="17:17" x14ac:dyDescent="0.2">
      <c r="Q723" s="3"/>
    </row>
    <row r="724" spans="17:17" x14ac:dyDescent="0.2">
      <c r="Q724" s="3"/>
    </row>
    <row r="725" spans="17:17" x14ac:dyDescent="0.2">
      <c r="Q725" s="3"/>
    </row>
    <row r="726" spans="17:17" x14ac:dyDescent="0.2">
      <c r="Q726" s="3"/>
    </row>
    <row r="727" spans="17:17" x14ac:dyDescent="0.2">
      <c r="Q727" s="3"/>
    </row>
    <row r="728" spans="17:17" x14ac:dyDescent="0.2">
      <c r="Q728" s="3"/>
    </row>
    <row r="729" spans="17:17" x14ac:dyDescent="0.2">
      <c r="Q729" s="3"/>
    </row>
    <row r="730" spans="17:17" x14ac:dyDescent="0.2">
      <c r="Q730" s="3"/>
    </row>
    <row r="731" spans="17:17" x14ac:dyDescent="0.2">
      <c r="Q731" s="3"/>
    </row>
    <row r="732" spans="17:17" x14ac:dyDescent="0.2">
      <c r="Q732" s="3"/>
    </row>
    <row r="733" spans="17:17" x14ac:dyDescent="0.2">
      <c r="Q733" s="3"/>
    </row>
    <row r="734" spans="17:17" x14ac:dyDescent="0.2">
      <c r="Q734" s="3"/>
    </row>
    <row r="735" spans="17:17" x14ac:dyDescent="0.2">
      <c r="Q735" s="3"/>
    </row>
    <row r="736" spans="17:17" x14ac:dyDescent="0.2">
      <c r="Q736" s="3"/>
    </row>
    <row r="737" spans="17:17" x14ac:dyDescent="0.2">
      <c r="Q737" s="3"/>
    </row>
    <row r="738" spans="17:17" x14ac:dyDescent="0.2">
      <c r="Q738" s="3"/>
    </row>
    <row r="739" spans="17:17" x14ac:dyDescent="0.2">
      <c r="Q739" s="3"/>
    </row>
    <row r="740" spans="17:17" x14ac:dyDescent="0.2">
      <c r="Q740" s="3"/>
    </row>
    <row r="741" spans="17:17" x14ac:dyDescent="0.2">
      <c r="Q741" s="3"/>
    </row>
    <row r="742" spans="17:17" x14ac:dyDescent="0.2">
      <c r="Q742" s="3"/>
    </row>
    <row r="743" spans="17:17" x14ac:dyDescent="0.2">
      <c r="Q743" s="3"/>
    </row>
    <row r="744" spans="17:17" x14ac:dyDescent="0.2">
      <c r="Q744" s="3"/>
    </row>
    <row r="745" spans="17:17" x14ac:dyDescent="0.2">
      <c r="Q745" s="3"/>
    </row>
    <row r="746" spans="17:17" x14ac:dyDescent="0.2">
      <c r="Q746" s="3"/>
    </row>
    <row r="747" spans="17:17" x14ac:dyDescent="0.2">
      <c r="Q747" s="3"/>
    </row>
    <row r="748" spans="17:17" x14ac:dyDescent="0.2">
      <c r="Q748" s="3"/>
    </row>
    <row r="749" spans="17:17" x14ac:dyDescent="0.2">
      <c r="Q749" s="3"/>
    </row>
    <row r="750" spans="17:17" x14ac:dyDescent="0.2">
      <c r="Q750" s="3"/>
    </row>
    <row r="751" spans="17:17" x14ac:dyDescent="0.2">
      <c r="Q751" s="3"/>
    </row>
    <row r="752" spans="17:17" x14ac:dyDescent="0.2">
      <c r="Q752" s="3"/>
    </row>
    <row r="753" spans="17:17" x14ac:dyDescent="0.2">
      <c r="Q753" s="3"/>
    </row>
    <row r="754" spans="17:17" x14ac:dyDescent="0.2">
      <c r="Q754" s="3"/>
    </row>
    <row r="755" spans="17:17" x14ac:dyDescent="0.2">
      <c r="Q755" s="3"/>
    </row>
    <row r="756" spans="17:17" x14ac:dyDescent="0.2">
      <c r="Q756" s="3"/>
    </row>
    <row r="757" spans="17:17" x14ac:dyDescent="0.2">
      <c r="Q757" s="3"/>
    </row>
    <row r="758" spans="17:17" x14ac:dyDescent="0.2">
      <c r="Q758" s="3"/>
    </row>
    <row r="759" spans="17:17" x14ac:dyDescent="0.2">
      <c r="Q759" s="3"/>
    </row>
    <row r="760" spans="17:17" x14ac:dyDescent="0.2">
      <c r="Q760" s="3"/>
    </row>
    <row r="761" spans="17:17" x14ac:dyDescent="0.2">
      <c r="Q761" s="3"/>
    </row>
    <row r="762" spans="17:17" x14ac:dyDescent="0.2">
      <c r="Q762" s="3"/>
    </row>
    <row r="763" spans="17:17" x14ac:dyDescent="0.2">
      <c r="Q763" s="3"/>
    </row>
    <row r="764" spans="17:17" x14ac:dyDescent="0.2">
      <c r="Q764" s="3"/>
    </row>
    <row r="765" spans="17:17" x14ac:dyDescent="0.2">
      <c r="Q765" s="3"/>
    </row>
    <row r="766" spans="17:17" x14ac:dyDescent="0.2">
      <c r="Q766" s="3"/>
    </row>
    <row r="767" spans="17:17" x14ac:dyDescent="0.2">
      <c r="Q767" s="3"/>
    </row>
    <row r="768" spans="17:17" x14ac:dyDescent="0.2">
      <c r="Q768" s="3"/>
    </row>
    <row r="769" spans="17:17" x14ac:dyDescent="0.2">
      <c r="Q769" s="3"/>
    </row>
    <row r="770" spans="17:17" x14ac:dyDescent="0.2">
      <c r="Q770" s="3"/>
    </row>
    <row r="771" spans="17:17" x14ac:dyDescent="0.2">
      <c r="Q771" s="3"/>
    </row>
    <row r="772" spans="17:17" x14ac:dyDescent="0.2">
      <c r="Q772" s="3"/>
    </row>
    <row r="773" spans="17:17" x14ac:dyDescent="0.2">
      <c r="Q773" s="3"/>
    </row>
    <row r="774" spans="17:17" x14ac:dyDescent="0.2">
      <c r="Q774" s="3"/>
    </row>
    <row r="775" spans="17:17" x14ac:dyDescent="0.2">
      <c r="Q775" s="3"/>
    </row>
    <row r="776" spans="17:17" x14ac:dyDescent="0.2">
      <c r="Q776" s="3"/>
    </row>
    <row r="777" spans="17:17" x14ac:dyDescent="0.2">
      <c r="Q777" s="3"/>
    </row>
    <row r="778" spans="17:17" x14ac:dyDescent="0.2">
      <c r="Q778" s="3"/>
    </row>
    <row r="779" spans="17:17" x14ac:dyDescent="0.2">
      <c r="Q779" s="3"/>
    </row>
    <row r="780" spans="17:17" x14ac:dyDescent="0.2">
      <c r="Q780" s="3"/>
    </row>
    <row r="781" spans="17:17" x14ac:dyDescent="0.2">
      <c r="Q781" s="3"/>
    </row>
    <row r="782" spans="17:17" x14ac:dyDescent="0.2">
      <c r="Q782" s="3"/>
    </row>
    <row r="783" spans="17:17" x14ac:dyDescent="0.2">
      <c r="Q783" s="3"/>
    </row>
    <row r="784" spans="17:17" x14ac:dyDescent="0.2">
      <c r="Q784" s="3"/>
    </row>
    <row r="785" spans="17:17" x14ac:dyDescent="0.2">
      <c r="Q785" s="3"/>
    </row>
    <row r="786" spans="17:17" x14ac:dyDescent="0.2">
      <c r="Q786" s="3"/>
    </row>
    <row r="787" spans="17:17" x14ac:dyDescent="0.2">
      <c r="Q787" s="3"/>
    </row>
    <row r="788" spans="17:17" x14ac:dyDescent="0.2">
      <c r="Q788" s="3"/>
    </row>
    <row r="789" spans="17:17" x14ac:dyDescent="0.2">
      <c r="Q789" s="3"/>
    </row>
    <row r="790" spans="17:17" x14ac:dyDescent="0.2">
      <c r="Q790" s="3"/>
    </row>
    <row r="791" spans="17:17" x14ac:dyDescent="0.2">
      <c r="Q791" s="3"/>
    </row>
    <row r="792" spans="17:17" x14ac:dyDescent="0.2">
      <c r="Q792" s="3"/>
    </row>
    <row r="793" spans="17:17" x14ac:dyDescent="0.2">
      <c r="Q793" s="3"/>
    </row>
    <row r="794" spans="17:17" x14ac:dyDescent="0.2">
      <c r="Q794" s="3"/>
    </row>
    <row r="795" spans="17:17" x14ac:dyDescent="0.2">
      <c r="Q795" s="3"/>
    </row>
    <row r="796" spans="17:17" x14ac:dyDescent="0.2">
      <c r="Q796" s="3"/>
    </row>
    <row r="797" spans="17:17" x14ac:dyDescent="0.2">
      <c r="Q797" s="3"/>
    </row>
    <row r="798" spans="17:17" x14ac:dyDescent="0.2">
      <c r="Q798" s="3"/>
    </row>
    <row r="799" spans="17:17" x14ac:dyDescent="0.2">
      <c r="Q799" s="3"/>
    </row>
    <row r="800" spans="17:17" x14ac:dyDescent="0.2">
      <c r="Q800" s="3"/>
    </row>
    <row r="801" spans="17:17" x14ac:dyDescent="0.2">
      <c r="Q801" s="3"/>
    </row>
    <row r="802" spans="17:17" x14ac:dyDescent="0.2">
      <c r="Q802" s="3"/>
    </row>
    <row r="803" spans="17:17" x14ac:dyDescent="0.2">
      <c r="Q803" s="3"/>
    </row>
    <row r="804" spans="17:17" x14ac:dyDescent="0.2">
      <c r="Q804" s="3"/>
    </row>
    <row r="805" spans="17:17" x14ac:dyDescent="0.2">
      <c r="Q805" s="3"/>
    </row>
    <row r="806" spans="17:17" x14ac:dyDescent="0.2">
      <c r="Q806" s="3"/>
    </row>
    <row r="807" spans="17:17" x14ac:dyDescent="0.2">
      <c r="Q807" s="3"/>
    </row>
    <row r="808" spans="17:17" x14ac:dyDescent="0.2">
      <c r="Q808" s="3"/>
    </row>
    <row r="809" spans="17:17" x14ac:dyDescent="0.2">
      <c r="Q809" s="3"/>
    </row>
    <row r="810" spans="17:17" x14ac:dyDescent="0.2">
      <c r="Q810" s="3"/>
    </row>
    <row r="811" spans="17:17" x14ac:dyDescent="0.2">
      <c r="Q811" s="3"/>
    </row>
    <row r="812" spans="17:17" x14ac:dyDescent="0.2">
      <c r="Q812" s="3"/>
    </row>
    <row r="813" spans="17:17" x14ac:dyDescent="0.2">
      <c r="Q813" s="3"/>
    </row>
    <row r="814" spans="17:17" x14ac:dyDescent="0.2">
      <c r="Q814" s="3"/>
    </row>
    <row r="815" spans="17:17" x14ac:dyDescent="0.2">
      <c r="Q815" s="3"/>
    </row>
    <row r="816" spans="17:17" x14ac:dyDescent="0.2">
      <c r="Q816" s="3"/>
    </row>
    <row r="817" spans="17:17" x14ac:dyDescent="0.2">
      <c r="Q817" s="3"/>
    </row>
    <row r="818" spans="17:17" x14ac:dyDescent="0.2">
      <c r="Q818" s="3"/>
    </row>
    <row r="819" spans="17:17" x14ac:dyDescent="0.2">
      <c r="Q819" s="3"/>
    </row>
    <row r="820" spans="17:17" x14ac:dyDescent="0.2">
      <c r="Q820" s="3"/>
    </row>
    <row r="821" spans="17:17" x14ac:dyDescent="0.2">
      <c r="Q821" s="3"/>
    </row>
    <row r="822" spans="17:17" x14ac:dyDescent="0.2">
      <c r="Q822" s="3"/>
    </row>
    <row r="823" spans="17:17" x14ac:dyDescent="0.2">
      <c r="Q823" s="3"/>
    </row>
    <row r="824" spans="17:17" x14ac:dyDescent="0.2">
      <c r="Q824" s="3"/>
    </row>
    <row r="825" spans="17:17" x14ac:dyDescent="0.2">
      <c r="Q825" s="3"/>
    </row>
    <row r="826" spans="17:17" x14ac:dyDescent="0.2">
      <c r="Q826" s="3"/>
    </row>
    <row r="827" spans="17:17" x14ac:dyDescent="0.2">
      <c r="Q827" s="3"/>
    </row>
    <row r="828" spans="17:17" x14ac:dyDescent="0.2">
      <c r="Q828" s="3"/>
    </row>
    <row r="829" spans="17:17" x14ac:dyDescent="0.2">
      <c r="Q829" s="3"/>
    </row>
    <row r="830" spans="17:17" x14ac:dyDescent="0.2">
      <c r="Q830" s="3"/>
    </row>
    <row r="831" spans="17:17" x14ac:dyDescent="0.2">
      <c r="Q831" s="3"/>
    </row>
    <row r="832" spans="17:17" x14ac:dyDescent="0.2">
      <c r="Q832" s="3"/>
    </row>
    <row r="833" spans="17:17" x14ac:dyDescent="0.2">
      <c r="Q833" s="3"/>
    </row>
    <row r="834" spans="17:17" x14ac:dyDescent="0.2">
      <c r="Q834" s="3"/>
    </row>
    <row r="835" spans="17:17" x14ac:dyDescent="0.2">
      <c r="Q835" s="3"/>
    </row>
    <row r="836" spans="17:17" x14ac:dyDescent="0.2">
      <c r="Q836" s="3"/>
    </row>
    <row r="837" spans="17:17" x14ac:dyDescent="0.2">
      <c r="Q837" s="3"/>
    </row>
    <row r="838" spans="17:17" x14ac:dyDescent="0.2">
      <c r="Q838" s="3"/>
    </row>
  </sheetData>
  <pageMargins left="0.7" right="0.7" top="0.75" bottom="0.75" header="0.3" footer="0.3"/>
  <ignoredErrors>
    <ignoredError sqref="Q214 Q295 Q314 Q145 Q167 Q265 Q281 Q324 Q326 Q365 Q374 Q391 Q396 Q404 Q450 Q453 Q461 Q485:Q486 Q492 G512 Q529 Q535 Q565 Q592 Q611 Q639 A42 A202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Ransome, Kipp</dc:creator>
  <cp:lastModifiedBy>Ransome, Kipp</cp:lastModifiedBy>
  <dcterms:created xsi:type="dcterms:W3CDTF">2023-11-14T15:07:07Z</dcterms:created>
  <dcterms:modified xsi:type="dcterms:W3CDTF">2024-04-24T17:17:37Z</dcterms:modified>
</cp:coreProperties>
</file>