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a90458c880e139/Documents/GitHub/AVD/PreliminaryAirframe/Composite/"/>
    </mc:Choice>
  </mc:AlternateContent>
  <xr:revisionPtr revIDLastSave="1682" documentId="8_{F426B969-63F3-4CD9-9347-CB9329FBF99F}" xr6:coauthVersionLast="47" xr6:coauthVersionMax="47" xr10:uidLastSave="{597C73AA-F51C-4C61-A072-906B7AED6B23}"/>
  <bookViews>
    <workbookView xWindow="-11550" yWindow="3623" windowWidth="19200" windowHeight="8422" firstSheet="1" activeTab="4" xr2:uid="{E7E02545-2DF6-46D5-87DA-A9BD6A8E819A}"/>
  </bookViews>
  <sheets>
    <sheet name="1. 0 ribs" sheetId="1" r:id="rId1"/>
    <sheet name="Sheet2" sheetId="2" r:id="rId2"/>
    <sheet name="Panel V2" sheetId="3" r:id="rId3"/>
    <sheet name="Panel Design V2" sheetId="4" r:id="rId4"/>
    <sheet name="D-CELL V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D10" i="3"/>
  <c r="U7" i="3"/>
  <c r="U12" i="3" s="1"/>
  <c r="U19" i="3" s="1"/>
  <c r="U20" i="3" s="1"/>
  <c r="U8" i="3"/>
  <c r="U13" i="3" s="1"/>
  <c r="U22" i="3" s="1"/>
  <c r="U23" i="3" s="1"/>
  <c r="U9" i="3"/>
  <c r="U10" i="3"/>
  <c r="U11" i="3"/>
  <c r="U15" i="3"/>
  <c r="U16" i="3"/>
  <c r="T7" i="3"/>
  <c r="T12" i="3" s="1"/>
  <c r="T19" i="3" s="1"/>
  <c r="T20" i="3" s="1"/>
  <c r="T8" i="3"/>
  <c r="T13" i="3" s="1"/>
  <c r="T22" i="3" s="1"/>
  <c r="T23" i="3" s="1"/>
  <c r="T9" i="3"/>
  <c r="T10" i="3"/>
  <c r="T11" i="3"/>
  <c r="S16" i="3"/>
  <c r="T16" i="3"/>
  <c r="S15" i="3"/>
  <c r="T15" i="3"/>
  <c r="S10" i="3"/>
  <c r="S11" i="3"/>
  <c r="S9" i="3"/>
  <c r="B11" i="3"/>
  <c r="B10" i="3"/>
  <c r="C8" i="3"/>
  <c r="C2" i="3"/>
  <c r="C7" i="3" s="1"/>
  <c r="B23" i="5"/>
  <c r="B22" i="5"/>
  <c r="G21" i="5"/>
  <c r="J21" i="5" s="1"/>
  <c r="B16" i="5"/>
  <c r="B15" i="5"/>
  <c r="B11" i="5"/>
  <c r="B10" i="5"/>
  <c r="B8" i="5"/>
  <c r="Q25" i="3"/>
  <c r="R8" i="3"/>
  <c r="N11" i="3"/>
  <c r="O11" i="3"/>
  <c r="P11" i="3"/>
  <c r="Q11" i="3"/>
  <c r="R11" i="3"/>
  <c r="N10" i="3"/>
  <c r="P10" i="3"/>
  <c r="Q10" i="3"/>
  <c r="N8" i="3"/>
  <c r="P8" i="3"/>
  <c r="Q8" i="3"/>
  <c r="K11" i="3"/>
  <c r="L11" i="3"/>
  <c r="M11" i="3"/>
  <c r="L10" i="3"/>
  <c r="M10" i="3"/>
  <c r="M8" i="3"/>
  <c r="L7" i="3"/>
  <c r="K10" i="3"/>
  <c r="K9" i="3"/>
  <c r="B8" i="3"/>
  <c r="S8" i="3" s="1"/>
  <c r="B7" i="3"/>
  <c r="N9" i="3" s="1"/>
  <c r="K25" i="3"/>
  <c r="L25" i="3"/>
  <c r="M25" i="3"/>
  <c r="G15" i="1"/>
  <c r="F61" i="2"/>
  <c r="G61" i="2" s="1"/>
  <c r="F60" i="2"/>
  <c r="G60" i="2" s="1"/>
  <c r="Z19" i="2"/>
  <c r="Z20" i="2"/>
  <c r="Z21" i="2"/>
  <c r="Z22" i="2"/>
  <c r="Z23" i="2"/>
  <c r="Z24" i="2"/>
  <c r="Z25" i="2"/>
  <c r="Z18" i="2"/>
  <c r="F44" i="2"/>
  <c r="G44" i="2" s="1"/>
  <c r="F52" i="2"/>
  <c r="G52" i="2" s="1"/>
  <c r="F10" i="1"/>
  <c r="H10" i="1"/>
  <c r="H11" i="1"/>
  <c r="H9" i="1"/>
  <c r="G11" i="1"/>
  <c r="G10" i="1"/>
  <c r="G9" i="1"/>
  <c r="P68" i="1"/>
  <c r="Z67" i="1"/>
  <c r="Q67" i="1"/>
  <c r="R67" i="1"/>
  <c r="S67" i="1"/>
  <c r="T67" i="1"/>
  <c r="U67" i="1"/>
  <c r="V67" i="1"/>
  <c r="W67" i="1"/>
  <c r="X67" i="1"/>
  <c r="Y67" i="1"/>
  <c r="P67" i="1"/>
  <c r="J15" i="1"/>
  <c r="J16" i="1"/>
  <c r="K9" i="1"/>
  <c r="AL46" i="1"/>
  <c r="P46" i="1"/>
  <c r="J10" i="1"/>
  <c r="J9" i="1"/>
  <c r="V60" i="1"/>
  <c r="V59" i="1"/>
  <c r="V58" i="1"/>
  <c r="V57" i="1"/>
  <c r="V56" i="1"/>
  <c r="V55" i="1"/>
  <c r="AE46" i="1"/>
  <c r="AD46" i="1"/>
  <c r="H5" i="1"/>
  <c r="AD10" i="1"/>
  <c r="AD11" i="1"/>
  <c r="AD9" i="1"/>
  <c r="A11" i="1"/>
  <c r="J20" i="5" l="1"/>
  <c r="S13" i="3"/>
  <c r="S22" i="3" s="1"/>
  <c r="S23" i="3" s="1"/>
  <c r="R7" i="3"/>
  <c r="M7" i="3"/>
  <c r="O8" i="3"/>
  <c r="O10" i="3"/>
  <c r="Q7" i="3"/>
  <c r="Q12" i="3" s="1"/>
  <c r="B12" i="3"/>
  <c r="P15" i="3" s="1"/>
  <c r="Q9" i="3"/>
  <c r="L8" i="3"/>
  <c r="L13" i="3" s="1"/>
  <c r="P7" i="3"/>
  <c r="P9" i="3"/>
  <c r="R10" i="3"/>
  <c r="R9" i="3"/>
  <c r="K7" i="3"/>
  <c r="K12" i="3" s="1"/>
  <c r="M9" i="3"/>
  <c r="M12" i="3" s="1"/>
  <c r="O7" i="3"/>
  <c r="O12" i="3" s="1"/>
  <c r="O9" i="3"/>
  <c r="S7" i="3"/>
  <c r="S12" i="3" s="1"/>
  <c r="S19" i="3" s="1"/>
  <c r="S20" i="3" s="1"/>
  <c r="K8" i="3"/>
  <c r="L9" i="3"/>
  <c r="L12" i="3" s="1"/>
  <c r="N7" i="3"/>
  <c r="N12" i="3" s="1"/>
  <c r="N13" i="3"/>
  <c r="K13" i="3"/>
  <c r="Q13" i="3"/>
  <c r="M13" i="3"/>
  <c r="O13" i="3"/>
  <c r="R12" i="3"/>
  <c r="Q15" i="3"/>
  <c r="R13" i="3"/>
  <c r="P13" i="3"/>
  <c r="P12" i="3"/>
  <c r="K16" i="3"/>
  <c r="O16" i="3"/>
  <c r="N16" i="3"/>
  <c r="F50" i="2"/>
  <c r="G50" i="2" s="1"/>
  <c r="P71" i="1"/>
  <c r="X71" i="1" s="1"/>
  <c r="X72" i="1" s="1"/>
  <c r="F58" i="2"/>
  <c r="G58" i="2" s="1"/>
  <c r="F57" i="2"/>
  <c r="G57" i="2" s="1"/>
  <c r="F51" i="2"/>
  <c r="G51" i="2" s="1"/>
  <c r="F43" i="2"/>
  <c r="G43" i="2" s="1"/>
  <c r="F59" i="2"/>
  <c r="G59" i="2" s="1"/>
  <c r="AF46" i="1"/>
  <c r="AG46" i="1"/>
  <c r="AH46" i="1"/>
  <c r="F42" i="2"/>
  <c r="G42" i="2" s="1"/>
  <c r="F48" i="2"/>
  <c r="G48" i="2" s="1"/>
  <c r="AI46" i="1"/>
  <c r="F47" i="2"/>
  <c r="G47" i="2" s="1"/>
  <c r="F56" i="2"/>
  <c r="G56" i="2" s="1"/>
  <c r="AB46" i="1"/>
  <c r="AJ46" i="1"/>
  <c r="F54" i="2"/>
  <c r="G54" i="2" s="1"/>
  <c r="F46" i="2"/>
  <c r="G46" i="2" s="1"/>
  <c r="F49" i="2"/>
  <c r="G49" i="2" s="1"/>
  <c r="Z46" i="1"/>
  <c r="F55" i="2"/>
  <c r="G55" i="2" s="1"/>
  <c r="AC46" i="1"/>
  <c r="AK46" i="1"/>
  <c r="F53" i="2"/>
  <c r="G53" i="2" s="1"/>
  <c r="F45" i="2"/>
  <c r="G45" i="2" s="1"/>
  <c r="T71" i="1"/>
  <c r="T72" i="1" s="1"/>
  <c r="AA46" i="1"/>
  <c r="U46" i="1"/>
  <c r="W46" i="1"/>
  <c r="T46" i="1"/>
  <c r="Y46" i="1"/>
  <c r="V46" i="1"/>
  <c r="R46" i="1"/>
  <c r="Q46" i="1"/>
  <c r="S46" i="1"/>
  <c r="X46" i="1"/>
  <c r="R15" i="3" l="1"/>
  <c r="K15" i="3"/>
  <c r="K19" i="3" s="1"/>
  <c r="K20" i="3" s="1"/>
  <c r="M15" i="3"/>
  <c r="L15" i="3"/>
  <c r="L19" i="3" s="1"/>
  <c r="L20" i="3" s="1"/>
  <c r="L16" i="3"/>
  <c r="L22" i="3" s="1"/>
  <c r="L23" i="3" s="1"/>
  <c r="R16" i="3"/>
  <c r="N15" i="3"/>
  <c r="N19" i="3" s="1"/>
  <c r="N20" i="3" s="1"/>
  <c r="P16" i="3"/>
  <c r="P22" i="3" s="1"/>
  <c r="P23" i="3" s="1"/>
  <c r="O15" i="3"/>
  <c r="M16" i="3"/>
  <c r="P19" i="3"/>
  <c r="P20" i="3" s="1"/>
  <c r="Q16" i="3"/>
  <c r="Q22" i="3"/>
  <c r="Q23" i="3" s="1"/>
  <c r="K22" i="3"/>
  <c r="K23" i="3" s="1"/>
  <c r="M19" i="3"/>
  <c r="M20" i="3" s="1"/>
  <c r="Q19" i="3"/>
  <c r="Q20" i="3" s="1"/>
  <c r="O19" i="3"/>
  <c r="O20" i="3" s="1"/>
  <c r="O22" i="3"/>
  <c r="O23" i="3" s="1"/>
  <c r="R19" i="3"/>
  <c r="R20" i="3" s="1"/>
  <c r="R22" i="3"/>
  <c r="R23" i="3" s="1"/>
  <c r="M22" i="3"/>
  <c r="M23" i="3" s="1"/>
  <c r="N22" i="3"/>
  <c r="N23" i="3" s="1"/>
  <c r="U71" i="1"/>
  <c r="U72" i="1" s="1"/>
  <c r="Q71" i="1"/>
  <c r="Q72" i="1" s="1"/>
  <c r="V71" i="1"/>
  <c r="V72" i="1" s="1"/>
  <c r="W71" i="1"/>
  <c r="W72" i="1" s="1"/>
  <c r="R71" i="1"/>
  <c r="R72" i="1" s="1"/>
  <c r="Z71" i="1"/>
  <c r="Z72" i="1" s="1"/>
  <c r="S71" i="1"/>
  <c r="S72" i="1" s="1"/>
  <c r="T73" i="1"/>
  <c r="V73" i="1"/>
  <c r="W73" i="1"/>
  <c r="X73" i="1"/>
  <c r="Q73" i="1"/>
  <c r="U73" i="1"/>
  <c r="P73" i="1"/>
  <c r="R73" i="1"/>
  <c r="Z73" i="1"/>
  <c r="S73" i="1"/>
  <c r="Y73" i="1"/>
  <c r="P72" i="1"/>
  <c r="Y71" i="1"/>
  <c r="Y72" i="1" s="1"/>
  <c r="A10" i="1" l="1"/>
  <c r="K10" i="1" s="1"/>
  <c r="B17" i="1"/>
  <c r="E17" i="1" s="1"/>
  <c r="I15" i="1"/>
  <c r="B15" i="1"/>
  <c r="E15" i="1" s="1"/>
  <c r="AF9" i="1"/>
  <c r="AC9" i="1"/>
  <c r="Z9" i="1"/>
  <c r="W9" i="1"/>
  <c r="T9" i="1"/>
  <c r="Q9" i="1"/>
  <c r="AE10" i="1"/>
  <c r="AB10" i="1" s="1"/>
  <c r="AC10" i="1" s="1"/>
  <c r="AE11" i="1"/>
  <c r="AF11" i="1" s="1"/>
  <c r="V9" i="1"/>
  <c r="S9" i="1"/>
  <c r="P9" i="1"/>
  <c r="K11" i="1"/>
  <c r="A9" i="1"/>
  <c r="I11" i="1"/>
  <c r="F11" i="1" l="1"/>
  <c r="O11" i="1" s="1"/>
  <c r="P11" i="1" s="1"/>
  <c r="L11" i="1"/>
  <c r="E11" i="1" s="1"/>
  <c r="J17" i="1"/>
  <c r="AF10" i="1"/>
  <c r="I10" i="1"/>
  <c r="O10" i="1" s="1"/>
  <c r="AB11" i="1"/>
  <c r="AC11" i="1" s="1"/>
  <c r="Y11" i="1"/>
  <c r="Z11" i="1" s="1"/>
  <c r="Y10" i="1"/>
  <c r="Z10" i="1" s="1"/>
  <c r="I9" i="1"/>
  <c r="F9" i="1" l="1"/>
  <c r="L9" i="1"/>
  <c r="E9" i="1" s="1"/>
  <c r="B16" i="1"/>
  <c r="E16" i="1" s="1"/>
  <c r="L10" i="1"/>
  <c r="E10" i="1" s="1"/>
  <c r="P10" i="1"/>
  <c r="V11" i="1"/>
  <c r="W11" i="1" s="1"/>
  <c r="Q11" i="1"/>
  <c r="S11" i="1"/>
  <c r="T11" i="1" s="1"/>
  <c r="P47" i="1" l="1"/>
  <c r="AD47" i="1"/>
  <c r="AH47" i="1"/>
  <c r="AE47" i="1"/>
  <c r="AL47" i="1"/>
  <c r="AJ47" i="1"/>
  <c r="AB47" i="1"/>
  <c r="AG47" i="1"/>
  <c r="AI47" i="1"/>
  <c r="AC47" i="1"/>
  <c r="AF47" i="1"/>
  <c r="AK47" i="1"/>
  <c r="Z47" i="1"/>
  <c r="R47" i="1"/>
  <c r="Y47" i="1"/>
  <c r="X47" i="1"/>
  <c r="AA47" i="1"/>
  <c r="W47" i="1"/>
  <c r="O9" i="1"/>
  <c r="U47" i="1"/>
  <c r="V47" i="1"/>
  <c r="S47" i="1"/>
  <c r="T47" i="1"/>
  <c r="Q47" i="1"/>
  <c r="S10" i="1"/>
  <c r="T10" i="1" s="1"/>
  <c r="Q10" i="1"/>
  <c r="V10" i="1"/>
  <c r="W10" i="1" s="1"/>
  <c r="R64" i="1"/>
  <c r="T64" i="1"/>
  <c r="W64" i="1"/>
  <c r="S64" i="1"/>
  <c r="V64" i="1"/>
  <c r="X64" i="1"/>
  <c r="Y64" i="1"/>
  <c r="U64" i="1"/>
  <c r="Q64" i="1"/>
  <c r="Z68" i="1"/>
  <c r="AC66" i="1"/>
  <c r="S66" i="1" s="1"/>
  <c r="S68" i="1" s="1"/>
  <c r="X66" i="1" l="1"/>
  <c r="X68" i="1" s="1"/>
  <c r="T66" i="1"/>
  <c r="T68" i="1" s="1"/>
  <c r="Q66" i="1"/>
  <c r="Q68" i="1" s="1"/>
  <c r="R66" i="1"/>
  <c r="R68" i="1" s="1"/>
  <c r="U66" i="1"/>
  <c r="U68" i="1" s="1"/>
  <c r="Y66" i="1"/>
  <c r="Y68" i="1" s="1"/>
  <c r="V66" i="1"/>
  <c r="V68" i="1" s="1"/>
  <c r="W66" i="1"/>
  <c r="W68" i="1" s="1"/>
</calcChain>
</file>

<file path=xl/sharedStrings.xml><?xml version="1.0" encoding="utf-8"?>
<sst xmlns="http://schemas.openxmlformats.org/spreadsheetml/2006/main" count="335" uniqueCount="198">
  <si>
    <t>Composite Wingbox sizing</t>
  </si>
  <si>
    <t>L</t>
  </si>
  <si>
    <t>BM</t>
  </si>
  <si>
    <t>h</t>
  </si>
  <si>
    <t>c</t>
  </si>
  <si>
    <t>Stringers</t>
  </si>
  <si>
    <t>Ribs</t>
  </si>
  <si>
    <t>Torque</t>
  </si>
  <si>
    <t>t (1 ply)</t>
  </si>
  <si>
    <t>L [m]</t>
  </si>
  <si>
    <t>c [m]</t>
  </si>
  <si>
    <t>b [m]</t>
  </si>
  <si>
    <t>h; 15% [m]</t>
  </si>
  <si>
    <t>h; 70% [m]</t>
  </si>
  <si>
    <t>h; average [m]</t>
  </si>
  <si>
    <t>a1 [m]</t>
  </si>
  <si>
    <t>a3 [m]</t>
  </si>
  <si>
    <t>a2 [m]</t>
  </si>
  <si>
    <t>a total [m]</t>
  </si>
  <si>
    <t>a sum</t>
  </si>
  <si>
    <t>x/c</t>
  </si>
  <si>
    <t>s</t>
  </si>
  <si>
    <t>span</t>
  </si>
  <si>
    <t>width</t>
  </si>
  <si>
    <t>chord position</t>
  </si>
  <si>
    <t>c formula</t>
  </si>
  <si>
    <t>Load/unit length</t>
  </si>
  <si>
    <t>sig_c</t>
  </si>
  <si>
    <t>Compressive Strength</t>
  </si>
  <si>
    <t>COVERS</t>
  </si>
  <si>
    <t>WEBS</t>
  </si>
  <si>
    <t>n</t>
  </si>
  <si>
    <t>NUMBER</t>
  </si>
  <si>
    <t>thickness</t>
  </si>
  <si>
    <t>sig_xy</t>
  </si>
  <si>
    <t>shear strength</t>
  </si>
  <si>
    <t>sigma_c</t>
  </si>
  <si>
    <t>sigma_xy</t>
  </si>
  <si>
    <t xml:space="preserve">Anaglyph </t>
  </si>
  <si>
    <t>913 1</t>
  </si>
  <si>
    <t>Ciba-Geigy</t>
  </si>
  <si>
    <t>[Pa]</t>
  </si>
  <si>
    <t>[m]</t>
  </si>
  <si>
    <t>D11</t>
  </si>
  <si>
    <t>D22</t>
  </si>
  <si>
    <t>D12</t>
  </si>
  <si>
    <t>D66</t>
  </si>
  <si>
    <t>Design A</t>
  </si>
  <si>
    <t>N_cr</t>
  </si>
  <si>
    <t>N fraction</t>
  </si>
  <si>
    <t>from matlab</t>
  </si>
  <si>
    <t>A</t>
  </si>
  <si>
    <t>Bredt-Batho</t>
  </si>
  <si>
    <t>A [m^2]</t>
  </si>
  <si>
    <t>Trapezium</t>
  </si>
  <si>
    <t>Shear Force</t>
  </si>
  <si>
    <t>Assume all load taken by shear</t>
  </si>
  <si>
    <t>MAT: 913</t>
  </si>
  <si>
    <t>Design B</t>
  </si>
  <si>
    <t>TOO BIG</t>
  </si>
  <si>
    <t>Design C</t>
  </si>
  <si>
    <t>TOO BUG</t>
  </si>
  <si>
    <t>Design D</t>
  </si>
  <si>
    <t>Design E</t>
  </si>
  <si>
    <t>E</t>
  </si>
  <si>
    <t>F</t>
  </si>
  <si>
    <t>2mm</t>
  </si>
  <si>
    <t>G</t>
  </si>
  <si>
    <t>H</t>
  </si>
  <si>
    <t>2.25mm</t>
  </si>
  <si>
    <t>I</t>
  </si>
  <si>
    <t>J</t>
  </si>
  <si>
    <t>K</t>
  </si>
  <si>
    <t>2.5 mm</t>
  </si>
  <si>
    <t>C</t>
  </si>
  <si>
    <t>D</t>
  </si>
  <si>
    <t>M</t>
  </si>
  <si>
    <t>N</t>
  </si>
  <si>
    <t>O</t>
  </si>
  <si>
    <t>3.5 mm</t>
  </si>
  <si>
    <t>B</t>
  </si>
  <si>
    <t>P</t>
  </si>
  <si>
    <t>Q</t>
  </si>
  <si>
    <t>R</t>
  </si>
  <si>
    <t>S</t>
  </si>
  <si>
    <t>T</t>
  </si>
  <si>
    <t>U</t>
  </si>
  <si>
    <t>V</t>
  </si>
  <si>
    <t>V 914</t>
  </si>
  <si>
    <t>V 913</t>
  </si>
  <si>
    <t>4.75 MM</t>
  </si>
  <si>
    <t>4.75 mm</t>
  </si>
  <si>
    <t>U 914</t>
  </si>
  <si>
    <t>4.5 mm</t>
  </si>
  <si>
    <t>Chosen lay-up</t>
  </si>
  <si>
    <t>Material</t>
  </si>
  <si>
    <t>XAS/914</t>
  </si>
  <si>
    <t>Total</t>
  </si>
  <si>
    <t>Thickness [mm]</t>
  </si>
  <si>
    <t>0 deg</t>
  </si>
  <si>
    <t>45 deg</t>
  </si>
  <si>
    <t>(-45) deg</t>
  </si>
  <si>
    <t>90 deg</t>
  </si>
  <si>
    <t>Location</t>
  </si>
  <si>
    <t>z</t>
  </si>
  <si>
    <t>b</t>
  </si>
  <si>
    <t>a</t>
  </si>
  <si>
    <t>h1</t>
  </si>
  <si>
    <t>h2</t>
  </si>
  <si>
    <t>h average</t>
  </si>
  <si>
    <t>Lay-up</t>
  </si>
  <si>
    <t>N_fraction</t>
  </si>
  <si>
    <t>W</t>
  </si>
  <si>
    <t>X</t>
  </si>
  <si>
    <t>Y</t>
  </si>
  <si>
    <t>Z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</si>
  <si>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</si>
  <si>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</si>
  <si>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</si>
  <si>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</si>
  <si>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</si>
  <si>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</si>
  <si>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</si>
  <si>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</si>
  <si>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</si>
  <si>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</si>
  <si>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</si>
  <si>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</si>
  <si>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</si>
  <si>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</si>
  <si>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</si>
  <si>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</si>
  <si>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j3</t>
  </si>
  <si>
    <t>k3</t>
  </si>
  <si>
    <t>l3</t>
  </si>
  <si>
    <t>m</t>
  </si>
  <si>
    <t>phi</t>
  </si>
  <si>
    <t>Design</t>
  </si>
  <si>
    <t>denominator 1 (max)</t>
  </si>
  <si>
    <t>denominator 2 (min)</t>
  </si>
  <si>
    <t>Nx,cl, cr (max) [N]</t>
  </si>
  <si>
    <t>Ny,cl,cr (max) [N]</t>
  </si>
  <si>
    <t>Nx,cl,cr (min) [N]</t>
  </si>
  <si>
    <t>Ny,cl,cr (min) [N]</t>
  </si>
  <si>
    <t>XAS/913 1</t>
  </si>
  <si>
    <t>N_x</t>
  </si>
  <si>
    <t>N_y</t>
  </si>
  <si>
    <t>b min [m]</t>
  </si>
  <si>
    <t>b max [m]</t>
  </si>
  <si>
    <t>a [m]</t>
  </si>
  <si>
    <t>b max/a</t>
  </si>
  <si>
    <t xml:space="preserve">b min/a </t>
  </si>
  <si>
    <t>T3</t>
  </si>
  <si>
    <t>T1 max</t>
  </si>
  <si>
    <t>NUMERATOR max</t>
  </si>
  <si>
    <t>T2 max</t>
  </si>
  <si>
    <t>T1 min</t>
  </si>
  <si>
    <t>T2 min</t>
  </si>
  <si>
    <t>NUMERATOR min</t>
  </si>
  <si>
    <t>t1 [m]</t>
  </si>
  <si>
    <t>c max</t>
  </si>
  <si>
    <t>c min</t>
  </si>
  <si>
    <t>r1 [m] min</t>
  </si>
  <si>
    <t>r1 [m] max</t>
  </si>
  <si>
    <t>a/(b max)</t>
  </si>
  <si>
    <t>a/(b min)</t>
  </si>
  <si>
    <t>a greater than b</t>
  </si>
  <si>
    <t>x (b min)</t>
  </si>
  <si>
    <t>x (b max)</t>
  </si>
  <si>
    <t>E panel</t>
  </si>
  <si>
    <t>tau_cr (b min)</t>
  </si>
  <si>
    <t>tau_cr (b max)</t>
  </si>
  <si>
    <t>E_xx</t>
  </si>
  <si>
    <t>E_yy</t>
  </si>
  <si>
    <t>G_xy</t>
  </si>
  <si>
    <t>v_xy</t>
  </si>
  <si>
    <t>v_yx</t>
  </si>
  <si>
    <t>N_xx</t>
  </si>
  <si>
    <t>N_yy</t>
  </si>
  <si>
    <t>N_xy</t>
  </si>
  <si>
    <t>vf</t>
  </si>
  <si>
    <t>vm</t>
  </si>
  <si>
    <t>E max</t>
  </si>
  <si>
    <t>E min</t>
  </si>
  <si>
    <t>E1</t>
  </si>
  <si>
    <t>sigma_11 t</t>
  </si>
  <si>
    <t>sigma_11 c</t>
  </si>
  <si>
    <t>Material Properties -XAS/914</t>
  </si>
  <si>
    <t>sigma_22 t</t>
  </si>
  <si>
    <t>sigma_22 c</t>
  </si>
  <si>
    <t>sigma_12</t>
  </si>
  <si>
    <t>K_s (min)</t>
  </si>
  <si>
    <t>K_s (max)</t>
  </si>
  <si>
    <t>M_max</t>
  </si>
  <si>
    <t>Nm</t>
  </si>
  <si>
    <t>A 914</t>
  </si>
  <si>
    <t>3.54 Mpa</t>
  </si>
  <si>
    <t>2.91 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</si>
</sst>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11" fontId="0" fillId="4" borderId="0" xfId="0" applyNumberFormat="1" applyFill="1" applyAlignment="1">
      <alignment horizontal="left"/>
    </xf>
    <xf numFmtId="0" fontId="2" fillId="7" borderId="0" xfId="0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7" fillId="5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11" fontId="0" fillId="5" borderId="0" xfId="0" applyNumberFormat="1" applyFill="1" applyAlignment="1">
      <alignment horizontal="left"/>
    </xf>
    <xf numFmtId="0" fontId="7" fillId="6" borderId="0" xfId="0" applyFont="1" applyFill="1" applyAlignment="1">
      <alignment horizontal="left"/>
    </xf>
    <xf numFmtId="11" fontId="0" fillId="6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1" fontId="0" fillId="6" borderId="0" xfId="0" applyNumberFormat="1" applyFill="1"/>
    <xf numFmtId="11" fontId="2" fillId="7" borderId="0" xfId="0" applyNumberFormat="1" applyFont="1" applyFill="1" applyAlignment="1">
      <alignment horizontal="left"/>
    </xf>
    <xf numFmtId="11" fontId="0" fillId="0" borderId="0" xfId="0" applyNumberFormat="1" applyFill="1" applyAlignment="1">
      <alignment horizontal="left"/>
    </xf>
    <xf numFmtId="0" fontId="2" fillId="0" borderId="0" xfId="0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7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Fill="1"/>
    <xf numFmtId="0" fontId="0" fillId="0" borderId="0" xfId="0" applyFill="1"/>
    <xf numFmtId="11" fontId="2" fillId="0" borderId="0" xfId="0" applyNumberFormat="1" applyFont="1" applyFill="1" applyAlignment="1">
      <alignment horizontal="left"/>
    </xf>
    <xf numFmtId="0" fontId="8" fillId="0" borderId="0" xfId="0" applyFont="1"/>
    <xf numFmtId="0" fontId="2" fillId="2" borderId="0" xfId="0" applyFont="1" applyFill="1"/>
    <xf numFmtId="0" fontId="3" fillId="2" borderId="0" xfId="0" applyFont="1" applyFill="1"/>
    <xf numFmtId="11" fontId="0" fillId="2" borderId="0" xfId="0" applyNumberFormat="1" applyFill="1"/>
    <xf numFmtId="0" fontId="2" fillId="0" borderId="0" xfId="0" applyFont="1"/>
    <xf numFmtId="0" fontId="2" fillId="0" borderId="0" xfId="0" applyFont="1" applyFill="1"/>
    <xf numFmtId="0" fontId="1" fillId="0" borderId="0" xfId="0" applyFont="1"/>
    <xf numFmtId="0" fontId="0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9" fillId="0" borderId="0" xfId="0" applyNumberFormat="1" applyFont="1"/>
    <xf numFmtId="0" fontId="0" fillId="0" borderId="0" xfId="0" applyNumberFormat="1"/>
    <xf numFmtId="0" fontId="4" fillId="0" borderId="0" xfId="0" applyNumberFormat="1" applyFont="1" applyFill="1" applyAlignment="1">
      <alignment horizontal="left"/>
    </xf>
    <xf numFmtId="0" fontId="9" fillId="0" borderId="0" xfId="0" applyNumberFormat="1" applyFont="1" applyFill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7" borderId="0" xfId="0" applyFill="1"/>
    <xf numFmtId="0" fontId="7" fillId="7" borderId="0" xfId="0" applyFont="1" applyFill="1" applyAlignment="1">
      <alignment horizontal="left"/>
    </xf>
    <xf numFmtId="0" fontId="7" fillId="0" borderId="0" xfId="0" applyFont="1"/>
    <xf numFmtId="0" fontId="1" fillId="0" borderId="0" xfId="0" applyFont="1" applyFill="1" applyAlignment="1">
      <alignment horizontal="left"/>
    </xf>
    <xf numFmtId="0" fontId="7" fillId="0" borderId="0" xfId="0" applyFont="1" applyFill="1"/>
    <xf numFmtId="0" fontId="1" fillId="0" borderId="0" xfId="0" applyFont="1" applyFill="1"/>
    <xf numFmtId="0" fontId="0" fillId="8" borderId="0" xfId="0" applyFill="1"/>
    <xf numFmtId="0" fontId="2" fillId="9" borderId="0" xfId="0" applyFont="1" applyFill="1"/>
    <xf numFmtId="11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C898-DEA3-436A-978C-3D1D23C43CFE}">
  <dimension ref="A1:AL76"/>
  <sheetViews>
    <sheetView topLeftCell="M7" zoomScale="55" zoomScaleNormal="55" workbookViewId="0">
      <selection activeCell="N47" sqref="N47"/>
    </sheetView>
  </sheetViews>
  <sheetFormatPr defaultRowHeight="14.25" x14ac:dyDescent="0.45"/>
  <cols>
    <col min="1" max="1" width="16" customWidth="1"/>
    <col min="6" max="6" width="13.86328125" customWidth="1"/>
  </cols>
  <sheetData>
    <row r="1" spans="1:33" ht="21" x14ac:dyDescent="0.65">
      <c r="A1" s="34" t="s">
        <v>0</v>
      </c>
    </row>
    <row r="3" spans="1:33" x14ac:dyDescent="0.45">
      <c r="A3" t="s">
        <v>5</v>
      </c>
      <c r="B3">
        <v>2</v>
      </c>
      <c r="D3" t="s">
        <v>21</v>
      </c>
      <c r="E3">
        <v>1.1943999999999999</v>
      </c>
      <c r="F3" t="s">
        <v>42</v>
      </c>
    </row>
    <row r="4" spans="1:33" x14ac:dyDescent="0.45">
      <c r="A4" t="s">
        <v>6</v>
      </c>
      <c r="B4">
        <v>0</v>
      </c>
      <c r="D4" t="s">
        <v>27</v>
      </c>
      <c r="E4" s="1">
        <v>1500000000</v>
      </c>
      <c r="F4" t="s">
        <v>41</v>
      </c>
    </row>
    <row r="5" spans="1:33" x14ac:dyDescent="0.45">
      <c r="A5" t="s">
        <v>8</v>
      </c>
      <c r="B5" s="1">
        <v>1.25E-4</v>
      </c>
      <c r="C5" t="s">
        <v>42</v>
      </c>
      <c r="D5" t="s">
        <v>34</v>
      </c>
      <c r="E5" s="1">
        <v>80000000</v>
      </c>
      <c r="F5" t="s">
        <v>41</v>
      </c>
      <c r="H5" s="1">
        <f>14*B5</f>
        <v>1.75E-3</v>
      </c>
      <c r="Y5" t="s">
        <v>56</v>
      </c>
    </row>
    <row r="6" spans="1:33" ht="21" x14ac:dyDescent="0.65">
      <c r="O6" s="3"/>
      <c r="P6" s="3"/>
      <c r="Q6" s="3"/>
      <c r="R6" s="4"/>
      <c r="S6" s="5" t="s">
        <v>29</v>
      </c>
      <c r="T6" s="4"/>
      <c r="U6" s="4"/>
      <c r="V6" s="4"/>
      <c r="W6" s="4"/>
      <c r="X6" s="35"/>
      <c r="Y6" s="35"/>
      <c r="Z6" s="35"/>
      <c r="AA6" s="2"/>
      <c r="AB6" s="36" t="s">
        <v>30</v>
      </c>
      <c r="AC6" s="2"/>
      <c r="AD6" s="2"/>
      <c r="AE6" s="2"/>
      <c r="AF6" s="2"/>
    </row>
    <row r="7" spans="1:33" x14ac:dyDescent="0.45">
      <c r="C7" t="s">
        <v>50</v>
      </c>
      <c r="E7" t="s">
        <v>52</v>
      </c>
      <c r="L7" t="s">
        <v>54</v>
      </c>
      <c r="O7" s="6" t="s">
        <v>31</v>
      </c>
      <c r="P7" s="6" t="s">
        <v>32</v>
      </c>
      <c r="Q7" s="6" t="s">
        <v>33</v>
      </c>
      <c r="R7" s="7" t="s">
        <v>31</v>
      </c>
      <c r="S7" s="7" t="s">
        <v>32</v>
      </c>
      <c r="T7" s="7" t="s">
        <v>33</v>
      </c>
      <c r="U7" s="8" t="s">
        <v>31</v>
      </c>
      <c r="V7" s="8" t="s">
        <v>32</v>
      </c>
      <c r="W7" s="8" t="s">
        <v>33</v>
      </c>
      <c r="X7" s="6" t="s">
        <v>31</v>
      </c>
      <c r="Y7" s="6" t="s">
        <v>32</v>
      </c>
      <c r="Z7" s="6" t="s">
        <v>33</v>
      </c>
      <c r="AA7" s="7" t="s">
        <v>31</v>
      </c>
      <c r="AB7" s="7" t="s">
        <v>32</v>
      </c>
      <c r="AC7" s="7" t="s">
        <v>33</v>
      </c>
      <c r="AD7" s="8" t="s">
        <v>31</v>
      </c>
      <c r="AE7" s="8" t="s">
        <v>32</v>
      </c>
      <c r="AF7" s="8" t="s">
        <v>33</v>
      </c>
    </row>
    <row r="8" spans="1:33" x14ac:dyDescent="0.45">
      <c r="A8" s="38" t="s">
        <v>20</v>
      </c>
      <c r="B8" s="38" t="s">
        <v>9</v>
      </c>
      <c r="C8" s="39" t="s">
        <v>55</v>
      </c>
      <c r="D8" s="39" t="s">
        <v>2</v>
      </c>
      <c r="E8" s="58" t="s">
        <v>7</v>
      </c>
      <c r="F8" s="38" t="s">
        <v>26</v>
      </c>
      <c r="G8" s="38" t="s">
        <v>12</v>
      </c>
      <c r="H8" s="38" t="s">
        <v>13</v>
      </c>
      <c r="I8" s="38" t="s">
        <v>14</v>
      </c>
      <c r="J8" s="38" t="s">
        <v>10</v>
      </c>
      <c r="K8" s="38" t="s">
        <v>25</v>
      </c>
      <c r="L8" s="38" t="s">
        <v>53</v>
      </c>
      <c r="O8" s="9">
        <v>0</v>
      </c>
      <c r="P8" s="10">
        <v>0</v>
      </c>
      <c r="Q8" s="9">
        <v>0</v>
      </c>
      <c r="R8" s="11">
        <v>90</v>
      </c>
      <c r="S8" s="12">
        <v>90</v>
      </c>
      <c r="T8" s="11">
        <v>90</v>
      </c>
      <c r="U8" s="13">
        <v>45</v>
      </c>
      <c r="V8" s="12">
        <v>45</v>
      </c>
      <c r="W8" s="13">
        <v>45</v>
      </c>
      <c r="X8" s="9">
        <v>0</v>
      </c>
      <c r="Y8" s="10">
        <v>0</v>
      </c>
      <c r="Z8" s="9">
        <v>0</v>
      </c>
      <c r="AA8" s="11">
        <v>90</v>
      </c>
      <c r="AB8" s="12">
        <v>90</v>
      </c>
      <c r="AC8" s="11">
        <v>90</v>
      </c>
      <c r="AD8" s="13">
        <v>45</v>
      </c>
      <c r="AE8" s="12">
        <v>45</v>
      </c>
      <c r="AF8" s="13">
        <v>45</v>
      </c>
    </row>
    <row r="9" spans="1:33" x14ac:dyDescent="0.45">
      <c r="A9">
        <f>B9/$E$3</f>
        <v>0</v>
      </c>
      <c r="B9">
        <v>0</v>
      </c>
      <c r="C9" s="31">
        <v>-1015.8</v>
      </c>
      <c r="D9" s="32">
        <v>-600.22580000000005</v>
      </c>
      <c r="E9" s="59">
        <f>2*L9*C9</f>
        <v>-112.07346541050005</v>
      </c>
      <c r="F9">
        <f>D9/(I9*J9)</f>
        <v>-10880.530291568499</v>
      </c>
      <c r="G9">
        <f>0.11*K9</f>
        <v>0.11016500000000001</v>
      </c>
      <c r="H9">
        <f>0.09*K9</f>
        <v>9.0135000000000007E-2</v>
      </c>
      <c r="I9">
        <f>(G9+H9)/2</f>
        <v>0.10015000000000002</v>
      </c>
      <c r="J9">
        <f>K9*0.55</f>
        <v>0.55082500000000012</v>
      </c>
      <c r="K9">
        <f>-0.1849*A9+1.0015</f>
        <v>1.0015000000000001</v>
      </c>
      <c r="L9">
        <f>I9*J9</f>
        <v>5.5165123750000024E-2</v>
      </c>
      <c r="O9" s="14">
        <f>ABS(F9/($B$5*$E$4))</f>
        <v>5.8029494888365327E-2</v>
      </c>
      <c r="P9" s="15">
        <f>0</f>
        <v>0</v>
      </c>
      <c r="Q9" s="16">
        <f>P9*$B$5</f>
        <v>0</v>
      </c>
      <c r="R9" s="17">
        <v>0</v>
      </c>
      <c r="S9" s="18">
        <f>0</f>
        <v>0</v>
      </c>
      <c r="T9" s="19">
        <f>S9*$B$5</f>
        <v>0</v>
      </c>
      <c r="U9" s="20">
        <v>0</v>
      </c>
      <c r="V9" s="18">
        <f>0</f>
        <v>0</v>
      </c>
      <c r="W9" s="21">
        <f>$B$5*V9</f>
        <v>0</v>
      </c>
      <c r="X9" s="22">
        <v>0</v>
      </c>
      <c r="Y9" s="15">
        <v>0</v>
      </c>
      <c r="Z9" s="14">
        <f>$B$5*Y9</f>
        <v>0</v>
      </c>
      <c r="AA9" s="17">
        <v>0</v>
      </c>
      <c r="AB9" s="18">
        <v>0</v>
      </c>
      <c r="AC9" s="19">
        <f>$B$5*AB9</f>
        <v>0</v>
      </c>
      <c r="AD9" s="23">
        <f>ABS(C9/($B$5*$E$5))</f>
        <v>0.10157999999999999</v>
      </c>
      <c r="AE9" s="15">
        <v>0</v>
      </c>
      <c r="AF9" s="21">
        <f>$B$5*AE9</f>
        <v>0</v>
      </c>
    </row>
    <row r="10" spans="1:33" x14ac:dyDescent="0.45">
      <c r="A10">
        <f>B10/$E$3</f>
        <v>0.41862022772940394</v>
      </c>
      <c r="B10">
        <v>0.5</v>
      </c>
      <c r="C10" s="32">
        <v>-586.02170000000001</v>
      </c>
      <c r="D10" s="32">
        <v>-199.7748</v>
      </c>
      <c r="E10" s="59">
        <f>2*L10*C10</f>
        <v>-55.048009083395485</v>
      </c>
      <c r="F10">
        <f>D10/(I10*J10)</f>
        <v>-4253.4641983436732</v>
      </c>
      <c r="G10">
        <f>0.11*K10</f>
        <v>0.10165068318821166</v>
      </c>
      <c r="H10">
        <f t="shared" ref="H10:H11" si="0">0.09*K10</f>
        <v>8.3168740790354995E-2</v>
      </c>
      <c r="I10">
        <f t="shared" ref="I10:I11" si="1">(G10+H10)/2</f>
        <v>9.2409711989283327E-2</v>
      </c>
      <c r="J10">
        <f>K10*0.55</f>
        <v>0.50825341594105833</v>
      </c>
      <c r="K10">
        <f>-0.1849*A10+1.0015</f>
        <v>0.92409711989283327</v>
      </c>
      <c r="L10">
        <f>I10*J10</f>
        <v>4.6967551784682621E-2</v>
      </c>
      <c r="O10" s="14">
        <f>ABS(F10/($B$5*$E$4))</f>
        <v>2.2685142391166258E-2</v>
      </c>
      <c r="P10" s="15">
        <f>ROUNDUP(O10, 0)</f>
        <v>1</v>
      </c>
      <c r="Q10" s="16">
        <f>P10*$B$5</f>
        <v>1.25E-4</v>
      </c>
      <c r="R10" s="17">
        <v>0</v>
      </c>
      <c r="S10" s="18">
        <f t="shared" ref="S10:S11" si="2">2*ROUNDUP(0.1*P10, 0)</f>
        <v>2</v>
      </c>
      <c r="T10" s="19">
        <f t="shared" ref="T10:T11" si="3">S10*$B$5</f>
        <v>2.5000000000000001E-4</v>
      </c>
      <c r="U10" s="20">
        <v>0</v>
      </c>
      <c r="V10" s="18">
        <f>2*ROUNDUP(0.1*P10, 0)</f>
        <v>2</v>
      </c>
      <c r="W10" s="21">
        <f t="shared" ref="W10:W11" si="4">$B$5*V10</f>
        <v>2.5000000000000001E-4</v>
      </c>
      <c r="X10" s="22">
        <v>0</v>
      </c>
      <c r="Y10" s="15">
        <f t="shared" ref="Y10:Y11" si="5">2*ROUNDUP(0.1*AE10, 0)</f>
        <v>2</v>
      </c>
      <c r="Z10" s="14">
        <f t="shared" ref="Z10:Z11" si="6">$B$5*Y10</f>
        <v>2.5000000000000001E-4</v>
      </c>
      <c r="AA10" s="17">
        <v>0</v>
      </c>
      <c r="AB10" s="18">
        <f>2*ROUNDUP(0.1*AE10, 0)</f>
        <v>2</v>
      </c>
      <c r="AC10" s="19">
        <f t="shared" ref="AC10:AC11" si="7">$B$5*AB10</f>
        <v>2.5000000000000001E-4</v>
      </c>
      <c r="AD10" s="23">
        <f t="shared" ref="AD10:AD11" si="8">ABS(C10/($B$5*$E$5))</f>
        <v>5.8602170000000002E-2</v>
      </c>
      <c r="AE10" s="15">
        <f t="shared" ref="AE10:AE11" si="9">2*ROUNDUP(AD10,0)</f>
        <v>2</v>
      </c>
      <c r="AF10" s="21">
        <f t="shared" ref="AF10:AF11" si="10">$B$5*AE10</f>
        <v>2.5000000000000001E-4</v>
      </c>
    </row>
    <row r="11" spans="1:33" x14ac:dyDescent="0.45">
      <c r="A11">
        <f>B11/$E$3</f>
        <v>1</v>
      </c>
      <c r="B11">
        <v>1.1943999999999999</v>
      </c>
      <c r="C11" s="32">
        <v>10.83</v>
      </c>
      <c r="D11" s="32">
        <v>-6.8199999999999997E-2</v>
      </c>
      <c r="E11" s="59">
        <f t="shared" ref="E11" si="11">2*L11*C11</f>
        <v>0.79440120262799985</v>
      </c>
      <c r="F11">
        <f>D11/(I11*J11)</f>
        <v>-1.8595289069467145</v>
      </c>
      <c r="G11">
        <f>0.11*K11</f>
        <v>8.9826000000000003E-2</v>
      </c>
      <c r="H11">
        <f t="shared" si="0"/>
        <v>7.349399999999999E-2</v>
      </c>
      <c r="I11">
        <f t="shared" si="1"/>
        <v>8.1659999999999996E-2</v>
      </c>
      <c r="J11">
        <v>0.44912999999999997</v>
      </c>
      <c r="K11">
        <f>-0.1849*A11+1.0015</f>
        <v>0.81659999999999999</v>
      </c>
      <c r="L11">
        <f>I11*J11</f>
        <v>3.6675955799999993E-2</v>
      </c>
      <c r="O11" s="14">
        <f>ABS(F11/($B$5*$E$4))</f>
        <v>9.9174875037158102E-6</v>
      </c>
      <c r="P11" s="24">
        <f>ROUNDUP(O11, 0)</f>
        <v>1</v>
      </c>
      <c r="Q11" s="16">
        <f>P11*$B$5</f>
        <v>1.25E-4</v>
      </c>
      <c r="R11" s="17">
        <v>0</v>
      </c>
      <c r="S11" s="18">
        <f t="shared" si="2"/>
        <v>2</v>
      </c>
      <c r="T11" s="19">
        <f t="shared" si="3"/>
        <v>2.5000000000000001E-4</v>
      </c>
      <c r="U11" s="20">
        <v>0</v>
      </c>
      <c r="V11" s="18">
        <f t="shared" ref="V11" si="12">2*ROUNDUP(0.1*P11, 0)</f>
        <v>2</v>
      </c>
      <c r="W11" s="21">
        <f t="shared" si="4"/>
        <v>2.5000000000000001E-4</v>
      </c>
      <c r="X11" s="22">
        <v>0</v>
      </c>
      <c r="Y11" s="15">
        <f t="shared" si="5"/>
        <v>2</v>
      </c>
      <c r="Z11" s="14">
        <f t="shared" si="6"/>
        <v>2.5000000000000001E-4</v>
      </c>
      <c r="AA11" s="17">
        <v>0</v>
      </c>
      <c r="AB11" s="18">
        <f t="shared" ref="AB11" si="13">2*ROUNDUP(0.1*AE11, 0)</f>
        <v>2</v>
      </c>
      <c r="AC11" s="19">
        <f t="shared" si="7"/>
        <v>2.5000000000000001E-4</v>
      </c>
      <c r="AD11" s="23">
        <f t="shared" si="8"/>
        <v>1.083E-3</v>
      </c>
      <c r="AE11" s="15">
        <f t="shared" si="9"/>
        <v>2</v>
      </c>
      <c r="AF11" s="21">
        <f t="shared" si="10"/>
        <v>2.5000000000000001E-4</v>
      </c>
    </row>
    <row r="12" spans="1:33" x14ac:dyDescent="0.45">
      <c r="O12" s="25"/>
      <c r="P12" s="26"/>
      <c r="Q12" s="27"/>
      <c r="R12" s="28"/>
      <c r="S12" s="29"/>
      <c r="T12" s="25"/>
      <c r="U12" s="28"/>
      <c r="V12" s="29"/>
      <c r="W12" s="25"/>
      <c r="X12" s="30"/>
      <c r="Y12" s="26"/>
      <c r="Z12" s="25"/>
      <c r="AA12" s="28"/>
      <c r="AB12" s="29"/>
      <c r="AC12" s="25"/>
      <c r="AD12" s="31"/>
      <c r="AE12" s="26"/>
      <c r="AF12" s="25"/>
      <c r="AG12" s="32"/>
    </row>
    <row r="13" spans="1:33" x14ac:dyDescent="0.45">
      <c r="A13" t="s">
        <v>24</v>
      </c>
      <c r="F13" t="s">
        <v>23</v>
      </c>
      <c r="G13" t="s">
        <v>22</v>
      </c>
      <c r="O13" s="25" t="s">
        <v>57</v>
      </c>
      <c r="P13" s="26"/>
      <c r="Q13" s="27"/>
      <c r="R13" s="28"/>
      <c r="S13" s="29"/>
      <c r="T13" s="25"/>
      <c r="U13" s="28"/>
      <c r="V13" s="29"/>
      <c r="W13" s="25"/>
      <c r="X13" s="30"/>
      <c r="Y13" s="26"/>
      <c r="Z13" s="25"/>
      <c r="AA13" s="28"/>
      <c r="AB13" s="29"/>
      <c r="AC13" s="25"/>
      <c r="AD13" s="31"/>
      <c r="AE13" s="26"/>
      <c r="AF13" s="25"/>
      <c r="AG13" s="32"/>
    </row>
    <row r="14" spans="1:33" x14ac:dyDescent="0.45">
      <c r="A14" t="s">
        <v>9</v>
      </c>
      <c r="B14" t="s">
        <v>15</v>
      </c>
      <c r="C14" t="s">
        <v>17</v>
      </c>
      <c r="D14" t="s">
        <v>16</v>
      </c>
      <c r="E14" t="s">
        <v>19</v>
      </c>
      <c r="F14" t="s">
        <v>18</v>
      </c>
      <c r="G14" t="s">
        <v>11</v>
      </c>
      <c r="O14" s="25" t="s">
        <v>47</v>
      </c>
      <c r="P14" s="41">
        <v>90</v>
      </c>
      <c r="Q14" s="41">
        <v>45</v>
      </c>
      <c r="R14" s="42">
        <v>-45</v>
      </c>
      <c r="S14" s="42">
        <v>0</v>
      </c>
      <c r="T14" s="41">
        <v>0</v>
      </c>
      <c r="U14" s="42">
        <v>-45</v>
      </c>
      <c r="V14" s="42">
        <v>45</v>
      </c>
      <c r="W14" s="41">
        <v>90</v>
      </c>
      <c r="X14" s="43"/>
      <c r="Y14" s="44"/>
      <c r="Z14" s="43"/>
      <c r="AA14" s="42"/>
      <c r="AB14" s="47"/>
      <c r="AC14" s="43"/>
      <c r="AD14" s="31"/>
      <c r="AE14" s="26"/>
      <c r="AF14" s="25"/>
      <c r="AG14" s="32"/>
    </row>
    <row r="15" spans="1:33" x14ac:dyDescent="0.45">
      <c r="A15">
        <v>0</v>
      </c>
      <c r="B15">
        <f>J9-(C15+D15)</f>
        <v>0.25082500000000013</v>
      </c>
      <c r="C15">
        <v>0.15</v>
      </c>
      <c r="D15">
        <v>0.15</v>
      </c>
      <c r="E15">
        <f t="shared" ref="E15:E16" si="14">SUM(B15:D15)</f>
        <v>0.55082500000000012</v>
      </c>
      <c r="G15">
        <f>1.1944/1</f>
        <v>1.1943999999999999</v>
      </c>
      <c r="I15">
        <f>(J9-J11)/(A15-A17)</f>
        <v>-8.5143168117883583E-2</v>
      </c>
      <c r="J15">
        <f>$I$15*A15+$J$9</f>
        <v>0.55082500000000012</v>
      </c>
      <c r="O15" t="s">
        <v>58</v>
      </c>
      <c r="P15" s="45">
        <v>-45</v>
      </c>
      <c r="Q15" s="46">
        <v>90</v>
      </c>
      <c r="R15" s="46">
        <v>45</v>
      </c>
      <c r="S15" s="46">
        <v>-45</v>
      </c>
      <c r="T15" s="46">
        <v>0</v>
      </c>
      <c r="U15" s="46">
        <v>0</v>
      </c>
      <c r="V15" s="46">
        <v>-45</v>
      </c>
      <c r="W15" s="46">
        <v>45</v>
      </c>
      <c r="X15" s="46">
        <v>90</v>
      </c>
      <c r="Y15" s="45">
        <v>-45</v>
      </c>
      <c r="Z15" s="43"/>
      <c r="AA15" s="42"/>
      <c r="AB15" s="47"/>
      <c r="AC15" s="43"/>
      <c r="AD15" s="31"/>
      <c r="AE15" s="26"/>
      <c r="AF15" s="25"/>
      <c r="AG15" s="32"/>
    </row>
    <row r="16" spans="1:33" x14ac:dyDescent="0.45">
      <c r="A16">
        <v>0.5</v>
      </c>
      <c r="B16">
        <f>J10-(C16+D16)</f>
        <v>0.20825341594105834</v>
      </c>
      <c r="C16">
        <v>0.15</v>
      </c>
      <c r="D16">
        <v>0.15</v>
      </c>
      <c r="E16">
        <f t="shared" si="14"/>
        <v>0.50825341594105833</v>
      </c>
      <c r="G16">
        <v>1.1943999999999999</v>
      </c>
      <c r="J16">
        <f>$I$15*A16+$J$9</f>
        <v>0.50825341594105833</v>
      </c>
      <c r="O16" s="25" t="s">
        <v>60</v>
      </c>
      <c r="P16" s="46">
        <v>-45</v>
      </c>
      <c r="Q16" s="46">
        <v>90</v>
      </c>
      <c r="R16" s="42">
        <v>45</v>
      </c>
      <c r="S16" s="48">
        <v>0</v>
      </c>
      <c r="T16" s="43">
        <v>-45</v>
      </c>
      <c r="U16" s="42">
        <v>0</v>
      </c>
      <c r="V16" s="42">
        <v>0</v>
      </c>
      <c r="W16" s="43">
        <v>-45</v>
      </c>
      <c r="X16" s="48">
        <v>0</v>
      </c>
      <c r="Y16" s="41">
        <v>45</v>
      </c>
      <c r="Z16" s="43">
        <v>90</v>
      </c>
      <c r="AA16" s="42">
        <v>-45</v>
      </c>
      <c r="AB16" s="47"/>
      <c r="AC16" s="43"/>
      <c r="AD16" s="31"/>
      <c r="AE16" s="26"/>
      <c r="AF16" s="25"/>
      <c r="AG16" s="32"/>
    </row>
    <row r="17" spans="1:34" x14ac:dyDescent="0.45">
      <c r="A17">
        <v>1.1943999999999999</v>
      </c>
      <c r="B17">
        <f>J11-(C17+D17)</f>
        <v>0.14912999999999998</v>
      </c>
      <c r="C17">
        <v>0.15</v>
      </c>
      <c r="D17">
        <v>0.15</v>
      </c>
      <c r="E17">
        <f>SUM(B17:D17)</f>
        <v>0.44913000000000003</v>
      </c>
      <c r="G17">
        <v>1.1943999999999999</v>
      </c>
      <c r="J17">
        <f>$I$15*A17+$J$9</f>
        <v>0.44912999999999997</v>
      </c>
      <c r="O17" s="25" t="s">
        <v>62</v>
      </c>
      <c r="P17" s="46">
        <v>-45</v>
      </c>
      <c r="Q17" s="46">
        <v>90</v>
      </c>
      <c r="R17" s="42">
        <v>45</v>
      </c>
      <c r="S17" s="48">
        <v>90</v>
      </c>
      <c r="T17" s="43">
        <v>-45</v>
      </c>
      <c r="U17" s="42">
        <v>0</v>
      </c>
      <c r="V17" s="42">
        <v>0</v>
      </c>
      <c r="W17" s="43">
        <v>-45</v>
      </c>
      <c r="X17" s="48">
        <v>90</v>
      </c>
      <c r="Y17" s="41">
        <v>45</v>
      </c>
      <c r="Z17" s="43">
        <v>90</v>
      </c>
      <c r="AA17" s="42">
        <v>-45</v>
      </c>
      <c r="AB17" s="47"/>
      <c r="AC17" s="43"/>
      <c r="AD17" s="31"/>
      <c r="AE17" s="26"/>
      <c r="AF17" s="25"/>
      <c r="AG17" s="32"/>
    </row>
    <row r="18" spans="1:34" x14ac:dyDescent="0.45">
      <c r="O18" s="25" t="s">
        <v>63</v>
      </c>
      <c r="P18" s="46">
        <v>-45</v>
      </c>
      <c r="Q18" s="46">
        <v>90</v>
      </c>
      <c r="R18" s="48">
        <v>0</v>
      </c>
      <c r="S18" s="47">
        <v>45</v>
      </c>
      <c r="T18" s="43">
        <v>90</v>
      </c>
      <c r="U18" s="42">
        <v>-45</v>
      </c>
      <c r="V18" s="47">
        <v>0</v>
      </c>
      <c r="W18" s="43">
        <v>0</v>
      </c>
      <c r="X18" s="43">
        <v>-45</v>
      </c>
      <c r="Y18" s="44">
        <v>90</v>
      </c>
      <c r="Z18" s="42">
        <v>45</v>
      </c>
      <c r="AA18" s="48">
        <v>0</v>
      </c>
      <c r="AB18" s="47">
        <v>90</v>
      </c>
      <c r="AC18" s="43">
        <v>-45</v>
      </c>
      <c r="AD18" s="31"/>
      <c r="AE18" s="26"/>
      <c r="AF18" s="25"/>
      <c r="AG18" s="32"/>
    </row>
    <row r="19" spans="1:34" x14ac:dyDescent="0.45">
      <c r="N19" t="s">
        <v>66</v>
      </c>
      <c r="O19" s="25" t="s">
        <v>65</v>
      </c>
      <c r="P19" s="46">
        <v>45</v>
      </c>
      <c r="Q19" t="s">
        <v>64</v>
      </c>
      <c r="R19" s="28">
        <v>45</v>
      </c>
      <c r="S19" s="29"/>
      <c r="T19" s="25"/>
      <c r="U19" s="28"/>
      <c r="V19" s="29"/>
      <c r="W19" s="25"/>
      <c r="X19" s="30"/>
      <c r="Y19" s="26"/>
      <c r="Z19" s="25"/>
      <c r="AA19" s="28"/>
      <c r="AB19" s="29"/>
      <c r="AC19" s="25"/>
      <c r="AD19" s="31"/>
      <c r="AE19" s="26"/>
      <c r="AF19" s="25"/>
      <c r="AG19" s="32"/>
    </row>
    <row r="20" spans="1:34" x14ac:dyDescent="0.45">
      <c r="N20" t="s">
        <v>66</v>
      </c>
      <c r="O20" s="25" t="s">
        <v>67</v>
      </c>
      <c r="P20" s="46">
        <v>45</v>
      </c>
      <c r="Q20">
        <v>-45</v>
      </c>
      <c r="R20" s="28">
        <v>90</v>
      </c>
      <c r="S20">
        <v>0</v>
      </c>
      <c r="T20" s="43">
        <v>45</v>
      </c>
      <c r="U20" s="28">
        <v>-45</v>
      </c>
      <c r="V20" s="32">
        <v>90</v>
      </c>
      <c r="W20" s="43">
        <v>0</v>
      </c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4" x14ac:dyDescent="0.45">
      <c r="C21" t="s">
        <v>38</v>
      </c>
      <c r="D21" t="s">
        <v>40</v>
      </c>
      <c r="N21" t="s">
        <v>69</v>
      </c>
      <c r="O21" s="25" t="s">
        <v>68</v>
      </c>
      <c r="P21" s="46">
        <v>0</v>
      </c>
      <c r="Q21" t="s">
        <v>67</v>
      </c>
      <c r="R21" s="28">
        <v>0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4" x14ac:dyDescent="0.45">
      <c r="C22" t="s">
        <v>39</v>
      </c>
      <c r="D22">
        <v>914</v>
      </c>
      <c r="N22" t="s">
        <v>73</v>
      </c>
      <c r="O22" s="25" t="s">
        <v>70</v>
      </c>
      <c r="P22" s="46">
        <v>90</v>
      </c>
      <c r="Q22" t="s">
        <v>68</v>
      </c>
      <c r="R22" s="28">
        <v>90</v>
      </c>
    </row>
    <row r="23" spans="1:34" x14ac:dyDescent="0.45">
      <c r="A23" t="s">
        <v>28</v>
      </c>
      <c r="B23" t="s">
        <v>36</v>
      </c>
      <c r="C23" s="1">
        <v>1500000000</v>
      </c>
      <c r="D23" s="1">
        <v>1350000000</v>
      </c>
      <c r="O23" s="25" t="s">
        <v>71</v>
      </c>
      <c r="P23" s="46">
        <v>-45</v>
      </c>
      <c r="Q23" t="s">
        <v>70</v>
      </c>
      <c r="R23" s="28">
        <v>-45</v>
      </c>
    </row>
    <row r="24" spans="1:34" x14ac:dyDescent="0.45">
      <c r="A24" t="s">
        <v>35</v>
      </c>
      <c r="B24" t="s">
        <v>37</v>
      </c>
      <c r="C24" s="1">
        <v>80000000</v>
      </c>
      <c r="D24" s="1">
        <v>50000000</v>
      </c>
      <c r="O24" s="25" t="s">
        <v>72</v>
      </c>
      <c r="P24" s="46">
        <v>45</v>
      </c>
      <c r="Q24" t="s">
        <v>71</v>
      </c>
      <c r="R24" s="28">
        <v>45</v>
      </c>
    </row>
    <row r="25" spans="1:34" x14ac:dyDescent="0.45">
      <c r="O25" s="25" t="s">
        <v>1</v>
      </c>
      <c r="P25" s="46">
        <v>0</v>
      </c>
      <c r="Q25" t="s">
        <v>72</v>
      </c>
      <c r="R25" s="28">
        <v>0</v>
      </c>
    </row>
    <row r="26" spans="1:34" x14ac:dyDescent="0.45">
      <c r="N26" t="s">
        <v>79</v>
      </c>
      <c r="O26" s="25" t="s">
        <v>76</v>
      </c>
      <c r="P26" s="46">
        <v>90</v>
      </c>
      <c r="Q26" t="s">
        <v>1</v>
      </c>
      <c r="R26" s="28">
        <v>90</v>
      </c>
    </row>
    <row r="27" spans="1:34" x14ac:dyDescent="0.45">
      <c r="O27" s="25" t="s">
        <v>77</v>
      </c>
      <c r="P27" s="46">
        <v>-45</v>
      </c>
      <c r="Q27" t="s">
        <v>76</v>
      </c>
      <c r="R27" s="28">
        <v>-45</v>
      </c>
    </row>
    <row r="28" spans="1:34" x14ac:dyDescent="0.45">
      <c r="N28">
        <v>4</v>
      </c>
      <c r="O28" s="25" t="s">
        <v>78</v>
      </c>
      <c r="P28" s="46">
        <v>45</v>
      </c>
      <c r="Q28" t="s">
        <v>77</v>
      </c>
      <c r="R28" s="28">
        <v>45</v>
      </c>
    </row>
    <row r="29" spans="1:34" x14ac:dyDescent="0.45">
      <c r="N29">
        <v>4.125</v>
      </c>
      <c r="O29" s="25" t="s">
        <v>81</v>
      </c>
      <c r="P29" s="46">
        <v>0</v>
      </c>
      <c r="Q29" t="s">
        <v>78</v>
      </c>
      <c r="R29" s="28">
        <v>0</v>
      </c>
    </row>
    <row r="30" spans="1:34" x14ac:dyDescent="0.45">
      <c r="O30" s="25" t="s">
        <v>81</v>
      </c>
      <c r="P30" s="46">
        <v>0</v>
      </c>
      <c r="Q30">
        <v>45</v>
      </c>
      <c r="R30" s="28">
        <v>-45</v>
      </c>
      <c r="S30">
        <v>90</v>
      </c>
      <c r="T30" s="46">
        <v>0</v>
      </c>
      <c r="U30">
        <v>45</v>
      </c>
      <c r="V30" s="28">
        <v>-45</v>
      </c>
      <c r="W30">
        <v>90</v>
      </c>
      <c r="X30" s="46">
        <v>0</v>
      </c>
      <c r="Y30">
        <v>45</v>
      </c>
      <c r="Z30" s="28">
        <v>-45</v>
      </c>
      <c r="AA30">
        <v>90</v>
      </c>
      <c r="AB30" s="46">
        <v>0</v>
      </c>
      <c r="AC30">
        <v>45</v>
      </c>
      <c r="AD30" s="28">
        <v>-45</v>
      </c>
      <c r="AE30">
        <v>90</v>
      </c>
      <c r="AF30">
        <v>0</v>
      </c>
    </row>
    <row r="31" spans="1:34" x14ac:dyDescent="0.45">
      <c r="O31" s="25" t="s">
        <v>82</v>
      </c>
      <c r="P31" s="46">
        <v>0</v>
      </c>
      <c r="Q31">
        <v>45</v>
      </c>
      <c r="R31" s="28">
        <v>-45</v>
      </c>
      <c r="S31">
        <v>90</v>
      </c>
      <c r="T31" s="46">
        <v>0</v>
      </c>
      <c r="U31">
        <v>45</v>
      </c>
      <c r="V31" s="28">
        <v>-45</v>
      </c>
      <c r="W31">
        <v>90</v>
      </c>
      <c r="X31" s="46">
        <v>0</v>
      </c>
      <c r="Y31">
        <v>45</v>
      </c>
      <c r="Z31" s="28">
        <v>-45</v>
      </c>
      <c r="AA31">
        <v>90</v>
      </c>
      <c r="AB31" s="46">
        <v>0</v>
      </c>
      <c r="AC31" s="46">
        <v>0</v>
      </c>
      <c r="AD31">
        <v>45</v>
      </c>
      <c r="AE31" s="28">
        <v>-45</v>
      </c>
      <c r="AF31">
        <v>90</v>
      </c>
      <c r="AG31">
        <v>0</v>
      </c>
    </row>
    <row r="32" spans="1:34" x14ac:dyDescent="0.45">
      <c r="O32" s="25" t="s">
        <v>83</v>
      </c>
      <c r="P32" s="46">
        <v>0</v>
      </c>
      <c r="Q32">
        <v>45</v>
      </c>
      <c r="R32" s="28">
        <v>-45</v>
      </c>
      <c r="S32">
        <v>90</v>
      </c>
      <c r="T32" s="46">
        <v>0</v>
      </c>
      <c r="U32">
        <v>45</v>
      </c>
      <c r="V32" s="28">
        <v>-45</v>
      </c>
      <c r="W32">
        <v>90</v>
      </c>
      <c r="X32" s="46">
        <v>0</v>
      </c>
      <c r="Y32" s="46">
        <v>0</v>
      </c>
      <c r="Z32">
        <v>45</v>
      </c>
      <c r="AA32" s="28">
        <v>-45</v>
      </c>
      <c r="AB32">
        <v>90</v>
      </c>
      <c r="AC32" s="46">
        <v>0</v>
      </c>
      <c r="AD32" s="46">
        <v>0</v>
      </c>
      <c r="AE32">
        <v>45</v>
      </c>
      <c r="AF32" s="28">
        <v>-45</v>
      </c>
      <c r="AG32">
        <v>90</v>
      </c>
      <c r="AH32">
        <v>0</v>
      </c>
    </row>
    <row r="33" spans="1:38" x14ac:dyDescent="0.45">
      <c r="C33">
        <v>0.55082500000000001</v>
      </c>
      <c r="O33" s="25" t="s">
        <v>84</v>
      </c>
      <c r="P33" s="46">
        <v>90</v>
      </c>
      <c r="Q33" s="46">
        <v>0</v>
      </c>
      <c r="R33">
        <v>45</v>
      </c>
      <c r="S33" s="28">
        <v>-45</v>
      </c>
      <c r="T33">
        <v>90</v>
      </c>
      <c r="U33" s="46">
        <v>0</v>
      </c>
      <c r="V33">
        <v>45</v>
      </c>
      <c r="W33" s="28">
        <v>-45</v>
      </c>
      <c r="X33">
        <v>90</v>
      </c>
      <c r="Y33" s="46">
        <v>0</v>
      </c>
      <c r="Z33" s="46">
        <v>0</v>
      </c>
      <c r="AA33">
        <v>45</v>
      </c>
      <c r="AB33" s="28">
        <v>-45</v>
      </c>
      <c r="AC33">
        <v>90</v>
      </c>
      <c r="AD33" s="46">
        <v>0</v>
      </c>
      <c r="AE33" s="46">
        <v>0</v>
      </c>
      <c r="AF33">
        <v>45</v>
      </c>
      <c r="AG33" s="28">
        <v>-45</v>
      </c>
      <c r="AH33">
        <v>90</v>
      </c>
      <c r="AI33">
        <v>0</v>
      </c>
    </row>
    <row r="34" spans="1:38" x14ac:dyDescent="0.45">
      <c r="N34">
        <v>4.25</v>
      </c>
      <c r="O34" s="25" t="s">
        <v>85</v>
      </c>
      <c r="P34">
        <v>90</v>
      </c>
      <c r="Q34">
        <v>0</v>
      </c>
      <c r="R34" s="28">
        <v>0</v>
      </c>
      <c r="S34">
        <v>45</v>
      </c>
      <c r="T34">
        <v>-45</v>
      </c>
      <c r="U34">
        <v>90</v>
      </c>
      <c r="V34" s="28">
        <v>0</v>
      </c>
      <c r="W34">
        <v>0</v>
      </c>
      <c r="X34">
        <v>45</v>
      </c>
      <c r="Y34">
        <v>-45</v>
      </c>
      <c r="Z34">
        <v>90</v>
      </c>
      <c r="AA34">
        <v>0</v>
      </c>
      <c r="AB34">
        <v>0</v>
      </c>
      <c r="AC34">
        <v>45</v>
      </c>
      <c r="AD34">
        <v>-45</v>
      </c>
      <c r="AE34">
        <v>90</v>
      </c>
      <c r="AF34">
        <v>0</v>
      </c>
    </row>
    <row r="35" spans="1:38" x14ac:dyDescent="0.45">
      <c r="N35">
        <v>4.5</v>
      </c>
      <c r="O35" s="25" t="s">
        <v>86</v>
      </c>
      <c r="P35">
        <v>-45</v>
      </c>
      <c r="Q35">
        <v>90</v>
      </c>
      <c r="R35">
        <v>0</v>
      </c>
      <c r="S35" s="28">
        <v>0</v>
      </c>
      <c r="T35">
        <v>45</v>
      </c>
      <c r="U35">
        <v>-45</v>
      </c>
      <c r="V35">
        <v>90</v>
      </c>
      <c r="W35" s="28">
        <v>0</v>
      </c>
      <c r="X35">
        <v>0</v>
      </c>
      <c r="Y35">
        <v>45</v>
      </c>
      <c r="Z35">
        <v>-45</v>
      </c>
      <c r="AA35">
        <v>90</v>
      </c>
      <c r="AB35">
        <v>0</v>
      </c>
      <c r="AC35">
        <v>0</v>
      </c>
      <c r="AD35">
        <v>45</v>
      </c>
      <c r="AE35">
        <v>-45</v>
      </c>
      <c r="AF35">
        <v>90</v>
      </c>
      <c r="AG35">
        <v>0</v>
      </c>
    </row>
    <row r="36" spans="1:38" x14ac:dyDescent="0.45">
      <c r="N36">
        <v>4.75</v>
      </c>
      <c r="O36" s="25" t="s">
        <v>87</v>
      </c>
      <c r="P36">
        <v>45</v>
      </c>
      <c r="Q36">
        <v>-45</v>
      </c>
      <c r="R36">
        <v>90</v>
      </c>
      <c r="S36">
        <v>0</v>
      </c>
      <c r="T36" s="28">
        <v>0</v>
      </c>
      <c r="U36">
        <v>45</v>
      </c>
      <c r="V36">
        <v>-45</v>
      </c>
      <c r="W36">
        <v>90</v>
      </c>
      <c r="X36" s="28">
        <v>0</v>
      </c>
      <c r="Y36">
        <v>0</v>
      </c>
      <c r="Z36">
        <v>45</v>
      </c>
      <c r="AA36">
        <v>-45</v>
      </c>
      <c r="AB36">
        <v>90</v>
      </c>
      <c r="AC36">
        <v>0</v>
      </c>
      <c r="AD36">
        <v>0</v>
      </c>
      <c r="AE36">
        <v>45</v>
      </c>
      <c r="AF36">
        <v>-45</v>
      </c>
      <c r="AG36">
        <v>90</v>
      </c>
      <c r="AH36">
        <v>0</v>
      </c>
    </row>
    <row r="39" spans="1:38" x14ac:dyDescent="0.45">
      <c r="AJ39" t="s">
        <v>90</v>
      </c>
      <c r="AK39" t="s">
        <v>91</v>
      </c>
      <c r="AL39" t="s">
        <v>93</v>
      </c>
    </row>
    <row r="40" spans="1:38" x14ac:dyDescent="0.45">
      <c r="P40" t="s">
        <v>51</v>
      </c>
      <c r="Q40" t="s">
        <v>80</v>
      </c>
      <c r="R40" t="s">
        <v>74</v>
      </c>
      <c r="S40" t="s">
        <v>75</v>
      </c>
      <c r="T40" t="s">
        <v>64</v>
      </c>
      <c r="U40" t="s">
        <v>65</v>
      </c>
      <c r="V40" t="s">
        <v>67</v>
      </c>
      <c r="W40" t="s">
        <v>68</v>
      </c>
      <c r="X40" t="s">
        <v>70</v>
      </c>
      <c r="Y40" t="s">
        <v>71</v>
      </c>
      <c r="Z40" t="s">
        <v>72</v>
      </c>
      <c r="AA40" t="s">
        <v>1</v>
      </c>
      <c r="AB40" t="s">
        <v>76</v>
      </c>
      <c r="AC40" t="s">
        <v>77</v>
      </c>
      <c r="AD40" t="s">
        <v>78</v>
      </c>
      <c r="AE40" t="s">
        <v>81</v>
      </c>
      <c r="AF40" t="s">
        <v>83</v>
      </c>
      <c r="AG40" t="s">
        <v>84</v>
      </c>
      <c r="AH40" t="s">
        <v>85</v>
      </c>
      <c r="AI40" t="s">
        <v>86</v>
      </c>
      <c r="AJ40" t="s">
        <v>89</v>
      </c>
      <c r="AK40" t="s">
        <v>88</v>
      </c>
      <c r="AL40" s="2" t="s">
        <v>92</v>
      </c>
    </row>
    <row r="41" spans="1:38" x14ac:dyDescent="0.45">
      <c r="O41" s="25" t="s">
        <v>43</v>
      </c>
      <c r="P41" s="26">
        <v>1.84552</v>
      </c>
      <c r="Q41" s="26">
        <v>4.8108599999999999</v>
      </c>
      <c r="R41" s="32">
        <v>10.219900000000001</v>
      </c>
      <c r="S41" s="32">
        <v>7.6492800000000001</v>
      </c>
      <c r="T41" s="43">
        <v>18.7211</v>
      </c>
      <c r="U41" s="32">
        <v>26.936599999999999</v>
      </c>
      <c r="V41" s="32">
        <v>27.379000000000001</v>
      </c>
      <c r="W41" s="32">
        <v>59.286900000000003</v>
      </c>
      <c r="X41" s="32">
        <v>62.496699999999997</v>
      </c>
      <c r="Y41" s="32">
        <v>78.560400000000001</v>
      </c>
      <c r="Z41" s="32">
        <v>97.859399999999994</v>
      </c>
      <c r="AA41" s="32">
        <v>166.822</v>
      </c>
      <c r="AB41" s="32">
        <v>173.24600000000001</v>
      </c>
      <c r="AC41" s="32">
        <v>203.92</v>
      </c>
      <c r="AD41" s="32">
        <v>238.97</v>
      </c>
      <c r="AE41" s="32">
        <v>359.10199999999998</v>
      </c>
      <c r="AF41" s="32">
        <v>429.13</v>
      </c>
      <c r="AG41" s="32">
        <v>524.78099999999995</v>
      </c>
      <c r="AH41" s="32">
        <v>396.52300000000002</v>
      </c>
      <c r="AI41" s="32">
        <v>441.19799999999998</v>
      </c>
      <c r="AJ41" s="32">
        <v>491.12299999999999</v>
      </c>
      <c r="AK41" s="32">
        <v>570.29700000000003</v>
      </c>
      <c r="AL41" s="2">
        <v>515.23400000000004</v>
      </c>
    </row>
    <row r="42" spans="1:38" x14ac:dyDescent="0.45">
      <c r="O42" s="25" t="s">
        <v>44</v>
      </c>
      <c r="P42" s="26">
        <v>6.71617</v>
      </c>
      <c r="Q42" s="26">
        <v>9.6815200000000008</v>
      </c>
      <c r="R42" s="32">
        <v>15.766999999999999</v>
      </c>
      <c r="S42" s="32">
        <v>18.337700000000002</v>
      </c>
      <c r="T42" s="43">
        <v>25.215399999999999</v>
      </c>
      <c r="U42" s="32">
        <v>33.430799999999998</v>
      </c>
      <c r="V42" s="32">
        <v>32.249699999999997</v>
      </c>
      <c r="W42" s="32">
        <v>34.798299999999998</v>
      </c>
      <c r="X42">
        <v>74.646299999999997</v>
      </c>
      <c r="Y42">
        <v>90.736999999999995</v>
      </c>
      <c r="Z42">
        <v>110.036</v>
      </c>
      <c r="AA42">
        <v>115.544</v>
      </c>
      <c r="AB42">
        <v>195.976</v>
      </c>
      <c r="AC42">
        <v>226.65</v>
      </c>
      <c r="AD42">
        <v>261.69900000000001</v>
      </c>
      <c r="AE42">
        <v>271.29500000000002</v>
      </c>
      <c r="AF42">
        <v>321.70499999999998</v>
      </c>
      <c r="AG42">
        <v>367.70299999999997</v>
      </c>
      <c r="AH42">
        <v>293.834</v>
      </c>
      <c r="AI42">
        <v>338.50799999999998</v>
      </c>
      <c r="AJ42">
        <v>388.43299999999999</v>
      </c>
      <c r="AK42">
        <v>444.46899999999999</v>
      </c>
      <c r="AL42" s="2">
        <v>389.40600000000001</v>
      </c>
    </row>
    <row r="43" spans="1:38" x14ac:dyDescent="0.45">
      <c r="O43" s="25" t="s">
        <v>45</v>
      </c>
      <c r="P43" s="26">
        <v>1.03687</v>
      </c>
      <c r="Q43" s="26">
        <v>3.1399599999999999</v>
      </c>
      <c r="R43">
        <v>4.9538000000000002</v>
      </c>
      <c r="S43">
        <v>4.9538000000000002</v>
      </c>
      <c r="T43" s="43">
        <v>6.5313400000000001</v>
      </c>
      <c r="U43">
        <v>12.357900000000001</v>
      </c>
      <c r="V43">
        <v>12.7273</v>
      </c>
      <c r="W43">
        <v>13.529400000000001</v>
      </c>
      <c r="X43">
        <v>14.5312</v>
      </c>
      <c r="Y43">
        <v>25.943000000000001</v>
      </c>
      <c r="Z43">
        <v>39.630400000000002</v>
      </c>
      <c r="AA43">
        <v>41.363999999999997</v>
      </c>
      <c r="AB43">
        <v>43.386000000000003</v>
      </c>
      <c r="AC43">
        <v>65.140900000000002</v>
      </c>
      <c r="AD43">
        <v>89.998800000000003</v>
      </c>
      <c r="AE43">
        <v>93.018799999999999</v>
      </c>
      <c r="AF43">
        <v>109.15900000000001</v>
      </c>
      <c r="AG43">
        <v>123.667</v>
      </c>
      <c r="AH43">
        <v>63.038600000000002</v>
      </c>
      <c r="AI43">
        <v>94.722899999999996</v>
      </c>
      <c r="AJ43">
        <v>130.131</v>
      </c>
      <c r="AK43">
        <v>162.024</v>
      </c>
      <c r="AL43" s="2">
        <v>116.85599999999999</v>
      </c>
    </row>
    <row r="44" spans="1:38" x14ac:dyDescent="0.45">
      <c r="O44" s="25" t="s">
        <v>46</v>
      </c>
      <c r="P44" s="33">
        <v>1.2526200000000001</v>
      </c>
      <c r="Q44" s="33">
        <v>3.5613600000000001</v>
      </c>
      <c r="R44">
        <v>5.6819800000000003</v>
      </c>
      <c r="S44">
        <v>5.6819800000000003</v>
      </c>
      <c r="T44" s="43">
        <v>7.6876699999999998</v>
      </c>
      <c r="U44">
        <v>14.084</v>
      </c>
      <c r="V44">
        <v>14.4534</v>
      </c>
      <c r="W44">
        <v>15.9871</v>
      </c>
      <c r="X44">
        <v>17.9024</v>
      </c>
      <c r="Y44">
        <v>30.430099999999999</v>
      </c>
      <c r="Z44">
        <v>45.455800000000004</v>
      </c>
      <c r="AA44">
        <v>48.770600000000002</v>
      </c>
      <c r="AB44">
        <v>52.636600000000001</v>
      </c>
      <c r="AC44">
        <v>76.518799999999999</v>
      </c>
      <c r="AD44">
        <v>103.807</v>
      </c>
      <c r="AE44">
        <v>109.58199999999999</v>
      </c>
      <c r="AF44">
        <v>128.82</v>
      </c>
      <c r="AG44">
        <v>146.79</v>
      </c>
      <c r="AH44">
        <v>79.601399999999998</v>
      </c>
      <c r="AI44">
        <v>114.384</v>
      </c>
      <c r="AJ44">
        <v>153.25399999999999</v>
      </c>
      <c r="AK44">
        <v>170.61799999999999</v>
      </c>
      <c r="AL44" s="2">
        <v>124.164</v>
      </c>
    </row>
    <row r="45" spans="1:38" x14ac:dyDescent="0.45">
      <c r="B45" t="s">
        <v>107</v>
      </c>
      <c r="C45" t="s">
        <v>108</v>
      </c>
      <c r="D45" t="s">
        <v>109</v>
      </c>
      <c r="E45" t="s">
        <v>4</v>
      </c>
      <c r="O45" s="32"/>
      <c r="P45" s="26"/>
      <c r="Q45" s="32"/>
      <c r="AL45" s="2"/>
    </row>
    <row r="46" spans="1:38" x14ac:dyDescent="0.45">
      <c r="A46">
        <v>0</v>
      </c>
      <c r="O46" s="25" t="s">
        <v>48</v>
      </c>
      <c r="P46" s="31">
        <f t="shared" ref="P46:AL46" si="15">((2*PI()^2)/($G$15^2))*(SQRT(P41*P42)+P43+2*P44)</f>
        <v>97.724461779731527</v>
      </c>
      <c r="Q46" s="31">
        <f t="shared" si="15"/>
        <v>236.43156476384573</v>
      </c>
      <c r="R46" s="31">
        <f t="shared" si="15"/>
        <v>401.424568303466</v>
      </c>
      <c r="S46" s="31">
        <f t="shared" si="15"/>
        <v>389.6577755404395</v>
      </c>
      <c r="T46" s="31">
        <f t="shared" si="15"/>
        <v>603.74204344225973</v>
      </c>
      <c r="U46" s="31">
        <f t="shared" si="15"/>
        <v>975.95846372331107</v>
      </c>
      <c r="V46" s="31">
        <f t="shared" si="15"/>
        <v>987.22681153796339</v>
      </c>
      <c r="W46" s="31">
        <f t="shared" si="15"/>
        <v>1258.0919886872862</v>
      </c>
      <c r="X46" s="31">
        <f t="shared" si="15"/>
        <v>1641.5478449889049</v>
      </c>
      <c r="Y46" s="31">
        <f t="shared" si="15"/>
        <v>2369.2821056562352</v>
      </c>
      <c r="Z46" s="31">
        <f t="shared" si="15"/>
        <v>3242.0767354394634</v>
      </c>
      <c r="AA46" s="31">
        <f t="shared" si="15"/>
        <v>3842.9930008097676</v>
      </c>
      <c r="AB46" s="31">
        <f t="shared" si="15"/>
        <v>4606.4895796498276</v>
      </c>
      <c r="AC46" s="31">
        <f t="shared" si="15"/>
        <v>5993.5180016565046</v>
      </c>
      <c r="AD46" s="31">
        <f t="shared" si="15"/>
        <v>7578.1698572618807</v>
      </c>
      <c r="AE46" s="31">
        <f t="shared" si="15"/>
        <v>8638.3249754910394</v>
      </c>
      <c r="AF46" s="31">
        <f t="shared" si="15"/>
        <v>10216.329730080697</v>
      </c>
      <c r="AG46" s="31">
        <f t="shared" si="15"/>
        <v>11851.389295709534</v>
      </c>
      <c r="AH46" s="31">
        <f t="shared" si="15"/>
        <v>7798.0427317157837</v>
      </c>
      <c r="AI46" s="31">
        <f t="shared" si="15"/>
        <v>9823.2831380304742</v>
      </c>
      <c r="AJ46" s="31">
        <f t="shared" si="15"/>
        <v>12085.037771363232</v>
      </c>
      <c r="AK46" s="31">
        <f t="shared" si="15"/>
        <v>13929.707718142745</v>
      </c>
      <c r="AL46" s="37">
        <f t="shared" si="15"/>
        <v>11250.659189393227</v>
      </c>
    </row>
    <row r="47" spans="1:38" x14ac:dyDescent="0.45">
      <c r="A47">
        <v>0.1</v>
      </c>
      <c r="O47" s="25" t="s">
        <v>49</v>
      </c>
      <c r="P47" s="49">
        <f t="shared" ref="P47:AL47" si="16">ABS($F$9/P46)</f>
        <v>111.33886125761367</v>
      </c>
      <c r="Q47" s="49">
        <f t="shared" si="16"/>
        <v>46.019787173663836</v>
      </c>
      <c r="R47" s="49">
        <f t="shared" si="16"/>
        <v>27.104794152367663</v>
      </c>
      <c r="S47" s="49">
        <f t="shared" si="16"/>
        <v>27.923298274948177</v>
      </c>
      <c r="T47" s="49">
        <f t="shared" si="16"/>
        <v>18.021819765164462</v>
      </c>
      <c r="U47" s="49">
        <f t="shared" si="16"/>
        <v>11.148558771711397</v>
      </c>
      <c r="V47" s="49">
        <f t="shared" si="16"/>
        <v>11.021307529743982</v>
      </c>
      <c r="W47" s="49">
        <f t="shared" si="16"/>
        <v>8.6484377846817253</v>
      </c>
      <c r="X47" s="49">
        <f t="shared" si="16"/>
        <v>6.6282139291785551</v>
      </c>
      <c r="Y47" s="49">
        <f t="shared" si="16"/>
        <v>4.5923321100485195</v>
      </c>
      <c r="Z47" s="49">
        <f t="shared" si="16"/>
        <v>3.3560372500232147</v>
      </c>
      <c r="AA47" s="49">
        <f t="shared" si="16"/>
        <v>2.8312646651388209</v>
      </c>
      <c r="AB47" s="49">
        <f t="shared" si="16"/>
        <v>2.3620004134244903</v>
      </c>
      <c r="AC47" s="49">
        <f t="shared" si="16"/>
        <v>1.815382933455995</v>
      </c>
      <c r="AD47" s="49">
        <f t="shared" si="16"/>
        <v>1.4357728180428799</v>
      </c>
      <c r="AE47" s="49">
        <f t="shared" si="16"/>
        <v>1.2595648256391283</v>
      </c>
      <c r="AF47" s="49">
        <f t="shared" si="16"/>
        <v>1.0650136182989618</v>
      </c>
      <c r="AG47" s="49">
        <f t="shared" si="16"/>
        <v>0.91808057435996071</v>
      </c>
      <c r="AH47" s="49">
        <f t="shared" si="16"/>
        <v>1.395289903621044</v>
      </c>
      <c r="AI47" s="49">
        <f t="shared" si="16"/>
        <v>1.1076266599142328</v>
      </c>
      <c r="AJ47" s="49">
        <f t="shared" si="16"/>
        <v>0.90033068141094763</v>
      </c>
      <c r="AK47" s="49">
        <f t="shared" si="16"/>
        <v>0.78110255518119409</v>
      </c>
      <c r="AL47" s="50">
        <f t="shared" si="16"/>
        <v>0.96710158119680001</v>
      </c>
    </row>
    <row r="48" spans="1:38" x14ac:dyDescent="0.45">
      <c r="A48">
        <v>0.2</v>
      </c>
      <c r="P48" t="s">
        <v>59</v>
      </c>
      <c r="Q48" t="s">
        <v>59</v>
      </c>
      <c r="R48" t="s">
        <v>61</v>
      </c>
      <c r="S48" t="s">
        <v>59</v>
      </c>
      <c r="U48" t="s">
        <v>59</v>
      </c>
    </row>
    <row r="49" spans="1:38" x14ac:dyDescent="0.45">
      <c r="A49">
        <v>0.3</v>
      </c>
    </row>
    <row r="50" spans="1:38" x14ac:dyDescent="0.45">
      <c r="A50">
        <v>0.4</v>
      </c>
    </row>
    <row r="51" spans="1:38" x14ac:dyDescent="0.45">
      <c r="A51">
        <v>0.5</v>
      </c>
    </row>
    <row r="52" spans="1:38" x14ac:dyDescent="0.45">
      <c r="A52">
        <v>0.6</v>
      </c>
    </row>
    <row r="53" spans="1:38" x14ac:dyDescent="0.45">
      <c r="A53">
        <v>0.7</v>
      </c>
      <c r="AJ53">
        <v>914</v>
      </c>
      <c r="AK53" t="s">
        <v>85</v>
      </c>
      <c r="AL53" t="s">
        <v>84</v>
      </c>
    </row>
    <row r="54" spans="1:38" x14ac:dyDescent="0.45">
      <c r="A54">
        <v>0.8</v>
      </c>
      <c r="AJ54" t="s">
        <v>43</v>
      </c>
    </row>
    <row r="55" spans="1:38" x14ac:dyDescent="0.45">
      <c r="A55">
        <v>0.9</v>
      </c>
      <c r="O55" t="s">
        <v>94</v>
      </c>
      <c r="Q55" t="s">
        <v>86</v>
      </c>
      <c r="U55" t="s">
        <v>99</v>
      </c>
      <c r="V55">
        <f>7*2</f>
        <v>14</v>
      </c>
      <c r="AJ55" t="s">
        <v>44</v>
      </c>
    </row>
    <row r="56" spans="1:38" x14ac:dyDescent="0.45">
      <c r="A56">
        <v>1</v>
      </c>
      <c r="O56" t="s">
        <v>95</v>
      </c>
      <c r="Q56" t="s">
        <v>96</v>
      </c>
      <c r="U56" t="s">
        <v>100</v>
      </c>
      <c r="V56">
        <f>3*2</f>
        <v>6</v>
      </c>
      <c r="AJ56" t="s">
        <v>45</v>
      </c>
    </row>
    <row r="57" spans="1:38" x14ac:dyDescent="0.45">
      <c r="U57" t="s">
        <v>101</v>
      </c>
      <c r="V57">
        <f>4*2</f>
        <v>8</v>
      </c>
      <c r="AJ57" t="s">
        <v>46</v>
      </c>
    </row>
    <row r="58" spans="1:38" x14ac:dyDescent="0.45">
      <c r="U58" t="s">
        <v>102</v>
      </c>
      <c r="V58">
        <f>4*2</f>
        <v>8</v>
      </c>
    </row>
    <row r="59" spans="1:38" x14ac:dyDescent="0.45">
      <c r="U59" t="s">
        <v>97</v>
      </c>
      <c r="V59">
        <f>SUM(V55:V58)</f>
        <v>36</v>
      </c>
    </row>
    <row r="60" spans="1:38" x14ac:dyDescent="0.45">
      <c r="T60" t="s">
        <v>98</v>
      </c>
      <c r="V60">
        <f>V59*0.125</f>
        <v>4.5</v>
      </c>
    </row>
    <row r="63" spans="1:38" x14ac:dyDescent="0.45">
      <c r="O63" t="s">
        <v>103</v>
      </c>
      <c r="P63">
        <v>0</v>
      </c>
      <c r="Q63">
        <v>0.1</v>
      </c>
      <c r="R63">
        <v>0.2</v>
      </c>
      <c r="S63">
        <v>0.3</v>
      </c>
      <c r="T63">
        <v>0.4</v>
      </c>
      <c r="U63">
        <v>0.5</v>
      </c>
      <c r="V63">
        <v>0.6</v>
      </c>
      <c r="W63">
        <v>0.7</v>
      </c>
      <c r="X63">
        <v>0.8</v>
      </c>
      <c r="Y63">
        <v>0.9</v>
      </c>
      <c r="Z63">
        <v>1</v>
      </c>
    </row>
    <row r="64" spans="1:38" x14ac:dyDescent="0.45">
      <c r="O64" t="s">
        <v>104</v>
      </c>
      <c r="P64">
        <v>0</v>
      </c>
      <c r="Q64">
        <f>$Z$64*Q63</f>
        <v>0.11943999999999999</v>
      </c>
      <c r="R64">
        <f t="shared" ref="R64:Y64" si="17">$Z$64*R63</f>
        <v>0.23887999999999998</v>
      </c>
      <c r="S64">
        <f t="shared" si="17"/>
        <v>0.35831999999999997</v>
      </c>
      <c r="T64">
        <f t="shared" si="17"/>
        <v>0.47775999999999996</v>
      </c>
      <c r="U64">
        <f t="shared" si="17"/>
        <v>0.59719999999999995</v>
      </c>
      <c r="V64">
        <f t="shared" si="17"/>
        <v>0.71663999999999994</v>
      </c>
      <c r="W64">
        <f t="shared" si="17"/>
        <v>0.83607999999999993</v>
      </c>
      <c r="X64">
        <f t="shared" si="17"/>
        <v>0.95551999999999992</v>
      </c>
      <c r="Y64">
        <f t="shared" si="17"/>
        <v>1.0749599999999999</v>
      </c>
      <c r="Z64">
        <v>1.1943999999999999</v>
      </c>
    </row>
    <row r="65" spans="13:29" x14ac:dyDescent="0.45">
      <c r="O65" t="s">
        <v>2</v>
      </c>
      <c r="P65" s="32">
        <v>-600.22582269979796</v>
      </c>
      <c r="Q65">
        <v>-485.03170142845897</v>
      </c>
      <c r="R65">
        <v>-382.099438353192</v>
      </c>
      <c r="S65">
        <v>-291.42903347399698</v>
      </c>
      <c r="T65">
        <v>-213.020486790875</v>
      </c>
      <c r="U65">
        <v>-146.873798303825</v>
      </c>
      <c r="V65">
        <v>-92.988968012846698</v>
      </c>
      <c r="W65">
        <v>-51.365995917941</v>
      </c>
      <c r="X65">
        <v>-22.004882019107601</v>
      </c>
      <c r="Y65">
        <v>-4.9056263163463898</v>
      </c>
      <c r="Z65" s="32">
        <v>-6.82288096574626E-2</v>
      </c>
    </row>
    <row r="66" spans="13:29" x14ac:dyDescent="0.45">
      <c r="O66" t="s">
        <v>3</v>
      </c>
      <c r="P66">
        <v>0.10015000000000002</v>
      </c>
      <c r="Q66">
        <f>$AC$66*Q63+$P$66</f>
        <v>9.8301000000000013E-2</v>
      </c>
      <c r="R66">
        <f t="shared" ref="R66:Y66" si="18">$AC$66*R63+$P$66</f>
        <v>9.645200000000001E-2</v>
      </c>
      <c r="S66">
        <f t="shared" si="18"/>
        <v>9.4603000000000007E-2</v>
      </c>
      <c r="T66">
        <f t="shared" si="18"/>
        <v>9.2754000000000003E-2</v>
      </c>
      <c r="U66">
        <f t="shared" si="18"/>
        <v>9.0905000000000014E-2</v>
      </c>
      <c r="V66">
        <f t="shared" si="18"/>
        <v>8.905600000000001E-2</v>
      </c>
      <c r="W66">
        <f t="shared" si="18"/>
        <v>8.7207000000000007E-2</v>
      </c>
      <c r="X66">
        <f>$AC$66*X63+$P$66</f>
        <v>8.5358000000000003E-2</v>
      </c>
      <c r="Y66">
        <f t="shared" si="18"/>
        <v>8.3509E-2</v>
      </c>
      <c r="Z66">
        <v>8.1659999999999996E-2</v>
      </c>
      <c r="AC66">
        <f>(P66-Z66)/-1</f>
        <v>-1.849000000000002E-2</v>
      </c>
    </row>
    <row r="67" spans="13:29" x14ac:dyDescent="0.45">
      <c r="O67" t="s">
        <v>4</v>
      </c>
      <c r="P67">
        <f>$I$15*P64+$J$9</f>
        <v>0.55082500000000012</v>
      </c>
      <c r="Q67">
        <f t="shared" ref="Q67:Y67" si="19">$I$15*Q64+$J$9</f>
        <v>0.54065550000000007</v>
      </c>
      <c r="R67">
        <f t="shared" si="19"/>
        <v>0.53048600000000012</v>
      </c>
      <c r="S67">
        <f t="shared" si="19"/>
        <v>0.52031650000000007</v>
      </c>
      <c r="T67">
        <f t="shared" si="19"/>
        <v>0.51014700000000002</v>
      </c>
      <c r="U67">
        <f t="shared" si="19"/>
        <v>0.49997750000000007</v>
      </c>
      <c r="V67">
        <f t="shared" si="19"/>
        <v>0.48980800000000002</v>
      </c>
      <c r="W67">
        <f t="shared" si="19"/>
        <v>0.47963850000000002</v>
      </c>
      <c r="X67">
        <f t="shared" si="19"/>
        <v>0.46946900000000003</v>
      </c>
      <c r="Y67">
        <f t="shared" si="19"/>
        <v>0.45929949999999997</v>
      </c>
      <c r="Z67">
        <f>$I$15*Z64+$J$9</f>
        <v>0.44912999999999997</v>
      </c>
    </row>
    <row r="68" spans="13:29" x14ac:dyDescent="0.45">
      <c r="N68" t="s">
        <v>26</v>
      </c>
      <c r="P68">
        <f>P65/(P66*P67)</f>
        <v>-10880.530703056706</v>
      </c>
      <c r="Q68">
        <f t="shared" ref="Q68:U68" si="20">Q65/(Q66*Q67)</f>
        <v>-9126.2332336724976</v>
      </c>
      <c r="R68">
        <f t="shared" si="20"/>
        <v>-7467.7751798585723</v>
      </c>
      <c r="S68">
        <f t="shared" si="20"/>
        <v>-5920.5262227184921</v>
      </c>
      <c r="T68">
        <f t="shared" si="20"/>
        <v>-4501.8745444045271</v>
      </c>
      <c r="U68">
        <f t="shared" si="20"/>
        <v>-3231.5143924356516</v>
      </c>
      <c r="V68">
        <f>V65/(V66*V67)</f>
        <v>-2131.7799300139641</v>
      </c>
      <c r="W68">
        <f t="shared" ref="W68" si="21">W65/(W66*W67)</f>
        <v>-1228.033827804049</v>
      </c>
      <c r="X68">
        <f t="shared" ref="X68" si="22">X65/(X66*X67)</f>
        <v>-549.1207986867305</v>
      </c>
      <c r="Y68">
        <f t="shared" ref="Y68" si="23">Y65/(Y66*Y67)</f>
        <v>-127.8984281717108</v>
      </c>
      <c r="Z68">
        <f t="shared" ref="Z68" si="24">Z65/(Z66*Z67)</f>
        <v>-1.8603144258741475</v>
      </c>
    </row>
    <row r="69" spans="13:29" x14ac:dyDescent="0.45">
      <c r="O69" t="s">
        <v>105</v>
      </c>
      <c r="P69">
        <v>1.1943999999999999</v>
      </c>
      <c r="Q69">
        <v>1.1943999999999999</v>
      </c>
      <c r="R69">
        <v>1.1943999999999999</v>
      </c>
      <c r="S69">
        <v>1.1943999999999999</v>
      </c>
      <c r="T69">
        <v>1.1943999999999999</v>
      </c>
      <c r="U69">
        <v>1.1943999999999999</v>
      </c>
      <c r="V69">
        <v>1.1943999999999999</v>
      </c>
      <c r="W69">
        <v>1.1943999999999999</v>
      </c>
      <c r="X69">
        <v>1.1943999999999999</v>
      </c>
      <c r="Y69">
        <v>1.1943999999999999</v>
      </c>
      <c r="Z69">
        <v>1.1943999999999999</v>
      </c>
    </row>
    <row r="70" spans="13:29" x14ac:dyDescent="0.45">
      <c r="O70" t="s">
        <v>106</v>
      </c>
    </row>
    <row r="71" spans="13:29" x14ac:dyDescent="0.45">
      <c r="O71" t="s">
        <v>48</v>
      </c>
      <c r="P71" s="1">
        <f>((2*PI()^2)/($G$15^2))*(SQRT(AL41*AL42)+AL43+2*AL44)</f>
        <v>11250.659189393227</v>
      </c>
      <c r="Q71" s="1">
        <f>$P$71</f>
        <v>11250.659189393227</v>
      </c>
      <c r="R71" s="1">
        <f t="shared" ref="R71:Z71" si="25">$P$71</f>
        <v>11250.659189393227</v>
      </c>
      <c r="S71" s="1">
        <f t="shared" si="25"/>
        <v>11250.659189393227</v>
      </c>
      <c r="T71" s="1">
        <f t="shared" si="25"/>
        <v>11250.659189393227</v>
      </c>
      <c r="U71" s="1">
        <f t="shared" si="25"/>
        <v>11250.659189393227</v>
      </c>
      <c r="V71" s="1">
        <f t="shared" si="25"/>
        <v>11250.659189393227</v>
      </c>
      <c r="W71" s="1">
        <f t="shared" si="25"/>
        <v>11250.659189393227</v>
      </c>
      <c r="X71" s="1">
        <f t="shared" si="25"/>
        <v>11250.659189393227</v>
      </c>
      <c r="Y71" s="1">
        <f t="shared" si="25"/>
        <v>11250.659189393227</v>
      </c>
      <c r="Z71" s="1">
        <f t="shared" si="25"/>
        <v>11250.659189393227</v>
      </c>
    </row>
    <row r="72" spans="13:29" x14ac:dyDescent="0.45">
      <c r="M72" t="s">
        <v>110</v>
      </c>
      <c r="N72" t="s">
        <v>86</v>
      </c>
      <c r="O72" t="s">
        <v>49</v>
      </c>
      <c r="P72" s="46">
        <f>ABS(P68/P71)</f>
        <v>0.96710161777138648</v>
      </c>
      <c r="Q72" s="46">
        <f t="shared" ref="Q72:Z72" si="26">ABS(Q68/Q71)</f>
        <v>0.81117320150239969</v>
      </c>
      <c r="R72" s="46">
        <f t="shared" si="26"/>
        <v>0.66376334525349046</v>
      </c>
      <c r="S72" s="46">
        <f t="shared" si="26"/>
        <v>0.52623816285362024</v>
      </c>
      <c r="T72" s="46">
        <f t="shared" si="26"/>
        <v>0.40014317993462595</v>
      </c>
      <c r="U72" s="46">
        <f t="shared" si="26"/>
        <v>0.28722889370626598</v>
      </c>
      <c r="V72" s="46">
        <f t="shared" si="26"/>
        <v>0.18948044680117412</v>
      </c>
      <c r="W72" s="46">
        <f t="shared" si="26"/>
        <v>0.10915216674253196</v>
      </c>
      <c r="X72" s="46">
        <f t="shared" si="26"/>
        <v>4.880787778234582E-2</v>
      </c>
      <c r="Y72" s="46">
        <f t="shared" si="26"/>
        <v>1.13680830623942E-2</v>
      </c>
      <c r="Z72" s="46">
        <f t="shared" si="26"/>
        <v>1.6535159358733347E-4</v>
      </c>
    </row>
    <row r="73" spans="13:29" x14ac:dyDescent="0.45">
      <c r="N73" t="s">
        <v>87</v>
      </c>
      <c r="O73" t="s">
        <v>111</v>
      </c>
      <c r="P73" s="1">
        <f>ABS(P68/$AH$46)</f>
        <v>1.3952899563891836</v>
      </c>
      <c r="Q73" s="1">
        <f t="shared" ref="Q73:Z73" si="27">ABS(Q68/$AH$46)</f>
        <v>1.1703235731903299</v>
      </c>
      <c r="R73" s="1">
        <f t="shared" si="27"/>
        <v>0.95764737855129145</v>
      </c>
      <c r="S73" s="1">
        <f t="shared" si="27"/>
        <v>0.75923233898665921</v>
      </c>
      <c r="T73" s="1">
        <f t="shared" si="27"/>
        <v>0.57730826814974268</v>
      </c>
      <c r="U73" s="1">
        <f t="shared" si="27"/>
        <v>0.41440070330630641</v>
      </c>
      <c r="V73" s="1">
        <f t="shared" si="27"/>
        <v>0.27337371740009869</v>
      </c>
      <c r="W73" s="1">
        <f t="shared" si="27"/>
        <v>0.15747975101616912</v>
      </c>
      <c r="X73" s="1">
        <f t="shared" si="27"/>
        <v>7.0417772456333905E-2</v>
      </c>
      <c r="Y73" s="1">
        <f t="shared" si="27"/>
        <v>1.6401350001780463E-2</v>
      </c>
      <c r="Z73" s="1">
        <f t="shared" si="27"/>
        <v>2.3856171219836689E-4</v>
      </c>
    </row>
    <row r="74" spans="13:29" x14ac:dyDescent="0.45">
      <c r="N74" t="s">
        <v>112</v>
      </c>
    </row>
    <row r="75" spans="13:29" x14ac:dyDescent="0.45">
      <c r="N75" t="s">
        <v>113</v>
      </c>
    </row>
    <row r="76" spans="13:29" x14ac:dyDescent="0.45">
      <c r="N76" t="s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F4BB-586C-4805-AD63-957DE39BB2A0}">
  <dimension ref="A1:Z62"/>
  <sheetViews>
    <sheetView zoomScale="55" zoomScaleNormal="55" workbookViewId="0">
      <selection activeCell="E34" sqref="E34"/>
    </sheetView>
  </sheetViews>
  <sheetFormatPr defaultRowHeight="14.25" x14ac:dyDescent="0.45"/>
  <sheetData>
    <row r="1" spans="1:19" x14ac:dyDescent="0.45">
      <c r="A1">
        <v>914</v>
      </c>
    </row>
    <row r="3" spans="1:19" x14ac:dyDescent="0.45">
      <c r="A3" t="s">
        <v>86</v>
      </c>
      <c r="B3">
        <v>-45</v>
      </c>
      <c r="C3">
        <v>90</v>
      </c>
      <c r="D3">
        <v>0</v>
      </c>
      <c r="E3" s="28">
        <v>0</v>
      </c>
      <c r="F3">
        <v>45</v>
      </c>
      <c r="G3">
        <v>-45</v>
      </c>
      <c r="H3">
        <v>90</v>
      </c>
      <c r="I3" s="28">
        <v>0</v>
      </c>
      <c r="J3">
        <v>0</v>
      </c>
      <c r="K3">
        <v>45</v>
      </c>
      <c r="L3">
        <v>-45</v>
      </c>
      <c r="M3">
        <v>90</v>
      </c>
      <c r="N3">
        <v>0</v>
      </c>
      <c r="O3">
        <v>0</v>
      </c>
      <c r="P3">
        <v>45</v>
      </c>
      <c r="Q3">
        <v>-45</v>
      </c>
      <c r="R3">
        <v>90</v>
      </c>
      <c r="S3">
        <v>0</v>
      </c>
    </row>
    <row r="4" spans="1:19" x14ac:dyDescent="0.45">
      <c r="A4" s="51" t="s">
        <v>87</v>
      </c>
      <c r="B4" s="51">
        <v>90</v>
      </c>
      <c r="C4" s="51">
        <v>0</v>
      </c>
      <c r="D4" s="52">
        <v>0</v>
      </c>
      <c r="E4" s="51">
        <v>45</v>
      </c>
      <c r="F4" s="51">
        <v>-45</v>
      </c>
      <c r="G4" s="51">
        <v>90</v>
      </c>
      <c r="H4" s="52">
        <v>0</v>
      </c>
      <c r="I4" s="51">
        <v>0</v>
      </c>
      <c r="J4" s="51">
        <v>45</v>
      </c>
      <c r="K4" s="51">
        <v>-45</v>
      </c>
      <c r="L4" s="51">
        <v>90</v>
      </c>
      <c r="M4" s="51">
        <v>0</v>
      </c>
      <c r="N4" s="51">
        <v>0</v>
      </c>
      <c r="O4" s="51">
        <v>45</v>
      </c>
      <c r="P4" s="51">
        <v>-45</v>
      </c>
      <c r="Q4" s="51">
        <v>90</v>
      </c>
      <c r="R4" s="51">
        <v>0</v>
      </c>
      <c r="S4" s="51"/>
    </row>
    <row r="5" spans="1:19" x14ac:dyDescent="0.45">
      <c r="A5" s="51" t="s">
        <v>112</v>
      </c>
      <c r="B5" s="52">
        <v>0</v>
      </c>
      <c r="C5" s="51">
        <v>45</v>
      </c>
      <c r="D5" s="51">
        <v>-45</v>
      </c>
      <c r="E5" s="51">
        <v>90</v>
      </c>
      <c r="F5" s="52">
        <v>0</v>
      </c>
      <c r="G5" s="51">
        <v>0</v>
      </c>
      <c r="H5" s="51">
        <v>45</v>
      </c>
      <c r="I5" s="51">
        <v>-45</v>
      </c>
      <c r="J5" s="51">
        <v>90</v>
      </c>
      <c r="K5" s="51">
        <v>0</v>
      </c>
      <c r="L5" s="51">
        <v>0</v>
      </c>
      <c r="M5" s="51">
        <v>45</v>
      </c>
      <c r="N5" s="51">
        <v>-45</v>
      </c>
      <c r="O5" s="51">
        <v>90</v>
      </c>
      <c r="P5" s="51">
        <v>0</v>
      </c>
      <c r="Q5" s="51"/>
      <c r="R5" s="51"/>
      <c r="S5" s="51"/>
    </row>
    <row r="6" spans="1:19" x14ac:dyDescent="0.45">
      <c r="A6" s="51" t="s">
        <v>113</v>
      </c>
      <c r="B6" s="51">
        <v>45</v>
      </c>
      <c r="C6" s="51">
        <v>-45</v>
      </c>
      <c r="D6" s="51">
        <v>90</v>
      </c>
      <c r="E6" s="52">
        <v>0</v>
      </c>
      <c r="F6" s="51">
        <v>0</v>
      </c>
      <c r="G6" s="51">
        <v>45</v>
      </c>
      <c r="H6" s="51">
        <v>-45</v>
      </c>
      <c r="I6" s="51">
        <v>90</v>
      </c>
      <c r="J6" s="51">
        <v>0</v>
      </c>
      <c r="K6" s="51">
        <v>0</v>
      </c>
      <c r="L6" s="51">
        <v>45</v>
      </c>
      <c r="M6" s="51">
        <v>-45</v>
      </c>
      <c r="N6" s="51">
        <v>90</v>
      </c>
      <c r="O6" s="51">
        <v>0</v>
      </c>
      <c r="P6" s="51"/>
      <c r="Q6" s="51"/>
      <c r="R6" s="51"/>
      <c r="S6" s="51"/>
    </row>
    <row r="7" spans="1:19" x14ac:dyDescent="0.45">
      <c r="A7" s="51" t="s">
        <v>114</v>
      </c>
      <c r="B7" s="51">
        <v>-45</v>
      </c>
      <c r="C7" s="51">
        <v>90</v>
      </c>
      <c r="D7" s="52">
        <v>0</v>
      </c>
      <c r="E7" s="51">
        <v>0</v>
      </c>
      <c r="F7" s="51">
        <v>45</v>
      </c>
      <c r="G7" s="51">
        <v>-45</v>
      </c>
      <c r="H7" s="51">
        <v>90</v>
      </c>
      <c r="I7" s="51">
        <v>0</v>
      </c>
      <c r="J7" s="51">
        <v>0</v>
      </c>
      <c r="K7" s="51">
        <v>45</v>
      </c>
      <c r="L7" s="51">
        <v>-45</v>
      </c>
      <c r="M7" s="51">
        <v>90</v>
      </c>
      <c r="N7" s="51">
        <v>0</v>
      </c>
      <c r="O7" s="51"/>
      <c r="P7" s="51"/>
      <c r="Q7" s="51"/>
      <c r="R7" s="51"/>
      <c r="S7" s="51"/>
    </row>
    <row r="8" spans="1:19" x14ac:dyDescent="0.45">
      <c r="A8" s="51" t="s">
        <v>115</v>
      </c>
      <c r="B8" s="51">
        <v>90</v>
      </c>
      <c r="C8" s="52">
        <v>0</v>
      </c>
      <c r="D8" s="51">
        <v>0</v>
      </c>
      <c r="E8" s="51">
        <v>45</v>
      </c>
      <c r="F8" s="51">
        <v>-45</v>
      </c>
      <c r="G8" s="51">
        <v>90</v>
      </c>
      <c r="H8" s="51">
        <v>0</v>
      </c>
      <c r="I8" s="51">
        <v>0</v>
      </c>
      <c r="J8" s="51">
        <v>45</v>
      </c>
      <c r="K8" s="51">
        <v>-45</v>
      </c>
      <c r="L8" s="51">
        <v>90</v>
      </c>
      <c r="M8" s="51">
        <v>0</v>
      </c>
      <c r="N8" s="51"/>
      <c r="O8" s="51"/>
      <c r="P8" s="51"/>
      <c r="Q8" s="51"/>
      <c r="R8" s="51"/>
      <c r="S8" s="51"/>
    </row>
    <row r="9" spans="1:19" x14ac:dyDescent="0.45">
      <c r="A9" s="51" t="s">
        <v>116</v>
      </c>
      <c r="B9" s="51">
        <v>0</v>
      </c>
      <c r="C9" s="51">
        <v>45</v>
      </c>
      <c r="D9" s="51">
        <v>-45</v>
      </c>
      <c r="E9" s="51">
        <v>90</v>
      </c>
      <c r="F9" s="51">
        <v>0</v>
      </c>
      <c r="G9" s="51">
        <v>0</v>
      </c>
      <c r="H9" s="51">
        <v>45</v>
      </c>
      <c r="I9" s="51">
        <v>-45</v>
      </c>
      <c r="J9" s="51">
        <v>90</v>
      </c>
      <c r="K9" s="51">
        <v>0</v>
      </c>
      <c r="L9" s="51"/>
      <c r="M9" s="51"/>
      <c r="N9" s="51"/>
      <c r="O9" s="51"/>
      <c r="P9" s="51"/>
      <c r="Q9" s="51"/>
      <c r="R9" s="51"/>
      <c r="S9" s="51"/>
    </row>
    <row r="10" spans="1:19" x14ac:dyDescent="0.45">
      <c r="A10" s="51" t="s">
        <v>117</v>
      </c>
      <c r="B10" s="51">
        <v>45</v>
      </c>
      <c r="C10" s="51">
        <v>-45</v>
      </c>
      <c r="D10" s="51">
        <v>90</v>
      </c>
      <c r="E10" s="51">
        <v>0</v>
      </c>
      <c r="F10" s="51">
        <v>0</v>
      </c>
      <c r="G10" s="51">
        <v>45</v>
      </c>
      <c r="H10" s="51">
        <v>-45</v>
      </c>
      <c r="I10" s="51">
        <v>90</v>
      </c>
      <c r="J10" s="51">
        <v>0</v>
      </c>
      <c r="K10" s="51"/>
      <c r="L10" s="51"/>
      <c r="M10" s="51"/>
      <c r="N10" s="51"/>
      <c r="O10" s="51"/>
      <c r="P10" s="51"/>
      <c r="Q10" s="51"/>
      <c r="R10" s="51"/>
      <c r="S10" s="51"/>
    </row>
    <row r="11" spans="1:19" x14ac:dyDescent="0.45">
      <c r="A11" s="51" t="s">
        <v>118</v>
      </c>
      <c r="B11" s="51">
        <v>-45</v>
      </c>
      <c r="C11" s="51">
        <v>90</v>
      </c>
      <c r="D11" s="51">
        <v>0</v>
      </c>
      <c r="E11" s="51">
        <v>0</v>
      </c>
      <c r="F11" s="51">
        <v>45</v>
      </c>
      <c r="G11" s="51">
        <v>-45</v>
      </c>
      <c r="H11" s="51">
        <v>90</v>
      </c>
      <c r="I11" s="51">
        <v>0</v>
      </c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spans="1:19" x14ac:dyDescent="0.45">
      <c r="A12" s="51" t="s">
        <v>119</v>
      </c>
      <c r="B12" s="51">
        <v>90</v>
      </c>
      <c r="C12" s="51">
        <v>0</v>
      </c>
      <c r="D12" s="51">
        <v>0</v>
      </c>
      <c r="E12" s="51">
        <v>45</v>
      </c>
      <c r="F12" s="51">
        <v>-45</v>
      </c>
      <c r="G12" s="51">
        <v>90</v>
      </c>
      <c r="H12" s="51">
        <v>0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spans="1:19" x14ac:dyDescent="0.45">
      <c r="A13" s="51" t="s">
        <v>120</v>
      </c>
      <c r="B13" s="51">
        <v>0</v>
      </c>
      <c r="C13" s="51">
        <v>45</v>
      </c>
      <c r="D13" s="51">
        <v>-45</v>
      </c>
      <c r="E13" s="51">
        <v>90</v>
      </c>
      <c r="F13" s="51">
        <v>0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spans="1:19" x14ac:dyDescent="0.45">
      <c r="A14" s="51" t="s">
        <v>121</v>
      </c>
      <c r="B14" s="51">
        <v>45</v>
      </c>
      <c r="C14" s="51">
        <v>-45</v>
      </c>
      <c r="D14" s="51">
        <v>90</v>
      </c>
      <c r="E14" s="51">
        <v>0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45">
      <c r="A15" s="51" t="s">
        <v>122</v>
      </c>
      <c r="B15" s="51">
        <v>-45</v>
      </c>
      <c r="C15" s="51">
        <v>90</v>
      </c>
      <c r="D15" s="51">
        <v>0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45">
      <c r="A16" s="51" t="s">
        <v>123</v>
      </c>
      <c r="B16" s="51">
        <v>90</v>
      </c>
      <c r="C16" s="51"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</row>
    <row r="17" spans="1:26" x14ac:dyDescent="0.45">
      <c r="V17">
        <v>45</v>
      </c>
      <c r="W17">
        <v>-45</v>
      </c>
      <c r="X17">
        <v>90</v>
      </c>
      <c r="Y17">
        <v>0</v>
      </c>
    </row>
    <row r="18" spans="1:26" x14ac:dyDescent="0.4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V18">
        <v>3</v>
      </c>
      <c r="W18">
        <v>4</v>
      </c>
      <c r="X18">
        <v>4</v>
      </c>
      <c r="Y18">
        <v>7</v>
      </c>
      <c r="Z18">
        <f>SUM(V18:Y18)</f>
        <v>18</v>
      </c>
    </row>
    <row r="19" spans="1:26" x14ac:dyDescent="0.45">
      <c r="A19" s="55" t="s">
        <v>124</v>
      </c>
      <c r="B19" s="53">
        <v>-45</v>
      </c>
      <c r="C19" s="53">
        <v>90</v>
      </c>
      <c r="D19" s="53">
        <v>0</v>
      </c>
      <c r="E19" s="28">
        <v>0</v>
      </c>
      <c r="F19" s="53">
        <v>45</v>
      </c>
      <c r="G19" s="53">
        <v>-45</v>
      </c>
      <c r="H19" s="53">
        <v>90</v>
      </c>
      <c r="I19" s="28">
        <v>0</v>
      </c>
      <c r="J19" s="53">
        <v>0</v>
      </c>
      <c r="K19" s="53">
        <v>45</v>
      </c>
      <c r="L19" s="40">
        <v>-45</v>
      </c>
      <c r="M19" s="53">
        <v>90</v>
      </c>
      <c r="N19" s="53">
        <v>0</v>
      </c>
      <c r="O19" s="53">
        <v>0</v>
      </c>
      <c r="P19" s="40">
        <v>45</v>
      </c>
      <c r="Q19" s="53">
        <v>-45</v>
      </c>
      <c r="R19" s="53">
        <v>90</v>
      </c>
      <c r="S19" s="53">
        <v>0</v>
      </c>
      <c r="V19" s="53">
        <v>2</v>
      </c>
      <c r="W19" s="53">
        <v>3</v>
      </c>
      <c r="X19" s="53">
        <v>4</v>
      </c>
      <c r="Y19" s="53">
        <v>7</v>
      </c>
      <c r="Z19">
        <f t="shared" ref="Z19" si="0">SUM(V19:Y19)</f>
        <v>16</v>
      </c>
    </row>
    <row r="20" spans="1:26" x14ac:dyDescent="0.45">
      <c r="A20" s="55" t="s">
        <v>125</v>
      </c>
      <c r="B20" s="53">
        <v>-45</v>
      </c>
      <c r="C20" s="53">
        <v>90</v>
      </c>
      <c r="D20" s="53">
        <v>0</v>
      </c>
      <c r="E20" s="28">
        <v>0</v>
      </c>
      <c r="F20" s="53">
        <v>45</v>
      </c>
      <c r="G20" s="53">
        <v>-45</v>
      </c>
      <c r="H20" s="53">
        <v>90</v>
      </c>
      <c r="I20" s="54">
        <v>0</v>
      </c>
      <c r="J20" s="53">
        <v>0</v>
      </c>
      <c r="K20" s="53">
        <v>45</v>
      </c>
      <c r="L20" s="40">
        <v>-45</v>
      </c>
      <c r="M20" s="40">
        <v>90</v>
      </c>
      <c r="N20" s="53">
        <v>0</v>
      </c>
      <c r="O20" s="53">
        <v>0</v>
      </c>
      <c r="P20" s="40">
        <v>45</v>
      </c>
      <c r="Q20" s="53">
        <v>-45</v>
      </c>
      <c r="R20" s="53">
        <v>90</v>
      </c>
      <c r="S20" s="53">
        <v>0</v>
      </c>
      <c r="V20" s="53">
        <v>2</v>
      </c>
      <c r="W20">
        <v>3</v>
      </c>
      <c r="X20">
        <v>3</v>
      </c>
      <c r="Y20">
        <v>6</v>
      </c>
      <c r="Z20">
        <f t="shared" ref="Z20:Z25" si="1">SUM(V20:Y20)</f>
        <v>14</v>
      </c>
    </row>
    <row r="21" spans="1:26" x14ac:dyDescent="0.45">
      <c r="A21" s="55" t="s">
        <v>126</v>
      </c>
      <c r="B21" s="53">
        <v>-45</v>
      </c>
      <c r="C21" s="53">
        <v>90</v>
      </c>
      <c r="D21" s="53">
        <v>0</v>
      </c>
      <c r="E21" s="54">
        <v>0</v>
      </c>
      <c r="F21" s="53">
        <v>45</v>
      </c>
      <c r="G21" s="53">
        <v>-45</v>
      </c>
      <c r="H21" s="53">
        <v>90</v>
      </c>
      <c r="I21" s="54">
        <v>0</v>
      </c>
      <c r="J21" s="53">
        <v>0</v>
      </c>
      <c r="K21" s="53">
        <v>45</v>
      </c>
      <c r="L21" s="40">
        <v>-45</v>
      </c>
      <c r="M21" s="40">
        <v>90</v>
      </c>
      <c r="N21" s="53">
        <v>0</v>
      </c>
      <c r="O21" s="53">
        <v>0</v>
      </c>
      <c r="P21" s="40">
        <v>45</v>
      </c>
      <c r="Q21" s="53">
        <v>-45</v>
      </c>
      <c r="R21" s="53">
        <v>90</v>
      </c>
      <c r="S21" s="40">
        <v>0</v>
      </c>
      <c r="V21" s="53">
        <v>2</v>
      </c>
      <c r="W21">
        <v>3</v>
      </c>
      <c r="X21">
        <v>3</v>
      </c>
      <c r="Y21">
        <v>4</v>
      </c>
      <c r="Z21">
        <f t="shared" si="1"/>
        <v>12</v>
      </c>
    </row>
    <row r="22" spans="1:26" x14ac:dyDescent="0.45">
      <c r="A22" s="55" t="s">
        <v>127</v>
      </c>
      <c r="B22" s="53">
        <v>-45</v>
      </c>
      <c r="C22" s="40">
        <v>90</v>
      </c>
      <c r="D22" s="53">
        <v>0</v>
      </c>
      <c r="E22" s="54">
        <v>0</v>
      </c>
      <c r="F22" s="53">
        <v>45</v>
      </c>
      <c r="G22" s="40">
        <v>-45</v>
      </c>
      <c r="H22" s="53">
        <v>90</v>
      </c>
      <c r="I22" s="54">
        <v>0</v>
      </c>
      <c r="J22" s="53">
        <v>0</v>
      </c>
      <c r="K22" s="53">
        <v>45</v>
      </c>
      <c r="L22" s="40">
        <v>-45</v>
      </c>
      <c r="M22" s="40">
        <v>90</v>
      </c>
      <c r="N22" s="53">
        <v>0</v>
      </c>
      <c r="O22" s="53">
        <v>0</v>
      </c>
      <c r="P22" s="40">
        <v>45</v>
      </c>
      <c r="Q22" s="53">
        <v>-45</v>
      </c>
      <c r="R22" s="53">
        <v>90</v>
      </c>
      <c r="S22" s="40">
        <v>0</v>
      </c>
      <c r="V22" s="53">
        <v>2</v>
      </c>
      <c r="W22">
        <v>2</v>
      </c>
      <c r="X22">
        <v>2</v>
      </c>
      <c r="Y22">
        <v>4</v>
      </c>
      <c r="Z22">
        <f t="shared" si="1"/>
        <v>10</v>
      </c>
    </row>
    <row r="23" spans="1:26" x14ac:dyDescent="0.45">
      <c r="A23" s="55" t="s">
        <v>128</v>
      </c>
      <c r="B23" s="53">
        <v>-45</v>
      </c>
      <c r="C23" s="40">
        <v>90</v>
      </c>
      <c r="D23" s="53">
        <v>0</v>
      </c>
      <c r="E23" s="54">
        <v>0</v>
      </c>
      <c r="F23" s="53">
        <v>45</v>
      </c>
      <c r="G23" s="40">
        <v>-45</v>
      </c>
      <c r="H23" s="53">
        <v>90</v>
      </c>
      <c r="I23" s="54">
        <v>0</v>
      </c>
      <c r="J23" s="53">
        <v>0</v>
      </c>
      <c r="K23" s="53">
        <v>45</v>
      </c>
      <c r="L23" s="40">
        <v>-45</v>
      </c>
      <c r="M23" s="40">
        <v>90</v>
      </c>
      <c r="N23" s="53">
        <v>0</v>
      </c>
      <c r="O23" s="40">
        <v>0</v>
      </c>
      <c r="P23" s="40">
        <v>45</v>
      </c>
      <c r="Q23" s="53">
        <v>-45</v>
      </c>
      <c r="R23" s="40">
        <v>90</v>
      </c>
      <c r="S23" s="40">
        <v>0</v>
      </c>
      <c r="V23" s="53">
        <v>2</v>
      </c>
      <c r="W23">
        <v>2</v>
      </c>
      <c r="X23">
        <v>1</v>
      </c>
      <c r="Y23">
        <v>3</v>
      </c>
      <c r="Z23">
        <f t="shared" si="1"/>
        <v>8</v>
      </c>
    </row>
    <row r="24" spans="1:26" x14ac:dyDescent="0.45">
      <c r="A24" s="55" t="s">
        <v>129</v>
      </c>
      <c r="B24" s="53">
        <v>-45</v>
      </c>
      <c r="C24" s="40">
        <v>90</v>
      </c>
      <c r="D24" s="53">
        <v>0</v>
      </c>
      <c r="E24" s="54">
        <v>0</v>
      </c>
      <c r="F24" s="53">
        <v>45</v>
      </c>
      <c r="G24" s="40">
        <v>-45</v>
      </c>
      <c r="H24" s="53">
        <v>90</v>
      </c>
      <c r="I24" s="54">
        <v>0</v>
      </c>
      <c r="J24" s="40">
        <v>0</v>
      </c>
      <c r="K24" s="53">
        <v>45</v>
      </c>
      <c r="L24" s="40">
        <v>-45</v>
      </c>
      <c r="M24" s="40">
        <v>90</v>
      </c>
      <c r="N24" s="53">
        <v>0</v>
      </c>
      <c r="O24" s="40">
        <v>0</v>
      </c>
      <c r="P24" s="40">
        <v>45</v>
      </c>
      <c r="Q24" s="40">
        <v>-45</v>
      </c>
      <c r="R24" s="40">
        <v>90</v>
      </c>
      <c r="S24" s="40">
        <v>0</v>
      </c>
      <c r="V24" s="53">
        <v>2</v>
      </c>
      <c r="W24">
        <v>1</v>
      </c>
      <c r="X24">
        <v>1</v>
      </c>
      <c r="Y24">
        <v>2</v>
      </c>
      <c r="Z24">
        <f t="shared" si="1"/>
        <v>6</v>
      </c>
    </row>
    <row r="25" spans="1:26" x14ac:dyDescent="0.45">
      <c r="A25" s="55" t="s">
        <v>130</v>
      </c>
      <c r="B25" s="53">
        <v>-45</v>
      </c>
      <c r="C25" s="40">
        <v>90</v>
      </c>
      <c r="D25" s="53">
        <v>0</v>
      </c>
      <c r="E25" s="54">
        <v>0</v>
      </c>
      <c r="F25" s="40">
        <v>45</v>
      </c>
      <c r="G25" s="40">
        <v>-45</v>
      </c>
      <c r="H25" s="53">
        <v>90</v>
      </c>
      <c r="I25" s="54">
        <v>0</v>
      </c>
      <c r="J25" s="40">
        <v>0</v>
      </c>
      <c r="K25" s="53">
        <v>45</v>
      </c>
      <c r="L25" s="40">
        <v>-45</v>
      </c>
      <c r="M25" s="40">
        <v>90</v>
      </c>
      <c r="N25" s="53">
        <v>0</v>
      </c>
      <c r="O25" s="40">
        <v>0</v>
      </c>
      <c r="P25" s="40">
        <v>45</v>
      </c>
      <c r="Q25" s="40">
        <v>-45</v>
      </c>
      <c r="R25" s="40">
        <v>90</v>
      </c>
      <c r="S25" s="40">
        <v>0</v>
      </c>
      <c r="V25" s="53">
        <v>1</v>
      </c>
      <c r="W25">
        <v>1</v>
      </c>
      <c r="X25">
        <v>1</v>
      </c>
      <c r="Y25">
        <v>2</v>
      </c>
      <c r="Z25">
        <f t="shared" si="1"/>
        <v>5</v>
      </c>
    </row>
    <row r="26" spans="1:26" x14ac:dyDescent="0.45">
      <c r="A26" s="32" t="s">
        <v>131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56"/>
      <c r="Q26" s="32"/>
      <c r="R26" s="32"/>
    </row>
    <row r="27" spans="1:26" x14ac:dyDescent="0.45">
      <c r="A27" s="32" t="s">
        <v>132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26" x14ac:dyDescent="0.45">
      <c r="A28" s="32" t="s">
        <v>133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1:26" x14ac:dyDescent="0.45">
      <c r="A29" s="32" t="s">
        <v>134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26" x14ac:dyDescent="0.4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1:26" x14ac:dyDescent="0.4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40" spans="1:19" x14ac:dyDescent="0.45">
      <c r="I40">
        <v>0</v>
      </c>
      <c r="J40">
        <v>0.1</v>
      </c>
      <c r="K40">
        <v>0.2</v>
      </c>
      <c r="L40">
        <v>0.3</v>
      </c>
      <c r="M40">
        <v>0.4</v>
      </c>
      <c r="N40">
        <v>0.5</v>
      </c>
      <c r="O40">
        <v>0.6</v>
      </c>
      <c r="P40">
        <v>0.7</v>
      </c>
      <c r="Q40">
        <v>0.8</v>
      </c>
      <c r="R40">
        <v>0.9</v>
      </c>
      <c r="S40">
        <v>1</v>
      </c>
    </row>
    <row r="41" spans="1:19" x14ac:dyDescent="0.45">
      <c r="B41" t="s">
        <v>43</v>
      </c>
      <c r="C41" t="s">
        <v>44</v>
      </c>
      <c r="D41" t="s">
        <v>45</v>
      </c>
      <c r="E41" t="s">
        <v>46</v>
      </c>
      <c r="F41" t="s">
        <v>105</v>
      </c>
      <c r="G41" t="s">
        <v>48</v>
      </c>
      <c r="I41">
        <v>-10880.530703056706</v>
      </c>
      <c r="J41">
        <v>-9126.2332336724976</v>
      </c>
      <c r="K41">
        <v>-7467.7751798585723</v>
      </c>
      <c r="L41">
        <v>-5920.5262227184921</v>
      </c>
      <c r="M41">
        <v>-4501.8745444045271</v>
      </c>
      <c r="N41">
        <v>-3231.5143924356516</v>
      </c>
      <c r="O41">
        <v>-2131.7799300139641</v>
      </c>
      <c r="P41">
        <v>-1228.033827804049</v>
      </c>
      <c r="Q41">
        <v>-549.1207986867305</v>
      </c>
      <c r="R41">
        <v>-127.8984281717108</v>
      </c>
      <c r="S41">
        <v>-1.8603144258741475</v>
      </c>
    </row>
    <row r="42" spans="1:19" x14ac:dyDescent="0.45">
      <c r="A42" t="s">
        <v>86</v>
      </c>
      <c r="B42">
        <v>515.23400000000004</v>
      </c>
      <c r="C42">
        <v>389.40600000000001</v>
      </c>
      <c r="D42">
        <v>116.85599999999999</v>
      </c>
      <c r="E42">
        <v>124.164</v>
      </c>
      <c r="F42">
        <f>'1. 0 ribs'!$G$15</f>
        <v>1.1943999999999999</v>
      </c>
      <c r="G42">
        <f>((2*PI()^2)/F42^2)*(SQRT(B42*C42)+D42+2*E42)</f>
        <v>11250.659189393227</v>
      </c>
    </row>
    <row r="43" spans="1:19" x14ac:dyDescent="0.45">
      <c r="A43" t="s">
        <v>87</v>
      </c>
      <c r="B43">
        <v>465.96199999999999</v>
      </c>
      <c r="C43">
        <v>340.13299999999998</v>
      </c>
      <c r="D43">
        <v>76.438699999999997</v>
      </c>
      <c r="E43">
        <v>82.594999999999999</v>
      </c>
      <c r="F43">
        <f>'1. 0 ribs'!$G$15</f>
        <v>1.1943999999999999</v>
      </c>
      <c r="G43">
        <f t="shared" ref="G43:G61" si="2">((2*PI()^2)/F43^2)*(SQRT(B43*C43)+D43+2*E43)</f>
        <v>8851.7803200235103</v>
      </c>
    </row>
    <row r="44" spans="1:19" x14ac:dyDescent="0.45">
      <c r="A44" t="s">
        <v>112</v>
      </c>
      <c r="B44">
        <v>329.3</v>
      </c>
      <c r="C44">
        <v>187.55600000000001</v>
      </c>
      <c r="D44">
        <v>70.956199999999995</v>
      </c>
      <c r="E44">
        <v>75.185299999999998</v>
      </c>
      <c r="F44">
        <f>'1. 0 ribs'!$G$15</f>
        <v>1.1943999999999999</v>
      </c>
      <c r="G44">
        <f t="shared" si="2"/>
        <v>6501.0937022083972</v>
      </c>
    </row>
    <row r="45" spans="1:19" x14ac:dyDescent="0.45">
      <c r="A45" t="s">
        <v>113</v>
      </c>
      <c r="B45">
        <v>217.66200000000001</v>
      </c>
      <c r="C45">
        <v>180.52699999999999</v>
      </c>
      <c r="D45">
        <v>68.706999999999994</v>
      </c>
      <c r="E45">
        <v>72.145300000000006</v>
      </c>
      <c r="F45">
        <f>'1. 0 ribs'!$G$15</f>
        <v>1.1943999999999999</v>
      </c>
      <c r="G45">
        <f t="shared" si="2"/>
        <v>5689.9576884954422</v>
      </c>
    </row>
    <row r="46" spans="1:19" x14ac:dyDescent="0.45">
      <c r="A46" t="s">
        <v>114</v>
      </c>
      <c r="B46">
        <v>188.33500000000001</v>
      </c>
      <c r="C46">
        <v>151.19999999999999</v>
      </c>
      <c r="D46">
        <v>44.649900000000002</v>
      </c>
      <c r="E46">
        <v>47.402900000000002</v>
      </c>
      <c r="F46">
        <f>'1. 0 ribs'!$G$15</f>
        <v>1.1943999999999999</v>
      </c>
      <c r="G46">
        <f t="shared" si="2"/>
        <v>4264.5137751290276</v>
      </c>
    </row>
    <row r="47" spans="1:19" x14ac:dyDescent="0.45">
      <c r="A47" t="s">
        <v>115</v>
      </c>
      <c r="B47">
        <v>163.18899999999999</v>
      </c>
      <c r="C47">
        <v>126.054</v>
      </c>
      <c r="D47">
        <v>24.023299999999999</v>
      </c>
      <c r="E47">
        <v>26.188600000000001</v>
      </c>
      <c r="F47">
        <f>'1. 0 ribs'!$G$15</f>
        <v>1.1943999999999999</v>
      </c>
      <c r="G47">
        <f t="shared" si="2"/>
        <v>3041.6378373950474</v>
      </c>
    </row>
    <row r="48" spans="1:19" x14ac:dyDescent="0.45">
      <c r="A48" t="s">
        <v>116</v>
      </c>
      <c r="B48">
        <v>100.206</v>
      </c>
      <c r="C48">
        <v>52.128700000000002</v>
      </c>
      <c r="D48">
        <v>21.4282</v>
      </c>
      <c r="E48">
        <v>22.6813</v>
      </c>
      <c r="F48">
        <f>'1. 0 ribs'!$G$15</f>
        <v>1.1943999999999999</v>
      </c>
      <c r="G48">
        <f t="shared" si="2"/>
        <v>1924.1948154928991</v>
      </c>
    </row>
    <row r="49" spans="1:19" x14ac:dyDescent="0.45">
      <c r="A49" t="s">
        <v>117</v>
      </c>
      <c r="B49">
        <v>52.259799999999998</v>
      </c>
      <c r="C49">
        <v>49.109900000000003</v>
      </c>
      <c r="D49">
        <v>20.462199999999999</v>
      </c>
      <c r="E49">
        <v>21.375699999999998</v>
      </c>
      <c r="F49">
        <f>'1. 0 ribs'!$G$15</f>
        <v>1.1943999999999999</v>
      </c>
      <c r="G49">
        <f t="shared" si="2"/>
        <v>1575.6314136504807</v>
      </c>
    </row>
    <row r="50" spans="1:19" x14ac:dyDescent="0.45">
      <c r="A50" t="s">
        <v>118</v>
      </c>
      <c r="B50">
        <v>40.6252</v>
      </c>
      <c r="C50">
        <v>37.4754</v>
      </c>
      <c r="D50">
        <v>10.9186</v>
      </c>
      <c r="E50">
        <v>11.5601</v>
      </c>
      <c r="F50">
        <f>'1. 0 ribs'!$G$15</f>
        <v>1.1943999999999999</v>
      </c>
      <c r="G50">
        <f t="shared" si="2"/>
        <v>1010.8668227129787</v>
      </c>
    </row>
    <row r="51" spans="1:19" x14ac:dyDescent="0.45">
      <c r="A51" t="s">
        <v>119</v>
      </c>
      <c r="B51">
        <v>31.5642</v>
      </c>
      <c r="C51">
        <v>28.414400000000001</v>
      </c>
      <c r="D51">
        <v>3.4859300000000002</v>
      </c>
      <c r="E51">
        <v>3.9157299999999999</v>
      </c>
      <c r="F51">
        <f>'1. 0 ribs'!$G$15</f>
        <v>1.1943999999999999</v>
      </c>
      <c r="G51">
        <f t="shared" si="2"/>
        <v>570.97256977281052</v>
      </c>
    </row>
    <row r="52" spans="1:19" x14ac:dyDescent="0.45">
      <c r="A52" t="s">
        <v>120</v>
      </c>
      <c r="B52">
        <v>14.0496</v>
      </c>
      <c r="C52">
        <v>4.9315699999999998</v>
      </c>
      <c r="D52">
        <v>2.7088399999999999</v>
      </c>
      <c r="E52">
        <v>2.8654700000000002</v>
      </c>
      <c r="F52">
        <f>'1. 0 ribs'!$G$15</f>
        <v>1.1943999999999999</v>
      </c>
      <c r="G52">
        <f t="shared" si="2"/>
        <v>231.9521406474866</v>
      </c>
    </row>
    <row r="53" spans="1:19" x14ac:dyDescent="0.45">
      <c r="A53" t="s">
        <v>121</v>
      </c>
      <c r="B53">
        <v>3.2573599999999998</v>
      </c>
      <c r="C53">
        <v>4.2520600000000002</v>
      </c>
      <c r="D53">
        <v>2.4914000000000001</v>
      </c>
      <c r="E53">
        <v>2.57159</v>
      </c>
      <c r="F53">
        <f>'1. 0 ribs'!$G$15</f>
        <v>1.1943999999999999</v>
      </c>
      <c r="G53">
        <f t="shared" si="2"/>
        <v>157.13153843933841</v>
      </c>
    </row>
    <row r="54" spans="1:19" x14ac:dyDescent="0.45">
      <c r="A54" t="s">
        <v>122</v>
      </c>
      <c r="B54">
        <v>1.27359</v>
      </c>
      <c r="C54">
        <v>2.2682899999999999</v>
      </c>
      <c r="D54">
        <v>0.86413700000000004</v>
      </c>
      <c r="E54">
        <v>0.89796900000000002</v>
      </c>
      <c r="F54">
        <f>'1. 0 ribs'!$G$15</f>
        <v>1.1943999999999999</v>
      </c>
      <c r="G54">
        <f t="shared" si="2"/>
        <v>60.324126929341098</v>
      </c>
    </row>
    <row r="55" spans="1:19" x14ac:dyDescent="0.45">
      <c r="A55" t="s">
        <v>123</v>
      </c>
      <c r="B55">
        <v>0.25489899999999999</v>
      </c>
      <c r="C55">
        <v>1.24959</v>
      </c>
      <c r="D55">
        <v>2.8517199999999999E-2</v>
      </c>
      <c r="E55">
        <v>3.8541699999999998E-2</v>
      </c>
      <c r="F55">
        <f>'1. 0 ribs'!$G$15</f>
        <v>1.1943999999999999</v>
      </c>
      <c r="G55">
        <f t="shared" si="2"/>
        <v>9.2702019611697128</v>
      </c>
    </row>
    <row r="56" spans="1:19" x14ac:dyDescent="0.45">
      <c r="A56" s="55" t="s">
        <v>124</v>
      </c>
      <c r="B56">
        <v>362.21600000000001</v>
      </c>
      <c r="C56">
        <v>279.15899999999999</v>
      </c>
      <c r="D56">
        <v>79.063299999999998</v>
      </c>
      <c r="E56">
        <v>84.195800000000006</v>
      </c>
      <c r="F56">
        <f>'1. 0 ribs'!$G$15</f>
        <v>1.1943999999999999</v>
      </c>
      <c r="G56">
        <f t="shared" si="2"/>
        <v>7823.8098846423736</v>
      </c>
      <c r="K56" s="57"/>
      <c r="L56" s="57"/>
      <c r="M56" s="57"/>
      <c r="N56" s="57"/>
      <c r="O56" s="57"/>
      <c r="P56" s="57"/>
      <c r="Q56" s="57"/>
      <c r="R56" s="57"/>
      <c r="S56" s="57"/>
    </row>
    <row r="57" spans="1:19" x14ac:dyDescent="0.45">
      <c r="A57" s="55" t="s">
        <v>125</v>
      </c>
      <c r="B57">
        <v>237.358</v>
      </c>
      <c r="C57">
        <v>186.131</v>
      </c>
      <c r="D57">
        <v>56.057000000000002</v>
      </c>
      <c r="E57">
        <v>59.4953</v>
      </c>
      <c r="F57">
        <f>'1. 0 ribs'!$G$15</f>
        <v>1.1943999999999999</v>
      </c>
      <c r="G57">
        <f t="shared" si="2"/>
        <v>5330.3828954855308</v>
      </c>
      <c r="M57" s="57"/>
      <c r="N57" s="57"/>
      <c r="O57" s="57"/>
      <c r="P57" s="57"/>
      <c r="Q57" s="57"/>
      <c r="R57" s="57"/>
      <c r="S57" s="57"/>
    </row>
    <row r="58" spans="1:19" x14ac:dyDescent="0.45">
      <c r="A58" s="55" t="s">
        <v>126</v>
      </c>
      <c r="B58">
        <v>124.693</v>
      </c>
      <c r="C58">
        <v>131.49</v>
      </c>
      <c r="D58">
        <v>40.553199999999997</v>
      </c>
      <c r="E58">
        <v>42.718400000000003</v>
      </c>
      <c r="F58">
        <f>'1. 0 ribs'!$G$15</f>
        <v>1.1943999999999999</v>
      </c>
      <c r="G58">
        <f t="shared" si="2"/>
        <v>3515.0063564270372</v>
      </c>
      <c r="N58" s="57"/>
      <c r="O58" s="57"/>
      <c r="P58" s="57"/>
      <c r="Q58" s="57"/>
      <c r="R58" s="57"/>
      <c r="S58" s="57"/>
    </row>
    <row r="59" spans="1:19" x14ac:dyDescent="0.45">
      <c r="A59" s="55" t="s">
        <v>127</v>
      </c>
      <c r="B59">
        <v>93.062100000000001</v>
      </c>
      <c r="C59">
        <v>53.937399999999997</v>
      </c>
      <c r="D59">
        <v>24.095600000000001</v>
      </c>
      <c r="E59">
        <v>25.348700000000001</v>
      </c>
      <c r="F59">
        <f>'1. 0 ribs'!$G$15</f>
        <v>1.1943999999999999</v>
      </c>
      <c r="G59">
        <f t="shared" si="2"/>
        <v>2015.188464951229</v>
      </c>
      <c r="P59" s="57"/>
      <c r="Q59" s="57"/>
      <c r="R59" s="57"/>
      <c r="S59" s="57"/>
    </row>
    <row r="60" spans="1:19" x14ac:dyDescent="0.45">
      <c r="A60" s="55" t="s">
        <v>128</v>
      </c>
      <c r="B60">
        <v>45.945500000000003</v>
      </c>
      <c r="C60">
        <v>27.709399999999999</v>
      </c>
      <c r="D60">
        <v>13.141400000000001</v>
      </c>
      <c r="E60">
        <v>13.782999999999999</v>
      </c>
      <c r="F60">
        <f>'1. 0 ribs'!$G$15</f>
        <v>1.1943999999999999</v>
      </c>
      <c r="G60">
        <f t="shared" si="2"/>
        <v>1056.9553640328454</v>
      </c>
      <c r="Q60" s="57"/>
      <c r="R60" s="57"/>
      <c r="S60" s="57"/>
    </row>
    <row r="61" spans="1:19" x14ac:dyDescent="0.45">
      <c r="A61" s="55" t="s">
        <v>129</v>
      </c>
      <c r="B61">
        <v>18.418900000000001</v>
      </c>
      <c r="C61">
        <v>11.2902</v>
      </c>
      <c r="D61">
        <v>6.2260299999999997</v>
      </c>
      <c r="E61">
        <v>6.4966999999999997</v>
      </c>
      <c r="F61">
        <f>'1. 0 ribs'!$G$15</f>
        <v>1.1943999999999999</v>
      </c>
      <c r="G61">
        <f t="shared" si="2"/>
        <v>465.4641526401806</v>
      </c>
      <c r="R61" s="57"/>
      <c r="S61" s="57"/>
    </row>
    <row r="62" spans="1:19" x14ac:dyDescent="0.45">
      <c r="A62" s="55" t="s">
        <v>130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8D2E-B174-48C2-A489-3514EDBEF371}">
  <dimension ref="A1:U25"/>
  <sheetViews>
    <sheetView zoomScale="70" zoomScaleNormal="70" workbookViewId="0">
      <selection activeCell="D16" sqref="D16"/>
    </sheetView>
  </sheetViews>
  <sheetFormatPr defaultRowHeight="14.25" x14ac:dyDescent="0.45"/>
  <cols>
    <col min="4" max="4" width="9.06640625" customWidth="1"/>
    <col min="10" max="10" width="20.265625" customWidth="1"/>
  </cols>
  <sheetData>
    <row r="1" spans="1:21" x14ac:dyDescent="0.45">
      <c r="A1" t="s">
        <v>147</v>
      </c>
      <c r="B1">
        <v>0.44912999999999997</v>
      </c>
      <c r="C1">
        <v>0.15</v>
      </c>
      <c r="J1" t="s">
        <v>137</v>
      </c>
      <c r="K1" t="s">
        <v>51</v>
      </c>
      <c r="L1" t="s">
        <v>80</v>
      </c>
      <c r="M1" t="s">
        <v>74</v>
      </c>
      <c r="N1" t="s">
        <v>75</v>
      </c>
      <c r="O1" t="s">
        <v>64</v>
      </c>
      <c r="P1" t="s">
        <v>65</v>
      </c>
      <c r="Q1" t="s">
        <v>67</v>
      </c>
      <c r="R1" t="s">
        <v>68</v>
      </c>
      <c r="S1" t="s">
        <v>195</v>
      </c>
    </row>
    <row r="2" spans="1:21" x14ac:dyDescent="0.45">
      <c r="A2" t="s">
        <v>148</v>
      </c>
      <c r="B2">
        <v>0.55082500000000001</v>
      </c>
      <c r="C2">
        <f>B2-(2*0.15)</f>
        <v>0.25082500000000002</v>
      </c>
      <c r="J2" t="s">
        <v>43</v>
      </c>
      <c r="K2">
        <v>25.609400000000001</v>
      </c>
      <c r="L2">
        <v>43.566800000000001</v>
      </c>
      <c r="M2">
        <v>151.38399999999999</v>
      </c>
      <c r="N2">
        <v>156.893</v>
      </c>
      <c r="O2">
        <v>106.78700000000001</v>
      </c>
      <c r="P2">
        <v>183.48400000000001</v>
      </c>
      <c r="Q2">
        <v>276.26600000000002</v>
      </c>
      <c r="R2">
        <v>323.94799999999998</v>
      </c>
      <c r="S2">
        <v>28.894600000000001</v>
      </c>
      <c r="T2">
        <v>19.833600000000001</v>
      </c>
      <c r="U2">
        <v>25.228000000000002</v>
      </c>
    </row>
    <row r="3" spans="1:21" x14ac:dyDescent="0.45">
      <c r="A3" t="s">
        <v>149</v>
      </c>
      <c r="B3">
        <v>1.1943999999999999</v>
      </c>
      <c r="J3" t="s">
        <v>45</v>
      </c>
      <c r="K3">
        <v>11.2498</v>
      </c>
      <c r="L3">
        <v>14.637499999999999</v>
      </c>
      <c r="M3">
        <v>30.5501</v>
      </c>
      <c r="N3">
        <v>32.283799999999999</v>
      </c>
      <c r="O3">
        <v>14.831300000000001</v>
      </c>
      <c r="P3">
        <v>51.142600000000002</v>
      </c>
      <c r="Q3">
        <v>53.475099999999998</v>
      </c>
      <c r="R3">
        <v>65.863900000000001</v>
      </c>
      <c r="S3">
        <v>14.1114</v>
      </c>
      <c r="T3">
        <v>6.6787400000000003</v>
      </c>
      <c r="U3">
        <v>11.811500000000001</v>
      </c>
    </row>
    <row r="4" spans="1:21" x14ac:dyDescent="0.45">
      <c r="A4" t="s">
        <v>135</v>
      </c>
      <c r="B4">
        <v>2</v>
      </c>
      <c r="J4" t="s">
        <v>44</v>
      </c>
      <c r="K4">
        <v>36.974299999999999</v>
      </c>
      <c r="L4">
        <v>48.302199999999999</v>
      </c>
      <c r="M4">
        <v>74.671599999999998</v>
      </c>
      <c r="N4">
        <v>143.63399999999999</v>
      </c>
      <c r="O4">
        <v>84.733800000000002</v>
      </c>
      <c r="P4">
        <v>170.22499999999999</v>
      </c>
      <c r="Q4">
        <v>177.636</v>
      </c>
      <c r="R4">
        <v>203.09299999999999</v>
      </c>
      <c r="S4">
        <v>42.820300000000003</v>
      </c>
      <c r="T4">
        <v>33.759300000000003</v>
      </c>
      <c r="U4">
        <v>18.099399999999999</v>
      </c>
    </row>
    <row r="5" spans="1:21" x14ac:dyDescent="0.45">
      <c r="A5" t="s">
        <v>31</v>
      </c>
      <c r="B5">
        <v>1</v>
      </c>
      <c r="J5" t="s">
        <v>46</v>
      </c>
      <c r="K5">
        <v>3.65299</v>
      </c>
      <c r="L5">
        <v>17.095199999999998</v>
      </c>
      <c r="M5">
        <v>36.375599999999999</v>
      </c>
      <c r="N5">
        <v>39.690399999999997</v>
      </c>
      <c r="O5">
        <v>19.3184</v>
      </c>
      <c r="P5">
        <v>60.393300000000004</v>
      </c>
      <c r="Q5">
        <v>64.852999999999994</v>
      </c>
      <c r="R5">
        <v>70.093000000000004</v>
      </c>
      <c r="S5">
        <v>14.7529</v>
      </c>
      <c r="T5">
        <v>7.1085399999999996</v>
      </c>
      <c r="U5">
        <v>12.241300000000001</v>
      </c>
    </row>
    <row r="7" spans="1:21" x14ac:dyDescent="0.45">
      <c r="A7" t="s">
        <v>150</v>
      </c>
      <c r="B7">
        <f>B2/B3</f>
        <v>0.46117297387809786</v>
      </c>
      <c r="C7">
        <f>C2/B3</f>
        <v>0.21000083724045548</v>
      </c>
      <c r="J7" t="s">
        <v>153</v>
      </c>
      <c r="K7">
        <f>K2*$B$4^4*$B$7^4</f>
        <v>18.534239890173581</v>
      </c>
      <c r="L7">
        <f t="shared" ref="L7:S7" si="0">L2*$B$4^4*$B$7^4</f>
        <v>31.530513110311617</v>
      </c>
      <c r="M7">
        <f t="shared" si="0"/>
        <v>109.56083982967336</v>
      </c>
      <c r="N7">
        <f t="shared" si="0"/>
        <v>113.54785739177815</v>
      </c>
      <c r="O7">
        <f t="shared" si="0"/>
        <v>77.284742131872122</v>
      </c>
      <c r="P7">
        <f t="shared" si="0"/>
        <v>132.7925086885522</v>
      </c>
      <c r="Q7">
        <f t="shared" si="0"/>
        <v>199.94144015473591</v>
      </c>
      <c r="R7">
        <f t="shared" si="0"/>
        <v>234.45023873819574</v>
      </c>
      <c r="S7">
        <f t="shared" si="0"/>
        <v>20.911831121799398</v>
      </c>
      <c r="T7">
        <f t="shared" ref="T7:U7" si="1">T2*$B$4^4*$B$7^4</f>
        <v>14.354131697179422</v>
      </c>
      <c r="U7">
        <f t="shared" si="1"/>
        <v>18.258210030274004</v>
      </c>
    </row>
    <row r="8" spans="1:21" x14ac:dyDescent="0.45">
      <c r="A8" t="s">
        <v>151</v>
      </c>
      <c r="B8">
        <f>B1/B3</f>
        <v>0.37602980576021433</v>
      </c>
      <c r="C8">
        <f>C1/B3</f>
        <v>0.12558606831882116</v>
      </c>
      <c r="J8" t="s">
        <v>156</v>
      </c>
      <c r="K8">
        <f>K2*$B$4^4*$B$8^4</f>
        <v>8.1923494220633657</v>
      </c>
      <c r="L8">
        <f t="shared" ref="L8:S8" si="2">L2*$B$4^4*$B$8^4</f>
        <v>13.936853218003945</v>
      </c>
      <c r="M8">
        <f t="shared" si="2"/>
        <v>48.427164436091452</v>
      </c>
      <c r="N8">
        <f t="shared" si="2"/>
        <v>50.189472532577398</v>
      </c>
      <c r="O8">
        <f t="shared" si="2"/>
        <v>34.160754165809458</v>
      </c>
      <c r="P8">
        <f t="shared" si="2"/>
        <v>58.695832052210307</v>
      </c>
      <c r="Q8">
        <f t="shared" si="2"/>
        <v>88.376440113230217</v>
      </c>
      <c r="R8">
        <f t="shared" si="2"/>
        <v>103.62973012169684</v>
      </c>
      <c r="S8">
        <f t="shared" si="2"/>
        <v>9.2432723769690863</v>
      </c>
      <c r="T8">
        <f t="shared" ref="T8:U8" si="3">T2*$B$4^4*$B$8^4</f>
        <v>6.344693022774293</v>
      </c>
      <c r="U8">
        <f t="shared" si="3"/>
        <v>8.0703410161821285</v>
      </c>
    </row>
    <row r="9" spans="1:21" x14ac:dyDescent="0.45">
      <c r="J9" t="s">
        <v>155</v>
      </c>
      <c r="K9">
        <f>2*(K3+2*K5)*$B$4^2*$B$5^2*$B$7^4</f>
        <v>6.7146687909378011</v>
      </c>
      <c r="L9">
        <f t="shared" ref="L9:S9" si="4">2*(L3+2*L5)*$B$4^2*$B$5^2*$B$7^4</f>
        <v>17.669059250380847</v>
      </c>
      <c r="M9">
        <f t="shared" si="4"/>
        <v>37.381021717939269</v>
      </c>
      <c r="N9">
        <f t="shared" si="4"/>
        <v>40.407398916809385</v>
      </c>
      <c r="O9">
        <f t="shared" si="4"/>
        <v>19.348180587436449</v>
      </c>
      <c r="P9">
        <f t="shared" si="4"/>
        <v>62.214988186479019</v>
      </c>
      <c r="Q9">
        <f t="shared" si="4"/>
        <v>66.286645738398306</v>
      </c>
      <c r="R9">
        <f t="shared" si="4"/>
        <v>74.562041202571649</v>
      </c>
      <c r="S9">
        <f t="shared" si="4"/>
        <v>15.783494500802028</v>
      </c>
      <c r="T9">
        <f t="shared" ref="T9:U9" si="5">2*(T3+2*T5)*$B$4^2*$B$5^2*$B$7^4</f>
        <v>7.5614450276438898</v>
      </c>
      <c r="U9">
        <f t="shared" si="5"/>
        <v>13.133528235685898</v>
      </c>
    </row>
    <row r="10" spans="1:21" x14ac:dyDescent="0.45">
      <c r="A10" t="s">
        <v>145</v>
      </c>
      <c r="B10">
        <f>(1740.1)+77.8704</f>
        <v>1817.9703999999999</v>
      </c>
      <c r="C10" t="s">
        <v>77</v>
      </c>
      <c r="D10">
        <f>B10/B1</f>
        <v>4047.7598913454904</v>
      </c>
      <c r="J10" t="s">
        <v>157</v>
      </c>
      <c r="K10">
        <f>2*(K3+2*K5)*$B$4^2*$B$5^2*$B$8^4</f>
        <v>2.9679616382838909</v>
      </c>
      <c r="L10">
        <f t="shared" ref="L10:S10" si="6">2*(L3+2*L5)*$B$4^2*$B$5^2*$B$8^4</f>
        <v>7.8099295248144784</v>
      </c>
      <c r="M10">
        <f t="shared" si="6"/>
        <v>16.522846012663209</v>
      </c>
      <c r="N10">
        <f t="shared" si="6"/>
        <v>17.860539904779824</v>
      </c>
      <c r="O10">
        <f t="shared" si="6"/>
        <v>8.552120669243056</v>
      </c>
      <c r="P10">
        <f t="shared" si="6"/>
        <v>27.499747792916214</v>
      </c>
      <c r="Q10">
        <f t="shared" si="6"/>
        <v>29.299467748520691</v>
      </c>
      <c r="R10">
        <f t="shared" si="6"/>
        <v>32.957288713933444</v>
      </c>
      <c r="S10">
        <f t="shared" si="6"/>
        <v>6.9764879929249064</v>
      </c>
      <c r="T10">
        <f t="shared" ref="T10:U10" si="7">2*(T3+2*T5)*$B$4^2*$B$5^2*$B$8^4</f>
        <v>3.3422465754867376</v>
      </c>
      <c r="U10">
        <f t="shared" si="7"/>
        <v>5.8051721078844096</v>
      </c>
    </row>
    <row r="11" spans="1:21" x14ac:dyDescent="0.45">
      <c r="A11" t="s">
        <v>146</v>
      </c>
      <c r="B11" s="1">
        <f>1015.8</f>
        <v>1015.8</v>
      </c>
      <c r="C11" t="s">
        <v>77</v>
      </c>
      <c r="D11" s="49">
        <f>B11/B3</f>
        <v>850.46885465505693</v>
      </c>
      <c r="J11" t="s">
        <v>152</v>
      </c>
      <c r="K11">
        <f>K4*$B$5^4</f>
        <v>36.974299999999999</v>
      </c>
      <c r="L11">
        <f t="shared" ref="L11:R11" si="8">L4*$B$5^4</f>
        <v>48.302199999999999</v>
      </c>
      <c r="M11">
        <f t="shared" si="8"/>
        <v>74.671599999999998</v>
      </c>
      <c r="N11">
        <f t="shared" si="8"/>
        <v>143.63399999999999</v>
      </c>
      <c r="O11">
        <f t="shared" si="8"/>
        <v>84.733800000000002</v>
      </c>
      <c r="P11">
        <f t="shared" si="8"/>
        <v>170.22499999999999</v>
      </c>
      <c r="Q11">
        <f t="shared" si="8"/>
        <v>177.636</v>
      </c>
      <c r="R11">
        <f>R4*$B$5^4</f>
        <v>203.09299999999999</v>
      </c>
      <c r="S11">
        <f>S4*$B$5^4</f>
        <v>42.820300000000003</v>
      </c>
      <c r="T11">
        <f>T4*$B$5^4</f>
        <v>33.759300000000003</v>
      </c>
      <c r="U11">
        <f>U4*$B$5^4</f>
        <v>18.099399999999999</v>
      </c>
    </row>
    <row r="12" spans="1:21" x14ac:dyDescent="0.45">
      <c r="A12" t="s">
        <v>136</v>
      </c>
      <c r="B12">
        <f>B11/B10</f>
        <v>0.55875497202814739</v>
      </c>
      <c r="J12" t="s">
        <v>154</v>
      </c>
      <c r="K12">
        <f>(PI()^2/$B$7^2)*(K7+K9+K11)</f>
        <v>2887.5163452860052</v>
      </c>
      <c r="L12">
        <f t="shared" ref="L12:M12" si="9">(PI()^2/$B$7^2)*(L7+L9+L11)</f>
        <v>4524.6455037173137</v>
      </c>
      <c r="M12">
        <f t="shared" si="9"/>
        <v>10284.144873235964</v>
      </c>
      <c r="N12">
        <f t="shared" ref="N12" si="10">(PI()^2/$B$7^2)*(N7+N9+N11)</f>
        <v>13809.8606610977</v>
      </c>
      <c r="O12">
        <f t="shared" ref="O12" si="11">(PI()^2/$B$7^2)*(O7+O9+O11)</f>
        <v>8416.4636868354482</v>
      </c>
      <c r="P12">
        <f t="shared" ref="P12" si="12">(PI()^2/$B$7^2)*(P7+P9+P11)</f>
        <v>16948.897797300731</v>
      </c>
      <c r="Q12">
        <f t="shared" ref="Q12" si="13">(PI()^2/$B$7^2)*(Q7+Q9+Q11)</f>
        <v>20597.857781174203</v>
      </c>
      <c r="R12">
        <f>(PI()^2/$B$7^2)*(R7+R9+R11)</f>
        <v>23764.643413272133</v>
      </c>
      <c r="S12">
        <f t="shared" ref="S12:U12" si="14">(PI()^2/$B$7^2)*(S7+S9+S11)</f>
        <v>3689.9843893875409</v>
      </c>
      <c r="T12">
        <f t="shared" si="14"/>
        <v>2583.6359129051471</v>
      </c>
      <c r="U12">
        <f t="shared" si="14"/>
        <v>2296.6747250556032</v>
      </c>
    </row>
    <row r="13" spans="1:21" x14ac:dyDescent="0.45">
      <c r="J13" t="s">
        <v>158</v>
      </c>
      <c r="K13">
        <f>(PI()^2/$B$7^2)*(K8+K10+K11)</f>
        <v>2233.7240260791818</v>
      </c>
      <c r="L13">
        <f t="shared" ref="L13:R13" si="15">(PI()^2/$B$7^2)*(L8+L10+L11)</f>
        <v>3250.6774711209373</v>
      </c>
      <c r="M13">
        <f t="shared" si="15"/>
        <v>6479.2493166351042</v>
      </c>
      <c r="N13">
        <f t="shared" si="15"/>
        <v>9823.3610722512403</v>
      </c>
      <c r="O13">
        <f t="shared" si="15"/>
        <v>5914.261969750798</v>
      </c>
      <c r="P13">
        <f t="shared" si="15"/>
        <v>11899.396242406912</v>
      </c>
      <c r="Q13">
        <f t="shared" si="15"/>
        <v>13704.178536958887</v>
      </c>
      <c r="R13">
        <f>(PI()^2/$B$7^2)*(R8+R10+R11)</f>
        <v>15763.115200015136</v>
      </c>
      <c r="S13">
        <f t="shared" ref="S13:T13" si="16">(PI()^2/$B$7^2)*(S8+S10+S11)</f>
        <v>2739.79987464858</v>
      </c>
      <c r="T13">
        <f t="shared" ref="T13:U13" si="17">(PI()^2/$B$7^2)*(T8+T10+T11)</f>
        <v>2016.1565055913488</v>
      </c>
      <c r="U13">
        <f t="shared" si="17"/>
        <v>1483.8206875189555</v>
      </c>
    </row>
    <row r="15" spans="1:21" x14ac:dyDescent="0.45">
      <c r="J15" t="s">
        <v>138</v>
      </c>
      <c r="K15">
        <f>($B$4^2)*$B$7^2+$B$12*$B$5^2</f>
        <v>1.4094770193704225</v>
      </c>
      <c r="L15">
        <f>($B$4^2)*$B$7^2+$B$12*$B$5^2</f>
        <v>1.4094770193704225</v>
      </c>
      <c r="M15">
        <f>($B$4^2)*$B$7^2+$B$12*$B$5^2</f>
        <v>1.4094770193704225</v>
      </c>
      <c r="N15">
        <f>($B$4^2)*$B$7^2+$B$12*$B$5^2</f>
        <v>1.4094770193704225</v>
      </c>
      <c r="O15">
        <f>($B$4^2)*$B$7^2+$B$12*$B$5^2</f>
        <v>1.4094770193704225</v>
      </c>
      <c r="P15">
        <f t="shared" ref="P15:U15" si="18">($B$4^2)*$B$7^2+$B$12*$B$5^2</f>
        <v>1.4094770193704225</v>
      </c>
      <c r="Q15">
        <f t="shared" si="18"/>
        <v>1.4094770193704225</v>
      </c>
      <c r="R15">
        <f t="shared" si="18"/>
        <v>1.4094770193704225</v>
      </c>
      <c r="S15">
        <f t="shared" si="18"/>
        <v>1.4094770193704225</v>
      </c>
      <c r="T15">
        <f t="shared" si="18"/>
        <v>1.4094770193704225</v>
      </c>
      <c r="U15">
        <f t="shared" si="18"/>
        <v>1.4094770193704225</v>
      </c>
    </row>
    <row r="16" spans="1:21" x14ac:dyDescent="0.45">
      <c r="A16" t="s">
        <v>193</v>
      </c>
      <c r="B16">
        <v>-600.22580000000005</v>
      </c>
      <c r="C16" t="s">
        <v>194</v>
      </c>
      <c r="J16" t="s">
        <v>139</v>
      </c>
      <c r="K16">
        <f>($B$4^2)*$B$8^2+$B$12*$B$5^2</f>
        <v>1.1243486313084055</v>
      </c>
      <c r="L16">
        <f>($B$4^2)*$B$8^2+$B$12*$B$5^2</f>
        <v>1.1243486313084055</v>
      </c>
      <c r="M16">
        <f>($B$4^2)*$B$8^2+$B$12*$B$5^2</f>
        <v>1.1243486313084055</v>
      </c>
      <c r="N16">
        <f>($B$4^2)*$B$8^2+$B$12*$B$5^2</f>
        <v>1.1243486313084055</v>
      </c>
      <c r="O16">
        <f>($B$4^2)*$B$8^2+$B$12*$B$5^2</f>
        <v>1.1243486313084055</v>
      </c>
      <c r="P16">
        <f t="shared" ref="P16:U16" si="19">($B$4^2)*$B$8^2+$B$12*$B$5^2</f>
        <v>1.1243486313084055</v>
      </c>
      <c r="Q16">
        <f t="shared" si="19"/>
        <v>1.1243486313084055</v>
      </c>
      <c r="R16">
        <f t="shared" si="19"/>
        <v>1.1243486313084055</v>
      </c>
      <c r="S16">
        <f t="shared" si="19"/>
        <v>1.1243486313084055</v>
      </c>
      <c r="T16">
        <f t="shared" si="19"/>
        <v>1.1243486313084055</v>
      </c>
      <c r="U16">
        <f t="shared" si="19"/>
        <v>1.1243486313084055</v>
      </c>
    </row>
    <row r="19" spans="10:21" x14ac:dyDescent="0.45">
      <c r="J19" t="s">
        <v>140</v>
      </c>
      <c r="K19">
        <f>K12/K15</f>
        <v>2048.6437917063631</v>
      </c>
      <c r="L19">
        <f t="shared" ref="L19:T19" si="20">L12/L15</f>
        <v>3210.1591168463019</v>
      </c>
      <c r="M19">
        <f t="shared" si="20"/>
        <v>7296.4260728632735</v>
      </c>
      <c r="N19">
        <f t="shared" si="20"/>
        <v>9797.8615268705926</v>
      </c>
      <c r="O19">
        <f t="shared" si="20"/>
        <v>5971.3380006684101</v>
      </c>
      <c r="P19">
        <f t="shared" si="20"/>
        <v>12024.955046710427</v>
      </c>
      <c r="Q19">
        <f t="shared" si="20"/>
        <v>14613.830164024059</v>
      </c>
      <c r="R19">
        <f t="shared" si="20"/>
        <v>16860.610770289248</v>
      </c>
      <c r="S19">
        <f t="shared" si="20"/>
        <v>2617.9812360727692</v>
      </c>
      <c r="T19">
        <f t="shared" si="20"/>
        <v>1833.0457874788135</v>
      </c>
      <c r="U19">
        <f t="shared" ref="U19" si="21">U12/U15</f>
        <v>1629.4516998095289</v>
      </c>
    </row>
    <row r="20" spans="10:21" x14ac:dyDescent="0.45">
      <c r="J20" t="s">
        <v>141</v>
      </c>
      <c r="K20">
        <f>K19*$B$12</f>
        <v>1144.6899045305267</v>
      </c>
      <c r="L20">
        <f t="shared" ref="L20:O20" si="22">L19*$B$12</f>
        <v>1793.6923675393577</v>
      </c>
      <c r="M20">
        <f t="shared" si="22"/>
        <v>4076.9143462481638</v>
      </c>
      <c r="N20">
        <f t="shared" si="22"/>
        <v>5474.6038433822396</v>
      </c>
      <c r="O20">
        <f t="shared" si="22"/>
        <v>3336.514797534091</v>
      </c>
      <c r="P20">
        <f t="shared" ref="P20" si="23">P19*$B$12</f>
        <v>6719.0034207644148</v>
      </c>
      <c r="Q20">
        <f t="shared" ref="Q20" si="24">Q19*$B$12</f>
        <v>8165.5502645233591</v>
      </c>
      <c r="R20">
        <f t="shared" ref="R20:T20" si="25">R19*$B$12</f>
        <v>9420.95009933045</v>
      </c>
      <c r="S20">
        <f t="shared" si="25"/>
        <v>1462.8100323320548</v>
      </c>
      <c r="T20">
        <f t="shared" si="25"/>
        <v>1024.2234477090378</v>
      </c>
      <c r="U20">
        <f t="shared" ref="U20" si="26">U19*$B$12</f>
        <v>910.46423894829059</v>
      </c>
    </row>
    <row r="22" spans="10:21" x14ac:dyDescent="0.45">
      <c r="J22" t="s">
        <v>142</v>
      </c>
      <c r="K22">
        <f>K13/K16</f>
        <v>1986.682745795488</v>
      </c>
      <c r="L22">
        <f t="shared" ref="L22:N22" si="27">L13/L16</f>
        <v>2891.1650537948549</v>
      </c>
      <c r="M22">
        <f t="shared" si="27"/>
        <v>5762.6692790964635</v>
      </c>
      <c r="N22">
        <f t="shared" si="27"/>
        <v>8736.9351451246821</v>
      </c>
      <c r="O22">
        <f>O13/O16</f>
        <v>5260.167358293812</v>
      </c>
      <c r="P22">
        <f t="shared" ref="P22:T22" si="28">P13/P16</f>
        <v>10583.36881555997</v>
      </c>
      <c r="Q22">
        <f t="shared" si="28"/>
        <v>12188.549134454252</v>
      </c>
      <c r="R22">
        <f t="shared" si="28"/>
        <v>14019.775326867775</v>
      </c>
      <c r="S22">
        <f t="shared" si="28"/>
        <v>2436.78855326241</v>
      </c>
      <c r="T22">
        <f t="shared" si="28"/>
        <v>1793.177355714967</v>
      </c>
      <c r="U22">
        <f t="shared" ref="U22" si="29">U13/U16</f>
        <v>1319.7158303045489</v>
      </c>
    </row>
    <row r="23" spans="10:21" x14ac:dyDescent="0.45">
      <c r="J23" t="s">
        <v>143</v>
      </c>
      <c r="K23">
        <f>$B$12*K22</f>
        <v>1110.068862055761</v>
      </c>
      <c r="L23">
        <f>$B$12*L22</f>
        <v>1615.4528487619014</v>
      </c>
      <c r="M23">
        <f>$B$12*M22</f>
        <v>3219.9201118490087</v>
      </c>
      <c r="N23">
        <f>$B$12*N22</f>
        <v>4881.8059526258794</v>
      </c>
      <c r="O23">
        <f>$B$12*O22</f>
        <v>2939.1446651468327</v>
      </c>
      <c r="P23">
        <f t="shared" ref="P23:T23" si="30">$B$12*P22</f>
        <v>5913.5099465017784</v>
      </c>
      <c r="Q23">
        <f t="shared" si="30"/>
        <v>6810.4124306856856</v>
      </c>
      <c r="R23">
        <f t="shared" si="30"/>
        <v>7833.6191706049149</v>
      </c>
      <c r="S23">
        <f t="shared" si="30"/>
        <v>1361.5677199166475</v>
      </c>
      <c r="T23">
        <f t="shared" si="30"/>
        <v>1001.9467632340237</v>
      </c>
      <c r="U23">
        <f t="shared" ref="U23" si="31">$B$12*U22</f>
        <v>737.39778184692159</v>
      </c>
    </row>
    <row r="25" spans="10:21" x14ac:dyDescent="0.45">
      <c r="J25" t="s">
        <v>98</v>
      </c>
      <c r="K25">
        <f>8*2*0.125</f>
        <v>2</v>
      </c>
      <c r="L25">
        <f>9*2*0.125</f>
        <v>2.25</v>
      </c>
      <c r="M25">
        <f>12*2*0.125</f>
        <v>3</v>
      </c>
      <c r="N25">
        <v>3.25</v>
      </c>
      <c r="P25">
        <v>3.5</v>
      </c>
      <c r="Q25">
        <f>2*15*0.125</f>
        <v>3.75</v>
      </c>
      <c r="S25">
        <v>2</v>
      </c>
      <c r="T25">
        <v>1.75</v>
      </c>
      <c r="U25">
        <v>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5B32-D0D4-4B39-B726-B052BEA90962}">
  <dimension ref="A1:Q8"/>
  <sheetViews>
    <sheetView zoomScale="55" zoomScaleNormal="55" workbookViewId="0">
      <selection activeCell="J1" sqref="J1"/>
    </sheetView>
  </sheetViews>
  <sheetFormatPr defaultRowHeight="14.25" x14ac:dyDescent="0.45"/>
  <sheetData>
    <row r="1" spans="1:17" x14ac:dyDescent="0.45">
      <c r="A1" t="s">
        <v>144</v>
      </c>
      <c r="B1" t="s">
        <v>51</v>
      </c>
      <c r="C1">
        <v>45</v>
      </c>
      <c r="D1">
        <v>90</v>
      </c>
      <c r="E1">
        <v>-45</v>
      </c>
      <c r="F1">
        <v>0</v>
      </c>
      <c r="G1">
        <v>45</v>
      </c>
      <c r="H1">
        <v>90</v>
      </c>
      <c r="I1">
        <v>-45</v>
      </c>
      <c r="J1">
        <v>0</v>
      </c>
    </row>
    <row r="2" spans="1:17" x14ac:dyDescent="0.45">
      <c r="A2" t="s">
        <v>144</v>
      </c>
      <c r="B2" t="s">
        <v>80</v>
      </c>
      <c r="C2">
        <v>45</v>
      </c>
      <c r="D2">
        <v>90</v>
      </c>
      <c r="E2">
        <v>-45</v>
      </c>
      <c r="F2">
        <v>0</v>
      </c>
      <c r="G2">
        <v>0</v>
      </c>
      <c r="H2">
        <v>45</v>
      </c>
      <c r="I2">
        <v>90</v>
      </c>
      <c r="J2">
        <v>-45</v>
      </c>
      <c r="K2">
        <v>0</v>
      </c>
    </row>
    <row r="3" spans="1:17" x14ac:dyDescent="0.45">
      <c r="A3" t="s">
        <v>144</v>
      </c>
      <c r="B3" t="s">
        <v>74</v>
      </c>
      <c r="C3">
        <v>-45</v>
      </c>
      <c r="D3">
        <v>0</v>
      </c>
      <c r="E3">
        <v>0</v>
      </c>
      <c r="F3">
        <v>45</v>
      </c>
      <c r="G3">
        <v>90</v>
      </c>
      <c r="H3">
        <v>-45</v>
      </c>
      <c r="I3">
        <v>0</v>
      </c>
      <c r="J3">
        <v>0</v>
      </c>
      <c r="K3">
        <v>45</v>
      </c>
      <c r="L3">
        <v>90</v>
      </c>
      <c r="M3">
        <v>-45</v>
      </c>
      <c r="N3">
        <v>0</v>
      </c>
    </row>
    <row r="4" spans="1:17" x14ac:dyDescent="0.45">
      <c r="A4" t="s">
        <v>144</v>
      </c>
      <c r="B4" t="s">
        <v>75</v>
      </c>
      <c r="C4">
        <v>90</v>
      </c>
      <c r="D4">
        <v>-45</v>
      </c>
      <c r="E4">
        <v>0</v>
      </c>
      <c r="F4">
        <v>0</v>
      </c>
      <c r="G4">
        <v>45</v>
      </c>
      <c r="H4">
        <v>90</v>
      </c>
      <c r="I4">
        <v>-45</v>
      </c>
      <c r="J4">
        <v>0</v>
      </c>
      <c r="K4">
        <v>0</v>
      </c>
      <c r="L4">
        <v>45</v>
      </c>
      <c r="M4">
        <v>90</v>
      </c>
      <c r="N4">
        <v>-45</v>
      </c>
      <c r="O4">
        <v>0</v>
      </c>
    </row>
    <row r="5" spans="1:17" x14ac:dyDescent="0.45">
      <c r="A5" t="s">
        <v>144</v>
      </c>
      <c r="B5" t="s">
        <v>64</v>
      </c>
      <c r="C5">
        <v>90</v>
      </c>
      <c r="D5">
        <v>0</v>
      </c>
      <c r="E5">
        <v>0</v>
      </c>
      <c r="F5">
        <v>45</v>
      </c>
      <c r="G5">
        <v>-45</v>
      </c>
      <c r="H5">
        <v>90</v>
      </c>
      <c r="I5">
        <v>0</v>
      </c>
      <c r="J5">
        <v>0</v>
      </c>
      <c r="K5">
        <v>45</v>
      </c>
      <c r="L5">
        <v>-45</v>
      </c>
      <c r="M5">
        <v>90</v>
      </c>
    </row>
    <row r="6" spans="1:17" x14ac:dyDescent="0.45">
      <c r="A6" t="s">
        <v>144</v>
      </c>
      <c r="B6" t="s">
        <v>65</v>
      </c>
      <c r="C6">
        <v>45</v>
      </c>
      <c r="D6">
        <v>90</v>
      </c>
      <c r="E6">
        <v>-45</v>
      </c>
      <c r="F6">
        <v>0</v>
      </c>
      <c r="G6">
        <v>0</v>
      </c>
      <c r="H6">
        <v>45</v>
      </c>
      <c r="I6">
        <v>90</v>
      </c>
      <c r="J6">
        <v>-45</v>
      </c>
      <c r="K6">
        <v>0</v>
      </c>
      <c r="L6">
        <v>0</v>
      </c>
      <c r="M6">
        <v>45</v>
      </c>
      <c r="N6">
        <v>90</v>
      </c>
      <c r="O6">
        <v>-45</v>
      </c>
      <c r="P6">
        <v>0</v>
      </c>
    </row>
    <row r="7" spans="1:17" x14ac:dyDescent="0.45">
      <c r="A7" t="s">
        <v>144</v>
      </c>
      <c r="B7" t="s">
        <v>67</v>
      </c>
      <c r="C7">
        <v>0</v>
      </c>
      <c r="D7">
        <v>45</v>
      </c>
      <c r="E7">
        <v>90</v>
      </c>
      <c r="F7">
        <v>-45</v>
      </c>
      <c r="G7">
        <v>0</v>
      </c>
      <c r="H7">
        <v>0</v>
      </c>
      <c r="I7">
        <v>45</v>
      </c>
      <c r="J7">
        <v>90</v>
      </c>
      <c r="K7">
        <v>-45</v>
      </c>
      <c r="L7">
        <v>0</v>
      </c>
      <c r="M7">
        <v>0</v>
      </c>
      <c r="N7">
        <v>45</v>
      </c>
      <c r="O7">
        <v>90</v>
      </c>
      <c r="P7">
        <v>-45</v>
      </c>
      <c r="Q7">
        <v>0</v>
      </c>
    </row>
    <row r="8" spans="1:17" x14ac:dyDescent="0.45">
      <c r="A8" t="s">
        <v>96</v>
      </c>
      <c r="B8" t="s">
        <v>68</v>
      </c>
      <c r="C8">
        <v>0</v>
      </c>
      <c r="D8">
        <v>45</v>
      </c>
      <c r="E8">
        <v>90</v>
      </c>
      <c r="F8">
        <v>-45</v>
      </c>
      <c r="G8">
        <v>0</v>
      </c>
      <c r="H8">
        <v>0</v>
      </c>
      <c r="I8">
        <v>45</v>
      </c>
      <c r="J8">
        <v>90</v>
      </c>
      <c r="K8">
        <v>-45</v>
      </c>
      <c r="L8">
        <v>0</v>
      </c>
      <c r="M8">
        <v>0</v>
      </c>
      <c r="N8">
        <v>45</v>
      </c>
      <c r="O8">
        <v>90</v>
      </c>
      <c r="P8">
        <v>-45</v>
      </c>
      <c r="Q8">
        <v>0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0D58-5C85-44D1-BFCA-F77F378651F8}">
  <dimension ref="A1:M26"/>
  <sheetViews>
    <sheetView tabSelected="1" workbookViewId="0">
      <selection activeCell="C23" sqref="C23"/>
    </sheetView>
  </sheetViews>
  <sheetFormatPr defaultRowHeight="14.25" x14ac:dyDescent="0.45"/>
  <cols>
    <col min="1" max="1" width="13.59765625" customWidth="1"/>
  </cols>
  <sheetData>
    <row r="1" spans="1:13" x14ac:dyDescent="0.45">
      <c r="A1" t="s">
        <v>147</v>
      </c>
      <c r="B1">
        <v>0.44912999999999997</v>
      </c>
      <c r="F1" t="s">
        <v>51</v>
      </c>
      <c r="G1" t="s">
        <v>80</v>
      </c>
      <c r="H1" t="s">
        <v>74</v>
      </c>
      <c r="I1" t="s">
        <v>75</v>
      </c>
      <c r="J1" t="s">
        <v>64</v>
      </c>
      <c r="K1" t="s">
        <v>65</v>
      </c>
      <c r="L1" t="s">
        <v>67</v>
      </c>
      <c r="M1" t="s">
        <v>68</v>
      </c>
    </row>
    <row r="2" spans="1:13" x14ac:dyDescent="0.45">
      <c r="A2" t="s">
        <v>148</v>
      </c>
      <c r="B2">
        <v>0.55082500000000001</v>
      </c>
      <c r="E2" t="s">
        <v>172</v>
      </c>
      <c r="M2" s="1">
        <v>67650000000</v>
      </c>
    </row>
    <row r="3" spans="1:13" x14ac:dyDescent="0.45">
      <c r="A3" t="s">
        <v>149</v>
      </c>
      <c r="B3">
        <v>1.1943999999999999</v>
      </c>
      <c r="E3" t="s">
        <v>173</v>
      </c>
      <c r="M3" s="1">
        <v>43902100000</v>
      </c>
    </row>
    <row r="4" spans="1:13" x14ac:dyDescent="0.45">
      <c r="A4" t="s">
        <v>160</v>
      </c>
      <c r="B4">
        <v>1.0015000000000001</v>
      </c>
      <c r="E4" t="s">
        <v>174</v>
      </c>
      <c r="M4" s="1">
        <v>16115600000</v>
      </c>
    </row>
    <row r="5" spans="1:13" x14ac:dyDescent="0.45">
      <c r="A5" t="s">
        <v>161</v>
      </c>
      <c r="B5">
        <v>0.81659999999999999</v>
      </c>
      <c r="E5" t="s">
        <v>175</v>
      </c>
      <c r="M5" s="1">
        <v>0.32194</v>
      </c>
    </row>
    <row r="6" spans="1:13" x14ac:dyDescent="0.45">
      <c r="A6" t="s">
        <v>159</v>
      </c>
      <c r="B6" s="1">
        <v>2E-3</v>
      </c>
      <c r="E6" t="s">
        <v>176</v>
      </c>
      <c r="M6" s="1">
        <v>0.20891999999999999</v>
      </c>
    </row>
    <row r="7" spans="1:13" x14ac:dyDescent="0.45">
      <c r="A7" t="s">
        <v>163</v>
      </c>
      <c r="B7">
        <v>1</v>
      </c>
    </row>
    <row r="8" spans="1:13" x14ac:dyDescent="0.45">
      <c r="A8" t="s">
        <v>162</v>
      </c>
      <c r="B8">
        <f>0.01</f>
        <v>0.01</v>
      </c>
      <c r="E8" t="s">
        <v>177</v>
      </c>
    </row>
    <row r="9" spans="1:13" x14ac:dyDescent="0.45">
      <c r="E9" t="s">
        <v>178</v>
      </c>
    </row>
    <row r="10" spans="1:13" x14ac:dyDescent="0.45">
      <c r="A10" t="s">
        <v>165</v>
      </c>
      <c r="B10">
        <f>B3/B1</f>
        <v>2.6593636586289047</v>
      </c>
      <c r="E10" t="s">
        <v>179</v>
      </c>
    </row>
    <row r="11" spans="1:13" x14ac:dyDescent="0.45">
      <c r="A11" t="s">
        <v>164</v>
      </c>
      <c r="B11">
        <f>B3/B2</f>
        <v>2.1683837879544319</v>
      </c>
    </row>
    <row r="13" spans="1:13" x14ac:dyDescent="0.45">
      <c r="A13" t="s">
        <v>166</v>
      </c>
    </row>
    <row r="15" spans="1:13" x14ac:dyDescent="0.45">
      <c r="A15" t="s">
        <v>167</v>
      </c>
      <c r="B15" s="49">
        <f>B1/SQRT(B6*B7)</f>
        <v>10.042852107344805</v>
      </c>
    </row>
    <row r="16" spans="1:13" x14ac:dyDescent="0.45">
      <c r="A16" t="s">
        <v>168</v>
      </c>
      <c r="B16" s="49">
        <f>B2/SQRT(B6*B7)</f>
        <v>12.316821437063217</v>
      </c>
    </row>
    <row r="17" spans="1:10" x14ac:dyDescent="0.45">
      <c r="F17" t="s">
        <v>187</v>
      </c>
    </row>
    <row r="18" spans="1:10" x14ac:dyDescent="0.45">
      <c r="A18" t="s">
        <v>191</v>
      </c>
      <c r="B18">
        <v>21</v>
      </c>
      <c r="F18" t="s">
        <v>184</v>
      </c>
      <c r="G18" s="1">
        <v>135000000000</v>
      </c>
    </row>
    <row r="19" spans="1:10" x14ac:dyDescent="0.45">
      <c r="A19" t="s">
        <v>192</v>
      </c>
      <c r="B19">
        <v>26</v>
      </c>
      <c r="F19" t="s">
        <v>120</v>
      </c>
      <c r="G19" s="1">
        <v>8500000000</v>
      </c>
    </row>
    <row r="20" spans="1:10" x14ac:dyDescent="0.45">
      <c r="F20" t="s">
        <v>180</v>
      </c>
      <c r="G20">
        <v>0.6</v>
      </c>
      <c r="I20" t="s">
        <v>182</v>
      </c>
      <c r="J20" s="1">
        <f>G20*G18+G19*G21</f>
        <v>84400000000</v>
      </c>
    </row>
    <row r="21" spans="1:10" x14ac:dyDescent="0.45">
      <c r="A21" t="s">
        <v>169</v>
      </c>
      <c r="B21" s="1">
        <v>8500000000</v>
      </c>
      <c r="F21" t="s">
        <v>181</v>
      </c>
      <c r="G21">
        <f>1-G20</f>
        <v>0.4</v>
      </c>
      <c r="I21" t="s">
        <v>183</v>
      </c>
      <c r="J21" s="1">
        <f>1/((G20/G18)+(G21/G19))</f>
        <v>19416243654.82233</v>
      </c>
    </row>
    <row r="22" spans="1:10" x14ac:dyDescent="0.45">
      <c r="A22" t="s">
        <v>170</v>
      </c>
      <c r="B22" s="1">
        <f>B18*B21*(B6/B1)^2</f>
        <v>3539599.1457210188</v>
      </c>
      <c r="C22" t="s">
        <v>196</v>
      </c>
      <c r="F22" t="s">
        <v>185</v>
      </c>
      <c r="G22" s="1">
        <v>1650000000</v>
      </c>
    </row>
    <row r="23" spans="1:10" x14ac:dyDescent="0.45">
      <c r="A23" t="s">
        <v>171</v>
      </c>
      <c r="B23" s="1">
        <f>B19*B21*(B6/B2)^2</f>
        <v>2913566.7936804499</v>
      </c>
      <c r="C23" t="s">
        <v>197</v>
      </c>
      <c r="F23" t="s">
        <v>186</v>
      </c>
      <c r="G23" s="1">
        <v>1350000000</v>
      </c>
    </row>
    <row r="24" spans="1:10" x14ac:dyDescent="0.45">
      <c r="F24" t="s">
        <v>188</v>
      </c>
      <c r="G24" s="1">
        <v>79000000</v>
      </c>
    </row>
    <row r="25" spans="1:10" x14ac:dyDescent="0.45">
      <c r="F25" t="s">
        <v>189</v>
      </c>
      <c r="G25" s="1">
        <v>230000000</v>
      </c>
    </row>
    <row r="26" spans="1:10" x14ac:dyDescent="0.45">
      <c r="F26" t="s">
        <v>190</v>
      </c>
      <c r="G26" s="1">
        <v>50000000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0 ribs</vt:lpstr>
      <vt:lpstr>Sheet2</vt:lpstr>
      <vt:lpstr>Panel V2</vt:lpstr>
      <vt:lpstr>Panel Design V2</vt:lpstr>
      <vt:lpstr>D-CELL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Isobel Owens</dc:creator>
  <cp:lastModifiedBy>Isobel Owens</cp:lastModifiedBy>
  <dcterms:created xsi:type="dcterms:W3CDTF">2022-02-23T09:10:32Z</dcterms:created>
  <dcterms:modified xsi:type="dcterms:W3CDTF">2022-03-02T08:12:04Z</dcterms:modified>
</cp:coreProperties>
</file>