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iranlee/Desktop/Meta-analysis/Analysis/"/>
    </mc:Choice>
  </mc:AlternateContent>
  <xr:revisionPtr revIDLastSave="0" documentId="13_ncr:1_{BD3CB364-C23D-C444-8BD1-6F9B94BDEF73}" xr6:coauthVersionLast="47" xr6:coauthVersionMax="47" xr10:uidLastSave="{00000000-0000-0000-0000-000000000000}"/>
  <bookViews>
    <workbookView xWindow="380" yWindow="500" windowWidth="28040" windowHeight="16940" xr2:uid="{E7B7A5C8-1E0C-5845-B998-722E379BD9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1" l="1"/>
  <c r="AI3" i="1"/>
  <c r="AI4" i="1"/>
  <c r="AI5" i="1"/>
  <c r="AI6" i="1"/>
  <c r="AI7" i="1"/>
  <c r="AI8" i="1"/>
  <c r="AI9" i="1"/>
  <c r="AI10" i="1"/>
  <c r="AI11" i="1"/>
  <c r="AI12" i="1"/>
  <c r="AI14" i="1"/>
  <c r="AI15" i="1"/>
  <c r="AI16" i="1"/>
  <c r="AI17" i="1"/>
  <c r="AI19" i="1"/>
  <c r="AI20" i="1"/>
  <c r="AI22" i="1"/>
  <c r="AF23" i="1"/>
  <c r="AG23" i="1"/>
  <c r="AH24" i="1"/>
  <c r="AI24" i="1"/>
  <c r="AH25" i="1"/>
  <c r="AI25" i="1"/>
  <c r="AH26" i="1"/>
  <c r="AI26" i="1"/>
  <c r="AH27" i="1"/>
  <c r="AI27" i="1"/>
  <c r="AH28" i="1"/>
  <c r="AI28" i="1"/>
  <c r="AH29" i="1"/>
  <c r="AI29" i="1"/>
  <c r="AH30" i="1"/>
  <c r="AI30" i="1"/>
  <c r="AH31" i="1"/>
  <c r="AI31" i="1"/>
  <c r="AH32" i="1"/>
  <c r="AI32" i="1"/>
  <c r="AH33" i="1"/>
  <c r="AI33" i="1"/>
  <c r="AH34" i="1"/>
  <c r="AI34" i="1"/>
  <c r="AH35" i="1"/>
  <c r="AI35" i="1"/>
  <c r="AH36" i="1"/>
  <c r="AI36" i="1"/>
  <c r="AH37" i="1"/>
  <c r="AI37" i="1"/>
  <c r="AH38" i="1"/>
  <c r="AI38" i="1"/>
  <c r="AH45" i="1"/>
  <c r="AI45" i="1"/>
  <c r="AH46" i="1"/>
  <c r="AI46" i="1"/>
  <c r="AH47" i="1"/>
  <c r="AI47" i="1"/>
  <c r="AH48" i="1"/>
  <c r="AI48" i="1"/>
  <c r="AH49" i="1"/>
  <c r="AI49" i="1"/>
  <c r="AH50" i="1"/>
  <c r="AI50" i="1"/>
  <c r="AH51" i="1"/>
  <c r="AI51" i="1"/>
  <c r="AH52" i="1"/>
  <c r="AI52" i="1"/>
  <c r="AH53" i="1"/>
  <c r="AI53" i="1"/>
  <c r="AH54" i="1"/>
  <c r="AI54" i="1"/>
  <c r="AH55" i="1"/>
  <c r="AI55" i="1"/>
  <c r="AH56" i="1"/>
  <c r="AI56" i="1"/>
  <c r="AH57" i="1"/>
  <c r="AI57" i="1"/>
  <c r="AH58" i="1"/>
  <c r="AI58" i="1"/>
  <c r="AH59" i="1"/>
  <c r="AI59" i="1"/>
  <c r="AH60" i="1"/>
  <c r="AI60" i="1"/>
  <c r="AH61" i="1"/>
  <c r="AI61" i="1"/>
  <c r="AH62" i="1"/>
  <c r="AH63" i="1"/>
  <c r="AH64" i="1"/>
  <c r="AH65" i="1"/>
  <c r="AH66" i="1"/>
  <c r="AH67" i="1"/>
  <c r="AH68" i="1"/>
  <c r="AH69" i="1"/>
  <c r="AH70" i="1"/>
  <c r="AH71" i="1"/>
  <c r="AH73" i="1"/>
  <c r="AH74" i="1"/>
  <c r="AH75" i="1"/>
  <c r="AH76" i="1"/>
  <c r="AH77" i="1"/>
  <c r="AH78" i="1"/>
  <c r="AH79" i="1"/>
  <c r="AH81" i="1"/>
  <c r="AH84" i="1"/>
  <c r="AH86" i="1"/>
  <c r="AH87" i="1"/>
  <c r="AH88" i="1"/>
  <c r="AH89" i="1"/>
  <c r="AH90" i="1"/>
  <c r="AH91" i="1"/>
  <c r="AH92" i="1"/>
  <c r="AH93" i="1"/>
  <c r="AH94" i="1"/>
  <c r="AH95" i="1"/>
  <c r="AH96" i="1"/>
  <c r="AH97" i="1"/>
  <c r="AH98" i="1"/>
  <c r="AH99" i="1"/>
  <c r="AH100" i="1"/>
  <c r="AH101" i="1"/>
  <c r="AH102" i="1"/>
  <c r="AH103" i="1"/>
  <c r="AH104" i="1"/>
  <c r="AH105" i="1"/>
  <c r="AH106" i="1"/>
  <c r="AH107" i="1"/>
  <c r="AH108" i="1"/>
  <c r="AH113" i="1"/>
  <c r="AH116" i="1"/>
</calcChain>
</file>

<file path=xl/sharedStrings.xml><?xml version="1.0" encoding="utf-8"?>
<sst xmlns="http://schemas.openxmlformats.org/spreadsheetml/2006/main" count="2695" uniqueCount="704">
  <si>
    <t>ID</t>
  </si>
  <si>
    <t>Article ID</t>
  </si>
  <si>
    <t>Author</t>
  </si>
  <si>
    <t>Title</t>
  </si>
  <si>
    <t>Dates pre-pandemic</t>
  </si>
  <si>
    <t>Dates during pandemic</t>
  </si>
  <si>
    <t>Narrow research field</t>
  </si>
  <si>
    <t>Broad research field</t>
  </si>
  <si>
    <t>Self reported or measured</t>
  </si>
  <si>
    <t>Broad productivity measure</t>
  </si>
  <si>
    <t>Specific productivity measure</t>
  </si>
  <si>
    <t>Region</t>
  </si>
  <si>
    <t>Data availability</t>
  </si>
  <si>
    <t>% women authors pre-pandemic</t>
  </si>
  <si>
    <t>n pre-pandemic</t>
  </si>
  <si>
    <t>% women authors during pandemic</t>
  </si>
  <si>
    <t>n during pandemic</t>
  </si>
  <si>
    <t>n (%) women of n respondants (for survey-based studies)</t>
  </si>
  <si>
    <t>Gender accuracy</t>
  </si>
  <si>
    <t>Gender inference</t>
  </si>
  <si>
    <t>ES type used by study authors</t>
  </si>
  <si>
    <t>Value of ES given by study author</t>
  </si>
  <si>
    <t>Additional calculations necessary?</t>
  </si>
  <si>
    <t>Raw values used in calculation of effect size</t>
  </si>
  <si>
    <t>Effect size kiran use (from Campbell collaboration)</t>
  </si>
  <si>
    <t>Effect size we use (from Campbell collaboration)</t>
  </si>
  <si>
    <t>ES value we calculated based on data reported</t>
  </si>
  <si>
    <t>ES value we calculate after review</t>
  </si>
  <si>
    <t>Effect size used in MA</t>
  </si>
  <si>
    <t>Variance (as calculated by us using Campbell Collaboratio calculator)</t>
  </si>
  <si>
    <t>Variance (as calculated by us using Campbell Collaboratio calculator) after review</t>
  </si>
  <si>
    <t>Variance as 95% confidence interval</t>
  </si>
  <si>
    <t>Variance as 95% confidence interval after review</t>
  </si>
  <si>
    <t>Variance as standard error</t>
  </si>
  <si>
    <t>Variance used</t>
  </si>
  <si>
    <t>Sample size</t>
  </si>
  <si>
    <t>Date of search</t>
  </si>
  <si>
    <t>Notes</t>
  </si>
  <si>
    <t>Second reviewer</t>
  </si>
  <si>
    <t>Notes Sec rev</t>
  </si>
  <si>
    <t>Kiran response</t>
  </si>
  <si>
    <t>Data available for parent effect?</t>
  </si>
  <si>
    <t>Data available for geographic breakdown?</t>
  </si>
  <si>
    <t>Data available for career stage/age?</t>
  </si>
  <si>
    <t>File</t>
  </si>
  <si>
    <t>Lerchenmüller et al.</t>
  </si>
  <si>
    <t>Longitudinal analyses of gender differences in First authorship Publications related to COVID-19</t>
  </si>
  <si>
    <t>1 February 2019 to 31 January 2020</t>
  </si>
  <si>
    <t>1 February 2020 to 31 January 2021</t>
  </si>
  <si>
    <t>Life sciences</t>
  </si>
  <si>
    <t>Measured</t>
  </si>
  <si>
    <t>Publications</t>
  </si>
  <si>
    <t>First authorship</t>
  </si>
  <si>
    <t>Worldwide</t>
  </si>
  <si>
    <t>Text page 2-3</t>
  </si>
  <si>
    <t>genderize.io database</t>
  </si>
  <si>
    <t>No, in text</t>
  </si>
  <si>
    <t>Proportion with event/Treatment = 0.377, Sample size/Treatment = 42898, Proportion with event/Control =0.451, Sample size/Control = 483232</t>
  </si>
  <si>
    <t>Standardised mean difference (binary proportions)</t>
  </si>
  <si>
    <t>AC</t>
  </si>
  <si>
    <t>I would opt for research area as life-sciences. my understadning is that this is not restricted research area. They only used this as COVID-19 research was 'brand new' so they could measure productivity from starting to publishing. But it is accross life sciences (the pre pandemic sample is as such). Second, I think that for the global numbers they have used the full dataset, and then the dataset was 'narrowed' down for the anlaysese on country or discipline specific ones. But the global numbers come from studies published in all life sci disciplines + any country. Finally, worth noting that they also did it per discipline/country and there is also data for that. Maybe can be used?</t>
  </si>
  <si>
    <t>Changed to life sciences. Unsure how to extract separate effect sizes per continent (because there are several continent effect sizes for 6 different timeframes in fig3b and for countries i am unsure how to extract effect sizes from colours in 6a) and per discipline (because i am unsure how to extract effect sizes from colours across 3 different timeframes in fig.2)</t>
  </si>
  <si>
    <t>No</t>
  </si>
  <si>
    <t>Maybe (Africa, Asia, Europe, Latin America, North America, Oceania interaction with gender but sample sizes unavailable to generate effect sizes)</t>
  </si>
  <si>
    <t>Last authorship</t>
  </si>
  <si>
    <t>Proportion with event/Treatment = 0.305, Sample size/Treatment = 42898, Proportion with event/Control =0.319, Sample size/Control = 483232</t>
  </si>
  <si>
    <t>See above</t>
  </si>
  <si>
    <t>Williams et al.</t>
  </si>
  <si>
    <t>Impact of the Coronavirus Disease 2019 Pandemic on Authorship Gender in The Journal of Pediatrics: Disproportionate Productivity by International Male Researchers</t>
  </si>
  <si>
    <t>Different options to use here, but i have used April-May 2019</t>
  </si>
  <si>
    <t>Different options to use here, but I have used April -May 2020</t>
  </si>
  <si>
    <t>Pediatrics</t>
  </si>
  <si>
    <t>Submissions</t>
  </si>
  <si>
    <t>Corresponding authorship</t>
  </si>
  <si>
    <t>Worldwide (tohught separates US vs other)</t>
  </si>
  <si>
    <t>Table 1</t>
  </si>
  <si>
    <t>99% &amp; 70%</t>
  </si>
  <si>
    <t>gender inference algorithms and human identification</t>
  </si>
  <si>
    <t>Treatment Yes= 260, Treatment No= 262, Control Yes= 181, Control No=142</t>
  </si>
  <si>
    <t>Standardised mean difference (two by two table)</t>
  </si>
  <si>
    <t>I think we need to probably discuss which of the reported changes to use. Note that this article also separatly reports for Am vs other. So scope for a georgraphical analysis</t>
  </si>
  <si>
    <t>I agree- we can take 3 effect sizes fo All, International and US (table 1). Regarding the timeframe, i think we should use April-May not January-February as most countries were not in lockdown until after February.</t>
  </si>
  <si>
    <t>Yes (international vs US and interaction with gender)</t>
  </si>
  <si>
    <t>Bell &amp; Fong</t>
  </si>
  <si>
    <t>Gender Differences in First and Corresponding Authorship in Public Health Research Submissions During the COVID-19 Pandemic</t>
  </si>
  <si>
    <t>Dependent on country (before First date of 50 or more confirmed cases) but between January 1 to May 12, 2020,</t>
  </si>
  <si>
    <t>1 January to 12 May 2020 but exact time adjusted per countrl (start of pandemic defined as 50 or more confimed cases)</t>
  </si>
  <si>
    <t>Public health</t>
  </si>
  <si>
    <t>Multidisciplinary</t>
  </si>
  <si>
    <t>Worldwide (tohught separates 6 regions)</t>
  </si>
  <si>
    <t>Supplementary table A</t>
  </si>
  <si>
    <t>Gender API</t>
  </si>
  <si>
    <t>increase in productivity</t>
  </si>
  <si>
    <t>4 times higher increase in man</t>
  </si>
  <si>
    <t>Yes, see "Calculations" sheet</t>
  </si>
  <si>
    <t>Treatment Yes= 407, Treatment No= 441, Control Yes= 267, Control No=226</t>
  </si>
  <si>
    <t>Yes (Africa Asia Australia/Oceania Europe North America South America and interaction with gender, but sample sizes &lt;20 other than North America)</t>
  </si>
  <si>
    <t>Quak et al.</t>
  </si>
  <si>
    <t>Author Gender Inequality in Medical Imaging Journals and the COVID-19 Pandemic</t>
  </si>
  <si>
    <t>March to May 2018 and 2019</t>
  </si>
  <si>
    <t>March to May 2020</t>
  </si>
  <si>
    <t>Medical imaging</t>
  </si>
  <si>
    <t>Worldwide (38% europe, 33.3% north america, 23.5% asia)</t>
  </si>
  <si>
    <t>NA</t>
  </si>
  <si>
    <t>Gender-API.com</t>
  </si>
  <si>
    <t>chi-square test with bonferoni corrections</t>
  </si>
  <si>
    <t>p=0.61</t>
  </si>
  <si>
    <t>Treatment Yes= 725, Treatment No= 1172, Control Yes= 1523, Control No=2539</t>
  </si>
  <si>
    <t>Note, provides separate data for 3 regions. gives also data for COVID related research specifically</t>
  </si>
  <si>
    <t>We would have to take out numbers for separate continents from Figure 1 using web-plot-digitiser, if that is ok?</t>
  </si>
  <si>
    <t>p=0.21</t>
  </si>
  <si>
    <t>Treatment Yes= 465, Treatment No= 1783, Control Yes= 717, Control No=2994</t>
  </si>
  <si>
    <t>Krukowski et al.</t>
  </si>
  <si>
    <t>Academic Productivity Differences by Gender and Child Age in Science, Technology, Engineering, Mathematics, and Medicine Faculty During the COVID-19 Pandemic</t>
  </si>
  <si>
    <t>mid-Jan to Mid-March 2020</t>
  </si>
  <si>
    <t>Mid March to mid-May 2020</t>
  </si>
  <si>
    <t>STEM</t>
  </si>
  <si>
    <t>Self-reported</t>
  </si>
  <si>
    <t>US</t>
  </si>
  <si>
    <t>Table 3</t>
  </si>
  <si>
    <t>self-reported</t>
  </si>
  <si>
    <t>Treatment Yes= 96, Treatment No= 79.2, Control Yes= 115.2, Control No=70.4</t>
  </si>
  <si>
    <t>Yes (interaction of no children, 0-5 year olds, 6-11 year olds, 12-17 year olds living at home with gender)</t>
  </si>
  <si>
    <t>Treatment Yes= 76.8, Treatment No= 70.4, Control Yes= 96, Control No=61.6</t>
  </si>
  <si>
    <t>Middle authorship</t>
  </si>
  <si>
    <t>Treatment Yes= 115.2, Treatment No= 79.2, Control Yes= 172.8, Control No=88</t>
  </si>
  <si>
    <t>King &amp; Frederickson</t>
  </si>
  <si>
    <t>The Pandemic Penalty: The Gendered Effects of COVID-19 on Scientific Productivity</t>
  </si>
  <si>
    <t>Mid March to mid-April 2019</t>
  </si>
  <si>
    <t>Mid March to mid-April 2020</t>
  </si>
  <si>
    <t>Preprints</t>
  </si>
  <si>
    <t>Text page 8</t>
  </si>
  <si>
    <t>R gender package (Mullen 2019)</t>
  </si>
  <si>
    <t>Treatment Yes= 7189, Treatment No= 27398, Control Yes= 7000, Control No=25750</t>
  </si>
  <si>
    <t>highlighted the differences in red</t>
  </si>
  <si>
    <t>Sole authorship</t>
  </si>
  <si>
    <t>Treatment Yes= 196, Treatment No= 1279, Control Yes= 189, Control No=1167</t>
  </si>
  <si>
    <t>Treatment Yes= 1721, Treatment No= 6004, Control Yes= 1480, Control No=5587</t>
  </si>
  <si>
    <t>0.0002 - 0.0867</t>
  </si>
  <si>
    <t>Treatment Yes= 4172, Treatment No= 13562, Control Yes= 4143, Control No=13167</t>
  </si>
  <si>
    <t>Treatment Yes= 1341, Treatment No= 6542, Control Yes= 1333, Control No=5915</t>
  </si>
  <si>
    <t>arXiv physics, math, computer science, and statistics, but it also accepts preprints in electrical engineering and systems science, quantitative finance, economics, and quantitative biology</t>
  </si>
  <si>
    <t>Treatment Yes= 9513, Treatment No= 15464, Control Yes= 7000, Control No=11139</t>
  </si>
  <si>
    <t>Treatment Yes= 23, Treatment No= 85, Control Yes= 17, Control No=62</t>
  </si>
  <si>
    <t>0.0167 - 0.1358</t>
  </si>
  <si>
    <t>Treatment Yes= 7393, Treatment No= 11216, Control Yes= 5210, Control No=7882</t>
  </si>
  <si>
    <t>Treatment Yes= 803, Treatment No= 2364, Control Yes= 677, Control No=1844</t>
  </si>
  <si>
    <t>Camerlink et al.</t>
  </si>
  <si>
    <t>Impacts of the COVID-19 pandemic on animal behaviour and welfare researchers⋆</t>
  </si>
  <si>
    <t>Animal behaviour and welfare</t>
  </si>
  <si>
    <t>Biological sciences</t>
  </si>
  <si>
    <t>Other</t>
  </si>
  <si>
    <t>Work hours</t>
  </si>
  <si>
    <t>Work-productivity during pandemics: working hours, percentage of time spent on research and education</t>
  </si>
  <si>
    <t>Worldwide (28 countries, ~60% from Europe)</t>
  </si>
  <si>
    <t>Text page 4</t>
  </si>
  <si>
    <t>F statistics</t>
  </si>
  <si>
    <t>13.81 (DF1,73)</t>
  </si>
  <si>
    <t>Treatment group sample size (n) = 94
Control group sample size (n) = 20
F-test (2-group, one-way) = 13.81</t>
  </si>
  <si>
    <t>Standardised mean difference (F-tes, unequal sample size)</t>
  </si>
  <si>
    <t>0.4181 - 1.4121</t>
  </si>
  <si>
    <t>has also data on the influence of the care-role. differences in red</t>
  </si>
  <si>
    <t>I believe they have incorrectly put total sample size as 117, when it should be 114 (82.5% of respondants were women, which is 94/114 not 94/117), so it should be 94 women and 20 men when calculating effect size. Either that or 3 people did not report a gender. Regardless, in my analysis I exclude this dataset because of skewed data from 20 men of n=114 total respondants.</t>
  </si>
  <si>
    <t>Maybe (parent vs non-parents on research productivity and on amount of care by women and men during lockdown only)</t>
  </si>
  <si>
    <t>Maybe (PhD student, early career researcher, established, senior but not on interaction with gender)</t>
  </si>
  <si>
    <t>Rodriguez-Rivero et al.</t>
  </si>
  <si>
    <t>Is It Time for a Revolution in Work‒Life Balance? Reflections from Spain</t>
  </si>
  <si>
    <t>STEM (though it seems from table 4 that they work in different roles, including support stuff)</t>
  </si>
  <si>
    <t>General productivity</t>
  </si>
  <si>
    <t>Self reproted adverse effect of pandemics on work perfomance</t>
  </si>
  <si>
    <t>Spain (University Politecnica de Madrid)</t>
  </si>
  <si>
    <t>Table 8</t>
  </si>
  <si>
    <t>0.031 (data with SD are in the table)</t>
  </si>
  <si>
    <t>Mean/Treatment 3.49 SD/Treatment 1.984 N/Treatment 235
Mean/Control 3.51 SD/Control 2.070 N/Control 418</t>
  </si>
  <si>
    <t>Standardised mean difference (means and standard deviation)</t>
  </si>
  <si>
    <t>here we need to use reported mean and SD - changes to the table. for the sample size and % of women I have used the data from the table 8 for 'My work preformance has been adversely affected by the lockdown'</t>
  </si>
  <si>
    <t>Agreed</t>
  </si>
  <si>
    <t>Maybe (changes in care for women and men during lockdown)</t>
  </si>
  <si>
    <t>Myers et al.</t>
  </si>
  <si>
    <t>Unequal effects of the COVID-19 pandemic on scientists</t>
  </si>
  <si>
    <t>13-20 April 2020</t>
  </si>
  <si>
    <t>US and Europe</t>
  </si>
  <si>
    <t>Figure 2c, Text page 881</t>
  </si>
  <si>
    <t>Lasso regression</t>
  </si>
  <si>
    <t>I extracted effect sizes from measuring figure 2c, see "Calculations" sheet</t>
  </si>
  <si>
    <t>Yes (has 0-5 year old dependent and interaction with gender)</t>
  </si>
  <si>
    <t>https://drive.google.com/file/d/1Y5TayAwyw5-kt9z6l0pWGGwwpawu9Stg/view?usp=sharing</t>
  </si>
  <si>
    <t>See "Calculations" sheet</t>
  </si>
  <si>
    <t>Staniscuaski et al.</t>
  </si>
  <si>
    <t>Gender, race and parenthood impact academic productivity during the COVID-19 pandemic: from survey to action.</t>
  </si>
  <si>
    <t>not specified</t>
  </si>
  <si>
    <t>Brazil</t>
  </si>
  <si>
    <t>text, from bottom p4</t>
  </si>
  <si>
    <t>Chi-square value= 88.42, Sample size=3345</t>
  </si>
  <si>
    <t>Standardised mean difference (chi-square)</t>
  </si>
  <si>
    <t>AM</t>
  </si>
  <si>
    <t>Manuscript submission among male academics was less affected by the pandemic circumstances than that among women (Figure 1A), with a significant difference between men and women (χ2 = 88.42, P &lt; 0.0001).</t>
  </si>
  <si>
    <t>Yes (has child and interaction with gender)</t>
  </si>
  <si>
    <t>Muric et al.</t>
  </si>
  <si>
    <t>Gender Disparity in the Authorship of BioMedical Research Publications During the COVID-19 Pandemic: Retrospective Observational Study</t>
  </si>
  <si>
    <t>January 2019 to 15 March 2020</t>
  </si>
  <si>
    <t>15 March 2020 to 2 August 2020</t>
  </si>
  <si>
    <t>bioXriv</t>
  </si>
  <si>
    <t>table S3, table S5</t>
  </si>
  <si>
    <t>genderize</t>
  </si>
  <si>
    <t>Standardised mean difference (means and standard errors)</t>
  </si>
  <si>
    <t>control = expected number of authors and proportion female authors estimated with OLS pre-pandemic model; treatment = observed during pandemic</t>
  </si>
  <si>
    <t>See "Calculations" sheet for values used</t>
  </si>
  <si>
    <t>Yes (Australia, Canada, China, France, Germany, India, Italy, Japan, United Kingdom, United States and interaction with gender)</t>
  </si>
  <si>
    <t>medRxiv</t>
  </si>
  <si>
    <t>Springer-Nature</t>
  </si>
  <si>
    <t>Breuning et al.</t>
  </si>
  <si>
    <t>The Great Equalizer? Gender, Parenting, and Scholarly Productivity During the Global Pandemic</t>
  </si>
  <si>
    <t>6-30 May 2020</t>
  </si>
  <si>
    <t>Political sciences and international studies</t>
  </si>
  <si>
    <t>Social sciences</t>
  </si>
  <si>
    <t>self-reported loss in productivity (unability to write/research at home compared to pre-pandemic level)</t>
  </si>
  <si>
    <t>USA (60%) + rest of the world</t>
  </si>
  <si>
    <t>table 1, statement1</t>
  </si>
  <si>
    <t>Treatment Yes=230, Treatment No=95,Control Yes=441, Control No= 181</t>
  </si>
  <si>
    <t>Standardised mean difference (two by two frequency table)</t>
  </si>
  <si>
    <t>table 1, top: perceived changes in productivity during pandemic as compared to pre-pandemic (men versus women: χ2 = 0.0104, P &lt; 0.995).</t>
  </si>
  <si>
    <t>Yes (parent vs non-parents on research productivity and interaction with gender)</t>
  </si>
  <si>
    <t>Fox &amp; Meyer</t>
  </si>
  <si>
    <t>The influence of the global COVID-19 pandemic on manuscript Submissions and editor and reviewer performance at six ecology journals</t>
  </si>
  <si>
    <t>15 March-1 October 2019</t>
  </si>
  <si>
    <t>15 March-1 October 2020</t>
  </si>
  <si>
    <t>Ecology</t>
  </si>
  <si>
    <t>Worldwide (BES journals)</t>
  </si>
  <si>
    <t>text,p7-8;Figure3</t>
  </si>
  <si>
    <t>Proportion with event/Treatment = 0.41, Sample size/Treatment = 3239, Proportion with event/Control =0.399, Sample size/Control = 2803</t>
  </si>
  <si>
    <t>Standardised means, binary proportions</t>
  </si>
  <si>
    <t>a different pre/post covid analysis gives different values, with a decrease in % female first authors when comparing post-15 March in 2020 to pre-15 March in 2020 (see p.7; but no sample size for jan-mar 2020)</t>
  </si>
  <si>
    <t>Proportion with event/Treatment = 0.401, Sample size/Treatment = 3239, Proportion with event/Control =0.386, Sample size/Control = 2803</t>
  </si>
  <si>
    <t>Cui et al.</t>
  </si>
  <si>
    <t>Gender Inequality in Research Productivity During the COVID-19 Pandemic</t>
  </si>
  <si>
    <t>3 Dec 2019 - 11 March 2020</t>
  </si>
  <si>
    <t>11 March 2020 - 19 May 2020</t>
  </si>
  <si>
    <t>Table3 (10 weeks post-lockdown); p8</t>
  </si>
  <si>
    <t>Genderize</t>
  </si>
  <si>
    <t>−0.150</t>
  </si>
  <si>
    <t>0.064 (standard error)</t>
  </si>
  <si>
    <t>41858 preprints; 76832 authors</t>
  </si>
  <si>
    <t>pre/post lockdown adjusted per country whenever lockdown came at a different date from 11 March 2020; I used 10 weeks post-lockdown values but possible to get 6-9 weeks post-lockdown too (do not differ much)</t>
  </si>
  <si>
    <t>Use aggreggated data</t>
  </si>
  <si>
    <t>Yes (Student, Assistant professor, Associate professor, Full professor and interaction with gender)</t>
  </si>
  <si>
    <t>Wehner et al.</t>
  </si>
  <si>
    <t>Comparison of the Proportions of Female and Male Corresponding Authors in Preprint Research Repositories before and during the COVID-19 Pandemic</t>
  </si>
  <si>
    <t>until 5 May 2020</t>
  </si>
  <si>
    <t>p1,3</t>
  </si>
  <si>
    <t>Somers D</t>
  </si>
  <si>
    <t>-0.03 to -0.24 (95% confidence interval)</t>
  </si>
  <si>
    <t>-0.03 to -0.24</t>
  </si>
  <si>
    <t>5148 articles</t>
  </si>
  <si>
    <t>values also available specifically for USA / non USA (USA: n=1377; ES=-0.04; CI=-0.07 to 0.15 / non-USA: n=3804; ES=-0.17; CI=0.01 to 0.23)</t>
  </si>
  <si>
    <t>Effect sizes for US vs non-US readily available and easy to calculate, I may extract these later</t>
  </si>
  <si>
    <t>Yes (US vs Non-US and interaction with gender)</t>
  </si>
  <si>
    <t>until 20 May 2020</t>
  </si>
  <si>
    <t>bioRxiv</t>
  </si>
  <si>
    <t>0.01 to -0.12 (95% confidence interval)</t>
  </si>
  <si>
    <t>0.01 to -0.12</t>
  </si>
  <si>
    <t>46101 articles</t>
  </si>
  <si>
    <t>values also available specifically for USA / non USA (USA: n=17996; ES=-0.01; CI=-0.05 to 0.07 / non-USA: n=23209; ES=-0.04; CI=-0.02 to 0.10)</t>
  </si>
  <si>
    <t>Defilippis et al.</t>
  </si>
  <si>
    <t>Gender differences in publication authorship during covid-19: A bibliometric analysis of high-impact cardiology journals</t>
  </si>
  <si>
    <t>1 March - 1 June 2019</t>
  </si>
  <si>
    <t>1 March - 1 June 2020</t>
  </si>
  <si>
    <t>Cardiology, 4 select high-impact journals</t>
  </si>
  <si>
    <t>Table1</t>
  </si>
  <si>
    <t>Treatment Yes= 230, Treatment No= 608, Control Yes= 176, Control No=612</t>
  </si>
  <si>
    <t>Standardised mean difference (two by two frequency table</t>
  </si>
  <si>
    <t>0.0265-0.2758</t>
  </si>
  <si>
    <t>specific ES available per type publication (increase in % female first authors for editorials, but decrease in % female first authors for original research articles)</t>
  </si>
  <si>
    <t>Used overall publications because we don't split these up in other effect sizes</t>
  </si>
  <si>
    <t>Treatment Yes= 138, Treatment No= 578, Control Yes= 99, Control No=562</t>
  </si>
  <si>
    <t>0.0116-0.3237</t>
  </si>
  <si>
    <t>Nguyen et al.</t>
  </si>
  <si>
    <t>Impact of COVID-19 on longitudinal ophthalmology authorship gender trends</t>
  </si>
  <si>
    <t>1 January 2019 to 9 July 2019</t>
  </si>
  <si>
    <t>1 January 2020 to 9 July 2020</t>
  </si>
  <si>
    <t>Ophtalmology</t>
  </si>
  <si>
    <t>Treatment Yes= 566, Treatment No= 1359, Control Yes= 11697, Control No=21352</t>
  </si>
  <si>
    <t>Maybe (but difficult to extract)</t>
  </si>
  <si>
    <t>Treatment Yes= 119, Treatment No= 283, Control Yes= 2408, Control No=4065</t>
  </si>
  <si>
    <t>Treatment Yes= 371, Treatment No= 808, Control Yes= 7552, Control No=13018</t>
  </si>
  <si>
    <t>Treatment Yes= 76, Treatment No= 268, Control Yes= 1737, Control No=4269</t>
  </si>
  <si>
    <t>Andersen et al.</t>
  </si>
  <si>
    <t>Meta-Research: COVID-19 Medical papers have fewer women First authors than expected</t>
  </si>
  <si>
    <t>1 January 2019 - 31 December 2019</t>
  </si>
  <si>
    <t>1 January 2020 and 5 June 2020</t>
  </si>
  <si>
    <t>Covid 19</t>
  </si>
  <si>
    <t>Medicine</t>
  </si>
  <si>
    <t>USA</t>
  </si>
  <si>
    <t>Results page 3</t>
  </si>
  <si>
    <t>Multiple logistic regression</t>
  </si>
  <si>
    <t>Treatment Proportion with event= 0.3263970969, Treatment Sample Size= 1929, Control Proportion with event= 0.379841519, Control sample size= 85373</t>
  </si>
  <si>
    <t>Standardised mean difference (from binary proportions) (38.0 vs 32.6)</t>
  </si>
  <si>
    <t>DL</t>
  </si>
  <si>
    <t>Calculated numbers for each section in Table 1 and added them up; used logit method for d</t>
  </si>
  <si>
    <t>Treatment Proportion with event= 0.3349663038, Treatment Sample Size= 1929, Control Proportion with event= 0.2839364905, Control sample size= 85373</t>
  </si>
  <si>
    <t>Standardised mean difference (from binary proportions) (35.1 vs 33.5)</t>
  </si>
  <si>
    <t>Treatment Proportion with event= 0.3349663038, Treatment Sample Size= 1929, Control Proportion with event= 0.3508699472, Control sample size= 85373</t>
  </si>
  <si>
    <t>Standardised mean difference (from binary proportions) (28.4 vs 28.0)</t>
  </si>
  <si>
    <t>Barber et al.</t>
  </si>
  <si>
    <t>What Explains Differences in Finance Research Productivity during the Pandemic?</t>
  </si>
  <si>
    <t>26 October 2020 - 04 November 2020 (survey)</t>
  </si>
  <si>
    <t>Finance association</t>
  </si>
  <si>
    <t>Self-reported productivity change on likert scale</t>
  </si>
  <si>
    <t>Figure 3</t>
  </si>
  <si>
    <t>self reported</t>
  </si>
  <si>
    <t>Ordered logistic regression</t>
  </si>
  <si>
    <t>Treatment Mean= 0.3505460218, Treatment SD= 0.2068772949, Treatment N= 335, Control Mean= 0.3974063963, Control SD= 0.1858026861, Control N= 673</t>
  </si>
  <si>
    <t>Standardised mean difference (from Mean &amp; Standard deviation) (male 1.96 sd 1.129; female 1.75 sd 1.043)</t>
  </si>
  <si>
    <t>Based on frequency of responses in Figure 3 (male 0.44 times 1, 0.34 times 2, etc)</t>
  </si>
  <si>
    <t>I understand this now. Thanks, though based on my calculations, I have effect size -0.2342, variance 0.0045, using values highlighted in green in "Calculations". The differences are small and likely arise from taking physical measurements from the figures slightly differently, so should not be an issue. I feel like the measuring tool in adobe is good and will stick with mine.</t>
  </si>
  <si>
    <t>Yes (child/ no child and interaction with gender)</t>
  </si>
  <si>
    <t>Yes (Student, Junior Faculty, Senior faculty and interaction with gender)</t>
  </si>
  <si>
    <t>Ghaffarizadeh et al.</t>
  </si>
  <si>
    <t>Life and work of researchers trapped in the COVID-19 pandemic vicious cycle</t>
  </si>
  <si>
    <t>01 December 2020 - 10 December 2020 (survey)</t>
  </si>
  <si>
    <t>Binary whether loss of research productivity</t>
  </si>
  <si>
    <t>USA + Europe</t>
  </si>
  <si>
    <t>Results Page 4</t>
  </si>
  <si>
    <t>Raw numbers</t>
  </si>
  <si>
    <t>Treatment Yes= 76, Treatment No= 217, Control Yes= 170, Control No=265</t>
  </si>
  <si>
    <t>Standardised mean difference (two by two table) (men 176 vs 112; women 323 vs 114)</t>
  </si>
  <si>
    <t>Based on proportion of men/women figure 1 and percentages in results</t>
  </si>
  <si>
    <t>I understand this now. Thanks, though based on my calculations, I have effect size -0.3311, variance 0.008342, using values highlighted in green in "Calculations". The differences are small and likely arise from taking physical measurements from the figures slightly differently, so should not be an issue. I feel like the measuring tool in adobe is good and will stick with mine.</t>
  </si>
  <si>
    <t>Maybe (Graduate students, Postdoctoral scholars, Faculties and research staff, but no interaction with gender studied, supplementary materials)</t>
  </si>
  <si>
    <t>Shalaby et al.</t>
  </si>
  <si>
    <t>Leveling the Field: Gender Inequity in Academia during COVID-19</t>
  </si>
  <si>
    <t>25 July 2020 - 28 July 2020 (survey)</t>
  </si>
  <si>
    <t>Political sciences</t>
  </si>
  <si>
    <t>Self reported ability to submit/complete work</t>
  </si>
  <si>
    <t>Worldwide (online survey with 77.98% respondants from North America)</t>
  </si>
  <si>
    <t>Figure 1b</t>
  </si>
  <si>
    <t>Treatment Yes= 22, Treatment No= 71, Control Yes= 23, Control No=54</t>
  </si>
  <si>
    <t>Standardised mean difference (two by two table) (men 59 vs 18; women 65 vs 28)</t>
  </si>
  <si>
    <t>Based on proportion decreased productivity Figure 1b</t>
  </si>
  <si>
    <t>I understand this now. Thanks, though based on my calculations, I have effect size -0.1754, variance 0.036942, using values highlighted in green in "Calculations". I think this is because you accidentally flipped the percentages for men and women around.</t>
  </si>
  <si>
    <t>Yes (children/no children and interaction with gender)</t>
  </si>
  <si>
    <t>Yes (but no interaction with gender studied, and no raw data, supplementary materials)</t>
  </si>
  <si>
    <t>Cook et al.</t>
  </si>
  <si>
    <t>Gender differences in authorship of obstetrics and gynecology Publications during the coronavirus disease 2019 pandemic</t>
  </si>
  <si>
    <t>1 January 2020 - 28 February 2020</t>
  </si>
  <si>
    <t>1 March 2020 - 31 June 2020</t>
  </si>
  <si>
    <t>Gynecology</t>
  </si>
  <si>
    <t>Results page 1</t>
  </si>
  <si>
    <t>author inferred</t>
  </si>
  <si>
    <t>Treatment Yes= 265, Treatment No= 148, Control Yes= 162, Control No=80</t>
  </si>
  <si>
    <t>Standardised mean difference (two by two table) (men 80 vs 162; women 148 vs 265)</t>
  </si>
  <si>
    <t>Based on numbers in Table 1</t>
  </si>
  <si>
    <t>I understand this</t>
  </si>
  <si>
    <t>Maybe (but no interaction with gender studied)</t>
  </si>
  <si>
    <t>Ribravoska et al.</t>
  </si>
  <si>
    <t>Gender inequality in publishing during the COVID-19 pandemic</t>
  </si>
  <si>
    <t>1 July 2019 - 31 January 2020</t>
  </si>
  <si>
    <t>1 July 2020 - 31 January 2021</t>
  </si>
  <si>
    <t>Neuroimmunology</t>
  </si>
  <si>
    <t>Treatment Proportion with event= 0.5, Treatment Sample Size= 265, Control Proportion with event= 0.62, Control sample size= 265</t>
  </si>
  <si>
    <t>Standardised mean difference (two by two table) (men 101 vs 220; women 164 vs 220)</t>
  </si>
  <si>
    <t>Treatment = pandemic; yes = women</t>
  </si>
  <si>
    <t>For proportions of female and male first authors during covid I use 0.5 and 0.5 as described in the text. I assume number of papers during covid matches the number of papers pre-covid (265).</t>
  </si>
  <si>
    <t>Standardised mean difference (two by two table) (men 154 vs 295; women 111 vs 145)</t>
  </si>
  <si>
    <t>For proportions of female and male first authors during covid I assume numbers of articles published per month are equal and take the mean proportion of all months. I assume number of papers during covid matches the number of papers pre-covid (265).</t>
  </si>
  <si>
    <t>Cushman</t>
  </si>
  <si>
    <t>Gender gap in women authors is not worse during COVID-19 pandemic: Results from Research and Practice in Thrombosis and Haemostasis</t>
  </si>
  <si>
    <t>1 March 2019 - 21 May 2019</t>
  </si>
  <si>
    <t>1 March 2020 - 21 May 2020</t>
  </si>
  <si>
    <t>Thrombosis</t>
  </si>
  <si>
    <t>Submission</t>
  </si>
  <si>
    <t>Treatment Yes= 26, Treatment No= 5, Control Yes= 48, Control No=10</t>
  </si>
  <si>
    <t>Standardised mean difference (two by two table) (men 10 vs 48; women 26 vs 48)</t>
  </si>
  <si>
    <t>I think I understand this but should it not be (men 10 vs 48; women 5 vs 26) - see "Calculations" sheet</t>
  </si>
  <si>
    <t>Treatment Yes= 28, Treatment No= 6, Control Yes= 46, Control No=9</t>
  </si>
  <si>
    <t>Standardised mean difference (two by two table) (men 9 vs 46; women 6 vs 28)</t>
  </si>
  <si>
    <t>Ipe et al.</t>
  </si>
  <si>
    <t>The impact of COVID-19 on academic productivity by female physicians and researchers in transfusion medicine</t>
  </si>
  <si>
    <t>1 July 2019 - 31 July 2019</t>
  </si>
  <si>
    <t>1 July 2020 - 31 July 2020</t>
  </si>
  <si>
    <t>Transfusion</t>
  </si>
  <si>
    <t>Figure 2</t>
  </si>
  <si>
    <t>Treatment Yes= 210, Treatment No= 248, Control Yes= 181, Control No=257</t>
  </si>
  <si>
    <t>Standardised mean difference (two by two table) (men 257 vs 282; women 248 vs 210)</t>
  </si>
  <si>
    <t>Standardised mean difference (two by two table) (men 331 vs 318; women 181 vs 175</t>
  </si>
  <si>
    <t>Davis</t>
  </si>
  <si>
    <t>Are we failing female and racialized academics? A Canadian national survey examining the impacts of the COVID-19 pandemic on tenure and tenuretrack faculty</t>
  </si>
  <si>
    <t>May/June 2020</t>
  </si>
  <si>
    <t>Not specified</t>
  </si>
  <si>
    <t>Whether the pandemic created low productivity (Y/N)</t>
  </si>
  <si>
    <t>Canada</t>
  </si>
  <si>
    <t>Treatment Yes= 128, Treatment No= 186, Control Yes= 203, Control No=159</t>
  </si>
  <si>
    <t>I use "low productivity" in table 3</t>
  </si>
  <si>
    <t>Anabaraonye</t>
  </si>
  <si>
    <t>Impact of the Early COVID-19 Pandemic on Gender Participation in Academic Publishing in Radiation Oncology</t>
  </si>
  <si>
    <t>December 2015- March 1 2020</t>
  </si>
  <si>
    <t>March 1 2020- end of May 2020</t>
  </si>
  <si>
    <t>Radiation oncology</t>
  </si>
  <si>
    <t>manual internet search</t>
  </si>
  <si>
    <t>Treatment Yes= 38, Treatment No= 90, Control Yes= 288, Control No=540</t>
  </si>
  <si>
    <t>Yes (senior vs non-senior and interaction with gender)</t>
  </si>
  <si>
    <t>Table 2</t>
  </si>
  <si>
    <t>Treatment Yes= 39, Treatment No= 92, Control Yes= 200, Control No=582</t>
  </si>
  <si>
    <t>Jemielniak</t>
  </si>
  <si>
    <t>COVID-19 effect on the gender gap in academic publishing</t>
  </si>
  <si>
    <t>psychology</t>
  </si>
  <si>
    <t>Sent upon request</t>
  </si>
  <si>
    <t>Treatment Yes= 3647, Treatment No= 16034, Control Yes= 9181, Control No=8003</t>
  </si>
  <si>
    <t>Missing data, authors contacted and data received</t>
  </si>
  <si>
    <t>mathematics</t>
  </si>
  <si>
    <t>TEMCP technology, engineering, mathematic, chemistry and physics</t>
  </si>
  <si>
    <t>Treatment Yes= 383, Treatment No= 1857, Control Yes= 5300, Control No=23865</t>
  </si>
  <si>
    <t>philopsophy</t>
  </si>
  <si>
    <t>Treatment Yes= 443, Treatment No= 1260, Control Yes= 1747, Control No=3919</t>
  </si>
  <si>
    <t>materials science</t>
  </si>
  <si>
    <t>Treatment Yes= 2111, Treatment No= 6352, Control Yes= 4365, Control No=12023</t>
  </si>
  <si>
    <t>earth sciences</t>
  </si>
  <si>
    <t>Treatment Yes= 5531, Treatment No= 17112, Control Yes= 5712, Control No=17202</t>
  </si>
  <si>
    <t>environment</t>
  </si>
  <si>
    <t>Treatment Yes= 12826, Treatment No= 20970, Control Yes= 8234, Control No=13601</t>
  </si>
  <si>
    <t>statistics</t>
  </si>
  <si>
    <t>Treatment Yes= 156, Treatment No= 632, Control Yes= 429, Control No=1354</t>
  </si>
  <si>
    <t>education</t>
  </si>
  <si>
    <t>Treatment Yes= 7293, Treatment No= 6515, Control Yes= 4133, Control No=4053</t>
  </si>
  <si>
    <t>0.0213-0.0816</t>
  </si>
  <si>
    <t>biomedicine</t>
  </si>
  <si>
    <t>Treatment Yes= 12062, Treatment No= 16620, Control Yes= 30818, Control No=43248</t>
  </si>
  <si>
    <t>engineering</t>
  </si>
  <si>
    <t>Treatment Yes= 2697, Treatment No= 10946, Control Yes= 4553, Control No=19235</t>
  </si>
  <si>
    <t>medicine</t>
  </si>
  <si>
    <t>Treatment Yes= 18081, Treatment No= 30933, Control Yes= 32862, Control No=56063</t>
  </si>
  <si>
    <t>Treatment Yes= 3188, Treatment No= 4070, Control Yes= 1374, Control No=1616</t>
  </si>
  <si>
    <t>life sciences</t>
  </si>
  <si>
    <t>Treatment Yes= 13424, Treatment No= 21949, Control Yes= 19076, Control No=31851</t>
  </si>
  <si>
    <t>economics</t>
  </si>
  <si>
    <t>Treatment Yes= 4531, Treatment No= 14269, Control Yes= 1684, Control No=4642</t>
  </si>
  <si>
    <t>chemistry</t>
  </si>
  <si>
    <t>Treatment Yes= 5842, Treatment No= 9914, Control Yes= 11616, Control No=19311</t>
  </si>
  <si>
    <t>computer science</t>
  </si>
  <si>
    <t>Treatment Yes= 705, Treatment No= 2466, Control Yes= 3085, Control No=12902</t>
  </si>
  <si>
    <t>0.0475-0.1495</t>
  </si>
  <si>
    <t>business and management</t>
  </si>
  <si>
    <t>Treatment Yes= 1797, Treatment No= 4612, Control Yes= 1687, Control No=4655</t>
  </si>
  <si>
    <t>physics</t>
  </si>
  <si>
    <t>Treatment Yes= 462, Treatment No= 1985, Control Yes= 3212, Control No=16273</t>
  </si>
  <si>
    <t>0.0313- 0.1505</t>
  </si>
  <si>
    <t>energy</t>
  </si>
  <si>
    <t>Treatment Yes= 932, Treatment No= 2094, Control Yes= 395, Control No=1137</t>
  </si>
  <si>
    <t>0.0605-0.2127</t>
  </si>
  <si>
    <t>geography</t>
  </si>
  <si>
    <t>Treatment Yes= 249, Treatment No= 731, Control Yes= 210, Control No=603</t>
  </si>
  <si>
    <t>dentistry</t>
  </si>
  <si>
    <t>Treatment Yes= 2550, Treatment No= 3766, Control Yes= 1584, Control No=2561</t>
  </si>
  <si>
    <t>0.0056- 0.0942</t>
  </si>
  <si>
    <t>Gayet-Ageron</t>
  </si>
  <si>
    <t>Female authorship of covid-19 research in manuscripts submitted to 11 biomedical journals: cross sectional study</t>
  </si>
  <si>
    <t>2018-2019</t>
  </si>
  <si>
    <t>January 2020- May 2021 (but also breaks down phase of pandemic)</t>
  </si>
  <si>
    <t>Nine specialist and two large general medical journals</t>
  </si>
  <si>
    <t>Worldwide (but has data for Africa North America Latin America Europe Oceania China Rest of Asia)</t>
  </si>
  <si>
    <t>Table A supplementary materials</t>
  </si>
  <si>
    <t>Gender API, genderize and salutation (mr/m,ms/mrs/miss)</t>
  </si>
  <si>
    <t>Treatment Yes= 9896, Treatment No= 12745, Control Yes= 12724, Control No=14961</t>
  </si>
  <si>
    <t>Yes (Africa, China, Europe, Latin America, North America, Oceania, Rest of Asia and interaction with gender)</t>
  </si>
  <si>
    <t>Treatment Yes= 7114, Treatment No= 16077, Control Yes= 8923, Control No=19495</t>
  </si>
  <si>
    <t>Treatment Yes= 8392, Treatment No= 14712, Control Yes= 10981, Control No=17262</t>
  </si>
  <si>
    <t>Gerding</t>
  </si>
  <si>
    <t>Scholarly Productivity in Clinical Pharmacology Amid Pandemic-Related Workforce Disruptions: Are Men and Women Affected Equally?</t>
  </si>
  <si>
    <t>January 1 - December 31 2019 and 2018</t>
  </si>
  <si>
    <t>January 1 - December 31 2020</t>
  </si>
  <si>
    <t>Clinical Pharmacology and Therapeutics</t>
  </si>
  <si>
    <t>Worldwide (but The majority of submissions were received from North America (1,556), followed by Europe (1,144), and the Asia-Pacific (648))</t>
  </si>
  <si>
    <t>Figure 1</t>
  </si>
  <si>
    <t>An exhaustive internet search, including institutional affiliations, professional organizations, publication databases, social media sites, and online biographical references.</t>
  </si>
  <si>
    <t>Treatment Yes= 472, Treatment No= 823, Control Yes= 722, Control No=1294</t>
  </si>
  <si>
    <t>Diaz</t>
  </si>
  <si>
    <t>Burnout syndrome in pediatric urology: A perspective during the COVID-19 pandemic d Ibero-American survey</t>
  </si>
  <si>
    <t>Weeks 28-32 2020</t>
  </si>
  <si>
    <t>members of the two major associations of pediatric urology in Ibero-America (the Ibero- American Society of Pediatric Urology [SIUP] and the Brazilian School of Pediatric Urology [BSPU])</t>
  </si>
  <si>
    <t>Burn-out</t>
  </si>
  <si>
    <t>Work-related burnout</t>
  </si>
  <si>
    <t>Ibero-America (14 countries. Brazil 45.7%, Argentina 11.4%, Chile 10.9%, Mexico 9.7%, Colombia 8.6%, and others 13.7%)</t>
  </si>
  <si>
    <t>Figure 3b</t>
  </si>
  <si>
    <t>Odds Ratio</t>
  </si>
  <si>
    <t>3.26 [95% CI, 1.52-7.01; p = 0.004]</t>
  </si>
  <si>
    <t>Treatment Yes= 17, Treatment No= 28, Control Yes= 114, Control No=18</t>
  </si>
  <si>
    <t>Stenson</t>
  </si>
  <si>
    <t>Impact of COVID-19 on access to laboratories and human participants: exercise science faculty perspectives</t>
  </si>
  <si>
    <t>January 2021 (about Fall 2020)</t>
  </si>
  <si>
    <t>exercise science faculty</t>
  </si>
  <si>
    <t>Research productivity</t>
  </si>
  <si>
    <t>United States</t>
  </si>
  <si>
    <t>Treatment Yes= 22, Treatment No= 30, Control Yes= 17, Control No=31</t>
  </si>
  <si>
    <t>https://drive.google.com/file/d/1trG78bT97KP8-_IpyG61hux8XKDZfN0f/view?usp=sharing</t>
  </si>
  <si>
    <t>Plaunova</t>
  </si>
  <si>
    <t>Faculty - An Exacerbation of Gender Differences in Unpaid Home Duties and Professional Productivity</t>
  </si>
  <si>
    <t>October 27 and November 24, 2020</t>
  </si>
  <si>
    <t>Association of University Radiologists</t>
  </si>
  <si>
    <t>Work productivity from home</t>
  </si>
  <si>
    <t>Text page 3</t>
  </si>
  <si>
    <t>Standardised mean difference (means and sds)</t>
  </si>
  <si>
    <t>Biondi</t>
  </si>
  <si>
    <t>Journal submissions, review and editorial decision patterns during initial COVID-19 restrictions</t>
  </si>
  <si>
    <t>1 January 2018- 23 March 2020</t>
  </si>
  <si>
    <t>23 March 2020- 31 July 2020</t>
  </si>
  <si>
    <t>four leading agricultural economics journals1 (Clarivate Analytics, 2020) – the American Journal of Agricultural Economics (AJAE), Applied Economic Perspectives and Policy (AEPP), Food Policy (FP), and the Journal of Agricultural Economics (JAE)</t>
  </si>
  <si>
    <t>USA 23.93%, China 10.57%, India 5.61%, Germany 4.64%, UK 4.38%, Italy 4.3%, Australia 2.53%, France 2.42%, Spain 2.42%, Canada 2.2%</t>
  </si>
  <si>
    <t>Table 6</t>
  </si>
  <si>
    <t>Mean weekly submissions</t>
  </si>
  <si>
    <t>Standardised mean difference (means and ses)</t>
  </si>
  <si>
    <t>Deryugena</t>
  </si>
  <si>
    <t>COVID-19 Disruptions disproportionately affect female academics</t>
  </si>
  <si>
    <t>May 27, 2020 to July 21, 2020</t>
  </si>
  <si>
    <t>Hours of research per day</t>
  </si>
  <si>
    <t>Table B5</t>
  </si>
  <si>
    <t>Hours of research time</t>
  </si>
  <si>
    <t>Treatment N= 8004, Control N=11901, p-value t-test=0.000099</t>
  </si>
  <si>
    <t>Standardised mean difference (t-test p-value unequal sample sizes)</t>
  </si>
  <si>
    <t>Yes (effect of number of children- 0,1,2 or 3+ and interaction with gender on hours of research per day)</t>
  </si>
  <si>
    <t>No (has effect of ethinicity on research, but not ethnicity interaction with gender)</t>
  </si>
  <si>
    <t>Maybe (only effect of age, not interaction with gender)</t>
  </si>
  <si>
    <t>Candido</t>
  </si>
  <si>
    <t>June 10- July 15 2020.</t>
  </si>
  <si>
    <t>Anthropology, Political Science, Sociology and International Relations</t>
  </si>
  <si>
    <t>Pandemic effect on academic productivity</t>
  </si>
  <si>
    <t>No (has effect of white/ non-white on research, but not ethnicity interaction with gender)</t>
  </si>
  <si>
    <t>Translated with Google translate</t>
  </si>
  <si>
    <t>Bell</t>
  </si>
  <si>
    <t>Premature evaluation? Some cautionary thoughts on global pandemics and scholarly publishing</t>
  </si>
  <si>
    <t>April-May 2019</t>
  </si>
  <si>
    <t>April-May 2020</t>
  </si>
  <si>
    <t>Critical Public Health (CPH)</t>
  </si>
  <si>
    <t>Figure 1 and 2</t>
  </si>
  <si>
    <t>Google search</t>
  </si>
  <si>
    <t>Treatment Yes=60, Treatment No= 37, Control Yes= 33, Control No=23</t>
  </si>
  <si>
    <t>Guintivano</t>
  </si>
  <si>
    <t>Psychiatric genomics research during the COVID-19 pandemic: A survey of Psychiatric Genomics Consortium researchers</t>
  </si>
  <si>
    <t>April 20, 2020 and June 19, 2020</t>
  </si>
  <si>
    <t>Psychiatric Genomics Consortium (PGC)</t>
  </si>
  <si>
    <t>Disruption from having to work from home</t>
  </si>
  <si>
    <t>Maybe (tenure/non-tenure/trainee effect, but no interaction with gender)</t>
  </si>
  <si>
    <t>Amano-Patiño</t>
  </si>
  <si>
    <t>The unequal effects of covid-19 on economists' research productivity</t>
  </si>
  <si>
    <t>January- April 2015-2019</t>
  </si>
  <si>
    <t>January- April 2020</t>
  </si>
  <si>
    <t>NBER Working Papers Series, the CEPR Discussion Paper Series, the newly established research repository Covid Economics: Vetted and Real Time Papers and VoxEU columns</t>
  </si>
  <si>
    <t>Working papers</t>
  </si>
  <si>
    <t>Appendix Table 1</t>
  </si>
  <si>
    <t>70% but then manually assigned the rest</t>
  </si>
  <si>
    <t>genderize.io API</t>
  </si>
  <si>
    <t>Treatment Yes=725, Treatment No= 2777, Control Yes= 481, Control No=1829</t>
  </si>
  <si>
    <t>Yes (PhD/Postdoc, Junior, midcareer, Senior, other and interaction with gender)</t>
  </si>
  <si>
    <t>Wooden</t>
  </si>
  <si>
    <t>Effects of the COVID-19 Pandemic on Authors and Reviewers of American Geophysical Union Journals</t>
  </si>
  <si>
    <t>March 2018–February 2020</t>
  </si>
  <si>
    <t>March 2020–February 2021</t>
  </si>
  <si>
    <t>journals published by the American Geophysical Union (AGU)</t>
  </si>
  <si>
    <t>Figure 1 a and c</t>
  </si>
  <si>
    <t>self-reported and API</t>
  </si>
  <si>
    <t>Treatment Yes=3858, Treatment No= 13459, Control Yes= 7211, Control No=24410</t>
  </si>
  <si>
    <t>Maybe (age and broken down into male and female, but sample sizes not given)</t>
  </si>
  <si>
    <t>Rodriguez Forti</t>
  </si>
  <si>
    <t>Trade-off between urgency and reduced editorial capacity affect publication speed in ecological and medical journals during 2020</t>
  </si>
  <si>
    <t>8 ecology journals (BMC Ecology Conservation Letters Ecology and Evolution Ecosphere Frontiers in Ecology and Evolution Landscape Ecology Nature Ecology and Evolution Perspectives in Ecology and Conservation)</t>
  </si>
  <si>
    <t>Table 2 and Figure 3</t>
  </si>
  <si>
    <t>searching publicly available data on the internet based on the name and the institution of the researcher (institution homepage, Research Gate, Google Scholar, LinkedIn, etc.) looking for pictures, pronouns and other information referring to the researcher</t>
  </si>
  <si>
    <t>Odds ratio</t>
  </si>
  <si>
    <t>Treatment Yes=379, Treatment No= 544, Control Yes= 598, Control No=966</t>
  </si>
  <si>
    <t>Treatment Yes=207, Treatment No= 688, Control Yes= 398, Control No=1130</t>
  </si>
  <si>
    <t>8 medicine journals (BMC Medicine BMJ Open Clinical Infectious Disease eLife - Medicine Journal of Biomedical Science Journal of Clinical Immunology Nature Medicine Plos Medicine)</t>
  </si>
  <si>
    <t>Treatment Yes=513, Treatment No= 629, Control Yes= 916, Control No=973</t>
  </si>
  <si>
    <t>Treatment Yes=367, Treatment No= 753, Control Yes= 590, Control No=1286</t>
  </si>
  <si>
    <t>Ayyala</t>
  </si>
  <si>
    <t>Gender trends in authorship of Pediatric Radiology publications and impact of the COVID‑19 pandemic</t>
  </si>
  <si>
    <t>2017-2019</t>
  </si>
  <si>
    <t>Pediatric Radiology journal</t>
  </si>
  <si>
    <t>North America</t>
  </si>
  <si>
    <t>gender based on name norms, through web searches and based on inference from physical appearance.</t>
  </si>
  <si>
    <t>Treatment Yes=103, Treatment No= 128, Control Yes= 78, Control No=94</t>
  </si>
  <si>
    <t>Treatment Yes=78, Treatment No= 153, Control Yes= 74, Control No=98</t>
  </si>
  <si>
    <t>Treatment Yes=94, Treatment No= 137, Control Yes= 68, Control No=104</t>
  </si>
  <si>
    <t>Ellinas</t>
  </si>
  <si>
    <t>Winners and Losers in Academic Productivity During the COVID-19 Pandemic: Is the Gender Gap Widening for Faculty?</t>
  </si>
  <si>
    <t>August and September of 2020</t>
  </si>
  <si>
    <t>faculty from a private Midwest academic medical center</t>
  </si>
  <si>
    <t>Academic productivity</t>
  </si>
  <si>
    <t>Chi-square and p-value</t>
  </si>
  <si>
    <t>1.68, p=0.20</t>
  </si>
  <si>
    <t>Treatment Yes=50, Treatment No= 137, Control Yes= 35, Control No=68</t>
  </si>
  <si>
    <t>Maybe (&lt;11 child, but not on interaction with gender)</t>
  </si>
  <si>
    <t>Maybe (professor/other, but not on interaction with gender)</t>
  </si>
  <si>
    <t>Maguire</t>
  </si>
  <si>
    <t>Research interrupted: The impact of the COVID-19 pandemic on multiple sclerosis research in the field of rehabilitation and quality of life</t>
  </si>
  <si>
    <t>January-February 2021</t>
  </si>
  <si>
    <t>rehabilitation and quality of life (QoL) research in multiple sclerosis (MS)</t>
  </si>
  <si>
    <t>Research productivity decrease following COVID-19 relative to other gender</t>
  </si>
  <si>
    <t>18 different countries, including the USA (n=24), Italy (n=16), Canada (n=10), Austria (n=9), France (n=4), the UK (n=3), Turkey (n=3), Ireland (n=3), Belgium (n=3), Norway (n=2), Switzerland (n=1), Spain (n=1), Slovenia (n=1), Israel (n=1), Germany (n=1), Finland (n=1), the Czech Republic (n=1), and Australia (n=1).</t>
  </si>
  <si>
    <t>Text page 5</t>
  </si>
  <si>
    <t>T-test</t>
  </si>
  <si>
    <t>2.782 (p=0.007)</t>
  </si>
  <si>
    <t>Squazzoni</t>
  </si>
  <si>
    <t>Gender gap in journal submissions and peer review during the first wave of the COVID-19 pandemic. A study on 2329 Elsevier journals</t>
  </si>
  <si>
    <t>Feb-May 2018 and Feb-May 2019</t>
  </si>
  <si>
    <t>Feb-May 2020</t>
  </si>
  <si>
    <t>Elsevier Health &amp; Medicine articles</t>
  </si>
  <si>
    <t>Python package gender-guesser and gender API</t>
  </si>
  <si>
    <t>Mixed-effect model</t>
  </si>
  <si>
    <t>Sample sizes not given to work out own effect size, so model estimates are used</t>
  </si>
  <si>
    <t>Yes (age 0-20 or 20-60 since first publication, and on interaction with gender)</t>
  </si>
  <si>
    <t>Elsevier Life sciences</t>
  </si>
  <si>
    <t>Elsevier Physical Sciences &amp; Engineering</t>
  </si>
  <si>
    <t>Harris</t>
  </si>
  <si>
    <t>Exploratory Investigation of Gender Differences in School Psychology Publishing Before and During the Initial Phase of COVID-19</t>
  </si>
  <si>
    <t>March-May 2017, 2018, 2019</t>
  </si>
  <si>
    <t>March-May 2020</t>
  </si>
  <si>
    <t>three school psychology journals: Canadian Journal of School Psychology (CJSP), Journal of School Psychology (JSP), and School Psychology (SP; formerly School Psychology Quarterly).</t>
  </si>
  <si>
    <t>Pérez (2016) Gender Guesser software package</t>
  </si>
  <si>
    <t>Pearson Chi-squared Test of Association</t>
  </si>
  <si>
    <t>(χ2 = 13.38; df = 9; p = .15</t>
  </si>
  <si>
    <t>Treatment Yes=108, Treatment No= 67, Control Yes= 305, Control No=220</t>
  </si>
  <si>
    <t>Chen</t>
  </si>
  <si>
    <t>Gender and authorship patterns in urban land science</t>
  </si>
  <si>
    <t>Jan 2019- Various depending on region</t>
  </si>
  <si>
    <t>Various depending on region- December 2020</t>
  </si>
  <si>
    <t>Urban land science</t>
  </si>
  <si>
    <t>Table 1 and Appendix</t>
  </si>
  <si>
    <t>Gender API controlling for region and manually searching low accuracy names</t>
  </si>
  <si>
    <t>Treatment Yes=65, Treatment No= 56, Control Yes= 105, Control No=154</t>
  </si>
  <si>
    <t>0.0535-0.5332</t>
  </si>
  <si>
    <t>Yes (continents asia, north america, europe, oceania, africa, south america and interaction with gender)</t>
  </si>
  <si>
    <t>Gao</t>
  </si>
  <si>
    <t>Potentially long-lasting effects of the pandemic on scientists</t>
  </si>
  <si>
    <t>April 2020 - January 2021</t>
  </si>
  <si>
    <t>Projects</t>
  </si>
  <si>
    <t>Number of new research projects</t>
  </si>
  <si>
    <t>Supplementary Figure 7</t>
  </si>
  <si>
    <t>Maybe (effect of child and child age, but not on interaction with gender)</t>
  </si>
  <si>
    <t>Maybe (tenured or not and age, but not on interaction with gender)</t>
  </si>
  <si>
    <t>https://drive.google.com/file/d/1AFdGeiM-IIKEQDRDZeiMYns1jd0ojsUj/view?usp=sharing</t>
  </si>
  <si>
    <t>Hoggarth</t>
  </si>
  <si>
    <t>Impacts of the COVID-19 Pandemic on Women and Early Career Archaeologists</t>
  </si>
  <si>
    <t>March 2020 to June 2021</t>
  </si>
  <si>
    <t>archaeology</t>
  </si>
  <si>
    <t>Jobs</t>
  </si>
  <si>
    <t>Academic job loss</t>
  </si>
  <si>
    <t>majority of respondents live in the United States (86% n = 491), with smaller numbers of respondents from Canada (5%, n = 27), the UK (4%, n = 22), and the European Union (3%, n = 16)</t>
  </si>
  <si>
    <t>Supplementary Table 1</t>
  </si>
  <si>
    <t>Chi-square test</t>
  </si>
  <si>
    <t>X2 (2, N = 563) = 10.59, p = 0.005</t>
  </si>
  <si>
    <t>Treatment Yes=17, Treatment No= 209, Control Yes= 56, Control No=273</t>
  </si>
  <si>
    <t>Yes (age group 18-34, 35-54, 55+ and on interaction with gender)</t>
  </si>
  <si>
    <t>Yildirim</t>
  </si>
  <si>
    <t>The differential impact of COVID-19 on the work conditions of women and men academics during the lockdown</t>
  </si>
  <si>
    <t>10 and 20 June 2020</t>
  </si>
  <si>
    <t>Effect of COVID-19 pandemic on work from home</t>
  </si>
  <si>
    <t>90 per cent of our sample consist of academics working in France, Germany, Italy, Norway, Sweden, Turkey, UK and the United States</t>
  </si>
  <si>
    <t>ordered logistic regression</t>
  </si>
  <si>
    <t>Maybe (effect of child, but not on interaction with gender)</t>
  </si>
  <si>
    <t>% parents of n respondants</t>
  </si>
  <si>
    <t>Complete?</t>
  </si>
  <si>
    <t>Percentage point of widening The gender gap therefore widened</t>
  </si>
  <si>
    <t>not sure about the suitability of broad research field as the Journal seems to be publishing also non-medical research stuff. E.g. public heath law, environmental health etc (2) also, reprots US vs other separately so can be used.</t>
  </si>
  <si>
    <t>Changed broad research field to multidisciplinary. Agree could split into continents from Supplementary Table A, but these sample sizes are small. How to geographically group them?</t>
  </si>
  <si>
    <t>Yes (Africa, Asia, Europe, Middle East, North America, Oceania, South America and interaction with gender)</t>
  </si>
  <si>
    <t>I have used all the metrics provided: for first, last or mid authroship. Plus, they reprot the submission rate with SD, not the percantage of authors - so basically this ES needs to be calulcated in a different way. We need to include new column to this table for it. Also, they reprot on grants subbmitted, but think this is not what we have decided to use?</t>
  </si>
  <si>
    <t>See "Calculations" sheet for method.</t>
  </si>
  <si>
    <t>I calculated numbers using data provided in the text. Eg. Page 8 "112 more preprints sole authored
by men but just 7 more preprints sole-authored by
women in March and April 2020 than in March and April
2019, representing increases of 9.6 percent and 3.7 percent,
respectively" can be used to calculated pre and during pandemic numbers of preprints. See "Calculations" sheet for details</t>
  </si>
  <si>
    <t>Research hours per week</t>
  </si>
  <si>
    <t>Yes (interaction of age in decades with being female)</t>
  </si>
  <si>
    <t>Treatment Mean= 0.37, Treatment SE=0.004, Treatment Sample size=495.626, Control Mean= 0.367, Control SE=0.008, Control Sample size=13156.66</t>
  </si>
  <si>
    <t>Treatment Mean= 0.233, Treatment SE=0.004, Treatment Sample size=495.626, Control Mean= 0.235, Control SE=0.007, Control Sample size=13156.66</t>
  </si>
  <si>
    <t>Treatment Mean= 0.344, Treatment SE=0.002, Treatment Sample size=495.626, Control Mean= 0.342, Control SE=0.003, Control Sample size=13156.66</t>
  </si>
  <si>
    <t>Treatment Mean= 0.165, Treatment SE=0.016, Treatment Sample size=495.626, Control Mean= 0.209, Control SE=0.035, Control Sample size=13156.66</t>
  </si>
  <si>
    <t>Treatment Mean= 0.3, Treatment SE=0.009, Treatment Sample size=198.779, Control Mean= 0.367, Control SE=0.055, Control Sample size=2165.893</t>
  </si>
  <si>
    <t>Treatment Mean= 0.23, Treatment SE=0.005, Treatment Sample size=198.779, Control Mean= 0.309, Control SE=0.038, Control Sample size=2165.893</t>
  </si>
  <si>
    <t>Treatment Mean= 0.348, Treatment SE=0.005, Treatment Sample size=198.779, Control Mean= 0.376, Control SE=0.016, Control Sample size=2165.893</t>
  </si>
  <si>
    <t>Treatment Mean= 0.438, Treatment SE=0.014, Treatment Sample size=195.95, Control Mean= 0.458, Control SE=0.011, Control Sample size=4770.883</t>
  </si>
  <si>
    <t>Treatment Mean= 0.275, Treatment SE=0.011, Treatment Sample size=195.95, Control Mean= 0.315, Control SE=0.008, Control Sample size=4770.883</t>
  </si>
  <si>
    <t>Treatment Mean= 0.382, Treatment SE=0.007, Treatment Sample size=195.95, Control Mean= 0.39, Control SE=0.006, Control Sample size=4770.883</t>
  </si>
  <si>
    <t>Treatment Mean= 0.299, Treatment SE=0.029, Treatment Sample size=195.95, Control Mean= 0.284, Control SE=0.04, Control Sample size=4770.883</t>
  </si>
  <si>
    <t>See "Calculations" sheet for values used.</t>
  </si>
  <si>
    <t>Yes (Japan, China, Australia, Italy, Switzerland, Netherlands, New Zealand, UK, Russia, India, Spain, Norway, US, Indonesia, Germany, Canada, Malaysia, Romania, France, Israel, Denmark, Korea, Beligum, Colombia, Singapore and interaction with gender)</t>
  </si>
  <si>
    <t>Table8 (10 weeks post-lockdown); p12</t>
  </si>
  <si>
    <t>0.074 (standard error)</t>
  </si>
  <si>
    <t>I don't think we should use this effect size because I haven't looked at all-male authored or all-female authored papers for any others</t>
  </si>
  <si>
    <t>from 6 June 2019 -</t>
  </si>
  <si>
    <t>0.000009371095377</t>
  </si>
  <si>
    <t>from 1 January 2020-</t>
  </si>
  <si>
    <t>Agreed, made a separate sheet for these calculations called, "Calculations".</t>
  </si>
  <si>
    <t>Worldwide (but authors in BBI are mostly from US, then China, then UK, then Germany https://journalinsights.elsevier.com/journals/0889-1591/authors)</t>
  </si>
  <si>
    <t>Worldwide (but authors in Advances in radiation oncology are 79.2% (572/722) from North America https://journalinsights.elsevier.com/journals/2452-1094/authors)</t>
  </si>
  <si>
    <t>gender guesser library, then gender guesser on a name where diacritic were converted to ASCII (using unidecode python package), then looked in a database collected from https://github.com/MatthiasWinkelmann/name-database, then using database of Chinese names https://github.com/psychbruce/ Chinese Names</t>
  </si>
  <si>
    <t>Treatment Mean= 2.77, Treatment SD=1.27, Treatment Sample size=45, Control Mean= 3.42, Control SD=1.05, Control Sample size=51</t>
  </si>
  <si>
    <t>Treatment Mean= 2.56, Treatment SE=1.41, Treatment Sample size=1674, Control Mean= 6.46, Control SE=1.26, Control Sample size=3692</t>
  </si>
  <si>
    <t>Treatment Mean= 0.3969849246, Treatment SD=0.4545864296, Treatment Sample size=199, Control Mean= 0.4108910891, Control SD=0.4157384361, Control Sample size=202</t>
  </si>
  <si>
    <t>Worldwide (United States (n = 49, 41.9%), followed by United Kingdom, n = 10; Germany, n = 7; Sweden, n = 7; Australia, n = 4; Denmark, n = 4; Canada, n = 3; Brazil, n &lt; 3; Greece, n &lt; 3; Italy, n &lt; 3; Mexico, n &lt; 3; Netherlands, n &lt; 3; Spain, n &lt; 3; Switzerland, n &lt; 3; Afghanistan, n &lt; 3; Austria, n &lt; 3; Estonia, n &lt; 3; Japan, n &lt; 3; New Zealand, n &lt; 3; Norway, n &lt; 3; Romania, n &lt; 3; South Africa, n &lt; 3. Ten individuals (8.6%) not report the country of their appointment)</t>
  </si>
  <si>
    <t>Treatment Mean= 3.145, Treatment SD=3.071, Treatment Sample size=48, Control Mean= 4.465, Control SD=3.552, Control Sample size=66</t>
  </si>
  <si>
    <t>Maybe (for china, UK/fr/germ, Europe, US, Japan, rest of asia, canada, australia, mexico/c/s america, africa but no interaction with gender)</t>
  </si>
  <si>
    <t>Treatment Mean= 2.32, Treatment SD=0.95, Treatment Sample size=29, Control Mean= 3.11, Control SD=1.13, Control Sample size=58</t>
  </si>
  <si>
    <t>SSRN repository (18 disciplines within Social sciences)</t>
  </si>
  <si>
    <t>AS CIÊNCIAS SOCIAIS NA PANDEMIA DE COVID-19: ROTINAS DE TRABALHO E DESIGUALDADES (Social sciences IN THE COVID-19 PANDEMIC: WORK ROUTINES AND INEQUALITIES)</t>
  </si>
  <si>
    <t>Elsevier Social sciences &amp; Economics</t>
  </si>
  <si>
    <t>Any authorship</t>
  </si>
  <si>
    <t>Ability to submit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</si>
</sst>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
  </numFmts>
  <fonts count="12">
    <font>
      <sz val="12"/>
      <color theme="1"/>
      <name val="Calibri"/>
      <family val="2"/>
      <scheme val="minor"/>
    </font>
    <font>
      <b/>
      <sz val="11"/>
      <color theme="1"/>
      <name val="Calibri"/>
      <family val="2"/>
    </font>
    <font>
      <b/>
      <sz val="10"/>
      <color theme="1"/>
      <name val="Roboto"/>
    </font>
    <font>
      <sz val="10"/>
      <color theme="1"/>
      <name val="Arial"/>
      <family val="2"/>
    </font>
    <font>
      <sz val="11"/>
      <color theme="1"/>
      <name val="Calibri"/>
      <family val="2"/>
    </font>
    <font>
      <u/>
      <sz val="10"/>
      <color rgb="FF1155CC"/>
      <name val="Arial"/>
      <family val="2"/>
    </font>
    <font>
      <sz val="12"/>
      <color theme="1"/>
      <name val="Calibri"/>
      <family val="2"/>
    </font>
    <font>
      <sz val="11"/>
      <color theme="1"/>
      <name val="Times"/>
      <family val="1"/>
    </font>
    <font>
      <sz val="11"/>
      <color theme="1"/>
      <name val="Docs-Calibri"/>
    </font>
    <font>
      <sz val="11"/>
      <color theme="1"/>
      <name val="Inconsolata"/>
    </font>
    <font>
      <u/>
      <sz val="11"/>
      <color rgb="FF1155CC"/>
      <name val="Calibri"/>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4" fillId="0" borderId="0" xfId="0" applyFont="1"/>
    <xf numFmtId="9" fontId="3" fillId="0" borderId="0" xfId="0" applyNumberFormat="1" applyFont="1"/>
    <xf numFmtId="0" fontId="5" fillId="0" borderId="0" xfId="0" applyFont="1"/>
    <xf numFmtId="0" fontId="6" fillId="0" borderId="0" xfId="0" applyFont="1"/>
    <xf numFmtId="0" fontId="7" fillId="0" borderId="0" xfId="0" applyFont="1"/>
    <xf numFmtId="0" fontId="3" fillId="0" borderId="0" xfId="0" applyFont="1"/>
    <xf numFmtId="164" fontId="0" fillId="0" borderId="0" xfId="0" applyNumberFormat="1"/>
    <xf numFmtId="165" fontId="0" fillId="0" borderId="0" xfId="0" applyNumberFormat="1"/>
    <xf numFmtId="0" fontId="2" fillId="0" borderId="0" xfId="0" applyFont="1"/>
    <xf numFmtId="9" fontId="4" fillId="0" borderId="0" xfId="0" applyNumberFormat="1" applyFont="1"/>
    <xf numFmtId="14" fontId="3" fillId="0" borderId="0" xfId="0" applyNumberFormat="1" applyFont="1"/>
    <xf numFmtId="0" fontId="10" fillId="0" borderId="0" xfId="0" applyFont="1"/>
    <xf numFmtId="0" fontId="3" fillId="0" borderId="0" xfId="0" applyFont="1" applyAlignment="1">
      <alignment wrapText="1"/>
    </xf>
    <xf numFmtId="0" fontId="4" fillId="0" borderId="0" xfId="0" applyFont="1" applyAlignment="1">
      <alignment wrapText="1"/>
    </xf>
    <xf numFmtId="0" fontId="11" fillId="0" borderId="0" xfId="0" applyFont="1"/>
    <xf numFmtId="0" fontId="8" fillId="0" borderId="0" xfId="0" applyFont="1"/>
    <xf numFmtId="0" fontId="9" fillId="0" borderId="0" xfId="0" applyFont="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947A-9EA6-0741-9E0C-0F88407DF1FC}">
  <dimension ref="A1:AV1042"/>
  <sheetViews>
    <sheetView tabSelected="1" topLeftCell="I48" workbookViewId="0">
      <selection activeCell="Q80" sqref="Q80"/>
    </sheetView>
  </sheetViews>
  <sheetFormatPr baseColWidth="10" defaultColWidth="12.6640625" defaultRowHeight="16"/>
  <cols>
    <col min="31" max="31" width="12.6640625" style="8"/>
    <col min="37" max="37" width="16.33203125" style="9" customWidth="1"/>
  </cols>
  <sheetData>
    <row r="1" spans="1:48">
      <c r="A1" s="1" t="s">
        <v>0</v>
      </c>
      <c r="B1" s="1" t="s">
        <v>1</v>
      </c>
      <c r="C1" s="1" t="s">
        <v>2</v>
      </c>
      <c r="D1" s="1" t="s">
        <v>3</v>
      </c>
      <c r="E1" s="1" t="s">
        <v>4</v>
      </c>
      <c r="F1" s="1" t="s">
        <v>5</v>
      </c>
      <c r="G1" s="1" t="s">
        <v>6</v>
      </c>
      <c r="H1" s="1" t="s">
        <v>7</v>
      </c>
      <c r="I1" s="1" t="s">
        <v>8</v>
      </c>
      <c r="J1" s="1" t="s">
        <v>9</v>
      </c>
      <c r="K1" s="1"/>
      <c r="L1" s="1" t="s">
        <v>10</v>
      </c>
      <c r="M1" s="1" t="s">
        <v>11</v>
      </c>
      <c r="N1" s="1" t="s">
        <v>12</v>
      </c>
      <c r="O1" s="1" t="s">
        <v>13</v>
      </c>
      <c r="P1" s="1" t="s">
        <v>14</v>
      </c>
      <c r="Q1" s="1" t="s">
        <v>15</v>
      </c>
      <c r="R1" s="1" t="s">
        <v>16</v>
      </c>
      <c r="S1" s="1" t="s">
        <v>17</v>
      </c>
      <c r="T1" s="10" t="s">
        <v>658</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659</v>
      </c>
    </row>
    <row r="2" spans="1:48">
      <c r="A2" s="7">
        <v>1</v>
      </c>
      <c r="B2" s="7">
        <v>1</v>
      </c>
      <c r="C2" s="7" t="s">
        <v>45</v>
      </c>
      <c r="D2" s="7" t="s">
        <v>46</v>
      </c>
      <c r="E2" s="7" t="s">
        <v>47</v>
      </c>
      <c r="F2" s="7" t="s">
        <v>48</v>
      </c>
      <c r="G2" s="7" t="s">
        <v>49</v>
      </c>
      <c r="H2" s="7" t="s">
        <v>88</v>
      </c>
      <c r="I2" s="7" t="s">
        <v>50</v>
      </c>
      <c r="J2" s="7" t="s">
        <v>51</v>
      </c>
      <c r="K2" s="7" t="s">
        <v>51</v>
      </c>
      <c r="L2" s="7" t="s">
        <v>52</v>
      </c>
      <c r="M2" s="7" t="s">
        <v>53</v>
      </c>
      <c r="N2" s="7" t="s">
        <v>54</v>
      </c>
      <c r="O2" s="7">
        <v>0.45100000000000001</v>
      </c>
      <c r="P2" s="7">
        <v>483232</v>
      </c>
      <c r="Q2" s="7">
        <v>0.377</v>
      </c>
      <c r="R2" s="2">
        <v>42898</v>
      </c>
      <c r="S2" s="7"/>
      <c r="T2" s="7"/>
      <c r="U2" s="11">
        <v>0.9</v>
      </c>
      <c r="V2" s="7" t="s">
        <v>55</v>
      </c>
      <c r="W2" s="7" t="s">
        <v>660</v>
      </c>
      <c r="X2" s="2">
        <v>14.8</v>
      </c>
      <c r="Y2" s="7" t="s">
        <v>56</v>
      </c>
      <c r="Z2" s="7" t="s">
        <v>57</v>
      </c>
      <c r="AA2" s="7" t="s">
        <v>58</v>
      </c>
      <c r="AB2" s="2" t="s">
        <v>58</v>
      </c>
      <c r="AC2" s="7">
        <v>-0.16850000000000001</v>
      </c>
      <c r="AD2" s="7">
        <v>-0.16850000000000001</v>
      </c>
      <c r="AE2" s="7">
        <v>-0.16850000000000001</v>
      </c>
      <c r="AF2" s="7">
        <v>3.3000000000000003E-5</v>
      </c>
      <c r="AG2" s="7">
        <v>3.3000000000000003E-5</v>
      </c>
      <c r="AH2" s="7"/>
      <c r="AI2" s="7">
        <f>-0.1797 - -0.1573</f>
        <v>-2.2400000000000003E-2</v>
      </c>
      <c r="AJ2" s="7"/>
      <c r="AK2" s="7">
        <v>3.3000000000000003E-5</v>
      </c>
      <c r="AL2" s="2">
        <v>526130</v>
      </c>
      <c r="AM2" s="12">
        <v>44404</v>
      </c>
      <c r="AN2" s="7"/>
      <c r="AO2" s="7" t="s">
        <v>59</v>
      </c>
      <c r="AP2" s="7" t="s">
        <v>60</v>
      </c>
      <c r="AQ2" s="7" t="s">
        <v>61</v>
      </c>
      <c r="AR2" s="7" t="s">
        <v>62</v>
      </c>
      <c r="AS2" s="7" t="s">
        <v>63</v>
      </c>
      <c r="AT2" s="7" t="s">
        <v>62</v>
      </c>
      <c r="AU2" s="7"/>
      <c r="AV2" s="7"/>
    </row>
    <row r="3" spans="1:48">
      <c r="A3" s="7">
        <v>2</v>
      </c>
      <c r="B3" s="7">
        <v>1</v>
      </c>
      <c r="C3" s="7" t="s">
        <v>45</v>
      </c>
      <c r="D3" s="7" t="s">
        <v>46</v>
      </c>
      <c r="E3" s="7" t="s">
        <v>47</v>
      </c>
      <c r="F3" s="7" t="s">
        <v>48</v>
      </c>
      <c r="G3" s="7" t="s">
        <v>49</v>
      </c>
      <c r="H3" s="7" t="s">
        <v>88</v>
      </c>
      <c r="I3" s="7" t="s">
        <v>50</v>
      </c>
      <c r="J3" s="7" t="s">
        <v>51</v>
      </c>
      <c r="K3" s="7" t="s">
        <v>51</v>
      </c>
      <c r="L3" s="7" t="s">
        <v>64</v>
      </c>
      <c r="M3" s="7" t="s">
        <v>53</v>
      </c>
      <c r="N3" s="7" t="s">
        <v>54</v>
      </c>
      <c r="O3" s="7">
        <v>0.31900000000000001</v>
      </c>
      <c r="P3" s="7">
        <v>483232</v>
      </c>
      <c r="Q3" s="7">
        <v>0.30499999999999999</v>
      </c>
      <c r="R3" s="2">
        <v>42898</v>
      </c>
      <c r="S3" s="7"/>
      <c r="T3" s="7"/>
      <c r="U3" s="11">
        <v>0.9</v>
      </c>
      <c r="V3" s="7" t="s">
        <v>55</v>
      </c>
      <c r="W3" s="7" t="s">
        <v>660</v>
      </c>
      <c r="X3" s="2">
        <v>2.8</v>
      </c>
      <c r="Y3" s="7" t="s">
        <v>56</v>
      </c>
      <c r="Z3" s="7" t="s">
        <v>65</v>
      </c>
      <c r="AA3" s="7" t="s">
        <v>58</v>
      </c>
      <c r="AB3" s="2" t="s">
        <v>58</v>
      </c>
      <c r="AC3" s="7">
        <v>-3.5999999999999997E-2</v>
      </c>
      <c r="AD3" s="7">
        <v>-3.5999999999999997E-2</v>
      </c>
      <c r="AE3" s="7">
        <v>-3.5999999999999997E-2</v>
      </c>
      <c r="AF3" s="7">
        <v>3.6000000000000001E-5</v>
      </c>
      <c r="AG3" s="7">
        <v>3.6000000000000001E-5</v>
      </c>
      <c r="AH3" s="7"/>
      <c r="AI3" s="7">
        <f>-0.0478 - -0.0242</f>
        <v>-2.3600000000000003E-2</v>
      </c>
      <c r="AJ3" s="7"/>
      <c r="AK3" s="7">
        <v>3.6000000000000001E-5</v>
      </c>
      <c r="AL3" s="2">
        <v>526130</v>
      </c>
      <c r="AM3" s="12">
        <v>44404</v>
      </c>
      <c r="AN3" s="7"/>
      <c r="AO3" s="7" t="s">
        <v>59</v>
      </c>
      <c r="AP3" s="7" t="s">
        <v>60</v>
      </c>
      <c r="AQ3" s="7" t="s">
        <v>66</v>
      </c>
      <c r="AR3" s="7" t="s">
        <v>62</v>
      </c>
      <c r="AS3" s="7" t="s">
        <v>63</v>
      </c>
      <c r="AT3" s="7" t="s">
        <v>62</v>
      </c>
      <c r="AU3" s="7"/>
      <c r="AV3" s="7"/>
    </row>
    <row r="4" spans="1:48">
      <c r="A4" s="7">
        <v>3</v>
      </c>
      <c r="B4" s="7">
        <v>2</v>
      </c>
      <c r="C4" s="7" t="s">
        <v>67</v>
      </c>
      <c r="D4" s="7" t="s">
        <v>68</v>
      </c>
      <c r="E4" s="7" t="s">
        <v>69</v>
      </c>
      <c r="F4" s="7" t="s">
        <v>70</v>
      </c>
      <c r="G4" s="7" t="s">
        <v>71</v>
      </c>
      <c r="H4" s="7" t="s">
        <v>291</v>
      </c>
      <c r="I4" s="7" t="s">
        <v>50</v>
      </c>
      <c r="J4" s="7" t="s">
        <v>72</v>
      </c>
      <c r="K4" s="7" t="s">
        <v>72</v>
      </c>
      <c r="L4" s="7" t="s">
        <v>73</v>
      </c>
      <c r="M4" s="7" t="s">
        <v>74</v>
      </c>
      <c r="N4" s="7" t="s">
        <v>75</v>
      </c>
      <c r="O4" s="7"/>
      <c r="P4" s="7"/>
      <c r="Q4" s="7"/>
      <c r="R4" s="7"/>
      <c r="S4" s="7"/>
      <c r="T4" s="7"/>
      <c r="U4" s="7" t="s">
        <v>76</v>
      </c>
      <c r="V4" s="7" t="s">
        <v>77</v>
      </c>
      <c r="W4" s="7"/>
      <c r="X4" s="7"/>
      <c r="Y4" s="7" t="s">
        <v>56</v>
      </c>
      <c r="Z4" s="7" t="s">
        <v>78</v>
      </c>
      <c r="AA4" s="7" t="s">
        <v>79</v>
      </c>
      <c r="AB4" s="7">
        <v>-0.13800000000000001</v>
      </c>
      <c r="AC4" s="7">
        <v>-0.13800000000000001</v>
      </c>
      <c r="AD4" s="7">
        <v>-0.13800000000000001</v>
      </c>
      <c r="AE4" s="7">
        <v>-0.13800000000000001</v>
      </c>
      <c r="AF4" s="7">
        <v>6.149E-3</v>
      </c>
      <c r="AG4" s="2">
        <v>6.149E-3</v>
      </c>
      <c r="AH4" s="7"/>
      <c r="AI4" s="7">
        <f>-0.2917 - 0.0157</f>
        <v>-0.30740000000000001</v>
      </c>
      <c r="AJ4" s="7"/>
      <c r="AK4" s="7">
        <v>6.149E-3</v>
      </c>
      <c r="AL4" s="2">
        <v>845</v>
      </c>
      <c r="AM4" s="12">
        <v>44404</v>
      </c>
      <c r="AN4" s="7"/>
      <c r="AO4" s="7" t="s">
        <v>59</v>
      </c>
      <c r="AP4" s="7" t="s">
        <v>80</v>
      </c>
      <c r="AQ4" s="7" t="s">
        <v>81</v>
      </c>
      <c r="AR4" s="7" t="s">
        <v>62</v>
      </c>
      <c r="AS4" s="7" t="s">
        <v>82</v>
      </c>
      <c r="AT4" s="7" t="s">
        <v>62</v>
      </c>
      <c r="AU4" s="7"/>
      <c r="AV4" s="7"/>
    </row>
    <row r="5" spans="1:48">
      <c r="A5" s="7">
        <v>4</v>
      </c>
      <c r="B5" s="7">
        <v>3</v>
      </c>
      <c r="C5" s="7" t="s">
        <v>83</v>
      </c>
      <c r="D5" s="7" t="s">
        <v>84</v>
      </c>
      <c r="E5" s="7" t="s">
        <v>85</v>
      </c>
      <c r="F5" s="7" t="s">
        <v>86</v>
      </c>
      <c r="G5" s="7" t="s">
        <v>87</v>
      </c>
      <c r="H5" s="7" t="s">
        <v>88</v>
      </c>
      <c r="I5" s="7" t="s">
        <v>50</v>
      </c>
      <c r="J5" s="7" t="s">
        <v>72</v>
      </c>
      <c r="K5" s="7" t="s">
        <v>72</v>
      </c>
      <c r="L5" s="7" t="s">
        <v>73</v>
      </c>
      <c r="M5" s="7" t="s">
        <v>89</v>
      </c>
      <c r="N5" s="7" t="s">
        <v>90</v>
      </c>
      <c r="O5" s="7">
        <v>0.54159999999999997</v>
      </c>
      <c r="P5" s="7">
        <v>493</v>
      </c>
      <c r="Q5" s="7">
        <v>0.47989999999999999</v>
      </c>
      <c r="R5" s="7">
        <v>848</v>
      </c>
      <c r="S5" s="7"/>
      <c r="T5" s="7"/>
      <c r="U5" s="3">
        <v>0.95</v>
      </c>
      <c r="V5" s="7" t="s">
        <v>91</v>
      </c>
      <c r="W5" s="7" t="s">
        <v>92</v>
      </c>
      <c r="X5" s="7" t="s">
        <v>93</v>
      </c>
      <c r="Y5" s="7" t="s">
        <v>94</v>
      </c>
      <c r="Z5" s="7" t="s">
        <v>95</v>
      </c>
      <c r="AA5" s="7" t="s">
        <v>79</v>
      </c>
      <c r="AB5" s="7" t="s">
        <v>79</v>
      </c>
      <c r="AC5" s="7">
        <v>-0.1361</v>
      </c>
      <c r="AD5" s="7">
        <v>-0.1361</v>
      </c>
      <c r="AE5" s="7">
        <v>-0.1361</v>
      </c>
      <c r="AF5" s="7">
        <v>3.9199999999999999E-3</v>
      </c>
      <c r="AG5" s="2">
        <v>3.9199999999999999E-3</v>
      </c>
      <c r="AH5" s="7"/>
      <c r="AI5" s="7">
        <f>-0.2589 - -0.0134</f>
        <v>-0.24550000000000002</v>
      </c>
      <c r="AJ5" s="7"/>
      <c r="AK5" s="7">
        <v>3.9199999999999999E-3</v>
      </c>
      <c r="AL5" s="7">
        <v>1341</v>
      </c>
      <c r="AM5" s="12">
        <v>44404</v>
      </c>
      <c r="AN5" s="7"/>
      <c r="AO5" s="7" t="s">
        <v>59</v>
      </c>
      <c r="AP5" s="7" t="s">
        <v>661</v>
      </c>
      <c r="AQ5" s="4" t="s">
        <v>662</v>
      </c>
      <c r="AR5" s="7" t="s">
        <v>62</v>
      </c>
      <c r="AS5" s="7" t="s">
        <v>96</v>
      </c>
      <c r="AT5" s="7" t="s">
        <v>62</v>
      </c>
      <c r="AU5" s="7"/>
      <c r="AV5" s="7"/>
    </row>
    <row r="6" spans="1:48">
      <c r="A6" s="7">
        <v>5</v>
      </c>
      <c r="B6" s="7">
        <v>4</v>
      </c>
      <c r="C6" s="7" t="s">
        <v>97</v>
      </c>
      <c r="D6" s="7" t="s">
        <v>98</v>
      </c>
      <c r="E6" s="7" t="s">
        <v>99</v>
      </c>
      <c r="F6" s="7" t="s">
        <v>100</v>
      </c>
      <c r="G6" s="7" t="s">
        <v>101</v>
      </c>
      <c r="H6" s="7" t="s">
        <v>291</v>
      </c>
      <c r="I6" s="7" t="s">
        <v>50</v>
      </c>
      <c r="J6" s="7" t="s">
        <v>72</v>
      </c>
      <c r="K6" s="7" t="s">
        <v>72</v>
      </c>
      <c r="L6" s="7" t="s">
        <v>52</v>
      </c>
      <c r="M6" s="7" t="s">
        <v>102</v>
      </c>
      <c r="N6" s="7" t="s">
        <v>75</v>
      </c>
      <c r="O6" s="7">
        <v>0.316</v>
      </c>
      <c r="P6" s="7">
        <v>3711</v>
      </c>
      <c r="Q6" s="7">
        <v>0.32300000000000001</v>
      </c>
      <c r="R6" s="2">
        <v>2248</v>
      </c>
      <c r="S6" s="7"/>
      <c r="T6" s="7"/>
      <c r="U6" s="7" t="s">
        <v>103</v>
      </c>
      <c r="V6" s="13" t="s">
        <v>104</v>
      </c>
      <c r="W6" s="7" t="s">
        <v>105</v>
      </c>
      <c r="X6" s="7" t="s">
        <v>106</v>
      </c>
      <c r="Y6" s="7" t="s">
        <v>56</v>
      </c>
      <c r="Z6" s="7" t="s">
        <v>107</v>
      </c>
      <c r="AA6" s="7" t="s">
        <v>79</v>
      </c>
      <c r="AB6" s="7" t="s">
        <v>79</v>
      </c>
      <c r="AC6" s="7">
        <v>1.7000000000000001E-2</v>
      </c>
      <c r="AD6" s="7">
        <v>1.7000000000000001E-2</v>
      </c>
      <c r="AE6" s="7">
        <v>1.7000000000000001E-2</v>
      </c>
      <c r="AF6" s="7">
        <v>9.9799999999999997E-4</v>
      </c>
      <c r="AG6" s="2">
        <v>9.9799999999999997E-4</v>
      </c>
      <c r="AH6" s="7"/>
      <c r="AI6" s="7">
        <f>-0.0449 - 0.0789</f>
        <v>-0.12379999999999999</v>
      </c>
      <c r="AJ6" s="7"/>
      <c r="AK6" s="7">
        <v>9.9799999999999997E-4</v>
      </c>
      <c r="AL6" s="7">
        <v>5959</v>
      </c>
      <c r="AM6" s="12">
        <v>44404</v>
      </c>
      <c r="AN6" s="7"/>
      <c r="AO6" s="7" t="s">
        <v>59</v>
      </c>
      <c r="AP6" s="7" t="s">
        <v>108</v>
      </c>
      <c r="AQ6" s="7" t="s">
        <v>109</v>
      </c>
      <c r="AR6" s="7" t="s">
        <v>62</v>
      </c>
      <c r="AS6" s="7" t="s">
        <v>663</v>
      </c>
      <c r="AT6" s="7" t="s">
        <v>62</v>
      </c>
      <c r="AU6" s="7"/>
      <c r="AV6" s="7"/>
    </row>
    <row r="7" spans="1:48">
      <c r="A7" s="7">
        <v>6</v>
      </c>
      <c r="B7" s="7">
        <v>4</v>
      </c>
      <c r="C7" s="7" t="s">
        <v>97</v>
      </c>
      <c r="D7" s="7" t="s">
        <v>98</v>
      </c>
      <c r="E7" s="7" t="s">
        <v>99</v>
      </c>
      <c r="F7" s="7" t="s">
        <v>100</v>
      </c>
      <c r="G7" s="7" t="s">
        <v>101</v>
      </c>
      <c r="H7" s="7" t="s">
        <v>291</v>
      </c>
      <c r="I7" s="7" t="s">
        <v>50</v>
      </c>
      <c r="J7" s="7" t="s">
        <v>72</v>
      </c>
      <c r="K7" s="7" t="s">
        <v>72</v>
      </c>
      <c r="L7" s="7" t="s">
        <v>64</v>
      </c>
      <c r="M7" s="7" t="s">
        <v>102</v>
      </c>
      <c r="N7" s="7" t="s">
        <v>75</v>
      </c>
      <c r="O7" s="7">
        <v>0.193</v>
      </c>
      <c r="P7" s="7">
        <v>3711</v>
      </c>
      <c r="Q7" s="7">
        <v>0.20699999999999999</v>
      </c>
      <c r="R7" s="2">
        <v>2248</v>
      </c>
      <c r="S7" s="7"/>
      <c r="T7" s="7"/>
      <c r="U7" s="7" t="s">
        <v>103</v>
      </c>
      <c r="V7" s="13" t="s">
        <v>104</v>
      </c>
      <c r="W7" s="7" t="s">
        <v>105</v>
      </c>
      <c r="X7" s="7" t="s">
        <v>110</v>
      </c>
      <c r="Y7" s="7" t="s">
        <v>56</v>
      </c>
      <c r="Z7" s="7" t="s">
        <v>111</v>
      </c>
      <c r="AA7" s="7" t="s">
        <v>79</v>
      </c>
      <c r="AB7" s="7" t="s">
        <v>79</v>
      </c>
      <c r="AC7" s="7">
        <v>4.7E-2</v>
      </c>
      <c r="AD7" s="7">
        <v>4.7E-2</v>
      </c>
      <c r="AE7" s="7">
        <v>4.7E-2</v>
      </c>
      <c r="AF7" s="7">
        <v>1.3500000000000001E-3</v>
      </c>
      <c r="AG7" s="2">
        <v>1.3500000000000001E-3</v>
      </c>
      <c r="AH7" s="7"/>
      <c r="AI7" s="7">
        <f>-0.025 - 0.119</f>
        <v>-0.14399999999999999</v>
      </c>
      <c r="AJ7" s="7"/>
      <c r="AK7" s="7">
        <v>1.3500000000000001E-3</v>
      </c>
      <c r="AL7" s="7">
        <v>5959</v>
      </c>
      <c r="AM7" s="12">
        <v>44404</v>
      </c>
      <c r="AN7" s="7"/>
      <c r="AO7" s="7" t="s">
        <v>59</v>
      </c>
      <c r="AP7" s="7" t="s">
        <v>108</v>
      </c>
      <c r="AQ7" s="7" t="s">
        <v>109</v>
      </c>
      <c r="AR7" s="7" t="s">
        <v>62</v>
      </c>
      <c r="AS7" s="7" t="s">
        <v>663</v>
      </c>
      <c r="AT7" s="7" t="s">
        <v>62</v>
      </c>
      <c r="AU7" s="7"/>
      <c r="AV7" s="7"/>
    </row>
    <row r="8" spans="1:48">
      <c r="A8" s="7">
        <v>7</v>
      </c>
      <c r="B8" s="7">
        <v>5</v>
      </c>
      <c r="C8" s="7" t="s">
        <v>112</v>
      </c>
      <c r="D8" s="7" t="s">
        <v>113</v>
      </c>
      <c r="E8" s="7" t="s">
        <v>114</v>
      </c>
      <c r="F8" s="7" t="s">
        <v>115</v>
      </c>
      <c r="G8" s="7" t="s">
        <v>116</v>
      </c>
      <c r="H8" s="7" t="s">
        <v>410</v>
      </c>
      <c r="I8" s="2" t="s">
        <v>117</v>
      </c>
      <c r="J8" s="2" t="s">
        <v>72</v>
      </c>
      <c r="K8" s="2" t="s">
        <v>72</v>
      </c>
      <c r="L8" s="2" t="s">
        <v>52</v>
      </c>
      <c r="M8" s="7" t="s">
        <v>118</v>
      </c>
      <c r="N8" s="7" t="s">
        <v>119</v>
      </c>
      <c r="O8" s="7"/>
      <c r="P8" s="7"/>
      <c r="Q8" s="7"/>
      <c r="R8" s="7"/>
      <c r="S8" s="7"/>
      <c r="T8" s="7"/>
      <c r="U8" s="11">
        <v>1</v>
      </c>
      <c r="V8" s="7" t="s">
        <v>120</v>
      </c>
      <c r="W8" s="7"/>
      <c r="X8" s="7"/>
      <c r="Y8" s="7" t="s">
        <v>94</v>
      </c>
      <c r="Z8" s="7" t="s">
        <v>121</v>
      </c>
      <c r="AA8" s="7" t="s">
        <v>79</v>
      </c>
      <c r="AB8" s="7" t="s">
        <v>79</v>
      </c>
      <c r="AC8" s="7">
        <v>-0.16550000000000001</v>
      </c>
      <c r="AD8" s="7"/>
      <c r="AE8" s="7">
        <v>-0.16550000000000001</v>
      </c>
      <c r="AF8" s="7"/>
      <c r="AG8" s="2">
        <v>1.396E-2</v>
      </c>
      <c r="AH8" s="7"/>
      <c r="AI8" s="7">
        <f>-0.397 - 0.0661</f>
        <v>-0.46310000000000001</v>
      </c>
      <c r="AJ8" s="7"/>
      <c r="AK8" s="2">
        <v>1.396E-2</v>
      </c>
      <c r="AL8" s="7">
        <v>280</v>
      </c>
      <c r="AM8" s="12">
        <v>44404</v>
      </c>
      <c r="AN8" s="7"/>
      <c r="AO8" s="7" t="s">
        <v>59</v>
      </c>
      <c r="AP8" s="7" t="s">
        <v>664</v>
      </c>
      <c r="AQ8" s="7" t="s">
        <v>665</v>
      </c>
      <c r="AR8" s="7" t="s">
        <v>122</v>
      </c>
      <c r="AS8" s="7" t="s">
        <v>62</v>
      </c>
      <c r="AT8" s="7" t="s">
        <v>62</v>
      </c>
      <c r="AU8" s="7"/>
      <c r="AV8" s="7"/>
    </row>
    <row r="9" spans="1:48">
      <c r="A9" s="7">
        <v>8</v>
      </c>
      <c r="B9" s="2">
        <v>5</v>
      </c>
      <c r="C9" s="2" t="s">
        <v>112</v>
      </c>
      <c r="D9" s="2" t="s">
        <v>113</v>
      </c>
      <c r="E9" s="2" t="s">
        <v>114</v>
      </c>
      <c r="F9" s="2" t="s">
        <v>115</v>
      </c>
      <c r="G9" s="2" t="s">
        <v>116</v>
      </c>
      <c r="H9" s="7" t="s">
        <v>410</v>
      </c>
      <c r="I9" s="2" t="s">
        <v>117</v>
      </c>
      <c r="J9" s="2" t="s">
        <v>72</v>
      </c>
      <c r="K9" s="2" t="s">
        <v>72</v>
      </c>
      <c r="L9" s="2" t="s">
        <v>64</v>
      </c>
      <c r="M9" s="2" t="s">
        <v>118</v>
      </c>
      <c r="N9" s="2" t="s">
        <v>119</v>
      </c>
      <c r="O9" s="2"/>
      <c r="P9" s="2"/>
      <c r="Q9" s="2"/>
      <c r="R9" s="2"/>
      <c r="S9" s="7"/>
      <c r="T9" s="7"/>
      <c r="U9" s="11">
        <v>1</v>
      </c>
      <c r="V9" s="2" t="s">
        <v>120</v>
      </c>
      <c r="W9" s="2"/>
      <c r="X9" s="2"/>
      <c r="Y9" s="7" t="s">
        <v>94</v>
      </c>
      <c r="Z9" s="7" t="s">
        <v>123</v>
      </c>
      <c r="AA9" s="7" t="s">
        <v>79</v>
      </c>
      <c r="AB9" s="7" t="s">
        <v>79</v>
      </c>
      <c r="AC9" s="2">
        <v>-0.1966</v>
      </c>
      <c r="AD9" s="2"/>
      <c r="AE9" s="2">
        <v>-0.1966</v>
      </c>
      <c r="AF9" s="7"/>
      <c r="AG9" s="2">
        <v>1.6376000000000002E-2</v>
      </c>
      <c r="AH9" s="7"/>
      <c r="AI9" s="7">
        <f>-0.4475 - 0.0542</f>
        <v>-0.50170000000000003</v>
      </c>
      <c r="AJ9" s="7"/>
      <c r="AK9" s="7">
        <v>1.6376000000000002E-2</v>
      </c>
      <c r="AL9" s="7">
        <v>280</v>
      </c>
      <c r="AM9" s="12">
        <v>44404</v>
      </c>
      <c r="AN9" s="7"/>
      <c r="AO9" s="2" t="s">
        <v>59</v>
      </c>
      <c r="AP9" s="7"/>
      <c r="AQ9" s="7" t="s">
        <v>665</v>
      </c>
      <c r="AR9" s="7" t="s">
        <v>122</v>
      </c>
      <c r="AS9" s="2" t="s">
        <v>62</v>
      </c>
      <c r="AT9" s="2" t="s">
        <v>62</v>
      </c>
      <c r="AU9" s="7"/>
      <c r="AV9" s="7"/>
    </row>
    <row r="10" spans="1:48">
      <c r="A10" s="7">
        <v>9</v>
      </c>
      <c r="B10" s="2">
        <v>5</v>
      </c>
      <c r="C10" s="2" t="s">
        <v>112</v>
      </c>
      <c r="D10" s="2" t="s">
        <v>113</v>
      </c>
      <c r="E10" s="2" t="s">
        <v>114</v>
      </c>
      <c r="F10" s="2" t="s">
        <v>115</v>
      </c>
      <c r="G10" s="2" t="s">
        <v>116</v>
      </c>
      <c r="H10" s="7" t="s">
        <v>410</v>
      </c>
      <c r="I10" s="2" t="s">
        <v>117</v>
      </c>
      <c r="J10" s="2" t="s">
        <v>72</v>
      </c>
      <c r="K10" s="2" t="s">
        <v>72</v>
      </c>
      <c r="L10" s="2" t="s">
        <v>124</v>
      </c>
      <c r="M10" s="2" t="s">
        <v>118</v>
      </c>
      <c r="N10" s="2" t="s">
        <v>119</v>
      </c>
      <c r="O10" s="2"/>
      <c r="P10" s="2"/>
      <c r="Q10" s="2"/>
      <c r="R10" s="7"/>
      <c r="S10" s="2"/>
      <c r="T10" s="7"/>
      <c r="U10" s="11">
        <v>1</v>
      </c>
      <c r="V10" s="2" t="s">
        <v>120</v>
      </c>
      <c r="W10" s="2"/>
      <c r="X10" s="2"/>
      <c r="Y10" s="7" t="s">
        <v>94</v>
      </c>
      <c r="Z10" s="7" t="s">
        <v>125</v>
      </c>
      <c r="AA10" s="7" t="s">
        <v>79</v>
      </c>
      <c r="AB10" s="7" t="s">
        <v>79</v>
      </c>
      <c r="AC10" s="2">
        <v>-0.16550000000000001</v>
      </c>
      <c r="AD10" s="2"/>
      <c r="AE10" s="2">
        <v>-0.16550000000000001</v>
      </c>
      <c r="AF10" s="7"/>
      <c r="AG10" s="2">
        <v>1.1690000000000001E-2</v>
      </c>
      <c r="AH10" s="7"/>
      <c r="AI10" s="7">
        <f>-0.3774 - 0.0465</f>
        <v>-0.4239</v>
      </c>
      <c r="AJ10" s="7"/>
      <c r="AK10" s="7">
        <v>1.1690000000000001E-2</v>
      </c>
      <c r="AL10" s="7">
        <v>280</v>
      </c>
      <c r="AM10" s="12">
        <v>44404</v>
      </c>
      <c r="AN10" s="7"/>
      <c r="AO10" s="2" t="s">
        <v>59</v>
      </c>
      <c r="AP10" s="7"/>
      <c r="AQ10" s="7" t="s">
        <v>665</v>
      </c>
      <c r="AR10" s="7" t="s">
        <v>122</v>
      </c>
      <c r="AS10" s="2" t="s">
        <v>62</v>
      </c>
      <c r="AT10" s="2" t="s">
        <v>62</v>
      </c>
      <c r="AU10" s="7"/>
      <c r="AV10" s="7"/>
    </row>
    <row r="11" spans="1:48" ht="409.6">
      <c r="A11" s="7">
        <v>10</v>
      </c>
      <c r="B11" s="7">
        <v>6</v>
      </c>
      <c r="C11" s="7" t="s">
        <v>126</v>
      </c>
      <c r="D11" s="7" t="s">
        <v>127</v>
      </c>
      <c r="E11" s="7" t="s">
        <v>128</v>
      </c>
      <c r="F11" s="7" t="s">
        <v>129</v>
      </c>
      <c r="G11" s="2" t="s">
        <v>258</v>
      </c>
      <c r="H11" s="2" t="s">
        <v>150</v>
      </c>
      <c r="I11" s="7" t="s">
        <v>50</v>
      </c>
      <c r="J11" s="7" t="s">
        <v>72</v>
      </c>
      <c r="K11" s="7" t="s">
        <v>130</v>
      </c>
      <c r="L11" s="7" t="s">
        <v>702</v>
      </c>
      <c r="M11" s="7" t="s">
        <v>53</v>
      </c>
      <c r="N11" s="7" t="s">
        <v>131</v>
      </c>
      <c r="O11" s="7">
        <v>0.372</v>
      </c>
      <c r="P11" s="7">
        <v>18047</v>
      </c>
      <c r="Q11" s="7">
        <v>0.38100000000000001</v>
      </c>
      <c r="R11" s="2">
        <v>24755</v>
      </c>
      <c r="S11" s="7"/>
      <c r="T11" s="7"/>
      <c r="U11" s="7" t="s">
        <v>103</v>
      </c>
      <c r="V11" s="7" t="s">
        <v>132</v>
      </c>
      <c r="W11" s="7"/>
      <c r="X11" s="7"/>
      <c r="Y11" s="7" t="s">
        <v>94</v>
      </c>
      <c r="Z11" s="7" t="s">
        <v>133</v>
      </c>
      <c r="AA11" s="7" t="s">
        <v>79</v>
      </c>
      <c r="AB11" s="2" t="s">
        <v>58</v>
      </c>
      <c r="AC11" s="7">
        <v>2.1100000000000001E-2</v>
      </c>
      <c r="AD11" s="7">
        <v>-1.95E-2</v>
      </c>
      <c r="AE11" s="7">
        <v>-1.95E-2</v>
      </c>
      <c r="AF11" s="7">
        <v>1.0900000000000001E-4</v>
      </c>
      <c r="AG11" s="2">
        <v>1.0900000000000001E-4</v>
      </c>
      <c r="AH11" s="7"/>
      <c r="AI11" s="7">
        <f>-0.0399 - 0.0009</f>
        <v>-4.0799999999999996E-2</v>
      </c>
      <c r="AJ11" s="7"/>
      <c r="AK11" s="7">
        <v>1.0900000000000001E-4</v>
      </c>
      <c r="AL11" s="2">
        <v>67337</v>
      </c>
      <c r="AM11" s="12">
        <v>44404</v>
      </c>
      <c r="AN11" s="7"/>
      <c r="AO11" s="7" t="s">
        <v>59</v>
      </c>
      <c r="AP11" s="7" t="s">
        <v>134</v>
      </c>
      <c r="AQ11" s="14" t="s">
        <v>666</v>
      </c>
      <c r="AR11" s="7" t="s">
        <v>62</v>
      </c>
      <c r="AS11" s="7" t="s">
        <v>62</v>
      </c>
      <c r="AT11" s="7" t="s">
        <v>62</v>
      </c>
      <c r="AU11" s="7"/>
      <c r="AV11" s="7"/>
    </row>
    <row r="12" spans="1:48">
      <c r="A12" s="7">
        <v>11</v>
      </c>
      <c r="B12" s="7">
        <v>6</v>
      </c>
      <c r="C12" s="7" t="s">
        <v>126</v>
      </c>
      <c r="D12" s="7" t="s">
        <v>127</v>
      </c>
      <c r="E12" s="7" t="s">
        <v>128</v>
      </c>
      <c r="F12" s="7" t="s">
        <v>129</v>
      </c>
      <c r="G12" s="2" t="s">
        <v>258</v>
      </c>
      <c r="H12" s="2" t="s">
        <v>150</v>
      </c>
      <c r="I12" s="7" t="s">
        <v>50</v>
      </c>
      <c r="J12" s="7" t="s">
        <v>72</v>
      </c>
      <c r="K12" s="7" t="s">
        <v>130</v>
      </c>
      <c r="L12" s="7" t="s">
        <v>135</v>
      </c>
      <c r="M12" s="7" t="s">
        <v>53</v>
      </c>
      <c r="N12" s="7" t="s">
        <v>131</v>
      </c>
      <c r="O12" s="7">
        <v>0.218</v>
      </c>
      <c r="P12" s="7">
        <v>78</v>
      </c>
      <c r="Q12" s="7">
        <v>0.215</v>
      </c>
      <c r="R12" s="2">
        <v>107</v>
      </c>
      <c r="S12" s="7"/>
      <c r="T12" s="7"/>
      <c r="U12" s="7" t="s">
        <v>103</v>
      </c>
      <c r="V12" s="7" t="s">
        <v>132</v>
      </c>
      <c r="W12" s="7"/>
      <c r="X12" s="7"/>
      <c r="Y12" s="7" t="s">
        <v>94</v>
      </c>
      <c r="Z12" s="7" t="s">
        <v>136</v>
      </c>
      <c r="AA12" s="7" t="s">
        <v>79</v>
      </c>
      <c r="AB12" s="2" t="s">
        <v>58</v>
      </c>
      <c r="AC12" s="7">
        <v>-9.7999999999999997E-3</v>
      </c>
      <c r="AD12" s="7">
        <v>-3.0499999999999999E-2</v>
      </c>
      <c r="AE12" s="7">
        <v>-3.0499999999999999E-2</v>
      </c>
      <c r="AF12" s="7">
        <v>3.6540000000000001E-3</v>
      </c>
      <c r="AG12" s="2">
        <v>3.6570000000000001E-3</v>
      </c>
      <c r="AH12" s="7"/>
      <c r="AI12" s="7">
        <f>-0.149 - 0.0881</f>
        <v>-0.23709999999999998</v>
      </c>
      <c r="AJ12" s="7"/>
      <c r="AK12" s="7">
        <v>3.6570000000000001E-3</v>
      </c>
      <c r="AL12" s="2">
        <v>2831</v>
      </c>
      <c r="AM12" s="12">
        <v>44404</v>
      </c>
      <c r="AN12" s="7"/>
      <c r="AO12" s="7" t="s">
        <v>59</v>
      </c>
      <c r="AP12" s="7" t="s">
        <v>134</v>
      </c>
      <c r="AQ12" s="7" t="s">
        <v>66</v>
      </c>
      <c r="AR12" s="7" t="s">
        <v>62</v>
      </c>
      <c r="AS12" s="7" t="s">
        <v>62</v>
      </c>
      <c r="AT12" s="7" t="s">
        <v>62</v>
      </c>
      <c r="AU12" s="7"/>
      <c r="AV12" s="7"/>
    </row>
    <row r="13" spans="1:48">
      <c r="A13" s="7">
        <v>12</v>
      </c>
      <c r="B13" s="7">
        <v>6</v>
      </c>
      <c r="C13" s="7" t="s">
        <v>126</v>
      </c>
      <c r="D13" s="7" t="s">
        <v>127</v>
      </c>
      <c r="E13" s="7" t="s">
        <v>128</v>
      </c>
      <c r="F13" s="7" t="s">
        <v>129</v>
      </c>
      <c r="G13" s="2" t="s">
        <v>258</v>
      </c>
      <c r="H13" s="2" t="s">
        <v>150</v>
      </c>
      <c r="I13" s="7" t="s">
        <v>50</v>
      </c>
      <c r="J13" s="7" t="s">
        <v>72</v>
      </c>
      <c r="K13" s="7" t="s">
        <v>130</v>
      </c>
      <c r="L13" s="7" t="s">
        <v>52</v>
      </c>
      <c r="M13" s="7" t="s">
        <v>53</v>
      </c>
      <c r="N13" s="7" t="s">
        <v>131</v>
      </c>
      <c r="O13" s="7">
        <v>0.38800000000000001</v>
      </c>
      <c r="P13" s="7">
        <v>245</v>
      </c>
      <c r="Q13" s="7">
        <v>0.42099999999999999</v>
      </c>
      <c r="R13" s="2">
        <v>309</v>
      </c>
      <c r="S13" s="7"/>
      <c r="T13" s="7"/>
      <c r="U13" s="7" t="s">
        <v>103</v>
      </c>
      <c r="V13" s="7" t="s">
        <v>132</v>
      </c>
      <c r="W13" s="7"/>
      <c r="X13" s="7"/>
      <c r="Y13" s="7" t="s">
        <v>94</v>
      </c>
      <c r="Z13" s="7" t="s">
        <v>137</v>
      </c>
      <c r="AA13" s="7" t="s">
        <v>79</v>
      </c>
      <c r="AB13" s="2" t="s">
        <v>58</v>
      </c>
      <c r="AC13" s="7">
        <v>7.5600000000000001E-2</v>
      </c>
      <c r="AD13" s="7">
        <v>4.3499999999999997E-2</v>
      </c>
      <c r="AE13" s="7">
        <v>4.3499999999999997E-2</v>
      </c>
      <c r="AF13" s="7">
        <v>4.8700000000000002E-4</v>
      </c>
      <c r="AG13" s="2">
        <v>4.8700000000000002E-4</v>
      </c>
      <c r="AH13" s="7"/>
      <c r="AI13" s="7" t="s">
        <v>138</v>
      </c>
      <c r="AJ13" s="7"/>
      <c r="AK13" s="7">
        <v>4.8700000000000002E-4</v>
      </c>
      <c r="AL13" s="2">
        <v>14792</v>
      </c>
      <c r="AM13" s="12">
        <v>44404</v>
      </c>
      <c r="AN13" s="7"/>
      <c r="AO13" s="7" t="s">
        <v>59</v>
      </c>
      <c r="AP13" s="7" t="s">
        <v>134</v>
      </c>
      <c r="AQ13" s="7" t="s">
        <v>66</v>
      </c>
      <c r="AR13" s="7" t="s">
        <v>62</v>
      </c>
      <c r="AS13" s="7" t="s">
        <v>62</v>
      </c>
      <c r="AT13" s="7" t="s">
        <v>62</v>
      </c>
      <c r="AU13" s="7"/>
      <c r="AV13" s="7"/>
    </row>
    <row r="14" spans="1:48">
      <c r="A14" s="7">
        <v>13</v>
      </c>
      <c r="B14" s="7">
        <v>6</v>
      </c>
      <c r="C14" s="7" t="s">
        <v>126</v>
      </c>
      <c r="D14" s="7" t="s">
        <v>127</v>
      </c>
      <c r="E14" s="7" t="s">
        <v>128</v>
      </c>
      <c r="F14" s="7" t="s">
        <v>129</v>
      </c>
      <c r="G14" s="2" t="s">
        <v>258</v>
      </c>
      <c r="H14" s="2" t="s">
        <v>150</v>
      </c>
      <c r="I14" s="7" t="s">
        <v>50</v>
      </c>
      <c r="J14" s="7" t="s">
        <v>72</v>
      </c>
      <c r="K14" s="7" t="s">
        <v>130</v>
      </c>
      <c r="L14" s="7" t="s">
        <v>124</v>
      </c>
      <c r="M14" s="7" t="s">
        <v>53</v>
      </c>
      <c r="N14" s="7" t="s">
        <v>131</v>
      </c>
      <c r="O14" s="7">
        <v>0.39800000000000002</v>
      </c>
      <c r="P14" s="7">
        <v>13033</v>
      </c>
      <c r="Q14" s="7">
        <v>0.39700000000000002</v>
      </c>
      <c r="R14" s="2">
        <v>18445</v>
      </c>
      <c r="S14" s="7"/>
      <c r="T14" s="7"/>
      <c r="U14" s="7" t="s">
        <v>103</v>
      </c>
      <c r="V14" s="7" t="s">
        <v>132</v>
      </c>
      <c r="W14" s="7"/>
      <c r="X14" s="7"/>
      <c r="Y14" s="7" t="s">
        <v>94</v>
      </c>
      <c r="Z14" s="7" t="s">
        <v>139</v>
      </c>
      <c r="AA14" s="7" t="s">
        <v>79</v>
      </c>
      <c r="AB14" s="2" t="s">
        <v>58</v>
      </c>
      <c r="AC14" s="7">
        <v>-3.7199999999999997E-2</v>
      </c>
      <c r="AD14" s="7">
        <v>-1.2500000000000001E-2</v>
      </c>
      <c r="AE14" s="7">
        <v>-1.2500000000000001E-2</v>
      </c>
      <c r="AF14" s="7">
        <v>1.92E-4</v>
      </c>
      <c r="AG14" s="2">
        <v>1.92E-4</v>
      </c>
      <c r="AH14" s="7"/>
      <c r="AI14" s="7">
        <f>-0.0396 -0.0147</f>
        <v>-5.4300000000000001E-2</v>
      </c>
      <c r="AJ14" s="7"/>
      <c r="AK14" s="7">
        <v>1.92E-4</v>
      </c>
      <c r="AL14" s="2">
        <v>35043</v>
      </c>
      <c r="AM14" s="12">
        <v>44404</v>
      </c>
      <c r="AN14" s="7"/>
      <c r="AO14" s="7" t="s">
        <v>59</v>
      </c>
      <c r="AP14" s="7" t="s">
        <v>134</v>
      </c>
      <c r="AQ14" s="7" t="s">
        <v>66</v>
      </c>
      <c r="AR14" s="7" t="s">
        <v>62</v>
      </c>
      <c r="AS14" s="7" t="s">
        <v>62</v>
      </c>
      <c r="AT14" s="7" t="s">
        <v>62</v>
      </c>
      <c r="AU14" s="7"/>
      <c r="AV14" s="7"/>
    </row>
    <row r="15" spans="1:48">
      <c r="A15" s="7">
        <v>14</v>
      </c>
      <c r="B15" s="7">
        <v>6</v>
      </c>
      <c r="C15" s="7" t="s">
        <v>126</v>
      </c>
      <c r="D15" s="7" t="s">
        <v>127</v>
      </c>
      <c r="E15" s="7" t="s">
        <v>128</v>
      </c>
      <c r="F15" s="7" t="s">
        <v>129</v>
      </c>
      <c r="G15" s="2" t="s">
        <v>258</v>
      </c>
      <c r="H15" s="2" t="s">
        <v>150</v>
      </c>
      <c r="I15" s="7" t="s">
        <v>50</v>
      </c>
      <c r="J15" s="7" t="s">
        <v>72</v>
      </c>
      <c r="K15" s="7" t="s">
        <v>130</v>
      </c>
      <c r="L15" s="7" t="s">
        <v>64</v>
      </c>
      <c r="M15" s="7" t="s">
        <v>53</v>
      </c>
      <c r="N15" s="7" t="s">
        <v>131</v>
      </c>
      <c r="O15" s="7">
        <v>0.26700000000000002</v>
      </c>
      <c r="P15" s="7">
        <v>2515</v>
      </c>
      <c r="Q15" s="7">
        <v>0.254</v>
      </c>
      <c r="R15" s="2">
        <v>3156</v>
      </c>
      <c r="S15" s="7"/>
      <c r="T15" s="7"/>
      <c r="U15" s="7" t="s">
        <v>103</v>
      </c>
      <c r="V15" s="7" t="s">
        <v>132</v>
      </c>
      <c r="W15" s="7"/>
      <c r="X15" s="7"/>
      <c r="Y15" s="7" t="s">
        <v>94</v>
      </c>
      <c r="Z15" s="7" t="s">
        <v>140</v>
      </c>
      <c r="AA15" s="7" t="s">
        <v>79</v>
      </c>
      <c r="AB15" s="2" t="s">
        <v>58</v>
      </c>
      <c r="AC15" s="7">
        <v>-1.9900000000000001E-2</v>
      </c>
      <c r="AD15" s="7">
        <v>-5.2200000000000003E-2</v>
      </c>
      <c r="AE15" s="7">
        <v>-5.2200000000000003E-2</v>
      </c>
      <c r="AF15" s="7">
        <v>5.53E-4</v>
      </c>
      <c r="AG15" s="2">
        <v>5.53E-4</v>
      </c>
      <c r="AH15" s="7"/>
      <c r="AI15" s="7">
        <f>-0.0983 - -0.0062</f>
        <v>-9.2100000000000001E-2</v>
      </c>
      <c r="AJ15" s="7"/>
      <c r="AK15" s="7">
        <v>5.53E-4</v>
      </c>
      <c r="AL15" s="2">
        <v>15132</v>
      </c>
      <c r="AM15" s="12">
        <v>44404</v>
      </c>
      <c r="AN15" s="7"/>
      <c r="AO15" s="7" t="s">
        <v>59</v>
      </c>
      <c r="AP15" s="7" t="s">
        <v>134</v>
      </c>
      <c r="AQ15" s="7" t="s">
        <v>66</v>
      </c>
      <c r="AR15" s="7" t="s">
        <v>62</v>
      </c>
      <c r="AS15" s="7" t="s">
        <v>62</v>
      </c>
      <c r="AT15" s="7" t="s">
        <v>62</v>
      </c>
      <c r="AU15" s="7"/>
      <c r="AV15" s="7"/>
    </row>
    <row r="16" spans="1:48">
      <c r="A16" s="7">
        <v>15</v>
      </c>
      <c r="B16" s="7">
        <v>6</v>
      </c>
      <c r="C16" s="7" t="s">
        <v>126</v>
      </c>
      <c r="D16" s="7" t="s">
        <v>127</v>
      </c>
      <c r="E16" s="7" t="s">
        <v>128</v>
      </c>
      <c r="F16" s="7" t="s">
        <v>129</v>
      </c>
      <c r="G16" s="2" t="s">
        <v>141</v>
      </c>
      <c r="H16" s="7" t="s">
        <v>410</v>
      </c>
      <c r="I16" s="7" t="s">
        <v>50</v>
      </c>
      <c r="J16" s="7" t="s">
        <v>72</v>
      </c>
      <c r="K16" s="7" t="s">
        <v>130</v>
      </c>
      <c r="L16" s="7" t="s">
        <v>702</v>
      </c>
      <c r="M16" s="7" t="s">
        <v>53</v>
      </c>
      <c r="N16" s="7" t="s">
        <v>131</v>
      </c>
      <c r="O16" s="7">
        <v>0.21299999999999999</v>
      </c>
      <c r="P16" s="7">
        <v>32561</v>
      </c>
      <c r="Q16" s="7">
        <v>0.20699999999999999</v>
      </c>
      <c r="R16" s="2">
        <v>34390</v>
      </c>
      <c r="S16" s="7"/>
      <c r="T16" s="7"/>
      <c r="U16" s="7" t="s">
        <v>103</v>
      </c>
      <c r="V16" s="7" t="s">
        <v>132</v>
      </c>
      <c r="W16" s="7"/>
      <c r="X16" s="7"/>
      <c r="Y16" s="7" t="s">
        <v>94</v>
      </c>
      <c r="Z16" s="7" t="s">
        <v>142</v>
      </c>
      <c r="AA16" s="7" t="s">
        <v>79</v>
      </c>
      <c r="AB16" s="2" t="s">
        <v>58</v>
      </c>
      <c r="AC16" s="7">
        <v>-2.3E-3</v>
      </c>
      <c r="AD16" s="7">
        <v>-1.18E-2</v>
      </c>
      <c r="AE16" s="7">
        <v>-1.18E-2</v>
      </c>
      <c r="AF16" s="7">
        <v>1.22E-4</v>
      </c>
      <c r="AG16" s="2">
        <v>1.22E-4</v>
      </c>
      <c r="AH16" s="7"/>
      <c r="AI16" s="7">
        <f>-0.0334 - 0.0099</f>
        <v>-4.3299999999999998E-2</v>
      </c>
      <c r="AJ16" s="7"/>
      <c r="AK16" s="7">
        <v>1.22E-4</v>
      </c>
      <c r="AL16" s="2">
        <v>43116</v>
      </c>
      <c r="AM16" s="12">
        <v>44404</v>
      </c>
      <c r="AN16" s="7"/>
      <c r="AO16" s="7" t="s">
        <v>59</v>
      </c>
      <c r="AP16" s="7" t="s">
        <v>134</v>
      </c>
      <c r="AQ16" s="7" t="s">
        <v>66</v>
      </c>
      <c r="AR16" s="7" t="s">
        <v>62</v>
      </c>
      <c r="AS16" s="7" t="s">
        <v>62</v>
      </c>
      <c r="AT16" s="7" t="s">
        <v>62</v>
      </c>
      <c r="AU16" s="7"/>
      <c r="AV16" s="7"/>
    </row>
    <row r="17" spans="1:48">
      <c r="A17" s="7">
        <v>16</v>
      </c>
      <c r="B17" s="7">
        <v>6</v>
      </c>
      <c r="C17" s="7" t="s">
        <v>126</v>
      </c>
      <c r="D17" s="7" t="s">
        <v>127</v>
      </c>
      <c r="E17" s="7" t="s">
        <v>128</v>
      </c>
      <c r="F17" s="7" t="s">
        <v>129</v>
      </c>
      <c r="G17" s="2" t="s">
        <v>141</v>
      </c>
      <c r="H17" s="7" t="s">
        <v>410</v>
      </c>
      <c r="I17" s="7" t="s">
        <v>50</v>
      </c>
      <c r="J17" s="7" t="s">
        <v>72</v>
      </c>
      <c r="K17" s="7" t="s">
        <v>130</v>
      </c>
      <c r="L17" s="7" t="s">
        <v>135</v>
      </c>
      <c r="M17" s="7" t="s">
        <v>53</v>
      </c>
      <c r="N17" s="7" t="s">
        <v>131</v>
      </c>
      <c r="O17" s="7">
        <v>0.14000000000000001</v>
      </c>
      <c r="P17" s="7">
        <v>1352</v>
      </c>
      <c r="Q17" s="7">
        <v>0.13400000000000001</v>
      </c>
      <c r="R17" s="2">
        <v>1474</v>
      </c>
      <c r="S17" s="7"/>
      <c r="T17" s="7"/>
      <c r="U17" s="7" t="s">
        <v>103</v>
      </c>
      <c r="V17" s="7" t="s">
        <v>132</v>
      </c>
      <c r="W17" s="7"/>
      <c r="X17" s="7"/>
      <c r="Y17" s="7" t="s">
        <v>94</v>
      </c>
      <c r="Z17" s="7" t="s">
        <v>143</v>
      </c>
      <c r="AA17" s="7" t="s">
        <v>79</v>
      </c>
      <c r="AB17" s="2" t="s">
        <v>58</v>
      </c>
      <c r="AC17" s="7">
        <v>-2.8000000000000001E-2</v>
      </c>
      <c r="AD17" s="7">
        <v>-7.3000000000000001E-3</v>
      </c>
      <c r="AE17" s="7">
        <v>-7.3000000000000001E-3</v>
      </c>
      <c r="AF17" s="7">
        <v>3.9579999999999997E-2</v>
      </c>
      <c r="AG17" s="2">
        <v>3.9574999999999999E-2</v>
      </c>
      <c r="AH17" s="7"/>
      <c r="AI17" s="7">
        <f>-0.3972 - 0.3826</f>
        <v>-0.77980000000000005</v>
      </c>
      <c r="AJ17" s="7"/>
      <c r="AK17" s="7">
        <v>3.9574999999999999E-2</v>
      </c>
      <c r="AL17" s="2">
        <v>187</v>
      </c>
      <c r="AM17" s="12">
        <v>44404</v>
      </c>
      <c r="AN17" s="7"/>
      <c r="AO17" s="7" t="s">
        <v>59</v>
      </c>
      <c r="AP17" s="7" t="s">
        <v>134</v>
      </c>
      <c r="AQ17" s="7" t="s">
        <v>66</v>
      </c>
      <c r="AR17" s="7" t="s">
        <v>62</v>
      </c>
      <c r="AS17" s="7" t="s">
        <v>62</v>
      </c>
      <c r="AT17" s="7" t="s">
        <v>62</v>
      </c>
      <c r="AU17" s="7"/>
      <c r="AV17" s="7"/>
    </row>
    <row r="18" spans="1:48">
      <c r="A18" s="7">
        <v>17</v>
      </c>
      <c r="B18" s="7">
        <v>6</v>
      </c>
      <c r="C18" s="7" t="s">
        <v>126</v>
      </c>
      <c r="D18" s="7" t="s">
        <v>127</v>
      </c>
      <c r="E18" s="7" t="s">
        <v>128</v>
      </c>
      <c r="F18" s="7" t="s">
        <v>129</v>
      </c>
      <c r="G18" s="2" t="s">
        <v>141</v>
      </c>
      <c r="H18" s="7" t="s">
        <v>410</v>
      </c>
      <c r="I18" s="7" t="s">
        <v>50</v>
      </c>
      <c r="J18" s="7" t="s">
        <v>72</v>
      </c>
      <c r="K18" s="7" t="s">
        <v>130</v>
      </c>
      <c r="L18" s="7" t="s">
        <v>52</v>
      </c>
      <c r="M18" s="7" t="s">
        <v>53</v>
      </c>
      <c r="N18" s="7" t="s">
        <v>131</v>
      </c>
      <c r="O18" s="7">
        <v>0.21199999999999999</v>
      </c>
      <c r="P18" s="7">
        <v>7083</v>
      </c>
      <c r="Q18" s="7">
        <v>0.21099999999999999</v>
      </c>
      <c r="R18" s="2">
        <v>7708</v>
      </c>
      <c r="S18" s="7"/>
      <c r="T18" s="7"/>
      <c r="U18" s="7" t="s">
        <v>103</v>
      </c>
      <c r="V18" s="7" t="s">
        <v>132</v>
      </c>
      <c r="W18" s="7"/>
      <c r="X18" s="7"/>
      <c r="Y18" s="7" t="s">
        <v>94</v>
      </c>
      <c r="Z18" s="7" t="s">
        <v>143</v>
      </c>
      <c r="AA18" s="7" t="s">
        <v>79</v>
      </c>
      <c r="AB18" s="2" t="s">
        <v>58</v>
      </c>
      <c r="AC18" s="7">
        <v>-3.3E-3</v>
      </c>
      <c r="AD18" s="7">
        <v>7.6200000000000004E-2</v>
      </c>
      <c r="AE18" s="7">
        <v>7.6200000000000004E-2</v>
      </c>
      <c r="AF18" s="7">
        <v>9.2299999999999999E-4</v>
      </c>
      <c r="AG18" s="2">
        <v>9.2299999999999999E-4</v>
      </c>
      <c r="AH18" s="7"/>
      <c r="AI18" s="7" t="s">
        <v>144</v>
      </c>
      <c r="AJ18" s="7"/>
      <c r="AK18" s="7">
        <v>9.2299999999999999E-4</v>
      </c>
      <c r="AL18" s="2">
        <v>5553</v>
      </c>
      <c r="AM18" s="12">
        <v>44404</v>
      </c>
      <c r="AN18" s="7"/>
      <c r="AO18" s="7" t="s">
        <v>59</v>
      </c>
      <c r="AP18" s="7" t="s">
        <v>134</v>
      </c>
      <c r="AQ18" s="7" t="s">
        <v>66</v>
      </c>
      <c r="AR18" s="7" t="s">
        <v>62</v>
      </c>
      <c r="AS18" s="7" t="s">
        <v>62</v>
      </c>
      <c r="AT18" s="7" t="s">
        <v>62</v>
      </c>
      <c r="AU18" s="7"/>
      <c r="AV18" s="7"/>
    </row>
    <row r="19" spans="1:48">
      <c r="A19" s="7">
        <v>18</v>
      </c>
      <c r="B19" s="7">
        <v>6</v>
      </c>
      <c r="C19" s="7" t="s">
        <v>126</v>
      </c>
      <c r="D19" s="7" t="s">
        <v>127</v>
      </c>
      <c r="E19" s="7" t="s">
        <v>128</v>
      </c>
      <c r="F19" s="7" t="s">
        <v>129</v>
      </c>
      <c r="G19" s="2" t="s">
        <v>141</v>
      </c>
      <c r="H19" s="7" t="s">
        <v>410</v>
      </c>
      <c r="I19" s="7" t="s">
        <v>50</v>
      </c>
      <c r="J19" s="7" t="s">
        <v>72</v>
      </c>
      <c r="K19" s="7" t="s">
        <v>130</v>
      </c>
      <c r="L19" s="7" t="s">
        <v>124</v>
      </c>
      <c r="M19" s="7" t="s">
        <v>53</v>
      </c>
      <c r="N19" s="7" t="s">
        <v>131</v>
      </c>
      <c r="O19" s="7">
        <v>0.22500000000000001</v>
      </c>
      <c r="P19" s="7">
        <v>16864</v>
      </c>
      <c r="Q19" s="7">
        <v>0.223</v>
      </c>
      <c r="R19" s="2">
        <v>17301</v>
      </c>
      <c r="S19" s="7"/>
      <c r="T19" s="7"/>
      <c r="U19" s="7" t="s">
        <v>103</v>
      </c>
      <c r="V19" s="7" t="s">
        <v>132</v>
      </c>
      <c r="W19" s="7"/>
      <c r="X19" s="7"/>
      <c r="Y19" s="7" t="s">
        <v>94</v>
      </c>
      <c r="Z19" s="7" t="s">
        <v>145</v>
      </c>
      <c r="AA19" s="7" t="s">
        <v>79</v>
      </c>
      <c r="AB19" s="2" t="s">
        <v>58</v>
      </c>
      <c r="AC19" s="7">
        <v>-6.3E-3</v>
      </c>
      <c r="AD19" s="7">
        <v>-1.5E-3</v>
      </c>
      <c r="AE19" s="7">
        <v>-1.5E-3</v>
      </c>
      <c r="AF19" s="7">
        <v>1.65E-4</v>
      </c>
      <c r="AG19" s="2">
        <v>1.65E-4</v>
      </c>
      <c r="AH19" s="7"/>
      <c r="AI19" s="7">
        <f>-0.0267 - 0.0236</f>
        <v>-5.0299999999999997E-2</v>
      </c>
      <c r="AJ19" s="7"/>
      <c r="AK19" s="7">
        <v>1.65E-4</v>
      </c>
      <c r="AL19" s="2">
        <v>31701</v>
      </c>
      <c r="AM19" s="12">
        <v>44404</v>
      </c>
      <c r="AN19" s="7"/>
      <c r="AO19" s="7" t="s">
        <v>59</v>
      </c>
      <c r="AP19" s="7" t="s">
        <v>134</v>
      </c>
      <c r="AQ19" s="7" t="s">
        <v>66</v>
      </c>
      <c r="AR19" s="7" t="s">
        <v>62</v>
      </c>
      <c r="AS19" s="7" t="s">
        <v>62</v>
      </c>
      <c r="AT19" s="7" t="s">
        <v>62</v>
      </c>
      <c r="AU19" s="7"/>
      <c r="AV19" s="7"/>
    </row>
    <row r="20" spans="1:48">
      <c r="A20" s="7">
        <v>19</v>
      </c>
      <c r="B20" s="7">
        <v>6</v>
      </c>
      <c r="C20" s="7" t="s">
        <v>126</v>
      </c>
      <c r="D20" s="7" t="s">
        <v>127</v>
      </c>
      <c r="E20" s="7" t="s">
        <v>128</v>
      </c>
      <c r="F20" s="7" t="s">
        <v>129</v>
      </c>
      <c r="G20" s="2" t="s">
        <v>141</v>
      </c>
      <c r="H20" s="7" t="s">
        <v>410</v>
      </c>
      <c r="I20" s="7" t="s">
        <v>50</v>
      </c>
      <c r="J20" s="7" t="s">
        <v>72</v>
      </c>
      <c r="K20" s="7" t="s">
        <v>130</v>
      </c>
      <c r="L20" s="7" t="s">
        <v>64</v>
      </c>
      <c r="M20" s="7" t="s">
        <v>53</v>
      </c>
      <c r="N20" s="7" t="s">
        <v>131</v>
      </c>
      <c r="O20" s="7">
        <v>0.188</v>
      </c>
      <c r="P20" s="7">
        <v>7276</v>
      </c>
      <c r="Q20" s="7">
        <v>0.17499999999999999</v>
      </c>
      <c r="R20" s="2">
        <v>7925</v>
      </c>
      <c r="S20" s="7"/>
      <c r="T20" s="7"/>
      <c r="U20" s="7" t="s">
        <v>103</v>
      </c>
      <c r="V20" s="7" t="s">
        <v>132</v>
      </c>
      <c r="W20" s="7"/>
      <c r="X20" s="7"/>
      <c r="Y20" s="7" t="s">
        <v>94</v>
      </c>
      <c r="Z20" s="7" t="s">
        <v>146</v>
      </c>
      <c r="AA20" s="7" t="s">
        <v>79</v>
      </c>
      <c r="AB20" s="2" t="s">
        <v>58</v>
      </c>
      <c r="AC20" s="7">
        <v>-4.8300000000000003E-2</v>
      </c>
      <c r="AD20" s="7">
        <v>-4.2900000000000001E-2</v>
      </c>
      <c r="AE20" s="7">
        <v>-4.2900000000000001E-2</v>
      </c>
      <c r="AF20" s="7">
        <v>1.1199999999999999E-3</v>
      </c>
      <c r="AG20" s="2">
        <v>1.121E-3</v>
      </c>
      <c r="AH20" s="7"/>
      <c r="AI20" s="7">
        <f>-0.1085 - 0.0228</f>
        <v>-0.1313</v>
      </c>
      <c r="AJ20" s="7"/>
      <c r="AK20" s="7">
        <v>1.1199999999999999E-3</v>
      </c>
      <c r="AL20" s="2">
        <v>5689</v>
      </c>
      <c r="AM20" s="12">
        <v>44404</v>
      </c>
      <c r="AN20" s="7"/>
      <c r="AO20" s="7" t="s">
        <v>59</v>
      </c>
      <c r="AP20" s="7" t="s">
        <v>134</v>
      </c>
      <c r="AQ20" s="7" t="s">
        <v>66</v>
      </c>
      <c r="AR20" s="7" t="s">
        <v>62</v>
      </c>
      <c r="AS20" s="7" t="s">
        <v>62</v>
      </c>
      <c r="AT20" s="7" t="s">
        <v>62</v>
      </c>
      <c r="AU20" s="7"/>
      <c r="AV20" s="7"/>
    </row>
    <row r="21" spans="1:48" ht="144">
      <c r="A21" s="7">
        <v>20</v>
      </c>
      <c r="B21" s="7">
        <v>7</v>
      </c>
      <c r="C21" s="7" t="s">
        <v>147</v>
      </c>
      <c r="D21" s="7" t="s">
        <v>148</v>
      </c>
      <c r="E21" s="7" t="s">
        <v>103</v>
      </c>
      <c r="F21" s="7" t="s">
        <v>103</v>
      </c>
      <c r="G21" s="2" t="s">
        <v>149</v>
      </c>
      <c r="H21" s="7" t="s">
        <v>150</v>
      </c>
      <c r="I21" s="2" t="s">
        <v>117</v>
      </c>
      <c r="J21" s="7" t="s">
        <v>151</v>
      </c>
      <c r="K21" s="7" t="s">
        <v>152</v>
      </c>
      <c r="L21" s="7" t="s">
        <v>153</v>
      </c>
      <c r="M21" s="7" t="s">
        <v>154</v>
      </c>
      <c r="N21" s="7" t="s">
        <v>155</v>
      </c>
      <c r="O21" s="7" t="s">
        <v>103</v>
      </c>
      <c r="P21" s="7" t="s">
        <v>103</v>
      </c>
      <c r="Q21" s="7" t="s">
        <v>103</v>
      </c>
      <c r="R21" s="7" t="s">
        <v>103</v>
      </c>
      <c r="S21" s="7">
        <v>0.82499999999999996</v>
      </c>
      <c r="T21" s="7"/>
      <c r="U21" s="7" t="s">
        <v>103</v>
      </c>
      <c r="V21" s="7" t="s">
        <v>120</v>
      </c>
      <c r="W21" s="2" t="s">
        <v>156</v>
      </c>
      <c r="X21" s="2" t="s">
        <v>157</v>
      </c>
      <c r="Y21" s="2" t="s">
        <v>56</v>
      </c>
      <c r="Z21" s="15" t="s">
        <v>158</v>
      </c>
      <c r="AA21" s="2" t="s">
        <v>159</v>
      </c>
      <c r="AB21" s="2" t="s">
        <v>159</v>
      </c>
      <c r="AC21" s="2">
        <v>0.88790000000000002</v>
      </c>
      <c r="AD21" s="7">
        <v>0.91510000000000002</v>
      </c>
      <c r="AE21" s="7">
        <v>0.91510000000000002</v>
      </c>
      <c r="AF21" s="2">
        <v>6.4100000000000004E-2</v>
      </c>
      <c r="AG21" s="2">
        <v>6.4299999999999996E-2</v>
      </c>
      <c r="AH21" s="7"/>
      <c r="AI21" s="7" t="s">
        <v>160</v>
      </c>
      <c r="AJ21" s="7"/>
      <c r="AK21" s="7">
        <v>6.4299999999999996E-2</v>
      </c>
      <c r="AL21" s="7">
        <v>114</v>
      </c>
      <c r="AM21" s="12">
        <v>44404</v>
      </c>
      <c r="AN21" s="7"/>
      <c r="AO21" s="7" t="s">
        <v>59</v>
      </c>
      <c r="AP21" s="7" t="s">
        <v>161</v>
      </c>
      <c r="AQ21" s="7" t="s">
        <v>162</v>
      </c>
      <c r="AR21" s="7" t="s">
        <v>163</v>
      </c>
      <c r="AS21" s="7" t="s">
        <v>62</v>
      </c>
      <c r="AT21" s="7" t="s">
        <v>164</v>
      </c>
      <c r="AU21" s="7"/>
      <c r="AV21" s="7"/>
    </row>
    <row r="22" spans="1:48" ht="155">
      <c r="A22" s="7">
        <v>21</v>
      </c>
      <c r="B22" s="7">
        <v>8</v>
      </c>
      <c r="C22" s="7" t="s">
        <v>165</v>
      </c>
      <c r="D22" s="7" t="s">
        <v>166</v>
      </c>
      <c r="E22" s="7"/>
      <c r="F22" s="7"/>
      <c r="G22" s="2" t="s">
        <v>167</v>
      </c>
      <c r="H22" s="7" t="s">
        <v>410</v>
      </c>
      <c r="I22" s="2" t="s">
        <v>117</v>
      </c>
      <c r="J22" s="7" t="s">
        <v>151</v>
      </c>
      <c r="K22" s="2" t="s">
        <v>168</v>
      </c>
      <c r="L22" s="2" t="s">
        <v>169</v>
      </c>
      <c r="M22" s="7" t="s">
        <v>170</v>
      </c>
      <c r="N22" s="7" t="s">
        <v>171</v>
      </c>
      <c r="O22" s="7" t="s">
        <v>103</v>
      </c>
      <c r="P22" s="7" t="s">
        <v>103</v>
      </c>
      <c r="Q22" s="7" t="s">
        <v>103</v>
      </c>
      <c r="R22" s="7" t="s">
        <v>103</v>
      </c>
      <c r="S22" s="2">
        <v>0.64</v>
      </c>
      <c r="T22" s="7"/>
      <c r="U22" s="7" t="s">
        <v>103</v>
      </c>
      <c r="V22" s="2" t="s">
        <v>120</v>
      </c>
      <c r="W22" s="7" t="s">
        <v>156</v>
      </c>
      <c r="X22" s="7" t="s">
        <v>172</v>
      </c>
      <c r="Y22" s="2" t="s">
        <v>56</v>
      </c>
      <c r="Z22" s="14" t="s">
        <v>173</v>
      </c>
      <c r="AA22" s="7" t="s">
        <v>174</v>
      </c>
      <c r="AB22" s="7" t="s">
        <v>174</v>
      </c>
      <c r="AC22" s="7">
        <v>-9.7999999999999997E-3</v>
      </c>
      <c r="AD22" s="7">
        <v>-9.7999999999999997E-3</v>
      </c>
      <c r="AE22" s="7">
        <v>-9.7999999999999997E-3</v>
      </c>
      <c r="AF22" s="7">
        <v>6.6E-3</v>
      </c>
      <c r="AG22" s="7"/>
      <c r="AH22" s="7"/>
      <c r="AI22" s="7">
        <f>-0.1696 - 0.15</f>
        <v>-0.3196</v>
      </c>
      <c r="AJ22" s="7"/>
      <c r="AK22" s="7">
        <v>6.6E-3</v>
      </c>
      <c r="AL22" s="2">
        <v>653</v>
      </c>
      <c r="AM22" s="12">
        <v>44404</v>
      </c>
      <c r="AN22" s="7"/>
      <c r="AO22" s="7" t="s">
        <v>59</v>
      </c>
      <c r="AP22" s="7" t="s">
        <v>175</v>
      </c>
      <c r="AQ22" s="7" t="s">
        <v>176</v>
      </c>
      <c r="AR22" s="7" t="s">
        <v>177</v>
      </c>
      <c r="AS22" s="7" t="s">
        <v>62</v>
      </c>
      <c r="AT22" s="7" t="s">
        <v>62</v>
      </c>
      <c r="AU22" s="7"/>
      <c r="AV22" s="7"/>
    </row>
    <row r="23" spans="1:48">
      <c r="A23" s="7">
        <v>22</v>
      </c>
      <c r="B23" s="7">
        <v>9</v>
      </c>
      <c r="C23" s="7" t="s">
        <v>178</v>
      </c>
      <c r="D23" s="7" t="s">
        <v>179</v>
      </c>
      <c r="E23" s="7" t="s">
        <v>103</v>
      </c>
      <c r="F23" s="7" t="s">
        <v>180</v>
      </c>
      <c r="G23" s="7" t="s">
        <v>88</v>
      </c>
      <c r="H23" s="7" t="s">
        <v>88</v>
      </c>
      <c r="I23" s="2" t="s">
        <v>117</v>
      </c>
      <c r="J23" s="7" t="s">
        <v>151</v>
      </c>
      <c r="K23" s="7" t="s">
        <v>152</v>
      </c>
      <c r="L23" s="7" t="s">
        <v>667</v>
      </c>
      <c r="M23" s="7" t="s">
        <v>181</v>
      </c>
      <c r="N23" s="7" t="s">
        <v>182</v>
      </c>
      <c r="O23" s="7"/>
      <c r="P23" s="7"/>
      <c r="Q23" s="7"/>
      <c r="R23" s="7"/>
      <c r="S23" s="7"/>
      <c r="T23" s="7" t="s">
        <v>117</v>
      </c>
      <c r="U23" s="7" t="s">
        <v>183</v>
      </c>
      <c r="V23" s="2">
        <v>-5.2999999999999999E-2</v>
      </c>
      <c r="W23" s="7" t="s">
        <v>94</v>
      </c>
      <c r="X23" s="7" t="s">
        <v>103</v>
      </c>
      <c r="Y23" s="7" t="s">
        <v>103</v>
      </c>
      <c r="Z23" s="2" t="s">
        <v>103</v>
      </c>
      <c r="AA23" s="7" t="s">
        <v>103</v>
      </c>
      <c r="AB23" s="7" t="s">
        <v>103</v>
      </c>
      <c r="AC23" s="7">
        <v>-5.2999999999999999E-2</v>
      </c>
      <c r="AD23" s="7" t="s">
        <v>103</v>
      </c>
      <c r="AE23" s="7" t="s">
        <v>103</v>
      </c>
      <c r="AF23" s="7">
        <f>-0.0812 - -0.0249</f>
        <v>-5.6299999999999996E-2</v>
      </c>
      <c r="AG23" s="7">
        <f>-0.0812 - -0.0249</f>
        <v>-5.6299999999999996E-2</v>
      </c>
      <c r="AH23" s="7"/>
      <c r="AI23" s="2">
        <v>8.2509631400000004E-4</v>
      </c>
      <c r="AJ23" s="7">
        <v>4535</v>
      </c>
      <c r="AK23" s="12">
        <v>44404</v>
      </c>
      <c r="AL23" s="7"/>
      <c r="AM23" s="7" t="s">
        <v>59</v>
      </c>
      <c r="AN23" s="7"/>
      <c r="AO23" s="7" t="s">
        <v>184</v>
      </c>
      <c r="AP23" s="7" t="s">
        <v>185</v>
      </c>
      <c r="AQ23" s="7" t="s">
        <v>62</v>
      </c>
      <c r="AR23" s="7" t="s">
        <v>668</v>
      </c>
      <c r="AS23" s="13" t="s">
        <v>186</v>
      </c>
      <c r="AT23" s="2" t="s">
        <v>187</v>
      </c>
    </row>
    <row r="24" spans="1:48">
      <c r="A24" s="7">
        <v>23</v>
      </c>
      <c r="B24" s="2">
        <v>10</v>
      </c>
      <c r="C24" s="2" t="s">
        <v>188</v>
      </c>
      <c r="D24" s="2" t="s">
        <v>189</v>
      </c>
      <c r="E24" s="2" t="s">
        <v>103</v>
      </c>
      <c r="F24" s="2" t="s">
        <v>103</v>
      </c>
      <c r="G24" s="2" t="s">
        <v>190</v>
      </c>
      <c r="H24" s="7" t="s">
        <v>88</v>
      </c>
      <c r="I24" s="2" t="s">
        <v>117</v>
      </c>
      <c r="J24" s="2" t="s">
        <v>72</v>
      </c>
      <c r="K24" s="2" t="s">
        <v>72</v>
      </c>
      <c r="L24" s="2" t="s">
        <v>703</v>
      </c>
      <c r="M24" s="2" t="s">
        <v>191</v>
      </c>
      <c r="N24" s="2" t="s">
        <v>192</v>
      </c>
      <c r="O24" s="7"/>
      <c r="P24" s="7"/>
      <c r="Q24" s="7"/>
      <c r="R24" s="2"/>
      <c r="S24" s="7">
        <v>0.68400000000000005</v>
      </c>
      <c r="T24" s="7"/>
      <c r="U24" s="11">
        <v>1</v>
      </c>
      <c r="V24" s="7" t="s">
        <v>120</v>
      </c>
      <c r="W24" s="2"/>
      <c r="X24" s="2"/>
      <c r="Y24" s="7" t="s">
        <v>56</v>
      </c>
      <c r="Z24" s="7" t="s">
        <v>193</v>
      </c>
      <c r="AA24" s="7" t="s">
        <v>194</v>
      </c>
      <c r="AB24" s="2" t="s">
        <v>194</v>
      </c>
      <c r="AC24" s="2">
        <v>-0.3296</v>
      </c>
      <c r="AD24" s="2">
        <v>-0.3296</v>
      </c>
      <c r="AE24" s="2">
        <v>-0.3296</v>
      </c>
      <c r="AF24" s="2">
        <v>1.1999999999999999E-3</v>
      </c>
      <c r="AG24" s="2">
        <v>1.1999999999999999E-3</v>
      </c>
      <c r="AH24" s="2">
        <f>-0.2609 - -0.3982</f>
        <v>0.13729999999999998</v>
      </c>
      <c r="AI24" s="2">
        <f>-0.2609 - -0.3982</f>
        <v>0.13729999999999998</v>
      </c>
      <c r="AJ24" s="7"/>
      <c r="AK24" s="2">
        <v>1.1999999999999999E-3</v>
      </c>
      <c r="AL24" s="2">
        <v>3345</v>
      </c>
      <c r="AM24" s="12">
        <v>44404</v>
      </c>
      <c r="AN24" s="7"/>
      <c r="AO24" s="2" t="s">
        <v>195</v>
      </c>
      <c r="AP24" s="7" t="s">
        <v>196</v>
      </c>
      <c r="AQ24" s="7" t="s">
        <v>103</v>
      </c>
      <c r="AR24" s="7" t="s">
        <v>197</v>
      </c>
      <c r="AS24" s="7" t="s">
        <v>62</v>
      </c>
      <c r="AT24" s="7" t="s">
        <v>62</v>
      </c>
      <c r="AU24" s="7"/>
      <c r="AV24" s="7"/>
    </row>
    <row r="25" spans="1:48">
      <c r="A25" s="7">
        <v>24</v>
      </c>
      <c r="B25" s="7">
        <v>11</v>
      </c>
      <c r="C25" s="7" t="s">
        <v>198</v>
      </c>
      <c r="D25" s="7" t="s">
        <v>199</v>
      </c>
      <c r="E25" s="7" t="s">
        <v>200</v>
      </c>
      <c r="F25" s="7" t="s">
        <v>201</v>
      </c>
      <c r="G25" s="7" t="s">
        <v>202</v>
      </c>
      <c r="H25" s="7" t="s">
        <v>150</v>
      </c>
      <c r="I25" s="7" t="s">
        <v>50</v>
      </c>
      <c r="J25" s="7" t="s">
        <v>72</v>
      </c>
      <c r="K25" s="7" t="s">
        <v>130</v>
      </c>
      <c r="L25" s="7" t="s">
        <v>52</v>
      </c>
      <c r="M25" s="7" t="s">
        <v>53</v>
      </c>
      <c r="N25" s="7" t="s">
        <v>203</v>
      </c>
      <c r="O25" s="7">
        <v>0.36699999999999999</v>
      </c>
      <c r="P25" s="2">
        <v>13156.66</v>
      </c>
      <c r="Q25" s="7">
        <v>0.37</v>
      </c>
      <c r="R25" s="2">
        <v>495.62599999999998</v>
      </c>
      <c r="S25" s="7"/>
      <c r="T25" s="7"/>
      <c r="U25" s="11">
        <v>0.8</v>
      </c>
      <c r="V25" s="7" t="s">
        <v>204</v>
      </c>
      <c r="W25" s="7"/>
      <c r="X25" s="7"/>
      <c r="Y25" s="7" t="s">
        <v>94</v>
      </c>
      <c r="Z25" s="7" t="s">
        <v>669</v>
      </c>
      <c r="AA25" s="7" t="s">
        <v>205</v>
      </c>
      <c r="AB25" s="7" t="s">
        <v>205</v>
      </c>
      <c r="AC25" s="2">
        <v>3.3E-3</v>
      </c>
      <c r="AD25" s="7">
        <v>3.3E-3</v>
      </c>
      <c r="AE25" s="7">
        <v>3.3E-3</v>
      </c>
      <c r="AF25" s="7">
        <v>2.0939999999999999E-3</v>
      </c>
      <c r="AG25" s="2">
        <v>2.0939999999999999E-3</v>
      </c>
      <c r="AH25" s="7">
        <f>-0.0864 - 0.093</f>
        <v>-0.1794</v>
      </c>
      <c r="AI25" s="7">
        <f>-0.0864 - 0.093</f>
        <v>-0.1794</v>
      </c>
      <c r="AJ25" s="7"/>
      <c r="AK25" s="7">
        <v>2.0939999999999999E-3</v>
      </c>
      <c r="AL25" s="2">
        <v>13652.286</v>
      </c>
      <c r="AM25" s="12">
        <v>44404</v>
      </c>
      <c r="AN25" s="7"/>
      <c r="AO25" s="7" t="s">
        <v>195</v>
      </c>
      <c r="AP25" s="7" t="s">
        <v>206</v>
      </c>
      <c r="AQ25" s="7" t="s">
        <v>207</v>
      </c>
      <c r="AR25" s="7" t="s">
        <v>62</v>
      </c>
      <c r="AS25" s="7" t="s">
        <v>208</v>
      </c>
      <c r="AT25" s="7" t="s">
        <v>62</v>
      </c>
      <c r="AU25" s="7"/>
      <c r="AV25" s="7"/>
    </row>
    <row r="26" spans="1:48">
      <c r="A26" s="7">
        <v>25</v>
      </c>
      <c r="B26" s="7">
        <v>11</v>
      </c>
      <c r="C26" s="7" t="s">
        <v>198</v>
      </c>
      <c r="D26" s="7" t="s">
        <v>199</v>
      </c>
      <c r="E26" s="7" t="s">
        <v>200</v>
      </c>
      <c r="F26" s="7" t="s">
        <v>201</v>
      </c>
      <c r="G26" s="7" t="s">
        <v>202</v>
      </c>
      <c r="H26" s="7" t="s">
        <v>150</v>
      </c>
      <c r="I26" s="7" t="s">
        <v>50</v>
      </c>
      <c r="J26" s="7" t="s">
        <v>72</v>
      </c>
      <c r="K26" s="7" t="s">
        <v>130</v>
      </c>
      <c r="L26" s="7" t="s">
        <v>64</v>
      </c>
      <c r="M26" s="7" t="s">
        <v>53</v>
      </c>
      <c r="N26" s="7" t="s">
        <v>203</v>
      </c>
      <c r="O26" s="7">
        <v>0.23499999999999999</v>
      </c>
      <c r="P26" s="2">
        <v>13156.66</v>
      </c>
      <c r="Q26" s="7">
        <v>0.23300000000000001</v>
      </c>
      <c r="R26" s="2">
        <v>495.62599999999998</v>
      </c>
      <c r="S26" s="7"/>
      <c r="T26" s="7"/>
      <c r="U26" s="11">
        <v>0.8</v>
      </c>
      <c r="V26" s="7" t="s">
        <v>204</v>
      </c>
      <c r="W26" s="7"/>
      <c r="X26" s="7"/>
      <c r="Y26" s="7" t="s">
        <v>94</v>
      </c>
      <c r="Z26" s="7" t="s">
        <v>670</v>
      </c>
      <c r="AA26" s="7" t="s">
        <v>205</v>
      </c>
      <c r="AB26" s="7" t="s">
        <v>205</v>
      </c>
      <c r="AC26" s="2">
        <v>-2.5000000000000001E-3</v>
      </c>
      <c r="AD26" s="7">
        <v>-2.5000000000000001E-3</v>
      </c>
      <c r="AE26" s="7">
        <v>-2.5000000000000001E-3</v>
      </c>
      <c r="AF26" s="7">
        <v>2.0939999999999999E-3</v>
      </c>
      <c r="AG26" s="2">
        <v>2.0939999999999999E-3</v>
      </c>
      <c r="AH26" s="7">
        <f>-0.0922 - 0.0871</f>
        <v>-0.17930000000000001</v>
      </c>
      <c r="AI26" s="7">
        <f>-0.0922 - 0.0871</f>
        <v>-0.17930000000000001</v>
      </c>
      <c r="AJ26" s="7"/>
      <c r="AK26" s="7">
        <v>2.0939999999999999E-3</v>
      </c>
      <c r="AL26" s="2">
        <v>13652.286</v>
      </c>
      <c r="AM26" s="12">
        <v>44404</v>
      </c>
      <c r="AN26" s="7"/>
      <c r="AO26" s="7" t="s">
        <v>195</v>
      </c>
      <c r="AP26" s="7" t="s">
        <v>206</v>
      </c>
      <c r="AQ26" s="7" t="s">
        <v>207</v>
      </c>
      <c r="AR26" s="7" t="s">
        <v>62</v>
      </c>
      <c r="AS26" s="7" t="s">
        <v>208</v>
      </c>
      <c r="AT26" s="7" t="s">
        <v>62</v>
      </c>
      <c r="AU26" s="7"/>
      <c r="AV26" s="7"/>
    </row>
    <row r="27" spans="1:48">
      <c r="A27" s="7">
        <v>26</v>
      </c>
      <c r="B27" s="7">
        <v>11</v>
      </c>
      <c r="C27" s="7" t="s">
        <v>198</v>
      </c>
      <c r="D27" s="7" t="s">
        <v>199</v>
      </c>
      <c r="E27" s="7" t="s">
        <v>200</v>
      </c>
      <c r="F27" s="7" t="s">
        <v>201</v>
      </c>
      <c r="G27" s="7" t="s">
        <v>202</v>
      </c>
      <c r="H27" s="7" t="s">
        <v>150</v>
      </c>
      <c r="I27" s="7" t="s">
        <v>50</v>
      </c>
      <c r="J27" s="7" t="s">
        <v>72</v>
      </c>
      <c r="K27" s="7" t="s">
        <v>130</v>
      </c>
      <c r="L27" s="7" t="s">
        <v>702</v>
      </c>
      <c r="M27" s="7" t="s">
        <v>53</v>
      </c>
      <c r="N27" s="7" t="s">
        <v>203</v>
      </c>
      <c r="O27" s="7">
        <v>0.34200000000000003</v>
      </c>
      <c r="P27" s="2">
        <v>13156.66</v>
      </c>
      <c r="Q27" s="7">
        <v>0.34399999999999997</v>
      </c>
      <c r="R27" s="2">
        <v>495.62599999999998</v>
      </c>
      <c r="S27" s="7"/>
      <c r="T27" s="7"/>
      <c r="U27" s="11">
        <v>0.8</v>
      </c>
      <c r="V27" s="7" t="s">
        <v>204</v>
      </c>
      <c r="W27" s="7"/>
      <c r="X27" s="7"/>
      <c r="Y27" s="7" t="s">
        <v>94</v>
      </c>
      <c r="Z27" s="7" t="s">
        <v>671</v>
      </c>
      <c r="AA27" s="7" t="s">
        <v>205</v>
      </c>
      <c r="AB27" s="7" t="s">
        <v>205</v>
      </c>
      <c r="AC27" s="2">
        <v>5.8999999999999999E-3</v>
      </c>
      <c r="AD27" s="7">
        <v>5.8999999999999999E-3</v>
      </c>
      <c r="AE27" s="7">
        <v>5.8999999999999999E-3</v>
      </c>
      <c r="AF27" s="7">
        <v>2.0939999999999999E-3</v>
      </c>
      <c r="AG27" s="2">
        <v>2.0939999999999999E-3</v>
      </c>
      <c r="AH27" s="7">
        <f>-0.0838- 0.0956</f>
        <v>-0.1794</v>
      </c>
      <c r="AI27" s="7">
        <f>-0.0838- 0.0956</f>
        <v>-0.1794</v>
      </c>
      <c r="AJ27" s="7"/>
      <c r="AK27" s="7">
        <v>2.0939999999999999E-3</v>
      </c>
      <c r="AL27" s="2">
        <v>13652.286</v>
      </c>
      <c r="AM27" s="12">
        <v>44404</v>
      </c>
      <c r="AN27" s="7"/>
      <c r="AO27" s="7" t="s">
        <v>195</v>
      </c>
      <c r="AP27" s="7" t="s">
        <v>206</v>
      </c>
      <c r="AQ27" s="7" t="s">
        <v>207</v>
      </c>
      <c r="AR27" s="7" t="s">
        <v>62</v>
      </c>
      <c r="AS27" s="7" t="s">
        <v>208</v>
      </c>
      <c r="AT27" s="7" t="s">
        <v>62</v>
      </c>
      <c r="AU27" s="7"/>
      <c r="AV27" s="7"/>
    </row>
    <row r="28" spans="1:48">
      <c r="A28" s="7">
        <v>27</v>
      </c>
      <c r="B28" s="7">
        <v>11</v>
      </c>
      <c r="C28" s="7" t="s">
        <v>198</v>
      </c>
      <c r="D28" s="7" t="s">
        <v>199</v>
      </c>
      <c r="E28" s="7" t="s">
        <v>200</v>
      </c>
      <c r="F28" s="7" t="s">
        <v>201</v>
      </c>
      <c r="G28" s="7" t="s">
        <v>202</v>
      </c>
      <c r="H28" s="7" t="s">
        <v>150</v>
      </c>
      <c r="I28" s="7" t="s">
        <v>50</v>
      </c>
      <c r="J28" s="7" t="s">
        <v>72</v>
      </c>
      <c r="K28" s="7" t="s">
        <v>130</v>
      </c>
      <c r="L28" s="7" t="s">
        <v>135</v>
      </c>
      <c r="M28" s="7" t="s">
        <v>53</v>
      </c>
      <c r="N28" s="7" t="s">
        <v>203</v>
      </c>
      <c r="O28" s="7">
        <v>0.20899999999999999</v>
      </c>
      <c r="P28" s="2">
        <v>13156.66</v>
      </c>
      <c r="Q28" s="7">
        <v>0.16500000000000001</v>
      </c>
      <c r="R28" s="2">
        <v>495.62599999999998</v>
      </c>
      <c r="S28" s="7"/>
      <c r="T28" s="7"/>
      <c r="U28" s="11">
        <v>0.8</v>
      </c>
      <c r="V28" s="7" t="s">
        <v>204</v>
      </c>
      <c r="W28" s="7"/>
      <c r="X28" s="7"/>
      <c r="Y28" s="7" t="s">
        <v>94</v>
      </c>
      <c r="Z28" s="7" t="s">
        <v>672</v>
      </c>
      <c r="AA28" s="7" t="s">
        <v>205</v>
      </c>
      <c r="AB28" s="7" t="s">
        <v>205</v>
      </c>
      <c r="AC28" s="2">
        <v>-1.12E-2</v>
      </c>
      <c r="AD28" s="7">
        <v>-1.12E-2</v>
      </c>
      <c r="AE28" s="7">
        <v>-1.12E-2</v>
      </c>
      <c r="AF28" s="7">
        <v>2.0939999999999999E-3</v>
      </c>
      <c r="AG28" s="2">
        <v>2.0939999999999999E-3</v>
      </c>
      <c r="AH28" s="7">
        <f>-0.1008- 0.0785</f>
        <v>-0.17930000000000001</v>
      </c>
      <c r="AI28" s="7">
        <f>-0.1008- 0.0785</f>
        <v>-0.17930000000000001</v>
      </c>
      <c r="AJ28" s="7"/>
      <c r="AK28" s="7">
        <v>2.0939999999999999E-3</v>
      </c>
      <c r="AL28" s="2">
        <v>13652.286</v>
      </c>
      <c r="AM28" s="12">
        <v>44404</v>
      </c>
      <c r="AN28" s="7"/>
      <c r="AO28" s="7" t="s">
        <v>195</v>
      </c>
      <c r="AP28" s="7" t="s">
        <v>206</v>
      </c>
      <c r="AQ28" s="7" t="s">
        <v>207</v>
      </c>
      <c r="AR28" s="7" t="s">
        <v>62</v>
      </c>
      <c r="AS28" s="7" t="s">
        <v>208</v>
      </c>
      <c r="AT28" s="7" t="s">
        <v>62</v>
      </c>
      <c r="AU28" s="7"/>
      <c r="AV28" s="7"/>
    </row>
    <row r="29" spans="1:48">
      <c r="A29" s="7">
        <v>28</v>
      </c>
      <c r="B29" s="7">
        <v>11</v>
      </c>
      <c r="C29" s="7" t="s">
        <v>198</v>
      </c>
      <c r="D29" s="7" t="s">
        <v>199</v>
      </c>
      <c r="E29" s="7" t="s">
        <v>200</v>
      </c>
      <c r="F29" s="7" t="s">
        <v>201</v>
      </c>
      <c r="G29" s="7" t="s">
        <v>209</v>
      </c>
      <c r="H29" s="7" t="s">
        <v>291</v>
      </c>
      <c r="I29" s="7" t="s">
        <v>50</v>
      </c>
      <c r="J29" s="7" t="s">
        <v>72</v>
      </c>
      <c r="K29" s="7" t="s">
        <v>130</v>
      </c>
      <c r="L29" s="7" t="s">
        <v>52</v>
      </c>
      <c r="M29" s="7" t="s">
        <v>53</v>
      </c>
      <c r="N29" s="7" t="s">
        <v>203</v>
      </c>
      <c r="O29" s="7">
        <v>0.33500000000000002</v>
      </c>
      <c r="P29" s="2">
        <v>2165.893</v>
      </c>
      <c r="Q29" s="7">
        <v>0.3</v>
      </c>
      <c r="R29" s="2">
        <v>198.779</v>
      </c>
      <c r="S29" s="7"/>
      <c r="T29" s="7"/>
      <c r="U29" s="11">
        <v>0.8</v>
      </c>
      <c r="V29" s="7" t="s">
        <v>204</v>
      </c>
      <c r="W29" s="7"/>
      <c r="X29" s="7"/>
      <c r="Y29" s="7" t="s">
        <v>94</v>
      </c>
      <c r="Z29" s="7" t="s">
        <v>673</v>
      </c>
      <c r="AA29" s="7" t="s">
        <v>205</v>
      </c>
      <c r="AB29" s="7" t="s">
        <v>205</v>
      </c>
      <c r="AC29" s="2">
        <v>-1.43E-2</v>
      </c>
      <c r="AD29" s="7">
        <v>-1.43E-2</v>
      </c>
      <c r="AE29" s="7">
        <v>-1.43E-2</v>
      </c>
      <c r="AF29" s="7">
        <v>5.4920000000000004E-3</v>
      </c>
      <c r="AG29" s="2">
        <v>5.4920000000000004E-3</v>
      </c>
      <c r="AH29" s="7">
        <f>-0.1595-0.131</f>
        <v>-0.29049999999999998</v>
      </c>
      <c r="AI29" s="7">
        <f>-0.1595-0.131</f>
        <v>-0.29049999999999998</v>
      </c>
      <c r="AJ29" s="7"/>
      <c r="AK29" s="7">
        <v>5.4920000000000004E-3</v>
      </c>
      <c r="AL29" s="2">
        <v>2364.672</v>
      </c>
      <c r="AM29" s="12">
        <v>44404</v>
      </c>
      <c r="AN29" s="7"/>
      <c r="AO29" s="7" t="s">
        <v>195</v>
      </c>
      <c r="AP29" s="7" t="s">
        <v>206</v>
      </c>
      <c r="AQ29" s="7" t="s">
        <v>207</v>
      </c>
      <c r="AR29" s="7" t="s">
        <v>62</v>
      </c>
      <c r="AS29" s="7" t="s">
        <v>208</v>
      </c>
      <c r="AT29" s="7" t="s">
        <v>62</v>
      </c>
      <c r="AU29" s="7"/>
      <c r="AV29" s="7"/>
    </row>
    <row r="30" spans="1:48">
      <c r="A30" s="7">
        <v>29</v>
      </c>
      <c r="B30" s="7">
        <v>11</v>
      </c>
      <c r="C30" s="7" t="s">
        <v>198</v>
      </c>
      <c r="D30" s="7" t="s">
        <v>199</v>
      </c>
      <c r="E30" s="7" t="s">
        <v>200</v>
      </c>
      <c r="F30" s="7" t="s">
        <v>201</v>
      </c>
      <c r="G30" s="7" t="s">
        <v>209</v>
      </c>
      <c r="H30" s="7" t="s">
        <v>291</v>
      </c>
      <c r="I30" s="7" t="s">
        <v>50</v>
      </c>
      <c r="J30" s="7" t="s">
        <v>72</v>
      </c>
      <c r="K30" s="7" t="s">
        <v>130</v>
      </c>
      <c r="L30" s="7" t="s">
        <v>64</v>
      </c>
      <c r="M30" s="7" t="s">
        <v>53</v>
      </c>
      <c r="N30" s="7" t="s">
        <v>203</v>
      </c>
      <c r="O30" s="7">
        <v>0.309</v>
      </c>
      <c r="P30" s="2">
        <v>2165.893</v>
      </c>
      <c r="Q30" s="7">
        <v>0.23</v>
      </c>
      <c r="R30" s="2">
        <v>198.779</v>
      </c>
      <c r="S30" s="7"/>
      <c r="T30" s="7"/>
      <c r="U30" s="11">
        <v>0.8</v>
      </c>
      <c r="V30" s="7" t="s">
        <v>204</v>
      </c>
      <c r="W30" s="7"/>
      <c r="X30" s="7"/>
      <c r="Y30" s="7" t="s">
        <v>94</v>
      </c>
      <c r="Z30" s="7" t="s">
        <v>674</v>
      </c>
      <c r="AA30" s="7" t="s">
        <v>205</v>
      </c>
      <c r="AB30" s="7" t="s">
        <v>205</v>
      </c>
      <c r="AC30" s="2">
        <v>-4.6699999999999998E-2</v>
      </c>
      <c r="AD30" s="7">
        <v>-4.6699999999999998E-2</v>
      </c>
      <c r="AE30" s="7">
        <v>-4.6699999999999998E-2</v>
      </c>
      <c r="AF30" s="7">
        <v>5.4929999999999996E-3</v>
      </c>
      <c r="AG30" s="2">
        <v>5.4929999999999996E-3</v>
      </c>
      <c r="AH30" s="7">
        <f>-0.1919-0.0986</f>
        <v>-0.29049999999999998</v>
      </c>
      <c r="AI30" s="7">
        <f>-0.1919-0.0986</f>
        <v>-0.29049999999999998</v>
      </c>
      <c r="AJ30" s="7"/>
      <c r="AK30" s="7">
        <v>5.4929999999999996E-3</v>
      </c>
      <c r="AL30" s="2">
        <v>2364.672</v>
      </c>
      <c r="AM30" s="12">
        <v>44404</v>
      </c>
      <c r="AN30" s="7"/>
      <c r="AO30" s="7" t="s">
        <v>195</v>
      </c>
      <c r="AP30" s="7" t="s">
        <v>206</v>
      </c>
      <c r="AQ30" s="7" t="s">
        <v>207</v>
      </c>
      <c r="AR30" s="7" t="s">
        <v>62</v>
      </c>
      <c r="AS30" s="7" t="s">
        <v>208</v>
      </c>
      <c r="AT30" s="7" t="s">
        <v>62</v>
      </c>
      <c r="AU30" s="7"/>
      <c r="AV30" s="7"/>
    </row>
    <row r="31" spans="1:48">
      <c r="A31" s="7">
        <v>30</v>
      </c>
      <c r="B31" s="7">
        <v>11</v>
      </c>
      <c r="C31" s="7" t="s">
        <v>198</v>
      </c>
      <c r="D31" s="7" t="s">
        <v>199</v>
      </c>
      <c r="E31" s="7" t="s">
        <v>200</v>
      </c>
      <c r="F31" s="7" t="s">
        <v>201</v>
      </c>
      <c r="G31" s="7" t="s">
        <v>209</v>
      </c>
      <c r="H31" s="7" t="s">
        <v>291</v>
      </c>
      <c r="I31" s="7" t="s">
        <v>50</v>
      </c>
      <c r="J31" s="7" t="s">
        <v>72</v>
      </c>
      <c r="K31" s="7" t="s">
        <v>130</v>
      </c>
      <c r="L31" s="7" t="s">
        <v>702</v>
      </c>
      <c r="M31" s="7" t="s">
        <v>53</v>
      </c>
      <c r="N31" s="7" t="s">
        <v>203</v>
      </c>
      <c r="O31" s="7">
        <v>0.376</v>
      </c>
      <c r="P31" s="2">
        <v>2165.893</v>
      </c>
      <c r="Q31" s="7">
        <v>0.34799999999999998</v>
      </c>
      <c r="R31" s="2">
        <v>198.779</v>
      </c>
      <c r="S31" s="7"/>
      <c r="T31" s="7"/>
      <c r="U31" s="11">
        <v>0.8</v>
      </c>
      <c r="V31" s="7" t="s">
        <v>204</v>
      </c>
      <c r="W31" s="7"/>
      <c r="X31" s="7"/>
      <c r="Y31" s="7" t="s">
        <v>94</v>
      </c>
      <c r="Z31" s="7" t="s">
        <v>675</v>
      </c>
      <c r="AA31" s="7" t="s">
        <v>205</v>
      </c>
      <c r="AB31" s="7" t="s">
        <v>205</v>
      </c>
      <c r="AC31" s="2">
        <v>-3.9300000000000002E-2</v>
      </c>
      <c r="AD31" s="7">
        <v>-3.9300000000000002E-2</v>
      </c>
      <c r="AE31" s="7">
        <v>-3.9300000000000002E-2</v>
      </c>
      <c r="AF31" s="7">
        <v>5.4929999999999996E-3</v>
      </c>
      <c r="AG31" s="2">
        <v>5.4929999999999996E-3</v>
      </c>
      <c r="AH31" s="7">
        <f>-0.0393- 0.106</f>
        <v>-0.14529999999999998</v>
      </c>
      <c r="AI31" s="7">
        <f>-0.0393-0.106</f>
        <v>-0.14529999999999998</v>
      </c>
      <c r="AJ31" s="7"/>
      <c r="AK31" s="7">
        <v>5.4929999999999996E-3</v>
      </c>
      <c r="AL31" s="2">
        <v>2364.672</v>
      </c>
      <c r="AM31" s="12">
        <v>44404</v>
      </c>
      <c r="AN31" s="7"/>
      <c r="AO31" s="7" t="s">
        <v>195</v>
      </c>
      <c r="AP31" s="7" t="s">
        <v>206</v>
      </c>
      <c r="AQ31" s="7" t="s">
        <v>207</v>
      </c>
      <c r="AR31" s="7" t="s">
        <v>62</v>
      </c>
      <c r="AS31" s="7" t="s">
        <v>208</v>
      </c>
      <c r="AT31" s="7" t="s">
        <v>62</v>
      </c>
      <c r="AU31" s="7"/>
      <c r="AV31" s="7"/>
    </row>
    <row r="32" spans="1:48">
      <c r="A32" s="7">
        <v>31</v>
      </c>
      <c r="B32" s="7">
        <v>11</v>
      </c>
      <c r="C32" s="7" t="s">
        <v>198</v>
      </c>
      <c r="D32" s="7" t="s">
        <v>199</v>
      </c>
      <c r="E32" s="7" t="s">
        <v>200</v>
      </c>
      <c r="F32" s="7" t="s">
        <v>201</v>
      </c>
      <c r="G32" s="7" t="s">
        <v>210</v>
      </c>
      <c r="H32" s="7" t="s">
        <v>88</v>
      </c>
      <c r="I32" s="7" t="s">
        <v>50</v>
      </c>
      <c r="J32" s="7" t="s">
        <v>51</v>
      </c>
      <c r="K32" s="7" t="s">
        <v>51</v>
      </c>
      <c r="L32" s="7" t="s">
        <v>52</v>
      </c>
      <c r="M32" s="7" t="s">
        <v>53</v>
      </c>
      <c r="N32" s="7" t="s">
        <v>203</v>
      </c>
      <c r="O32" s="7">
        <v>0.45800000000000002</v>
      </c>
      <c r="P32" s="2">
        <v>4770.8829999999998</v>
      </c>
      <c r="Q32" s="7">
        <v>0.438</v>
      </c>
      <c r="R32" s="2">
        <v>195.95</v>
      </c>
      <c r="S32" s="7"/>
      <c r="T32" s="7"/>
      <c r="U32" s="11">
        <v>0.8</v>
      </c>
      <c r="V32" s="7" t="s">
        <v>204</v>
      </c>
      <c r="W32" s="7"/>
      <c r="X32" s="7"/>
      <c r="Y32" s="7" t="s">
        <v>94</v>
      </c>
      <c r="Z32" s="7" t="s">
        <v>676</v>
      </c>
      <c r="AA32" s="7" t="s">
        <v>205</v>
      </c>
      <c r="AB32" s="7" t="s">
        <v>205</v>
      </c>
      <c r="AC32" s="2">
        <v>-2.6800000000000001E-2</v>
      </c>
      <c r="AD32" s="7">
        <v>-2.6800000000000001E-2</v>
      </c>
      <c r="AE32" s="7">
        <v>-2.6800000000000001E-2</v>
      </c>
      <c r="AF32" s="7">
        <v>5.313E-3</v>
      </c>
      <c r="AG32" s="2">
        <v>5.313E-3</v>
      </c>
      <c r="AH32" s="7">
        <f>-0.1697-0.116</f>
        <v>-0.28570000000000001</v>
      </c>
      <c r="AI32" s="7">
        <f>-0.1697-0.116</f>
        <v>-0.28570000000000001</v>
      </c>
      <c r="AJ32" s="7"/>
      <c r="AK32" s="7">
        <v>5.313E-3</v>
      </c>
      <c r="AL32" s="2">
        <v>4966.8329999999996</v>
      </c>
      <c r="AM32" s="12">
        <v>44404</v>
      </c>
      <c r="AN32" s="7"/>
      <c r="AO32" s="7" t="s">
        <v>195</v>
      </c>
      <c r="AP32" s="7" t="s">
        <v>206</v>
      </c>
      <c r="AQ32" s="7" t="s">
        <v>207</v>
      </c>
      <c r="AR32" s="7" t="s">
        <v>62</v>
      </c>
      <c r="AS32" s="7" t="s">
        <v>208</v>
      </c>
      <c r="AT32" s="7" t="s">
        <v>62</v>
      </c>
      <c r="AU32" s="7"/>
      <c r="AV32" s="7"/>
    </row>
    <row r="33" spans="1:48">
      <c r="A33" s="7">
        <v>32</v>
      </c>
      <c r="B33" s="7">
        <v>11</v>
      </c>
      <c r="C33" s="7" t="s">
        <v>198</v>
      </c>
      <c r="D33" s="7" t="s">
        <v>199</v>
      </c>
      <c r="E33" s="7" t="s">
        <v>200</v>
      </c>
      <c r="F33" s="7" t="s">
        <v>201</v>
      </c>
      <c r="G33" s="7" t="s">
        <v>210</v>
      </c>
      <c r="H33" s="7" t="s">
        <v>88</v>
      </c>
      <c r="I33" s="7" t="s">
        <v>50</v>
      </c>
      <c r="J33" s="7" t="s">
        <v>51</v>
      </c>
      <c r="K33" s="7" t="s">
        <v>51</v>
      </c>
      <c r="L33" s="7" t="s">
        <v>64</v>
      </c>
      <c r="M33" s="7" t="s">
        <v>53</v>
      </c>
      <c r="N33" s="7" t="s">
        <v>203</v>
      </c>
      <c r="O33" s="7">
        <v>0.315</v>
      </c>
      <c r="P33" s="2">
        <v>4770.8829999999998</v>
      </c>
      <c r="Q33" s="7">
        <v>0.27500000000000002</v>
      </c>
      <c r="R33" s="2">
        <v>195.95</v>
      </c>
      <c r="S33" s="7"/>
      <c r="T33" s="7"/>
      <c r="U33" s="11">
        <v>0.8</v>
      </c>
      <c r="V33" s="7" t="s">
        <v>204</v>
      </c>
      <c r="W33" s="7"/>
      <c r="X33" s="7"/>
      <c r="Y33" s="7" t="s">
        <v>94</v>
      </c>
      <c r="Z33" s="7" t="s">
        <v>677</v>
      </c>
      <c r="AA33" s="7" t="s">
        <v>205</v>
      </c>
      <c r="AB33" s="7" t="s">
        <v>205</v>
      </c>
      <c r="AC33" s="2">
        <v>-7.3700000000000002E-2</v>
      </c>
      <c r="AD33" s="7">
        <v>-7.3700000000000002E-2</v>
      </c>
      <c r="AE33" s="7">
        <v>-7.3700000000000002E-2</v>
      </c>
      <c r="AF33" s="7">
        <v>5.313E-3</v>
      </c>
      <c r="AG33" s="2">
        <v>5.313E-3</v>
      </c>
      <c r="AH33" s="7">
        <f>-0.2166-0.0691</f>
        <v>-0.28569999999999995</v>
      </c>
      <c r="AI33" s="7">
        <f>-0.2166-0.0691</f>
        <v>-0.28569999999999995</v>
      </c>
      <c r="AJ33" s="7"/>
      <c r="AK33" s="7">
        <v>5.313E-3</v>
      </c>
      <c r="AL33" s="2">
        <v>4966.8329999999996</v>
      </c>
      <c r="AM33" s="12">
        <v>44404</v>
      </c>
      <c r="AN33" s="7"/>
      <c r="AO33" s="7" t="s">
        <v>195</v>
      </c>
      <c r="AP33" s="7" t="s">
        <v>206</v>
      </c>
      <c r="AQ33" s="7" t="s">
        <v>207</v>
      </c>
      <c r="AR33" s="7" t="s">
        <v>62</v>
      </c>
      <c r="AS33" s="7" t="s">
        <v>208</v>
      </c>
      <c r="AT33" s="7" t="s">
        <v>62</v>
      </c>
      <c r="AU33" s="7"/>
      <c r="AV33" s="7"/>
    </row>
    <row r="34" spans="1:48">
      <c r="A34" s="7">
        <v>33</v>
      </c>
      <c r="B34" s="7">
        <v>11</v>
      </c>
      <c r="C34" s="7" t="s">
        <v>198</v>
      </c>
      <c r="D34" s="7" t="s">
        <v>199</v>
      </c>
      <c r="E34" s="7" t="s">
        <v>200</v>
      </c>
      <c r="F34" s="7" t="s">
        <v>201</v>
      </c>
      <c r="G34" s="7" t="s">
        <v>210</v>
      </c>
      <c r="H34" s="7" t="s">
        <v>88</v>
      </c>
      <c r="I34" s="7" t="s">
        <v>50</v>
      </c>
      <c r="J34" s="7" t="s">
        <v>51</v>
      </c>
      <c r="K34" s="7" t="s">
        <v>51</v>
      </c>
      <c r="L34" s="7" t="s">
        <v>702</v>
      </c>
      <c r="M34" s="7" t="s">
        <v>53</v>
      </c>
      <c r="N34" s="7" t="s">
        <v>203</v>
      </c>
      <c r="O34" s="7">
        <v>0.39</v>
      </c>
      <c r="P34" s="2">
        <v>4770.8829999999998</v>
      </c>
      <c r="Q34" s="7">
        <v>0.38200000000000001</v>
      </c>
      <c r="R34" s="2">
        <v>195.95</v>
      </c>
      <c r="S34" s="7"/>
      <c r="T34" s="7"/>
      <c r="U34" s="11">
        <v>0.8</v>
      </c>
      <c r="V34" s="7" t="s">
        <v>204</v>
      </c>
      <c r="W34" s="7"/>
      <c r="X34" s="7"/>
      <c r="Y34" s="7" t="s">
        <v>94</v>
      </c>
      <c r="Z34" s="7" t="s">
        <v>678</v>
      </c>
      <c r="AA34" s="7" t="s">
        <v>205</v>
      </c>
      <c r="AB34" s="7" t="s">
        <v>205</v>
      </c>
      <c r="AC34" s="2">
        <v>-1.9699999999999999E-2</v>
      </c>
      <c r="AD34" s="7">
        <v>-1.9699999999999999E-2</v>
      </c>
      <c r="AE34" s="7">
        <v>-1.9699999999999999E-2</v>
      </c>
      <c r="AF34" s="7">
        <v>5.313E-3</v>
      </c>
      <c r="AG34" s="2">
        <v>5.313E-3</v>
      </c>
      <c r="AH34" s="7">
        <f>-0.1625-0.1232</f>
        <v>-0.28570000000000001</v>
      </c>
      <c r="AI34" s="7">
        <f>-0.1625-0.1232</f>
        <v>-0.28570000000000001</v>
      </c>
      <c r="AJ34" s="7"/>
      <c r="AK34" s="7">
        <v>5.313E-3</v>
      </c>
      <c r="AL34" s="2">
        <v>4966.8329999999996</v>
      </c>
      <c r="AM34" s="12">
        <v>44404</v>
      </c>
      <c r="AN34" s="7"/>
      <c r="AO34" s="7" t="s">
        <v>195</v>
      </c>
      <c r="AP34" s="7" t="s">
        <v>206</v>
      </c>
      <c r="AQ34" s="7" t="s">
        <v>207</v>
      </c>
      <c r="AR34" s="7" t="s">
        <v>62</v>
      </c>
      <c r="AS34" s="7" t="s">
        <v>208</v>
      </c>
      <c r="AT34" s="7" t="s">
        <v>62</v>
      </c>
      <c r="AU34" s="7"/>
      <c r="AV34" s="7"/>
    </row>
    <row r="35" spans="1:48">
      <c r="A35" s="7">
        <v>34</v>
      </c>
      <c r="B35" s="7">
        <v>11</v>
      </c>
      <c r="C35" s="7" t="s">
        <v>198</v>
      </c>
      <c r="D35" s="7" t="s">
        <v>199</v>
      </c>
      <c r="E35" s="7" t="s">
        <v>200</v>
      </c>
      <c r="F35" s="7" t="s">
        <v>201</v>
      </c>
      <c r="G35" s="7" t="s">
        <v>210</v>
      </c>
      <c r="H35" s="7" t="s">
        <v>88</v>
      </c>
      <c r="I35" s="7" t="s">
        <v>50</v>
      </c>
      <c r="J35" s="7" t="s">
        <v>51</v>
      </c>
      <c r="K35" s="7" t="s">
        <v>51</v>
      </c>
      <c r="L35" s="7" t="s">
        <v>135</v>
      </c>
      <c r="M35" s="7" t="s">
        <v>53</v>
      </c>
      <c r="N35" s="7" t="s">
        <v>203</v>
      </c>
      <c r="O35" s="7">
        <v>0.28399999999999997</v>
      </c>
      <c r="P35" s="2">
        <v>4770.8829999999998</v>
      </c>
      <c r="Q35" s="7">
        <v>0.29899999999999999</v>
      </c>
      <c r="R35" s="2">
        <v>195.95</v>
      </c>
      <c r="S35" s="7"/>
      <c r="T35" s="7"/>
      <c r="U35" s="11">
        <v>0.8</v>
      </c>
      <c r="V35" s="7" t="s">
        <v>204</v>
      </c>
      <c r="W35" s="7"/>
      <c r="X35" s="7"/>
      <c r="Y35" s="7" t="s">
        <v>94</v>
      </c>
      <c r="Z35" s="7" t="s">
        <v>679</v>
      </c>
      <c r="AA35" s="7" t="s">
        <v>205</v>
      </c>
      <c r="AB35" s="7" t="s">
        <v>205</v>
      </c>
      <c r="AC35" s="2">
        <v>5.4999999999999997E-3</v>
      </c>
      <c r="AD35" s="7">
        <v>5.4999999999999997E-3</v>
      </c>
      <c r="AE35" s="7">
        <v>5.4999999999999997E-3</v>
      </c>
      <c r="AF35" s="7">
        <v>5.313E-3</v>
      </c>
      <c r="AG35" s="2">
        <v>5.313E-3</v>
      </c>
      <c r="AH35" s="7">
        <f>-0.1373-0.1484</f>
        <v>-0.28570000000000001</v>
      </c>
      <c r="AI35" s="7">
        <f>-0.1373-0.1484</f>
        <v>-0.28570000000000001</v>
      </c>
      <c r="AJ35" s="7"/>
      <c r="AK35" s="7">
        <v>5.313E-3</v>
      </c>
      <c r="AL35" s="2">
        <v>4966.8329999999996</v>
      </c>
      <c r="AM35" s="12">
        <v>44404</v>
      </c>
      <c r="AN35" s="7"/>
      <c r="AO35" s="7" t="s">
        <v>195</v>
      </c>
      <c r="AP35" s="7" t="s">
        <v>206</v>
      </c>
      <c r="AQ35" s="7" t="s">
        <v>207</v>
      </c>
      <c r="AR35" s="7" t="s">
        <v>62</v>
      </c>
      <c r="AS35" s="7" t="s">
        <v>208</v>
      </c>
      <c r="AT35" s="7" t="s">
        <v>62</v>
      </c>
      <c r="AU35" s="7"/>
      <c r="AV35" s="7"/>
    </row>
    <row r="36" spans="1:48">
      <c r="A36" s="7">
        <v>35</v>
      </c>
      <c r="B36" s="7">
        <v>12</v>
      </c>
      <c r="C36" s="7" t="s">
        <v>211</v>
      </c>
      <c r="D36" s="7" t="s">
        <v>212</v>
      </c>
      <c r="E36" s="7" t="s">
        <v>103</v>
      </c>
      <c r="F36" s="7" t="s">
        <v>213</v>
      </c>
      <c r="G36" s="7" t="s">
        <v>214</v>
      </c>
      <c r="H36" s="7" t="s">
        <v>215</v>
      </c>
      <c r="I36" s="2" t="s">
        <v>117</v>
      </c>
      <c r="J36" s="7" t="s">
        <v>151</v>
      </c>
      <c r="K36" s="7" t="s">
        <v>152</v>
      </c>
      <c r="L36" s="7" t="s">
        <v>216</v>
      </c>
      <c r="M36" s="7" t="s">
        <v>217</v>
      </c>
      <c r="N36" s="7" t="s">
        <v>218</v>
      </c>
      <c r="O36" s="7"/>
      <c r="P36" s="7"/>
      <c r="Q36" s="7"/>
      <c r="R36" s="7"/>
      <c r="S36" s="7">
        <v>0.65300000000000002</v>
      </c>
      <c r="T36" s="7"/>
      <c r="U36" s="11">
        <v>1</v>
      </c>
      <c r="V36" s="7" t="s">
        <v>120</v>
      </c>
      <c r="W36" s="7"/>
      <c r="X36" s="7"/>
      <c r="Y36" s="7" t="s">
        <v>94</v>
      </c>
      <c r="Z36" s="7" t="s">
        <v>219</v>
      </c>
      <c r="AA36" s="7" t="s">
        <v>220</v>
      </c>
      <c r="AB36" s="7" t="s">
        <v>220</v>
      </c>
      <c r="AC36" s="7">
        <v>-3.5000000000000001E-3</v>
      </c>
      <c r="AD36" s="7">
        <v>-3.5000000000000001E-3</v>
      </c>
      <c r="AE36" s="7">
        <v>-3.5000000000000001E-3</v>
      </c>
      <c r="AF36" s="7">
        <v>4.7000000000000002E-3</v>
      </c>
      <c r="AG36" s="2">
        <v>6.8900000000000003E-3</v>
      </c>
      <c r="AH36" s="7">
        <f>-0.1662-0.1592</f>
        <v>-0.32540000000000002</v>
      </c>
      <c r="AI36" s="7">
        <f>-0.1662-0.1592</f>
        <v>-0.32540000000000002</v>
      </c>
      <c r="AJ36" s="7"/>
      <c r="AK36" s="7">
        <v>6.8900000000000003E-3</v>
      </c>
      <c r="AL36" s="2">
        <v>852</v>
      </c>
      <c r="AM36" s="12">
        <v>44404</v>
      </c>
      <c r="AN36" s="7"/>
      <c r="AO36" s="7" t="s">
        <v>195</v>
      </c>
      <c r="AP36" s="7" t="s">
        <v>221</v>
      </c>
      <c r="AQ36" s="7" t="s">
        <v>680</v>
      </c>
      <c r="AR36" s="7" t="s">
        <v>222</v>
      </c>
      <c r="AS36" s="7" t="s">
        <v>62</v>
      </c>
      <c r="AT36" s="7" t="s">
        <v>62</v>
      </c>
      <c r="AU36" s="7"/>
      <c r="AV36" s="7"/>
    </row>
    <row r="37" spans="1:48">
      <c r="A37" s="7">
        <v>36</v>
      </c>
      <c r="B37" s="7">
        <v>13</v>
      </c>
      <c r="C37" s="7" t="s">
        <v>223</v>
      </c>
      <c r="D37" s="7" t="s">
        <v>224</v>
      </c>
      <c r="E37" s="7" t="s">
        <v>225</v>
      </c>
      <c r="F37" s="7" t="s">
        <v>226</v>
      </c>
      <c r="G37" s="7" t="s">
        <v>227</v>
      </c>
      <c r="H37" s="7" t="s">
        <v>150</v>
      </c>
      <c r="I37" s="7" t="s">
        <v>50</v>
      </c>
      <c r="J37" s="7" t="s">
        <v>72</v>
      </c>
      <c r="K37" s="7" t="s">
        <v>72</v>
      </c>
      <c r="L37" s="7" t="s">
        <v>52</v>
      </c>
      <c r="M37" s="7" t="s">
        <v>228</v>
      </c>
      <c r="N37" s="7" t="s">
        <v>229</v>
      </c>
      <c r="O37" s="7">
        <v>0.39900000000000002</v>
      </c>
      <c r="P37" s="7">
        <v>2803</v>
      </c>
      <c r="Q37" s="7">
        <v>0.41</v>
      </c>
      <c r="R37" s="2">
        <v>3239</v>
      </c>
      <c r="S37" s="7"/>
      <c r="T37" s="7"/>
      <c r="U37" s="7" t="s">
        <v>103</v>
      </c>
      <c r="V37" s="7" t="s">
        <v>204</v>
      </c>
      <c r="W37" s="7"/>
      <c r="X37" s="7"/>
      <c r="Y37" s="7" t="s">
        <v>56</v>
      </c>
      <c r="Z37" s="7" t="s">
        <v>230</v>
      </c>
      <c r="AA37" s="7" t="s">
        <v>231</v>
      </c>
      <c r="AB37" s="2" t="s">
        <v>231</v>
      </c>
      <c r="AC37" s="7">
        <v>2.52E-2</v>
      </c>
      <c r="AD37" s="7">
        <v>2.52E-2</v>
      </c>
      <c r="AE37" s="7">
        <v>2.52E-2</v>
      </c>
      <c r="AF37" s="7">
        <v>8.4000000000000003E-4</v>
      </c>
      <c r="AG37" s="7">
        <v>8.4000000000000003E-4</v>
      </c>
      <c r="AH37" s="7">
        <f>-0.0316-0.082</f>
        <v>-0.11360000000000001</v>
      </c>
      <c r="AI37" s="7">
        <f>-0.0316-0.082</f>
        <v>-0.11360000000000001</v>
      </c>
      <c r="AJ37" s="7"/>
      <c r="AK37" s="7">
        <v>8.4000000000000003E-4</v>
      </c>
      <c r="AL37" s="2">
        <v>6042</v>
      </c>
      <c r="AM37" s="12">
        <v>44404</v>
      </c>
      <c r="AN37" s="7"/>
      <c r="AO37" s="7" t="s">
        <v>195</v>
      </c>
      <c r="AP37" s="7" t="s">
        <v>232</v>
      </c>
      <c r="AQ37" s="7" t="s">
        <v>103</v>
      </c>
      <c r="AR37" s="7" t="s">
        <v>62</v>
      </c>
      <c r="AS37" s="7" t="s">
        <v>62</v>
      </c>
      <c r="AT37" s="7" t="s">
        <v>62</v>
      </c>
      <c r="AU37" s="7"/>
      <c r="AV37" s="7"/>
    </row>
    <row r="38" spans="1:48">
      <c r="A38" s="7">
        <v>37</v>
      </c>
      <c r="B38" s="7">
        <v>13</v>
      </c>
      <c r="C38" s="7" t="s">
        <v>223</v>
      </c>
      <c r="D38" s="7" t="s">
        <v>224</v>
      </c>
      <c r="E38" s="7" t="s">
        <v>225</v>
      </c>
      <c r="F38" s="7" t="s">
        <v>226</v>
      </c>
      <c r="G38" s="7" t="s">
        <v>227</v>
      </c>
      <c r="H38" s="7" t="s">
        <v>150</v>
      </c>
      <c r="I38" s="7" t="s">
        <v>50</v>
      </c>
      <c r="J38" s="7" t="s">
        <v>72</v>
      </c>
      <c r="K38" s="7" t="s">
        <v>72</v>
      </c>
      <c r="L38" s="7" t="s">
        <v>73</v>
      </c>
      <c r="M38" s="7" t="s">
        <v>228</v>
      </c>
      <c r="N38" s="7" t="s">
        <v>229</v>
      </c>
      <c r="O38" s="7">
        <v>0.38600000000000001</v>
      </c>
      <c r="P38" s="7">
        <v>2803</v>
      </c>
      <c r="Q38" s="7">
        <v>0.40100000000000002</v>
      </c>
      <c r="R38" s="2">
        <v>3239</v>
      </c>
      <c r="S38" s="7"/>
      <c r="T38" s="7"/>
      <c r="U38" s="7" t="s">
        <v>103</v>
      </c>
      <c r="V38" s="7" t="s">
        <v>204</v>
      </c>
      <c r="W38" s="7"/>
      <c r="X38" s="7"/>
      <c r="Y38" s="7" t="s">
        <v>56</v>
      </c>
      <c r="Z38" s="7" t="s">
        <v>233</v>
      </c>
      <c r="AA38" s="7" t="s">
        <v>231</v>
      </c>
      <c r="AB38" s="2" t="s">
        <v>231</v>
      </c>
      <c r="AC38" s="7">
        <v>3.4700000000000002E-2</v>
      </c>
      <c r="AD38" s="7">
        <v>3.4700000000000002E-2</v>
      </c>
      <c r="AE38" s="7">
        <v>3.4700000000000002E-2</v>
      </c>
      <c r="AF38" s="2">
        <v>8.4800000000000001E-4</v>
      </c>
      <c r="AG38" s="2">
        <v>8.4800000000000001E-4</v>
      </c>
      <c r="AH38" s="2">
        <f>-0.0224-0.0917</f>
        <v>-0.11410000000000001</v>
      </c>
      <c r="AI38" s="2">
        <f>-0.0224-0.0917</f>
        <v>-0.11410000000000001</v>
      </c>
      <c r="AJ38" s="7"/>
      <c r="AK38" s="7">
        <v>8.4800000000000001E-4</v>
      </c>
      <c r="AL38" s="2">
        <v>6042</v>
      </c>
      <c r="AM38" s="12">
        <v>44404</v>
      </c>
      <c r="AN38" s="7"/>
      <c r="AO38" s="7" t="s">
        <v>195</v>
      </c>
      <c r="AP38" s="7"/>
      <c r="AQ38" s="7" t="s">
        <v>103</v>
      </c>
      <c r="AR38" s="7" t="s">
        <v>62</v>
      </c>
      <c r="AS38" s="7" t="s">
        <v>62</v>
      </c>
      <c r="AT38" s="7" t="s">
        <v>62</v>
      </c>
      <c r="AU38" s="7"/>
      <c r="AV38" s="7"/>
    </row>
    <row r="39" spans="1:48">
      <c r="A39" s="7">
        <v>38</v>
      </c>
      <c r="B39" s="7">
        <v>14</v>
      </c>
      <c r="C39" s="7" t="s">
        <v>234</v>
      </c>
      <c r="D39" s="7" t="s">
        <v>235</v>
      </c>
      <c r="E39" s="7" t="s">
        <v>236</v>
      </c>
      <c r="F39" s="7" t="s">
        <v>237</v>
      </c>
      <c r="G39" s="7" t="s">
        <v>699</v>
      </c>
      <c r="H39" s="7" t="s">
        <v>215</v>
      </c>
      <c r="I39" s="7" t="s">
        <v>50</v>
      </c>
      <c r="J39" s="7" t="s">
        <v>72</v>
      </c>
      <c r="K39" s="7" t="s">
        <v>130</v>
      </c>
      <c r="L39" s="7" t="s">
        <v>702</v>
      </c>
      <c r="M39" s="7" t="s">
        <v>53</v>
      </c>
      <c r="N39" s="7" t="s">
        <v>238</v>
      </c>
      <c r="O39" s="7"/>
      <c r="P39" s="7"/>
      <c r="Q39" s="7"/>
      <c r="R39" s="7"/>
      <c r="S39" s="7"/>
      <c r="T39" s="7"/>
      <c r="U39" s="11">
        <v>0.8</v>
      </c>
      <c r="V39" s="7" t="s">
        <v>239</v>
      </c>
      <c r="W39" s="7"/>
      <c r="X39" s="7" t="s">
        <v>240</v>
      </c>
      <c r="Y39" s="7" t="s">
        <v>56</v>
      </c>
      <c r="Z39" s="7" t="s">
        <v>103</v>
      </c>
      <c r="AA39" s="7" t="s">
        <v>103</v>
      </c>
      <c r="AB39" s="7" t="s">
        <v>103</v>
      </c>
      <c r="AC39" s="7" t="s">
        <v>103</v>
      </c>
      <c r="AD39" s="7" t="s">
        <v>103</v>
      </c>
      <c r="AE39" s="7" t="s">
        <v>240</v>
      </c>
      <c r="AF39" s="7" t="s">
        <v>241</v>
      </c>
      <c r="AG39" s="7" t="s">
        <v>103</v>
      </c>
      <c r="AH39" s="7" t="s">
        <v>103</v>
      </c>
      <c r="AI39" s="7" t="s">
        <v>103</v>
      </c>
      <c r="AJ39" s="2">
        <v>6.4000000000000001E-2</v>
      </c>
      <c r="AK39" s="7">
        <v>4.0959999999999998E-3</v>
      </c>
      <c r="AL39" s="7" t="s">
        <v>242</v>
      </c>
      <c r="AM39" s="12">
        <v>44404</v>
      </c>
      <c r="AN39" s="7"/>
      <c r="AO39" s="7" t="s">
        <v>195</v>
      </c>
      <c r="AP39" s="7" t="s">
        <v>243</v>
      </c>
      <c r="AQ39" s="7" t="s">
        <v>244</v>
      </c>
      <c r="AR39" s="7" t="s">
        <v>62</v>
      </c>
      <c r="AS39" s="7" t="s">
        <v>681</v>
      </c>
      <c r="AT39" s="7" t="s">
        <v>245</v>
      </c>
      <c r="AU39" s="7"/>
      <c r="AV39" s="7"/>
    </row>
    <row r="40" spans="1:48">
      <c r="A40" s="7">
        <v>39</v>
      </c>
      <c r="B40" s="7">
        <v>14</v>
      </c>
      <c r="C40" s="7" t="s">
        <v>234</v>
      </c>
      <c r="D40" s="7" t="s">
        <v>235</v>
      </c>
      <c r="E40" s="7" t="s">
        <v>236</v>
      </c>
      <c r="F40" s="7" t="s">
        <v>237</v>
      </c>
      <c r="G40" s="7" t="s">
        <v>699</v>
      </c>
      <c r="H40" s="7" t="s">
        <v>215</v>
      </c>
      <c r="I40" s="7" t="s">
        <v>50</v>
      </c>
      <c r="J40" s="7" t="s">
        <v>72</v>
      </c>
      <c r="K40" s="7" t="s">
        <v>130</v>
      </c>
      <c r="L40" s="7" t="s">
        <v>702</v>
      </c>
      <c r="M40" s="7" t="s">
        <v>53</v>
      </c>
      <c r="N40" s="7" t="s">
        <v>682</v>
      </c>
      <c r="O40" s="7"/>
      <c r="P40" s="7"/>
      <c r="Q40" s="7"/>
      <c r="R40" s="7"/>
      <c r="S40" s="7"/>
      <c r="T40" s="7"/>
      <c r="U40" s="11">
        <v>0.8</v>
      </c>
      <c r="V40" s="7" t="s">
        <v>239</v>
      </c>
      <c r="W40" s="7"/>
      <c r="X40" s="7"/>
      <c r="Y40" s="7" t="s">
        <v>56</v>
      </c>
      <c r="Z40" s="7" t="s">
        <v>103</v>
      </c>
      <c r="AA40" s="7" t="s">
        <v>103</v>
      </c>
      <c r="AB40" s="7" t="s">
        <v>103</v>
      </c>
      <c r="AC40" s="7" t="s">
        <v>103</v>
      </c>
      <c r="AD40" s="7" t="s">
        <v>103</v>
      </c>
      <c r="AE40" s="2">
        <v>-0.23200000000000001</v>
      </c>
      <c r="AF40" s="2" t="s">
        <v>683</v>
      </c>
      <c r="AG40" s="7" t="s">
        <v>103</v>
      </c>
      <c r="AH40" s="7" t="s">
        <v>103</v>
      </c>
      <c r="AI40" s="7" t="s">
        <v>103</v>
      </c>
      <c r="AJ40" s="7"/>
      <c r="AK40" s="7">
        <v>7.3999999999999996E-2</v>
      </c>
      <c r="AL40" s="7" t="s">
        <v>103</v>
      </c>
      <c r="AM40" s="12">
        <v>44404</v>
      </c>
      <c r="AN40" s="7"/>
      <c r="AO40" s="7" t="s">
        <v>195</v>
      </c>
      <c r="AP40" s="7" t="s">
        <v>243</v>
      </c>
      <c r="AQ40" s="7" t="s">
        <v>684</v>
      </c>
      <c r="AR40" s="7"/>
      <c r="AS40" s="7"/>
      <c r="AT40" s="7"/>
      <c r="AU40" s="7"/>
      <c r="AV40" s="7" t="s">
        <v>103</v>
      </c>
    </row>
    <row r="41" spans="1:48">
      <c r="A41" s="7">
        <v>40</v>
      </c>
      <c r="B41" s="7">
        <v>15</v>
      </c>
      <c r="C41" s="7" t="s">
        <v>246</v>
      </c>
      <c r="D41" s="7" t="s">
        <v>247</v>
      </c>
      <c r="E41" s="2" t="s">
        <v>685</v>
      </c>
      <c r="F41" s="2" t="s">
        <v>248</v>
      </c>
      <c r="G41" s="7" t="s">
        <v>209</v>
      </c>
      <c r="H41" s="7" t="s">
        <v>291</v>
      </c>
      <c r="I41" s="7" t="s">
        <v>50</v>
      </c>
      <c r="J41" s="7" t="s">
        <v>72</v>
      </c>
      <c r="K41" s="7" t="s">
        <v>130</v>
      </c>
      <c r="L41" s="7" t="s">
        <v>73</v>
      </c>
      <c r="M41" s="7" t="s">
        <v>53</v>
      </c>
      <c r="N41" s="7" t="s">
        <v>249</v>
      </c>
      <c r="O41" s="7"/>
      <c r="P41" s="7"/>
      <c r="Q41" s="7"/>
      <c r="R41" s="7"/>
      <c r="S41" s="7"/>
      <c r="T41" s="7"/>
      <c r="U41" s="7" t="s">
        <v>103</v>
      </c>
      <c r="V41" s="7" t="s">
        <v>91</v>
      </c>
      <c r="W41" s="7" t="s">
        <v>250</v>
      </c>
      <c r="X41" s="2">
        <v>-0.14000000000000001</v>
      </c>
      <c r="Y41" s="7" t="s">
        <v>56</v>
      </c>
      <c r="Z41" s="7" t="s">
        <v>103</v>
      </c>
      <c r="AA41" s="7" t="s">
        <v>103</v>
      </c>
      <c r="AB41" s="7" t="s">
        <v>103</v>
      </c>
      <c r="AC41" s="7" t="s">
        <v>103</v>
      </c>
      <c r="AD41" s="7" t="s">
        <v>103</v>
      </c>
      <c r="AE41" s="2">
        <v>-0.14000000000000001</v>
      </c>
      <c r="AF41" s="7" t="s">
        <v>251</v>
      </c>
      <c r="AG41" s="7"/>
      <c r="AH41" s="7" t="s">
        <v>252</v>
      </c>
      <c r="AI41" s="7" t="s">
        <v>252</v>
      </c>
      <c r="AJ41" s="7"/>
      <c r="AK41" s="2" t="s">
        <v>686</v>
      </c>
      <c r="AL41" s="7" t="s">
        <v>253</v>
      </c>
      <c r="AM41" s="12">
        <v>44404</v>
      </c>
      <c r="AN41" s="7"/>
      <c r="AO41" s="7" t="s">
        <v>195</v>
      </c>
      <c r="AP41" s="7" t="s">
        <v>254</v>
      </c>
      <c r="AQ41" s="7" t="s">
        <v>255</v>
      </c>
      <c r="AR41" s="7" t="s">
        <v>62</v>
      </c>
      <c r="AS41" s="7" t="s">
        <v>256</v>
      </c>
      <c r="AT41" s="7" t="s">
        <v>62</v>
      </c>
      <c r="AU41" s="7"/>
      <c r="AV41" s="7"/>
    </row>
    <row r="42" spans="1:48">
      <c r="A42" s="7">
        <v>41</v>
      </c>
      <c r="B42" s="7">
        <v>15</v>
      </c>
      <c r="C42" s="7" t="s">
        <v>246</v>
      </c>
      <c r="D42" s="7" t="s">
        <v>247</v>
      </c>
      <c r="E42" s="2" t="s">
        <v>687</v>
      </c>
      <c r="F42" s="2" t="s">
        <v>257</v>
      </c>
      <c r="G42" s="7" t="s">
        <v>258</v>
      </c>
      <c r="H42" s="7" t="s">
        <v>150</v>
      </c>
      <c r="I42" s="7" t="s">
        <v>50</v>
      </c>
      <c r="J42" s="7" t="s">
        <v>72</v>
      </c>
      <c r="K42" s="7" t="s">
        <v>130</v>
      </c>
      <c r="L42" s="7" t="s">
        <v>73</v>
      </c>
      <c r="M42" s="7" t="s">
        <v>53</v>
      </c>
      <c r="N42" s="7" t="s">
        <v>249</v>
      </c>
      <c r="O42" s="7"/>
      <c r="P42" s="7"/>
      <c r="Q42" s="7"/>
      <c r="R42" s="7"/>
      <c r="S42" s="7"/>
      <c r="T42" s="7"/>
      <c r="U42" s="7" t="s">
        <v>103</v>
      </c>
      <c r="V42" s="7" t="s">
        <v>91</v>
      </c>
      <c r="W42" s="7" t="s">
        <v>250</v>
      </c>
      <c r="X42" s="2">
        <v>-0.06</v>
      </c>
      <c r="Y42" s="7" t="s">
        <v>56</v>
      </c>
      <c r="Z42" s="7" t="s">
        <v>103</v>
      </c>
      <c r="AA42" s="7" t="s">
        <v>103</v>
      </c>
      <c r="AB42" s="7" t="s">
        <v>103</v>
      </c>
      <c r="AC42" s="7" t="s">
        <v>103</v>
      </c>
      <c r="AD42" s="7" t="s">
        <v>103</v>
      </c>
      <c r="AE42" s="2">
        <v>-0.06</v>
      </c>
      <c r="AF42" s="7" t="s">
        <v>259</v>
      </c>
      <c r="AG42" s="7"/>
      <c r="AH42" s="7" t="s">
        <v>260</v>
      </c>
      <c r="AI42" s="7" t="s">
        <v>260</v>
      </c>
      <c r="AJ42" s="7"/>
      <c r="AK42" s="2">
        <v>4.3992086630000003E-3</v>
      </c>
      <c r="AL42" s="7" t="s">
        <v>261</v>
      </c>
      <c r="AM42" s="12">
        <v>44404</v>
      </c>
      <c r="AN42" s="7"/>
      <c r="AO42" s="7" t="s">
        <v>195</v>
      </c>
      <c r="AP42" s="7" t="s">
        <v>262</v>
      </c>
      <c r="AQ42" s="7" t="s">
        <v>255</v>
      </c>
      <c r="AR42" s="7" t="s">
        <v>62</v>
      </c>
      <c r="AS42" s="7" t="s">
        <v>256</v>
      </c>
      <c r="AT42" s="7" t="s">
        <v>62</v>
      </c>
      <c r="AU42" s="7"/>
      <c r="AV42" s="7"/>
    </row>
    <row r="43" spans="1:48">
      <c r="A43" s="7">
        <v>42</v>
      </c>
      <c r="B43" s="7">
        <v>16</v>
      </c>
      <c r="C43" s="7" t="s">
        <v>263</v>
      </c>
      <c r="D43" s="5" t="s">
        <v>264</v>
      </c>
      <c r="E43" s="7" t="s">
        <v>265</v>
      </c>
      <c r="F43" s="7" t="s">
        <v>266</v>
      </c>
      <c r="G43" s="7" t="s">
        <v>267</v>
      </c>
      <c r="H43" s="7" t="s">
        <v>291</v>
      </c>
      <c r="I43" s="7" t="s">
        <v>50</v>
      </c>
      <c r="J43" s="7" t="s">
        <v>51</v>
      </c>
      <c r="K43" s="7" t="s">
        <v>51</v>
      </c>
      <c r="L43" s="7" t="s">
        <v>52</v>
      </c>
      <c r="M43" s="7" t="s">
        <v>53</v>
      </c>
      <c r="N43" s="7" t="s">
        <v>268</v>
      </c>
      <c r="O43" s="7">
        <v>0.223</v>
      </c>
      <c r="P43" s="7">
        <v>788</v>
      </c>
      <c r="Q43" s="7">
        <v>0.27400000000000002</v>
      </c>
      <c r="R43" s="2">
        <v>838</v>
      </c>
      <c r="S43" s="7"/>
      <c r="T43" s="7"/>
      <c r="U43" s="11">
        <v>0.95</v>
      </c>
      <c r="V43" s="7" t="s">
        <v>239</v>
      </c>
      <c r="W43" s="7"/>
      <c r="X43" s="7"/>
      <c r="Y43" s="7" t="s">
        <v>56</v>
      </c>
      <c r="Z43" s="7" t="s">
        <v>269</v>
      </c>
      <c r="AA43" s="7" t="s">
        <v>220</v>
      </c>
      <c r="AB43" s="7" t="s">
        <v>270</v>
      </c>
      <c r="AC43" s="7">
        <v>0.15110000000000001</v>
      </c>
      <c r="AD43" s="7">
        <v>0.15110000000000001</v>
      </c>
      <c r="AE43" s="7">
        <v>0.15110000000000001</v>
      </c>
      <c r="AF43" s="7">
        <v>4.045E-3</v>
      </c>
      <c r="AG43" s="2">
        <v>4.045E-3</v>
      </c>
      <c r="AH43" s="7" t="s">
        <v>271</v>
      </c>
      <c r="AI43" s="7" t="s">
        <v>271</v>
      </c>
      <c r="AJ43" s="7"/>
      <c r="AK43" s="7">
        <v>4.045E-3</v>
      </c>
      <c r="AL43" s="2">
        <v>1626</v>
      </c>
      <c r="AM43" s="12">
        <v>44404</v>
      </c>
      <c r="AN43" s="7"/>
      <c r="AO43" s="7" t="s">
        <v>195</v>
      </c>
      <c r="AP43" s="7" t="s">
        <v>272</v>
      </c>
      <c r="AQ43" s="7" t="s">
        <v>273</v>
      </c>
      <c r="AR43" s="7" t="s">
        <v>62</v>
      </c>
      <c r="AS43" s="7" t="s">
        <v>62</v>
      </c>
      <c r="AT43" s="7" t="s">
        <v>62</v>
      </c>
      <c r="AU43" s="7"/>
      <c r="AV43" s="7"/>
    </row>
    <row r="44" spans="1:48">
      <c r="A44" s="7">
        <v>43</v>
      </c>
      <c r="B44" s="7">
        <v>16</v>
      </c>
      <c r="C44" s="7" t="s">
        <v>263</v>
      </c>
      <c r="D44" s="5" t="s">
        <v>264</v>
      </c>
      <c r="E44" s="7" t="s">
        <v>265</v>
      </c>
      <c r="F44" s="7" t="s">
        <v>266</v>
      </c>
      <c r="G44" s="7" t="s">
        <v>267</v>
      </c>
      <c r="H44" s="7" t="s">
        <v>291</v>
      </c>
      <c r="I44" s="7" t="s">
        <v>50</v>
      </c>
      <c r="J44" s="7" t="s">
        <v>51</v>
      </c>
      <c r="K44" s="7" t="s">
        <v>51</v>
      </c>
      <c r="L44" s="7" t="s">
        <v>64</v>
      </c>
      <c r="M44" s="7" t="s">
        <v>53</v>
      </c>
      <c r="N44" s="7" t="s">
        <v>268</v>
      </c>
      <c r="O44" s="7">
        <v>0.15</v>
      </c>
      <c r="P44" s="7">
        <v>661</v>
      </c>
      <c r="Q44" s="7">
        <v>0.193</v>
      </c>
      <c r="R44" s="2">
        <v>716</v>
      </c>
      <c r="S44" s="7"/>
      <c r="T44" s="7"/>
      <c r="U44" s="11">
        <v>0.95</v>
      </c>
      <c r="V44" s="7" t="s">
        <v>239</v>
      </c>
      <c r="W44" s="7"/>
      <c r="X44" s="7"/>
      <c r="Y44" s="7" t="s">
        <v>56</v>
      </c>
      <c r="Z44" s="7" t="s">
        <v>274</v>
      </c>
      <c r="AA44" s="7" t="s">
        <v>220</v>
      </c>
      <c r="AB44" s="7" t="s">
        <v>270</v>
      </c>
      <c r="AC44" s="7">
        <v>0.1676</v>
      </c>
      <c r="AD44" s="7">
        <v>0.1676</v>
      </c>
      <c r="AE44" s="7">
        <v>0.1676</v>
      </c>
      <c r="AF44" s="7">
        <v>6.3400000000000001E-3</v>
      </c>
      <c r="AG44" s="2">
        <v>6.3400000000000001E-3</v>
      </c>
      <c r="AH44" s="7" t="s">
        <v>275</v>
      </c>
      <c r="AI44" s="7" t="s">
        <v>275</v>
      </c>
      <c r="AJ44" s="7"/>
      <c r="AK44" s="7">
        <v>6.3400000000000001E-3</v>
      </c>
      <c r="AL44" s="2">
        <v>1377</v>
      </c>
      <c r="AM44" s="12">
        <v>44404</v>
      </c>
      <c r="AN44" s="7"/>
      <c r="AO44" s="7" t="s">
        <v>195</v>
      </c>
      <c r="AP44" s="7"/>
      <c r="AQ44" s="7" t="s">
        <v>273</v>
      </c>
      <c r="AR44" s="7" t="s">
        <v>62</v>
      </c>
      <c r="AS44" s="7" t="s">
        <v>62</v>
      </c>
      <c r="AT44" s="7" t="s">
        <v>62</v>
      </c>
      <c r="AU44" s="7"/>
      <c r="AV44" s="7"/>
    </row>
    <row r="45" spans="1:48">
      <c r="A45" s="7">
        <v>44</v>
      </c>
      <c r="B45" s="7">
        <v>17</v>
      </c>
      <c r="C45" s="7" t="s">
        <v>276</v>
      </c>
      <c r="D45" s="7" t="s">
        <v>277</v>
      </c>
      <c r="E45" s="7" t="s">
        <v>278</v>
      </c>
      <c r="F45" s="7" t="s">
        <v>279</v>
      </c>
      <c r="G45" s="7" t="s">
        <v>280</v>
      </c>
      <c r="H45" s="7" t="s">
        <v>291</v>
      </c>
      <c r="I45" s="7" t="s">
        <v>50</v>
      </c>
      <c r="J45" s="7" t="s">
        <v>51</v>
      </c>
      <c r="K45" s="7" t="s">
        <v>51</v>
      </c>
      <c r="L45" s="7" t="s">
        <v>702</v>
      </c>
      <c r="M45" s="7" t="s">
        <v>53</v>
      </c>
      <c r="N45" s="7" t="s">
        <v>268</v>
      </c>
      <c r="O45" s="7">
        <v>0.35399999999999998</v>
      </c>
      <c r="P45" s="7">
        <v>33049</v>
      </c>
      <c r="Q45" s="7">
        <v>0.29399999999999998</v>
      </c>
      <c r="R45" s="2">
        <v>1925</v>
      </c>
      <c r="S45" s="7"/>
      <c r="T45" s="7"/>
      <c r="U45" s="11">
        <v>0.99</v>
      </c>
      <c r="V45" s="7" t="s">
        <v>91</v>
      </c>
      <c r="W45" s="7"/>
      <c r="X45" s="7"/>
      <c r="Y45" s="7" t="s">
        <v>56</v>
      </c>
      <c r="Z45" s="7" t="s">
        <v>281</v>
      </c>
      <c r="AA45" s="7" t="s">
        <v>220</v>
      </c>
      <c r="AB45" s="7" t="s">
        <v>270</v>
      </c>
      <c r="AC45" s="7">
        <v>-0.15110000000000001</v>
      </c>
      <c r="AD45" s="7">
        <v>-0.15110000000000001</v>
      </c>
      <c r="AE45" s="7">
        <v>-0.15110000000000001</v>
      </c>
      <c r="AF45" s="7">
        <v>8.0099999999999995E-4</v>
      </c>
      <c r="AG45" s="2">
        <v>8.0099999999999995E-4</v>
      </c>
      <c r="AH45" s="7">
        <f>-0.2066--0.0956</f>
        <v>-0.111</v>
      </c>
      <c r="AI45" s="7">
        <f>-0.2066- -0.0956</f>
        <v>-0.111</v>
      </c>
      <c r="AJ45" s="7"/>
      <c r="AK45" s="7">
        <v>8.0099999999999995E-4</v>
      </c>
      <c r="AL45" s="7">
        <v>34974</v>
      </c>
      <c r="AM45" s="12">
        <v>44404</v>
      </c>
      <c r="AN45" s="7"/>
      <c r="AO45" s="7" t="s">
        <v>195</v>
      </c>
      <c r="AP45" s="7"/>
      <c r="AQ45" s="7"/>
      <c r="AR45" s="7" t="s">
        <v>62</v>
      </c>
      <c r="AS45" s="7" t="s">
        <v>282</v>
      </c>
      <c r="AT45" s="7" t="s">
        <v>62</v>
      </c>
      <c r="AU45" s="7"/>
      <c r="AV45" s="7"/>
    </row>
    <row r="46" spans="1:48">
      <c r="A46" s="7">
        <v>45</v>
      </c>
      <c r="B46" s="7">
        <v>17</v>
      </c>
      <c r="C46" s="7" t="s">
        <v>276</v>
      </c>
      <c r="D46" s="7" t="s">
        <v>277</v>
      </c>
      <c r="E46" s="7" t="s">
        <v>278</v>
      </c>
      <c r="F46" s="7" t="s">
        <v>279</v>
      </c>
      <c r="G46" s="7" t="s">
        <v>280</v>
      </c>
      <c r="H46" s="7" t="s">
        <v>291</v>
      </c>
      <c r="I46" s="7" t="s">
        <v>50</v>
      </c>
      <c r="J46" s="7" t="s">
        <v>51</v>
      </c>
      <c r="K46" s="7" t="s">
        <v>51</v>
      </c>
      <c r="L46" s="7" t="s">
        <v>52</v>
      </c>
      <c r="M46" s="7" t="s">
        <v>53</v>
      </c>
      <c r="N46" s="7" t="s">
        <v>268</v>
      </c>
      <c r="O46" s="7">
        <v>0.372</v>
      </c>
      <c r="P46" s="7">
        <v>6473</v>
      </c>
      <c r="Q46" s="7">
        <v>0.29599999999999999</v>
      </c>
      <c r="R46" s="2">
        <v>402</v>
      </c>
      <c r="S46" s="7"/>
      <c r="T46" s="7"/>
      <c r="U46" s="11">
        <v>0.99</v>
      </c>
      <c r="V46" s="7" t="s">
        <v>91</v>
      </c>
      <c r="W46" s="7"/>
      <c r="X46" s="7"/>
      <c r="Y46" s="7" t="s">
        <v>56</v>
      </c>
      <c r="Z46" s="7" t="s">
        <v>283</v>
      </c>
      <c r="AA46" s="7" t="s">
        <v>220</v>
      </c>
      <c r="AB46" s="7" t="s">
        <v>270</v>
      </c>
      <c r="AC46" s="7">
        <v>-0.18890000000000001</v>
      </c>
      <c r="AD46" s="7">
        <v>-0.18890000000000001</v>
      </c>
      <c r="AE46" s="7">
        <v>-0.18890000000000001</v>
      </c>
      <c r="AF46" s="7">
        <v>3.8289999999999999E-3</v>
      </c>
      <c r="AG46" s="2">
        <v>3.8289999999999999E-3</v>
      </c>
      <c r="AH46" s="7">
        <f>-0.3102- -0.0677</f>
        <v>-0.24249999999999999</v>
      </c>
      <c r="AI46" s="7">
        <f>-0.3102--0.0677</f>
        <v>-0.24249999999999999</v>
      </c>
      <c r="AJ46" s="7"/>
      <c r="AK46" s="7">
        <v>3.8289999999999999E-3</v>
      </c>
      <c r="AL46" s="7">
        <v>6875</v>
      </c>
      <c r="AM46" s="12">
        <v>44404</v>
      </c>
      <c r="AN46" s="7"/>
      <c r="AO46" s="7" t="s">
        <v>195</v>
      </c>
      <c r="AP46" s="7"/>
      <c r="AQ46" s="7"/>
      <c r="AR46" s="7" t="s">
        <v>62</v>
      </c>
      <c r="AS46" s="7" t="s">
        <v>282</v>
      </c>
      <c r="AT46" s="7" t="s">
        <v>62</v>
      </c>
      <c r="AU46" s="7"/>
      <c r="AV46" s="7"/>
    </row>
    <row r="47" spans="1:48">
      <c r="A47" s="7">
        <v>46</v>
      </c>
      <c r="B47" s="7">
        <v>17</v>
      </c>
      <c r="C47" s="7" t="s">
        <v>276</v>
      </c>
      <c r="D47" s="7" t="s">
        <v>277</v>
      </c>
      <c r="E47" s="7" t="s">
        <v>278</v>
      </c>
      <c r="F47" s="7" t="s">
        <v>279</v>
      </c>
      <c r="G47" s="7" t="s">
        <v>280</v>
      </c>
      <c r="H47" s="7" t="s">
        <v>291</v>
      </c>
      <c r="I47" s="7" t="s">
        <v>50</v>
      </c>
      <c r="J47" s="7" t="s">
        <v>51</v>
      </c>
      <c r="K47" s="7" t="s">
        <v>51</v>
      </c>
      <c r="L47" s="7" t="s">
        <v>124</v>
      </c>
      <c r="M47" s="7" t="s">
        <v>53</v>
      </c>
      <c r="N47" s="7" t="s">
        <v>268</v>
      </c>
      <c r="O47" s="7">
        <v>0.36699999999999999</v>
      </c>
      <c r="P47" s="7">
        <v>20570</v>
      </c>
      <c r="Q47" s="7">
        <v>0.315</v>
      </c>
      <c r="R47" s="2">
        <v>1179</v>
      </c>
      <c r="S47" s="7"/>
      <c r="T47" s="7"/>
      <c r="U47" s="11">
        <v>0.99</v>
      </c>
      <c r="V47" s="7" t="s">
        <v>91</v>
      </c>
      <c r="W47" s="7"/>
      <c r="X47" s="7"/>
      <c r="Y47" s="7" t="s">
        <v>56</v>
      </c>
      <c r="Z47" s="7" t="s">
        <v>284</v>
      </c>
      <c r="AA47" s="7" t="s">
        <v>220</v>
      </c>
      <c r="AB47" s="7" t="s">
        <v>270</v>
      </c>
      <c r="AC47" s="7">
        <v>-0.12889999999999999</v>
      </c>
      <c r="AD47" s="7">
        <v>-0.12889999999999999</v>
      </c>
      <c r="AE47" s="7">
        <v>-0.12889999999999999</v>
      </c>
      <c r="AF47" s="7">
        <v>1.2589999999999999E-3</v>
      </c>
      <c r="AG47" s="2">
        <v>1.2589999999999999E-3</v>
      </c>
      <c r="AH47" s="7">
        <f>-0.1985- -0.0594</f>
        <v>-0.1391</v>
      </c>
      <c r="AI47" s="7">
        <f>-0.1985- -0.0594</f>
        <v>-0.1391</v>
      </c>
      <c r="AJ47" s="7"/>
      <c r="AK47" s="7">
        <v>1.2589999999999999E-3</v>
      </c>
      <c r="AL47" s="7">
        <v>21749</v>
      </c>
      <c r="AM47" s="12">
        <v>44404</v>
      </c>
      <c r="AN47" s="7"/>
      <c r="AO47" s="7" t="s">
        <v>195</v>
      </c>
      <c r="AP47" s="7"/>
      <c r="AQ47" s="7"/>
      <c r="AR47" s="7" t="s">
        <v>62</v>
      </c>
      <c r="AS47" s="7" t="s">
        <v>282</v>
      </c>
      <c r="AT47" s="7" t="s">
        <v>62</v>
      </c>
      <c r="AU47" s="7"/>
      <c r="AV47" s="7"/>
    </row>
    <row r="48" spans="1:48">
      <c r="A48" s="7">
        <v>47</v>
      </c>
      <c r="B48" s="7">
        <v>17</v>
      </c>
      <c r="C48" s="7" t="s">
        <v>276</v>
      </c>
      <c r="D48" s="7" t="s">
        <v>277</v>
      </c>
      <c r="E48" s="7" t="s">
        <v>278</v>
      </c>
      <c r="F48" s="7" t="s">
        <v>279</v>
      </c>
      <c r="G48" s="7" t="s">
        <v>280</v>
      </c>
      <c r="H48" s="7" t="s">
        <v>291</v>
      </c>
      <c r="I48" s="7" t="s">
        <v>50</v>
      </c>
      <c r="J48" s="7" t="s">
        <v>51</v>
      </c>
      <c r="K48" s="7" t="s">
        <v>51</v>
      </c>
      <c r="L48" s="7" t="s">
        <v>64</v>
      </c>
      <c r="M48" s="7" t="s">
        <v>53</v>
      </c>
      <c r="N48" s="7" t="s">
        <v>268</v>
      </c>
      <c r="O48" s="7">
        <v>0.28899999999999998</v>
      </c>
      <c r="P48" s="7">
        <v>6006</v>
      </c>
      <c r="Q48" s="7">
        <v>0.221</v>
      </c>
      <c r="R48" s="2">
        <v>344</v>
      </c>
      <c r="S48" s="7"/>
      <c r="T48" s="7"/>
      <c r="U48" s="11">
        <v>0.99</v>
      </c>
      <c r="V48" s="7" t="s">
        <v>91</v>
      </c>
      <c r="W48" s="7"/>
      <c r="X48" s="7"/>
      <c r="Y48" s="7" t="s">
        <v>56</v>
      </c>
      <c r="Z48" s="7" t="s">
        <v>285</v>
      </c>
      <c r="AA48" s="7" t="s">
        <v>220</v>
      </c>
      <c r="AB48" s="7" t="s">
        <v>270</v>
      </c>
      <c r="AC48" s="7">
        <v>-0.19900000000000001</v>
      </c>
      <c r="AD48" s="7">
        <v>-0.19900000000000001</v>
      </c>
      <c r="AE48" s="7">
        <v>-0.19900000000000001</v>
      </c>
      <c r="AF48" s="7">
        <v>5.3800000000000002E-3</v>
      </c>
      <c r="AG48" s="2">
        <v>5.3800000000000002E-3</v>
      </c>
      <c r="AH48" s="7">
        <f>-0.3428- -0.0553</f>
        <v>-0.28749999999999998</v>
      </c>
      <c r="AI48" s="7">
        <f>-0.3428- -0.0553</f>
        <v>-0.28749999999999998</v>
      </c>
      <c r="AJ48" s="7"/>
      <c r="AK48" s="7">
        <v>5.3800000000000002E-3</v>
      </c>
      <c r="AL48" s="7">
        <v>6350</v>
      </c>
      <c r="AM48" s="12">
        <v>44404</v>
      </c>
      <c r="AN48" s="7"/>
      <c r="AO48" s="7" t="s">
        <v>195</v>
      </c>
      <c r="AP48" s="7"/>
      <c r="AQ48" s="7"/>
      <c r="AR48" s="7" t="s">
        <v>62</v>
      </c>
      <c r="AS48" s="7" t="s">
        <v>282</v>
      </c>
      <c r="AT48" s="7" t="s">
        <v>62</v>
      </c>
      <c r="AU48" s="7"/>
      <c r="AV48" s="7"/>
    </row>
    <row r="49" spans="1:48">
      <c r="A49" s="7">
        <v>48</v>
      </c>
      <c r="B49" s="7">
        <v>18</v>
      </c>
      <c r="C49" s="2" t="s">
        <v>286</v>
      </c>
      <c r="D49" s="7" t="s">
        <v>287</v>
      </c>
      <c r="E49" s="7" t="s">
        <v>288</v>
      </c>
      <c r="F49" s="7" t="s">
        <v>289</v>
      </c>
      <c r="G49" s="7" t="s">
        <v>290</v>
      </c>
      <c r="H49" s="7" t="s">
        <v>291</v>
      </c>
      <c r="I49" s="7" t="s">
        <v>50</v>
      </c>
      <c r="J49" s="7" t="s">
        <v>51</v>
      </c>
      <c r="K49" s="7" t="s">
        <v>51</v>
      </c>
      <c r="L49" s="7" t="s">
        <v>52</v>
      </c>
      <c r="M49" s="7" t="s">
        <v>292</v>
      </c>
      <c r="N49" s="7" t="s">
        <v>293</v>
      </c>
      <c r="O49" s="7">
        <v>0.38</v>
      </c>
      <c r="P49" s="7">
        <v>85373</v>
      </c>
      <c r="Q49" s="7">
        <v>0.33</v>
      </c>
      <c r="R49" s="2">
        <v>1929</v>
      </c>
      <c r="S49" s="7"/>
      <c r="T49" s="7"/>
      <c r="U49" s="7"/>
      <c r="V49" s="7" t="s">
        <v>91</v>
      </c>
      <c r="W49" s="7" t="s">
        <v>294</v>
      </c>
      <c r="X49" s="2">
        <v>-0.34</v>
      </c>
      <c r="Y49" s="7" t="s">
        <v>56</v>
      </c>
      <c r="Z49" s="7" t="s">
        <v>295</v>
      </c>
      <c r="AA49" s="7" t="s">
        <v>296</v>
      </c>
      <c r="AB49" s="2" t="s">
        <v>296</v>
      </c>
      <c r="AC49" s="7">
        <v>-0.129</v>
      </c>
      <c r="AD49" s="7">
        <v>-0.12920000000000001</v>
      </c>
      <c r="AE49" s="7">
        <v>-0.12920000000000001</v>
      </c>
      <c r="AF49" s="7">
        <v>7.45E-4</v>
      </c>
      <c r="AG49" s="2">
        <v>7.3200000000000001E-4</v>
      </c>
      <c r="AH49" s="7">
        <f>-0.1825 - -0.0755</f>
        <v>-0.107</v>
      </c>
      <c r="AI49" s="7">
        <f>-0.1822 - -0.0762</f>
        <v>-0.106</v>
      </c>
      <c r="AJ49" s="7"/>
      <c r="AK49" s="7">
        <v>7.3200000000000001E-4</v>
      </c>
      <c r="AL49" s="2">
        <v>87266</v>
      </c>
      <c r="AM49" s="12">
        <v>44404</v>
      </c>
      <c r="AN49" s="7"/>
      <c r="AO49" s="7" t="s">
        <v>297</v>
      </c>
      <c r="AP49" s="7" t="s">
        <v>298</v>
      </c>
      <c r="AQ49" s="7" t="s">
        <v>688</v>
      </c>
      <c r="AR49" s="7" t="s">
        <v>62</v>
      </c>
      <c r="AS49" s="7" t="s">
        <v>62</v>
      </c>
      <c r="AT49" s="7" t="s">
        <v>62</v>
      </c>
      <c r="AU49" s="7"/>
      <c r="AV49" s="7"/>
    </row>
    <row r="50" spans="1:48">
      <c r="A50" s="7">
        <v>49</v>
      </c>
      <c r="B50" s="7">
        <v>18</v>
      </c>
      <c r="C50" s="2" t="s">
        <v>286</v>
      </c>
      <c r="D50" s="7" t="s">
        <v>287</v>
      </c>
      <c r="E50" s="7" t="s">
        <v>288</v>
      </c>
      <c r="F50" s="7" t="s">
        <v>289</v>
      </c>
      <c r="G50" s="7" t="s">
        <v>290</v>
      </c>
      <c r="H50" s="7" t="s">
        <v>291</v>
      </c>
      <c r="I50" s="7" t="s">
        <v>50</v>
      </c>
      <c r="J50" s="7" t="s">
        <v>51</v>
      </c>
      <c r="K50" s="7" t="s">
        <v>51</v>
      </c>
      <c r="L50" s="7" t="s">
        <v>64</v>
      </c>
      <c r="M50" s="7" t="s">
        <v>292</v>
      </c>
      <c r="N50" s="7" t="s">
        <v>293</v>
      </c>
      <c r="O50" s="7">
        <v>0.35</v>
      </c>
      <c r="P50" s="7">
        <v>85373</v>
      </c>
      <c r="Q50" s="7">
        <v>0.34</v>
      </c>
      <c r="R50" s="2">
        <v>1929</v>
      </c>
      <c r="S50" s="7"/>
      <c r="T50" s="7"/>
      <c r="U50" s="7"/>
      <c r="V50" s="7" t="s">
        <v>91</v>
      </c>
      <c r="W50" s="7" t="s">
        <v>294</v>
      </c>
      <c r="X50" s="2">
        <v>-0.12</v>
      </c>
      <c r="Y50" s="7" t="s">
        <v>56</v>
      </c>
      <c r="Z50" s="7" t="s">
        <v>299</v>
      </c>
      <c r="AA50" s="7" t="s">
        <v>300</v>
      </c>
      <c r="AB50" s="2" t="s">
        <v>300</v>
      </c>
      <c r="AC50" s="7">
        <v>-3.7699999999999997E-2</v>
      </c>
      <c r="AD50" s="7">
        <v>-1.35E-2</v>
      </c>
      <c r="AE50" s="7">
        <v>-1.35E-2</v>
      </c>
      <c r="AF50" s="7">
        <v>7.36E-4</v>
      </c>
      <c r="AG50" s="2">
        <v>8.0099999999999995E-4</v>
      </c>
      <c r="AH50" s="7">
        <f>-0.0909 - 0.0154</f>
        <v>-0.10629999999999999</v>
      </c>
      <c r="AI50" s="7">
        <f>-0.069 - 0.0419</f>
        <v>-0.1109</v>
      </c>
      <c r="AJ50" s="7"/>
      <c r="AK50" s="7">
        <v>8.0099999999999995E-4</v>
      </c>
      <c r="AL50" s="2">
        <v>87266</v>
      </c>
      <c r="AM50" s="12">
        <v>44404</v>
      </c>
      <c r="AN50" s="7"/>
      <c r="AO50" s="7" t="s">
        <v>297</v>
      </c>
      <c r="AP50" s="7" t="s">
        <v>298</v>
      </c>
      <c r="AQ50" s="7" t="s">
        <v>688</v>
      </c>
      <c r="AR50" s="7" t="s">
        <v>62</v>
      </c>
      <c r="AS50" s="7" t="s">
        <v>62</v>
      </c>
      <c r="AT50" s="7" t="s">
        <v>62</v>
      </c>
      <c r="AU50" s="7"/>
      <c r="AV50" s="7"/>
    </row>
    <row r="51" spans="1:48">
      <c r="A51" s="7">
        <v>50</v>
      </c>
      <c r="B51" s="7">
        <v>18</v>
      </c>
      <c r="C51" s="2" t="s">
        <v>286</v>
      </c>
      <c r="D51" s="7" t="s">
        <v>287</v>
      </c>
      <c r="E51" s="7" t="s">
        <v>288</v>
      </c>
      <c r="F51" s="7" t="s">
        <v>289</v>
      </c>
      <c r="G51" s="7" t="s">
        <v>290</v>
      </c>
      <c r="H51" s="7" t="s">
        <v>291</v>
      </c>
      <c r="I51" s="7" t="s">
        <v>50</v>
      </c>
      <c r="J51" s="7" t="s">
        <v>51</v>
      </c>
      <c r="K51" s="7" t="s">
        <v>51</v>
      </c>
      <c r="L51" s="7" t="s">
        <v>702</v>
      </c>
      <c r="M51" s="7" t="s">
        <v>292</v>
      </c>
      <c r="N51" s="7" t="s">
        <v>293</v>
      </c>
      <c r="O51" s="7">
        <v>0.28000000000000003</v>
      </c>
      <c r="P51" s="7">
        <v>85373</v>
      </c>
      <c r="Q51" s="7">
        <v>0.28000000000000003</v>
      </c>
      <c r="R51" s="2">
        <v>1929</v>
      </c>
      <c r="S51" s="7"/>
      <c r="T51" s="7"/>
      <c r="U51" s="7"/>
      <c r="V51" s="7" t="s">
        <v>91</v>
      </c>
      <c r="W51" s="7" t="s">
        <v>294</v>
      </c>
      <c r="X51" s="2">
        <v>-0.08</v>
      </c>
      <c r="Y51" s="7" t="s">
        <v>94</v>
      </c>
      <c r="Z51" s="7" t="s">
        <v>301</v>
      </c>
      <c r="AA51" s="7" t="s">
        <v>302</v>
      </c>
      <c r="AB51" s="2" t="s">
        <v>302</v>
      </c>
      <c r="AC51" s="7">
        <v>-1.0800000000000001E-2</v>
      </c>
      <c r="AD51" s="7">
        <v>-3.8899999999999997E-2</v>
      </c>
      <c r="AE51" s="7">
        <v>-3.8899999999999997E-2</v>
      </c>
      <c r="AF51" s="7">
        <v>8.1400000000000005E-4</v>
      </c>
      <c r="AG51" s="2">
        <v>7.2300000000000001E-4</v>
      </c>
      <c r="AH51" s="7">
        <f>-0.0667 - 0.0451</f>
        <v>-0.1118</v>
      </c>
      <c r="AI51" s="7">
        <f>-0.0916 - 0.0138</f>
        <v>-0.10539999999999999</v>
      </c>
      <c r="AJ51" s="7"/>
      <c r="AK51" s="7">
        <v>7.2300000000000001E-4</v>
      </c>
      <c r="AL51" s="2">
        <v>87266</v>
      </c>
      <c r="AM51" s="12">
        <v>44404</v>
      </c>
      <c r="AN51" s="7"/>
      <c r="AO51" s="7" t="s">
        <v>297</v>
      </c>
      <c r="AP51" s="7" t="s">
        <v>298</v>
      </c>
      <c r="AQ51" s="7" t="s">
        <v>688</v>
      </c>
      <c r="AR51" s="7" t="s">
        <v>62</v>
      </c>
      <c r="AS51" s="7" t="s">
        <v>62</v>
      </c>
      <c r="AT51" s="7" t="s">
        <v>62</v>
      </c>
      <c r="AU51" s="7"/>
      <c r="AV51" s="7"/>
    </row>
    <row r="52" spans="1:48">
      <c r="A52" s="7">
        <v>51</v>
      </c>
      <c r="B52" s="7">
        <v>19</v>
      </c>
      <c r="C52" s="2" t="s">
        <v>303</v>
      </c>
      <c r="D52" s="7" t="s">
        <v>304</v>
      </c>
      <c r="E52" s="7"/>
      <c r="F52" s="7" t="s">
        <v>305</v>
      </c>
      <c r="G52" s="7" t="s">
        <v>306</v>
      </c>
      <c r="H52" s="7" t="s">
        <v>215</v>
      </c>
      <c r="I52" s="2" t="s">
        <v>117</v>
      </c>
      <c r="J52" s="7" t="s">
        <v>151</v>
      </c>
      <c r="K52" s="7" t="s">
        <v>168</v>
      </c>
      <c r="L52" s="7" t="s">
        <v>307</v>
      </c>
      <c r="M52" s="7" t="s">
        <v>53</v>
      </c>
      <c r="N52" s="7" t="s">
        <v>308</v>
      </c>
      <c r="O52" s="7"/>
      <c r="P52" s="7"/>
      <c r="Q52" s="7"/>
      <c r="R52" s="2">
        <v>1008</v>
      </c>
      <c r="S52" s="2">
        <v>0.33200000000000002</v>
      </c>
      <c r="T52" s="7"/>
      <c r="U52" s="7"/>
      <c r="V52" s="7" t="s">
        <v>309</v>
      </c>
      <c r="W52" s="7" t="s">
        <v>310</v>
      </c>
      <c r="X52" s="2">
        <v>-0.65</v>
      </c>
      <c r="Y52" s="7" t="s">
        <v>94</v>
      </c>
      <c r="Z52" s="7" t="s">
        <v>311</v>
      </c>
      <c r="AA52" s="2" t="s">
        <v>312</v>
      </c>
      <c r="AB52" s="2" t="s">
        <v>312</v>
      </c>
      <c r="AC52" s="2">
        <v>-0.19020000000000001</v>
      </c>
      <c r="AD52" s="7">
        <v>-0.2427</v>
      </c>
      <c r="AE52" s="7">
        <v>-0.2427</v>
      </c>
      <c r="AF52" s="6">
        <v>3.3E-3</v>
      </c>
      <c r="AG52" s="6">
        <v>4.4999999999999997E-3</v>
      </c>
      <c r="AH52" s="6">
        <f>-0.3031 - -0.0773</f>
        <v>-0.2258</v>
      </c>
      <c r="AI52" s="6">
        <f>-0.3742 - -0.1112</f>
        <v>-0.26300000000000001</v>
      </c>
      <c r="AJ52" s="6"/>
      <c r="AK52" s="6">
        <v>4.4999999999999997E-3</v>
      </c>
      <c r="AL52" s="2">
        <v>1008</v>
      </c>
      <c r="AM52" s="12">
        <v>44404</v>
      </c>
      <c r="AN52" s="7"/>
      <c r="AO52" s="7" t="s">
        <v>297</v>
      </c>
      <c r="AP52" s="7" t="s">
        <v>313</v>
      </c>
      <c r="AQ52" s="2" t="s">
        <v>314</v>
      </c>
      <c r="AR52" s="7" t="s">
        <v>315</v>
      </c>
      <c r="AS52" s="7" t="s">
        <v>62</v>
      </c>
      <c r="AT52" s="7" t="s">
        <v>316</v>
      </c>
      <c r="AU52" s="7"/>
      <c r="AV52" s="7"/>
    </row>
    <row r="53" spans="1:48">
      <c r="A53" s="7">
        <v>52</v>
      </c>
      <c r="B53" s="7">
        <v>20</v>
      </c>
      <c r="C53" s="2" t="s">
        <v>317</v>
      </c>
      <c r="D53" s="5" t="s">
        <v>318</v>
      </c>
      <c r="E53" s="7"/>
      <c r="F53" s="7" t="s">
        <v>319</v>
      </c>
      <c r="G53" s="7"/>
      <c r="H53" s="7" t="s">
        <v>88</v>
      </c>
      <c r="I53" s="2" t="s">
        <v>117</v>
      </c>
      <c r="J53" s="7" t="s">
        <v>151</v>
      </c>
      <c r="K53" s="7" t="s">
        <v>168</v>
      </c>
      <c r="L53" s="7" t="s">
        <v>320</v>
      </c>
      <c r="M53" s="7" t="s">
        <v>321</v>
      </c>
      <c r="N53" s="7" t="s">
        <v>322</v>
      </c>
      <c r="O53" s="7"/>
      <c r="P53" s="7"/>
      <c r="Q53" s="7"/>
      <c r="R53" s="2">
        <v>740</v>
      </c>
      <c r="S53" s="2">
        <v>0.39</v>
      </c>
      <c r="T53" s="7"/>
      <c r="U53" s="7"/>
      <c r="V53" s="7" t="s">
        <v>309</v>
      </c>
      <c r="W53" s="7" t="s">
        <v>323</v>
      </c>
      <c r="X53" s="7"/>
      <c r="Y53" s="7" t="s">
        <v>94</v>
      </c>
      <c r="Z53" s="7" t="s">
        <v>324</v>
      </c>
      <c r="AA53" s="2" t="s">
        <v>325</v>
      </c>
      <c r="AB53" s="2" t="s">
        <v>325</v>
      </c>
      <c r="AC53" s="2">
        <v>-0.32500000000000001</v>
      </c>
      <c r="AD53" s="7">
        <v>-0.3337</v>
      </c>
      <c r="AE53" s="7">
        <v>-0.3337</v>
      </c>
      <c r="AF53" s="7">
        <v>8.0479999999999996E-3</v>
      </c>
      <c r="AG53" s="2">
        <v>8.3350000000000004E-3</v>
      </c>
      <c r="AH53" s="7">
        <f>-0.5505 - -0.164</f>
        <v>-0.38649999999999995</v>
      </c>
      <c r="AI53" s="7">
        <f>-0.5126 - -0.1547</f>
        <v>-0.35789999999999994</v>
      </c>
      <c r="AJ53" s="7"/>
      <c r="AK53" s="7">
        <v>8.3350000000000004E-3</v>
      </c>
      <c r="AL53" s="2">
        <v>725</v>
      </c>
      <c r="AM53" s="12">
        <v>44404</v>
      </c>
      <c r="AN53" s="7"/>
      <c r="AO53" s="7" t="s">
        <v>297</v>
      </c>
      <c r="AP53" s="7" t="s">
        <v>326</v>
      </c>
      <c r="AQ53" s="2" t="s">
        <v>327</v>
      </c>
      <c r="AR53" s="7" t="s">
        <v>62</v>
      </c>
      <c r="AS53" s="7" t="s">
        <v>62</v>
      </c>
      <c r="AT53" s="7" t="s">
        <v>328</v>
      </c>
      <c r="AU53" s="7"/>
      <c r="AV53" s="7"/>
    </row>
    <row r="54" spans="1:48">
      <c r="A54" s="7">
        <v>53</v>
      </c>
      <c r="B54" s="7">
        <v>21</v>
      </c>
      <c r="C54" s="2" t="s">
        <v>329</v>
      </c>
      <c r="D54" s="7" t="s">
        <v>330</v>
      </c>
      <c r="E54" s="7"/>
      <c r="F54" s="7" t="s">
        <v>331</v>
      </c>
      <c r="G54" s="7" t="s">
        <v>332</v>
      </c>
      <c r="H54" s="7" t="s">
        <v>215</v>
      </c>
      <c r="I54" s="2" t="s">
        <v>117</v>
      </c>
      <c r="J54" s="7" t="s">
        <v>72</v>
      </c>
      <c r="K54" s="2" t="s">
        <v>72</v>
      </c>
      <c r="L54" s="7" t="s">
        <v>333</v>
      </c>
      <c r="M54" s="7" t="s">
        <v>334</v>
      </c>
      <c r="N54" s="7" t="s">
        <v>335</v>
      </c>
      <c r="O54" s="7"/>
      <c r="P54" s="7"/>
      <c r="Q54" s="7"/>
      <c r="R54" s="2">
        <v>170</v>
      </c>
      <c r="S54" s="2">
        <v>0.55000000000000004</v>
      </c>
      <c r="T54" s="7"/>
      <c r="U54" s="7"/>
      <c r="V54" s="7" t="s">
        <v>309</v>
      </c>
      <c r="W54" s="7" t="s">
        <v>323</v>
      </c>
      <c r="X54" s="7"/>
      <c r="Y54" s="7" t="s">
        <v>56</v>
      </c>
      <c r="Z54" s="7" t="s">
        <v>336</v>
      </c>
      <c r="AA54" s="2" t="s">
        <v>337</v>
      </c>
      <c r="AB54" s="2" t="s">
        <v>337</v>
      </c>
      <c r="AC54" s="5">
        <v>-0.19020000000000001</v>
      </c>
      <c r="AD54" s="7">
        <v>-0.1754</v>
      </c>
      <c r="AE54" s="7">
        <v>-0.1754</v>
      </c>
      <c r="AF54" s="16">
        <v>3.7571E-2</v>
      </c>
      <c r="AG54" s="16">
        <v>3.6942000000000003E-2</v>
      </c>
      <c r="AH54" s="16">
        <f>-0.5701 - 0.1897</f>
        <v>-0.75980000000000003</v>
      </c>
      <c r="AI54" s="16">
        <f>-0.5521 - 0.2013</f>
        <v>-0.75340000000000007</v>
      </c>
      <c r="AJ54" s="16"/>
      <c r="AK54" s="16">
        <v>3.6942000000000003E-2</v>
      </c>
      <c r="AL54" s="2">
        <v>170</v>
      </c>
      <c r="AM54" s="12">
        <v>44404</v>
      </c>
      <c r="AN54" s="7"/>
      <c r="AO54" s="7" t="s">
        <v>297</v>
      </c>
      <c r="AP54" s="7" t="s">
        <v>338</v>
      </c>
      <c r="AQ54" s="2" t="s">
        <v>339</v>
      </c>
      <c r="AR54" s="7" t="s">
        <v>340</v>
      </c>
      <c r="AS54" s="7" t="s">
        <v>62</v>
      </c>
      <c r="AT54" s="7" t="s">
        <v>341</v>
      </c>
      <c r="AU54" s="7"/>
      <c r="AV54" s="7"/>
    </row>
    <row r="55" spans="1:48">
      <c r="A55" s="7">
        <v>54</v>
      </c>
      <c r="B55" s="7">
        <v>22</v>
      </c>
      <c r="C55" s="2" t="s">
        <v>342</v>
      </c>
      <c r="D55" s="7" t="s">
        <v>343</v>
      </c>
      <c r="E55" s="7" t="s">
        <v>344</v>
      </c>
      <c r="F55" s="7" t="s">
        <v>345</v>
      </c>
      <c r="G55" s="7" t="s">
        <v>346</v>
      </c>
      <c r="H55" s="7" t="s">
        <v>291</v>
      </c>
      <c r="I55" s="7" t="s">
        <v>50</v>
      </c>
      <c r="J55" s="7" t="s">
        <v>51</v>
      </c>
      <c r="K55" s="7" t="s">
        <v>51</v>
      </c>
      <c r="L55" s="7" t="s">
        <v>52</v>
      </c>
      <c r="M55" s="7" t="s">
        <v>53</v>
      </c>
      <c r="N55" s="7" t="s">
        <v>347</v>
      </c>
      <c r="O55" s="7">
        <v>0.65</v>
      </c>
      <c r="P55" s="7">
        <v>228</v>
      </c>
      <c r="Q55" s="7">
        <v>0.62</v>
      </c>
      <c r="R55" s="2">
        <v>427</v>
      </c>
      <c r="S55" s="7"/>
      <c r="T55" s="7"/>
      <c r="U55" s="7"/>
      <c r="V55" s="7" t="s">
        <v>348</v>
      </c>
      <c r="W55" s="7" t="s">
        <v>323</v>
      </c>
      <c r="X55" s="7"/>
      <c r="Y55" s="7" t="s">
        <v>56</v>
      </c>
      <c r="Z55" s="7" t="s">
        <v>349</v>
      </c>
      <c r="AA55" s="2" t="s">
        <v>350</v>
      </c>
      <c r="AB55" s="2" t="s">
        <v>350</v>
      </c>
      <c r="AC55" s="2">
        <v>-6.7799999999999999E-2</v>
      </c>
      <c r="AD55" s="7">
        <v>-6.7799999999999999E-2</v>
      </c>
      <c r="AE55" s="7">
        <v>-6.7799999999999999E-2</v>
      </c>
      <c r="AF55" s="7">
        <v>8.8769999999999995E-3</v>
      </c>
      <c r="AG55" s="2">
        <v>8.8769999999999995E-3</v>
      </c>
      <c r="AH55" s="7">
        <f>-0.2525 - 0.1168</f>
        <v>-0.36930000000000002</v>
      </c>
      <c r="AI55" s="7">
        <f>-0.2525 - 0.1168</f>
        <v>-0.36930000000000002</v>
      </c>
      <c r="AJ55" s="7"/>
      <c r="AK55" s="2">
        <v>8.8769999999999995E-3</v>
      </c>
      <c r="AL55" s="2">
        <v>655</v>
      </c>
      <c r="AM55" s="12">
        <v>44404</v>
      </c>
      <c r="AN55" s="7"/>
      <c r="AO55" s="7" t="s">
        <v>297</v>
      </c>
      <c r="AP55" s="7" t="s">
        <v>351</v>
      </c>
      <c r="AQ55" s="7" t="s">
        <v>352</v>
      </c>
      <c r="AR55" s="7" t="s">
        <v>62</v>
      </c>
      <c r="AS55" s="7" t="s">
        <v>62</v>
      </c>
      <c r="AT55" s="7" t="s">
        <v>353</v>
      </c>
      <c r="AU55" s="7"/>
      <c r="AV55" s="7"/>
    </row>
    <row r="56" spans="1:48">
      <c r="A56" s="7">
        <v>55</v>
      </c>
      <c r="B56" s="7">
        <v>23</v>
      </c>
      <c r="C56" s="2" t="s">
        <v>354</v>
      </c>
      <c r="D56" s="7" t="s">
        <v>355</v>
      </c>
      <c r="E56" s="7" t="s">
        <v>356</v>
      </c>
      <c r="F56" s="7" t="s">
        <v>357</v>
      </c>
      <c r="G56" s="7" t="s">
        <v>358</v>
      </c>
      <c r="H56" s="7" t="s">
        <v>291</v>
      </c>
      <c r="I56" s="7" t="s">
        <v>50</v>
      </c>
      <c r="J56" s="7" t="s">
        <v>51</v>
      </c>
      <c r="K56" s="7" t="s">
        <v>51</v>
      </c>
      <c r="L56" s="7" t="s">
        <v>52</v>
      </c>
      <c r="M56" s="13" t="s">
        <v>689</v>
      </c>
      <c r="N56" s="7" t="s">
        <v>347</v>
      </c>
      <c r="O56" s="2">
        <v>0.62</v>
      </c>
      <c r="P56" s="2">
        <v>265</v>
      </c>
      <c r="Q56" s="2">
        <v>0.5</v>
      </c>
      <c r="R56" s="2">
        <v>440</v>
      </c>
      <c r="S56" s="7"/>
      <c r="T56" s="7"/>
      <c r="U56" s="7"/>
      <c r="V56" s="7" t="s">
        <v>348</v>
      </c>
      <c r="W56" s="7" t="s">
        <v>323</v>
      </c>
      <c r="X56" s="7"/>
      <c r="Y56" s="7" t="s">
        <v>94</v>
      </c>
      <c r="Z56" s="7" t="s">
        <v>359</v>
      </c>
      <c r="AA56" s="2" t="s">
        <v>360</v>
      </c>
      <c r="AB56" s="2" t="s">
        <v>58</v>
      </c>
      <c r="AC56" s="2">
        <v>-0.26729999999999998</v>
      </c>
      <c r="AD56" s="7">
        <v>-0.26989999999999997</v>
      </c>
      <c r="AE56" s="7">
        <v>-0.26989999999999997</v>
      </c>
      <c r="AF56" s="7">
        <v>7.626E-3</v>
      </c>
      <c r="AG56" s="2">
        <v>9.4570000000000001E-3</v>
      </c>
      <c r="AH56" s="7">
        <f>-0.4384 - -0.0961</f>
        <v>-0.34229999999999999</v>
      </c>
      <c r="AI56" s="7">
        <f>-0.4605 - -0.0793</f>
        <v>-0.38120000000000004</v>
      </c>
      <c r="AJ56" s="7"/>
      <c r="AK56" s="7">
        <v>9.4570000000000001E-3</v>
      </c>
      <c r="AL56" s="2">
        <v>705</v>
      </c>
      <c r="AM56" s="12">
        <v>44404</v>
      </c>
      <c r="AN56" s="7"/>
      <c r="AO56" s="7" t="s">
        <v>297</v>
      </c>
      <c r="AP56" s="7" t="s">
        <v>361</v>
      </c>
      <c r="AQ56" s="7" t="s">
        <v>362</v>
      </c>
      <c r="AR56" s="7" t="s">
        <v>62</v>
      </c>
      <c r="AS56" s="7" t="s">
        <v>62</v>
      </c>
      <c r="AT56" s="7" t="s">
        <v>62</v>
      </c>
      <c r="AU56" s="7"/>
      <c r="AV56" s="7"/>
    </row>
    <row r="57" spans="1:48">
      <c r="A57" s="7">
        <v>56</v>
      </c>
      <c r="B57" s="7">
        <v>23</v>
      </c>
      <c r="C57" s="2" t="s">
        <v>354</v>
      </c>
      <c r="D57" s="7" t="s">
        <v>355</v>
      </c>
      <c r="E57" s="7" t="s">
        <v>356</v>
      </c>
      <c r="F57" s="7" t="s">
        <v>357</v>
      </c>
      <c r="G57" s="7" t="s">
        <v>358</v>
      </c>
      <c r="H57" s="7" t="s">
        <v>291</v>
      </c>
      <c r="I57" s="7" t="s">
        <v>50</v>
      </c>
      <c r="J57" s="7" t="s">
        <v>51</v>
      </c>
      <c r="K57" s="7" t="s">
        <v>51</v>
      </c>
      <c r="L57" s="7" t="s">
        <v>64</v>
      </c>
      <c r="M57" s="13" t="s">
        <v>689</v>
      </c>
      <c r="N57" s="7" t="s">
        <v>347</v>
      </c>
      <c r="O57" s="2">
        <v>0.42</v>
      </c>
      <c r="P57" s="2">
        <v>265</v>
      </c>
      <c r="Q57" s="2">
        <v>0.33</v>
      </c>
      <c r="R57" s="2">
        <v>440</v>
      </c>
      <c r="S57" s="7"/>
      <c r="T57" s="7"/>
      <c r="U57" s="7"/>
      <c r="V57" s="7" t="s">
        <v>348</v>
      </c>
      <c r="W57" s="7" t="s">
        <v>323</v>
      </c>
      <c r="X57" s="7"/>
      <c r="Y57" s="7" t="s">
        <v>94</v>
      </c>
      <c r="Z57" s="7" t="s">
        <v>359</v>
      </c>
      <c r="AA57" s="2" t="s">
        <v>363</v>
      </c>
      <c r="AB57" s="2" t="s">
        <v>58</v>
      </c>
      <c r="AC57" s="2">
        <v>-0.21110000000000001</v>
      </c>
      <c r="AD57" s="7">
        <v>-0.21249999999999999</v>
      </c>
      <c r="AE57" s="7">
        <v>-0.21249999999999999</v>
      </c>
      <c r="AF57" s="7">
        <v>7.8390000000000005E-3</v>
      </c>
      <c r="AG57" s="2">
        <v>9.8969999999999995E-3</v>
      </c>
      <c r="AH57" s="7">
        <f>-0.3846 - -0.0375</f>
        <v>-0.34710000000000002</v>
      </c>
      <c r="AI57" s="7">
        <f>-0.4075 - -0.0176</f>
        <v>-0.38989999999999997</v>
      </c>
      <c r="AJ57" s="7"/>
      <c r="AK57" s="7">
        <v>9.8969999999999995E-3</v>
      </c>
      <c r="AL57" s="2">
        <v>705</v>
      </c>
      <c r="AM57" s="12">
        <v>44404</v>
      </c>
      <c r="AN57" s="7"/>
      <c r="AO57" s="7" t="s">
        <v>297</v>
      </c>
      <c r="AP57" s="7" t="s">
        <v>361</v>
      </c>
      <c r="AQ57" s="2" t="s">
        <v>364</v>
      </c>
      <c r="AR57" s="7" t="s">
        <v>62</v>
      </c>
      <c r="AS57" s="7" t="s">
        <v>62</v>
      </c>
      <c r="AT57" s="7" t="s">
        <v>62</v>
      </c>
      <c r="AU57" s="7"/>
      <c r="AV57" s="7"/>
    </row>
    <row r="58" spans="1:48">
      <c r="A58" s="7">
        <v>57</v>
      </c>
      <c r="B58" s="7">
        <v>24</v>
      </c>
      <c r="C58" s="2" t="s">
        <v>365</v>
      </c>
      <c r="D58" s="5" t="s">
        <v>366</v>
      </c>
      <c r="E58" s="7" t="s">
        <v>367</v>
      </c>
      <c r="F58" s="7" t="s">
        <v>368</v>
      </c>
      <c r="G58" s="7" t="s">
        <v>369</v>
      </c>
      <c r="H58" s="7" t="s">
        <v>291</v>
      </c>
      <c r="I58" s="7" t="s">
        <v>50</v>
      </c>
      <c r="J58" s="7" t="s">
        <v>72</v>
      </c>
      <c r="K58" s="7" t="s">
        <v>370</v>
      </c>
      <c r="L58" s="7" t="s">
        <v>52</v>
      </c>
      <c r="M58" s="7" t="s">
        <v>53</v>
      </c>
      <c r="N58" s="7" t="s">
        <v>347</v>
      </c>
      <c r="O58" s="7">
        <v>0.33300000000000002</v>
      </c>
      <c r="P58" s="7">
        <v>15</v>
      </c>
      <c r="Q58" s="7">
        <v>0.35099999999999998</v>
      </c>
      <c r="R58" s="2">
        <v>74</v>
      </c>
      <c r="S58" s="7"/>
      <c r="T58" s="7"/>
      <c r="U58" s="7"/>
      <c r="V58" s="7" t="s">
        <v>309</v>
      </c>
      <c r="W58" s="7" t="s">
        <v>323</v>
      </c>
      <c r="X58" s="7"/>
      <c r="Y58" s="7" t="s">
        <v>94</v>
      </c>
      <c r="Z58" s="7" t="s">
        <v>371</v>
      </c>
      <c r="AA58" s="7" t="s">
        <v>79</v>
      </c>
      <c r="AB58" s="2" t="s">
        <v>372</v>
      </c>
      <c r="AC58" s="7">
        <v>4.41E-2</v>
      </c>
      <c r="AD58" s="7">
        <v>4.41E-2</v>
      </c>
      <c r="AE58" s="7">
        <v>4.41E-2</v>
      </c>
      <c r="AF58" s="7">
        <v>0.109213</v>
      </c>
      <c r="AG58" s="7">
        <v>0.109213</v>
      </c>
      <c r="AH58" s="7">
        <f>-0.6036 - 0.6918</f>
        <v>-1.2953999999999999</v>
      </c>
      <c r="AI58" s="7">
        <f>-0.6036 - 0.6918</f>
        <v>-1.2953999999999999</v>
      </c>
      <c r="AJ58" s="7"/>
      <c r="AK58" s="7">
        <v>0.109213</v>
      </c>
      <c r="AL58" s="2">
        <v>89</v>
      </c>
      <c r="AM58" s="12">
        <v>44404</v>
      </c>
      <c r="AN58" s="7"/>
      <c r="AO58" s="7" t="s">
        <v>297</v>
      </c>
      <c r="AP58" s="7" t="s">
        <v>361</v>
      </c>
      <c r="AQ58" s="7" t="s">
        <v>373</v>
      </c>
      <c r="AR58" s="7" t="s">
        <v>62</v>
      </c>
      <c r="AS58" s="17" t="s">
        <v>62</v>
      </c>
      <c r="AT58" s="17" t="s">
        <v>62</v>
      </c>
      <c r="AU58" s="7"/>
      <c r="AV58" s="7"/>
    </row>
    <row r="59" spans="1:48">
      <c r="A59" s="7">
        <v>58</v>
      </c>
      <c r="B59" s="7">
        <v>24</v>
      </c>
      <c r="C59" s="2" t="s">
        <v>365</v>
      </c>
      <c r="D59" s="5" t="s">
        <v>366</v>
      </c>
      <c r="E59" s="7" t="s">
        <v>367</v>
      </c>
      <c r="F59" s="7" t="s">
        <v>368</v>
      </c>
      <c r="G59" s="7" t="s">
        <v>369</v>
      </c>
      <c r="H59" s="7" t="s">
        <v>291</v>
      </c>
      <c r="I59" s="7" t="s">
        <v>50</v>
      </c>
      <c r="J59" s="7" t="s">
        <v>72</v>
      </c>
      <c r="K59" s="7" t="s">
        <v>370</v>
      </c>
      <c r="L59" s="7" t="s">
        <v>73</v>
      </c>
      <c r="M59" s="7" t="s">
        <v>53</v>
      </c>
      <c r="N59" s="7" t="s">
        <v>347</v>
      </c>
      <c r="O59" s="7">
        <v>0.4</v>
      </c>
      <c r="P59" s="7">
        <v>15</v>
      </c>
      <c r="Q59" s="7">
        <v>0.378</v>
      </c>
      <c r="R59" s="2">
        <v>74</v>
      </c>
      <c r="S59" s="7"/>
      <c r="T59" s="7"/>
      <c r="U59" s="7"/>
      <c r="V59" s="7" t="s">
        <v>309</v>
      </c>
      <c r="W59" s="7" t="s">
        <v>323</v>
      </c>
      <c r="X59" s="7"/>
      <c r="Y59" s="7" t="s">
        <v>94</v>
      </c>
      <c r="Z59" s="7" t="s">
        <v>374</v>
      </c>
      <c r="AA59" s="7" t="s">
        <v>79</v>
      </c>
      <c r="AB59" s="2" t="s">
        <v>375</v>
      </c>
      <c r="AC59" s="7">
        <v>-5.0200000000000002E-2</v>
      </c>
      <c r="AD59" s="7">
        <v>-5.0200000000000002E-2</v>
      </c>
      <c r="AE59" s="7">
        <v>-5.0200000000000002E-2</v>
      </c>
      <c r="AF59" s="7">
        <v>0.101898</v>
      </c>
      <c r="AG59" s="7">
        <v>0.101898</v>
      </c>
      <c r="AH59" s="7">
        <f>-0.6758 - 0.5755</f>
        <v>-1.2513000000000001</v>
      </c>
      <c r="AI59" s="7">
        <f>-0.6758 - 0.5755</f>
        <v>-1.2513000000000001</v>
      </c>
      <c r="AJ59" s="7"/>
      <c r="AK59" s="7">
        <v>0.101898</v>
      </c>
      <c r="AL59" s="2">
        <v>89</v>
      </c>
      <c r="AM59" s="12">
        <v>44620</v>
      </c>
      <c r="AN59" s="7"/>
      <c r="AO59" s="7" t="s">
        <v>297</v>
      </c>
      <c r="AP59" s="7" t="s">
        <v>361</v>
      </c>
      <c r="AQ59" s="7" t="s">
        <v>352</v>
      </c>
      <c r="AR59" s="17" t="s">
        <v>62</v>
      </c>
      <c r="AS59" s="17" t="s">
        <v>62</v>
      </c>
      <c r="AT59" s="17" t="s">
        <v>62</v>
      </c>
      <c r="AU59" s="7"/>
      <c r="AV59" s="7"/>
    </row>
    <row r="60" spans="1:48">
      <c r="A60" s="7">
        <v>59</v>
      </c>
      <c r="B60" s="7">
        <v>25</v>
      </c>
      <c r="C60" s="2" t="s">
        <v>376</v>
      </c>
      <c r="D60" s="7" t="s">
        <v>377</v>
      </c>
      <c r="E60" s="7" t="s">
        <v>378</v>
      </c>
      <c r="F60" s="7" t="s">
        <v>379</v>
      </c>
      <c r="G60" s="7" t="s">
        <v>380</v>
      </c>
      <c r="H60" s="7" t="s">
        <v>291</v>
      </c>
      <c r="I60" s="7" t="s">
        <v>50</v>
      </c>
      <c r="J60" s="7" t="s">
        <v>51</v>
      </c>
      <c r="K60" s="7" t="s">
        <v>51</v>
      </c>
      <c r="L60" s="7" t="s">
        <v>52</v>
      </c>
      <c r="M60" s="7" t="s">
        <v>53</v>
      </c>
      <c r="N60" s="7" t="s">
        <v>381</v>
      </c>
      <c r="O60" s="7">
        <v>0.49099999999999999</v>
      </c>
      <c r="P60" s="7">
        <v>505</v>
      </c>
      <c r="Q60" s="7">
        <v>0.42699999999999999</v>
      </c>
      <c r="R60" s="2">
        <v>492</v>
      </c>
      <c r="S60" s="7"/>
      <c r="T60" s="7"/>
      <c r="U60" s="7"/>
      <c r="V60" s="7" t="s">
        <v>91</v>
      </c>
      <c r="W60" s="7" t="s">
        <v>323</v>
      </c>
      <c r="X60" s="7"/>
      <c r="Y60" s="7" t="s">
        <v>94</v>
      </c>
      <c r="Z60" s="7" t="s">
        <v>382</v>
      </c>
      <c r="AA60" s="7" t="s">
        <v>79</v>
      </c>
      <c r="AB60" s="2" t="s">
        <v>383</v>
      </c>
      <c r="AC60" s="7">
        <v>-0.1429</v>
      </c>
      <c r="AD60" s="7">
        <v>-0.1429</v>
      </c>
      <c r="AE60" s="7">
        <v>-0.1429</v>
      </c>
      <c r="AF60" s="7">
        <v>4.934E-3</v>
      </c>
      <c r="AG60" s="7">
        <v>4.934E-3</v>
      </c>
      <c r="AH60" s="7">
        <f>-0.2805 - -0.0052</f>
        <v>-0.27530000000000004</v>
      </c>
      <c r="AI60" s="7">
        <f>-0.2805 - -0.0052</f>
        <v>-0.27530000000000004</v>
      </c>
      <c r="AJ60" s="7"/>
      <c r="AK60" s="7">
        <v>4.934E-3</v>
      </c>
      <c r="AL60" s="2">
        <v>997</v>
      </c>
      <c r="AM60" s="12">
        <v>44620</v>
      </c>
      <c r="AN60" s="7"/>
      <c r="AO60" s="7" t="s">
        <v>297</v>
      </c>
      <c r="AP60" s="7" t="s">
        <v>361</v>
      </c>
      <c r="AQ60" s="7" t="s">
        <v>352</v>
      </c>
      <c r="AR60" s="7" t="s">
        <v>62</v>
      </c>
      <c r="AS60" s="7" t="s">
        <v>62</v>
      </c>
      <c r="AT60" s="7" t="s">
        <v>62</v>
      </c>
      <c r="AU60" s="7"/>
      <c r="AV60" s="7"/>
    </row>
    <row r="61" spans="1:48">
      <c r="A61" s="7">
        <v>60</v>
      </c>
      <c r="B61" s="7">
        <v>25</v>
      </c>
      <c r="C61" s="2" t="s">
        <v>376</v>
      </c>
      <c r="D61" s="7" t="s">
        <v>377</v>
      </c>
      <c r="E61" s="7" t="s">
        <v>378</v>
      </c>
      <c r="F61" s="7" t="s">
        <v>379</v>
      </c>
      <c r="G61" s="7" t="s">
        <v>380</v>
      </c>
      <c r="H61" s="7" t="s">
        <v>291</v>
      </c>
      <c r="I61" s="7" t="s">
        <v>50</v>
      </c>
      <c r="J61" s="7" t="s">
        <v>51</v>
      </c>
      <c r="K61" s="7" t="s">
        <v>51</v>
      </c>
      <c r="L61" s="7" t="s">
        <v>64</v>
      </c>
      <c r="M61" s="7" t="s">
        <v>53</v>
      </c>
      <c r="N61" s="7" t="s">
        <v>381</v>
      </c>
      <c r="O61" s="7">
        <v>0.35399999999999998</v>
      </c>
      <c r="P61" s="7">
        <v>512</v>
      </c>
      <c r="Q61" s="7">
        <v>0.35499999999999998</v>
      </c>
      <c r="R61" s="2">
        <v>493</v>
      </c>
      <c r="S61" s="7"/>
      <c r="T61" s="7"/>
      <c r="U61" s="7"/>
      <c r="V61" s="7" t="s">
        <v>91</v>
      </c>
      <c r="W61" s="7" t="s">
        <v>323</v>
      </c>
      <c r="X61" s="7"/>
      <c r="Y61" s="7" t="s">
        <v>94</v>
      </c>
      <c r="Z61" s="7" t="s">
        <v>382</v>
      </c>
      <c r="AA61" s="7" t="s">
        <v>79</v>
      </c>
      <c r="AB61" s="2" t="s">
        <v>384</v>
      </c>
      <c r="AC61" s="7">
        <v>3.5000000000000001E-3</v>
      </c>
      <c r="AD61" s="7">
        <v>3.5000000000000001E-3</v>
      </c>
      <c r="AE61" s="7">
        <v>3.5000000000000001E-3</v>
      </c>
      <c r="AF61" s="7">
        <v>5.2900000000000004E-3</v>
      </c>
      <c r="AG61" s="7">
        <v>5.2900000000000004E-3</v>
      </c>
      <c r="AH61" s="7">
        <f>-0.1391 - 0.1461</f>
        <v>-0.28520000000000001</v>
      </c>
      <c r="AI61" s="7">
        <f>-0.1391 - 0.1461</f>
        <v>-0.28520000000000001</v>
      </c>
      <c r="AJ61" s="7"/>
      <c r="AK61" s="7">
        <v>5.2900000000000004E-3</v>
      </c>
      <c r="AL61" s="2">
        <v>1005</v>
      </c>
      <c r="AM61" s="12">
        <v>44620</v>
      </c>
      <c r="AN61" s="7"/>
      <c r="AO61" s="7" t="s">
        <v>297</v>
      </c>
      <c r="AP61" s="7" t="s">
        <v>361</v>
      </c>
      <c r="AQ61" s="7" t="s">
        <v>352</v>
      </c>
      <c r="AR61" s="7" t="s">
        <v>62</v>
      </c>
      <c r="AS61" s="7" t="s">
        <v>62</v>
      </c>
      <c r="AT61" s="7" t="s">
        <v>62</v>
      </c>
      <c r="AU61" s="7"/>
      <c r="AV61" s="7"/>
    </row>
    <row r="62" spans="1:48" ht="15.75" customHeight="1">
      <c r="A62" s="7">
        <v>61</v>
      </c>
      <c r="B62" s="7">
        <v>26</v>
      </c>
      <c r="C62" s="7" t="s">
        <v>385</v>
      </c>
      <c r="D62" s="7" t="s">
        <v>386</v>
      </c>
      <c r="E62" s="7" t="s">
        <v>103</v>
      </c>
      <c r="F62" s="7" t="s">
        <v>387</v>
      </c>
      <c r="G62" s="7" t="s">
        <v>388</v>
      </c>
      <c r="H62" s="7" t="s">
        <v>88</v>
      </c>
      <c r="I62" s="2" t="s">
        <v>117</v>
      </c>
      <c r="J62" s="7" t="s">
        <v>151</v>
      </c>
      <c r="K62" s="7" t="s">
        <v>168</v>
      </c>
      <c r="L62" s="7" t="s">
        <v>389</v>
      </c>
      <c r="M62" s="7" t="s">
        <v>390</v>
      </c>
      <c r="N62" s="7" t="s">
        <v>119</v>
      </c>
      <c r="O62" s="7"/>
      <c r="P62" s="7"/>
      <c r="Q62" s="7"/>
      <c r="R62" s="7"/>
      <c r="S62" s="7"/>
      <c r="T62" s="7"/>
      <c r="U62" s="7" t="s">
        <v>103</v>
      </c>
      <c r="V62" s="7" t="s">
        <v>309</v>
      </c>
      <c r="W62" s="7" t="s">
        <v>103</v>
      </c>
      <c r="X62" s="7" t="s">
        <v>103</v>
      </c>
      <c r="Y62" s="7" t="s">
        <v>94</v>
      </c>
      <c r="Z62" s="7" t="s">
        <v>391</v>
      </c>
      <c r="AA62" s="7" t="s">
        <v>79</v>
      </c>
      <c r="AB62" s="7" t="s">
        <v>79</v>
      </c>
      <c r="AC62" s="7">
        <v>-0.3407</v>
      </c>
      <c r="AD62" s="7"/>
      <c r="AE62" s="7">
        <v>-0.3407</v>
      </c>
      <c r="AF62" s="7">
        <v>7.4180000000000001E-3</v>
      </c>
      <c r="AG62" s="7"/>
      <c r="AH62" s="7">
        <f>-0.5095--0.1719</f>
        <v>-0.33759999999999996</v>
      </c>
      <c r="AI62" s="7"/>
      <c r="AJ62" s="7"/>
      <c r="AK62" s="7">
        <v>7.4180000000000001E-3</v>
      </c>
      <c r="AL62" s="7">
        <v>549</v>
      </c>
      <c r="AM62" s="12">
        <v>44620</v>
      </c>
      <c r="AN62" s="7"/>
      <c r="AO62" s="7"/>
      <c r="AP62" s="7"/>
      <c r="AQ62" s="7" t="s">
        <v>392</v>
      </c>
      <c r="AR62" s="7" t="s">
        <v>62</v>
      </c>
      <c r="AS62" s="7" t="s">
        <v>62</v>
      </c>
      <c r="AT62" s="7" t="s">
        <v>62</v>
      </c>
      <c r="AU62" s="7"/>
      <c r="AV62" s="7"/>
    </row>
    <row r="63" spans="1:48" ht="15.75" customHeight="1">
      <c r="A63" s="7">
        <v>62</v>
      </c>
      <c r="B63" s="7">
        <v>27</v>
      </c>
      <c r="C63" s="7" t="s">
        <v>393</v>
      </c>
      <c r="D63" s="7" t="s">
        <v>394</v>
      </c>
      <c r="E63" s="7" t="s">
        <v>395</v>
      </c>
      <c r="F63" s="7" t="s">
        <v>396</v>
      </c>
      <c r="G63" s="7" t="s">
        <v>397</v>
      </c>
      <c r="H63" s="7" t="s">
        <v>291</v>
      </c>
      <c r="I63" s="7" t="s">
        <v>50</v>
      </c>
      <c r="J63" s="7" t="s">
        <v>51</v>
      </c>
      <c r="K63" s="7" t="s">
        <v>51</v>
      </c>
      <c r="L63" s="7" t="s">
        <v>52</v>
      </c>
      <c r="M63" s="4" t="s">
        <v>690</v>
      </c>
      <c r="N63" s="7" t="s">
        <v>75</v>
      </c>
      <c r="O63" s="7">
        <v>0.34782608700000001</v>
      </c>
      <c r="P63" s="7">
        <v>828</v>
      </c>
      <c r="Q63" s="7">
        <v>0.296875</v>
      </c>
      <c r="R63" s="7">
        <v>128</v>
      </c>
      <c r="S63" s="7"/>
      <c r="T63" s="7"/>
      <c r="U63" s="7" t="s">
        <v>103</v>
      </c>
      <c r="V63" s="7" t="s">
        <v>398</v>
      </c>
      <c r="W63" s="7" t="s">
        <v>323</v>
      </c>
      <c r="X63" s="7"/>
      <c r="Y63" s="7" t="s">
        <v>94</v>
      </c>
      <c r="Z63" s="7" t="s">
        <v>399</v>
      </c>
      <c r="AA63" s="7" t="s">
        <v>79</v>
      </c>
      <c r="AB63" s="7" t="s">
        <v>79</v>
      </c>
      <c r="AC63" s="7">
        <v>-0.1288</v>
      </c>
      <c r="AD63" s="7"/>
      <c r="AE63" s="7">
        <v>-0.1288</v>
      </c>
      <c r="AF63" s="7">
        <v>1.2995E-2</v>
      </c>
      <c r="AG63" s="7"/>
      <c r="AH63" s="7">
        <f>-0.3522-0.0946</f>
        <v>-0.44680000000000003</v>
      </c>
      <c r="AI63" s="7"/>
      <c r="AJ63" s="7"/>
      <c r="AK63" s="7">
        <v>1.2995E-2</v>
      </c>
      <c r="AL63" s="7">
        <v>1866</v>
      </c>
      <c r="AM63" s="12">
        <v>44620</v>
      </c>
      <c r="AN63" s="7"/>
      <c r="AO63" s="7"/>
      <c r="AP63" s="7"/>
      <c r="AQ63" s="7"/>
      <c r="AR63" s="7" t="s">
        <v>62</v>
      </c>
      <c r="AS63" s="7" t="s">
        <v>62</v>
      </c>
      <c r="AT63" s="7" t="s">
        <v>400</v>
      </c>
      <c r="AU63" s="7"/>
      <c r="AV63" s="7"/>
    </row>
    <row r="64" spans="1:48" ht="15.75" customHeight="1">
      <c r="A64" s="7">
        <v>63</v>
      </c>
      <c r="B64" s="7">
        <v>27</v>
      </c>
      <c r="C64" s="7" t="s">
        <v>393</v>
      </c>
      <c r="D64" s="7" t="s">
        <v>394</v>
      </c>
      <c r="E64" s="7" t="s">
        <v>395</v>
      </c>
      <c r="F64" s="7" t="s">
        <v>396</v>
      </c>
      <c r="G64" s="7" t="s">
        <v>397</v>
      </c>
      <c r="H64" s="7" t="s">
        <v>291</v>
      </c>
      <c r="I64" s="7" t="s">
        <v>50</v>
      </c>
      <c r="J64" s="7" t="s">
        <v>51</v>
      </c>
      <c r="K64" s="7" t="s">
        <v>51</v>
      </c>
      <c r="L64" s="7" t="s">
        <v>73</v>
      </c>
      <c r="M64" s="4" t="s">
        <v>690</v>
      </c>
      <c r="N64" s="7" t="s">
        <v>401</v>
      </c>
      <c r="O64" s="7">
        <v>0.25575447569999998</v>
      </c>
      <c r="P64" s="7">
        <v>782</v>
      </c>
      <c r="Q64" s="7">
        <v>0.28125</v>
      </c>
      <c r="R64" s="7">
        <v>128</v>
      </c>
      <c r="S64" s="7"/>
      <c r="T64" s="7"/>
      <c r="U64" s="7" t="s">
        <v>103</v>
      </c>
      <c r="V64" s="7" t="s">
        <v>398</v>
      </c>
      <c r="W64" s="7" t="s">
        <v>323</v>
      </c>
      <c r="X64" s="7"/>
      <c r="Y64" s="7" t="s">
        <v>94</v>
      </c>
      <c r="Z64" s="7" t="s">
        <v>402</v>
      </c>
      <c r="AA64" s="7" t="s">
        <v>79</v>
      </c>
      <c r="AB64" s="7" t="s">
        <v>79</v>
      </c>
      <c r="AC64" s="7">
        <v>7.1599999999999997E-2</v>
      </c>
      <c r="AD64" s="7"/>
      <c r="AE64" s="7">
        <v>7.1599999999999997E-2</v>
      </c>
      <c r="AF64" s="7">
        <v>1.3788999999999999E-2</v>
      </c>
      <c r="AG64" s="7"/>
      <c r="AH64" s="7">
        <f>-0.1585-0.3018</f>
        <v>-0.46030000000000004</v>
      </c>
      <c r="AI64" s="7"/>
      <c r="AJ64" s="7"/>
      <c r="AK64" s="7">
        <v>1.3788999999999999E-2</v>
      </c>
      <c r="AL64" s="7">
        <v>1866</v>
      </c>
      <c r="AM64" s="12">
        <v>44620</v>
      </c>
      <c r="AN64" s="7"/>
      <c r="AO64" s="7"/>
      <c r="AP64" s="7"/>
      <c r="AQ64" s="7"/>
      <c r="AR64" s="7" t="s">
        <v>62</v>
      </c>
      <c r="AS64" s="7" t="s">
        <v>62</v>
      </c>
      <c r="AT64" s="7" t="s">
        <v>400</v>
      </c>
      <c r="AU64" s="7"/>
      <c r="AV64" s="7"/>
    </row>
    <row r="65" spans="1:48" ht="15.75" customHeight="1">
      <c r="A65" s="7">
        <v>64</v>
      </c>
      <c r="B65" s="7">
        <v>28</v>
      </c>
      <c r="C65" s="7" t="s">
        <v>403</v>
      </c>
      <c r="D65" s="7" t="s">
        <v>404</v>
      </c>
      <c r="E65" s="7">
        <v>2019</v>
      </c>
      <c r="F65" s="7">
        <v>2021</v>
      </c>
      <c r="G65" s="7" t="s">
        <v>405</v>
      </c>
      <c r="H65" s="7" t="s">
        <v>215</v>
      </c>
      <c r="I65" s="7" t="s">
        <v>50</v>
      </c>
      <c r="J65" s="7" t="s">
        <v>51</v>
      </c>
      <c r="K65" s="7" t="s">
        <v>51</v>
      </c>
      <c r="L65" s="7" t="s">
        <v>52</v>
      </c>
      <c r="M65" s="7" t="s">
        <v>53</v>
      </c>
      <c r="N65" s="7" t="s">
        <v>406</v>
      </c>
      <c r="O65" s="7">
        <v>0.53427607079999995</v>
      </c>
      <c r="P65" s="7">
        <v>17184</v>
      </c>
      <c r="Q65" s="7">
        <v>0.1853056247</v>
      </c>
      <c r="R65" s="7">
        <v>19681</v>
      </c>
      <c r="S65" s="7"/>
      <c r="T65" s="7"/>
      <c r="U65" s="7"/>
      <c r="V65" s="4" t="s">
        <v>691</v>
      </c>
      <c r="W65" s="7" t="s">
        <v>323</v>
      </c>
      <c r="X65" s="7"/>
      <c r="Y65" s="7" t="s">
        <v>94</v>
      </c>
      <c r="Z65" s="7" t="s">
        <v>407</v>
      </c>
      <c r="AA65" s="7" t="s">
        <v>79</v>
      </c>
      <c r="AB65" s="7" t="s">
        <v>79</v>
      </c>
      <c r="AC65" s="7">
        <v>-0.8921</v>
      </c>
      <c r="AD65" s="7"/>
      <c r="AE65" s="7">
        <v>-0.8921</v>
      </c>
      <c r="AF65" s="7">
        <v>1.73E-4</v>
      </c>
      <c r="AG65" s="7"/>
      <c r="AH65" s="7">
        <f>-0.9179- -0.8663</f>
        <v>-5.160000000000009E-2</v>
      </c>
      <c r="AI65" s="7"/>
      <c r="AJ65" s="7"/>
      <c r="AK65" s="7">
        <v>1.73E-4</v>
      </c>
      <c r="AL65" s="7">
        <v>36865</v>
      </c>
      <c r="AM65" s="12">
        <v>44620</v>
      </c>
      <c r="AN65" s="7"/>
      <c r="AO65" s="7"/>
      <c r="AP65" s="7"/>
      <c r="AQ65" s="7"/>
      <c r="AR65" s="7" t="s">
        <v>62</v>
      </c>
      <c r="AS65" s="7" t="s">
        <v>62</v>
      </c>
      <c r="AT65" s="7" t="s">
        <v>62</v>
      </c>
      <c r="AU65" s="7"/>
      <c r="AV65" s="7" t="s">
        <v>408</v>
      </c>
    </row>
    <row r="66" spans="1:48" ht="15.75" customHeight="1">
      <c r="A66" s="7">
        <v>65</v>
      </c>
      <c r="B66" s="7">
        <v>28</v>
      </c>
      <c r="C66" s="7" t="s">
        <v>403</v>
      </c>
      <c r="D66" s="7" t="s">
        <v>404</v>
      </c>
      <c r="E66" s="7">
        <v>2019</v>
      </c>
      <c r="F66" s="7">
        <v>2021</v>
      </c>
      <c r="G66" s="7" t="s">
        <v>409</v>
      </c>
      <c r="H66" s="7" t="s">
        <v>410</v>
      </c>
      <c r="I66" s="7" t="s">
        <v>50</v>
      </c>
      <c r="J66" s="7" t="s">
        <v>51</v>
      </c>
      <c r="K66" s="7" t="s">
        <v>51</v>
      </c>
      <c r="L66" s="7" t="s">
        <v>52</v>
      </c>
      <c r="M66" s="7" t="s">
        <v>53</v>
      </c>
      <c r="N66" s="7" t="s">
        <v>406</v>
      </c>
      <c r="O66" s="7">
        <v>0.18172467</v>
      </c>
      <c r="P66" s="7">
        <v>29165</v>
      </c>
      <c r="Q66" s="7">
        <v>0.17098214289999999</v>
      </c>
      <c r="R66" s="7">
        <v>2240</v>
      </c>
      <c r="S66" s="7"/>
      <c r="T66" s="7"/>
      <c r="U66" s="7"/>
      <c r="V66" s="4" t="s">
        <v>691</v>
      </c>
      <c r="W66" s="7" t="s">
        <v>323</v>
      </c>
      <c r="X66" s="7"/>
      <c r="Y66" s="7" t="s">
        <v>94</v>
      </c>
      <c r="Z66" s="7" t="s">
        <v>411</v>
      </c>
      <c r="AA66" s="7" t="s">
        <v>79</v>
      </c>
      <c r="AB66" s="7" t="s">
        <v>79</v>
      </c>
      <c r="AC66" s="7">
        <v>-4.0800000000000003E-2</v>
      </c>
      <c r="AD66" s="7"/>
      <c r="AE66" s="7">
        <v>-4.0800000000000003E-2</v>
      </c>
      <c r="AF66" s="7">
        <v>1.0269999999999999E-3</v>
      </c>
      <c r="AG66" s="7"/>
      <c r="AH66" s="7">
        <f>-0.1036-0.022</f>
        <v>-0.12559999999999999</v>
      </c>
      <c r="AI66" s="7"/>
      <c r="AJ66" s="7"/>
      <c r="AK66" s="7">
        <v>1.0269999999999999E-3</v>
      </c>
      <c r="AL66" s="7">
        <v>31405</v>
      </c>
      <c r="AM66" s="12">
        <v>44620</v>
      </c>
      <c r="AN66" s="7"/>
      <c r="AO66" s="7"/>
      <c r="AP66" s="7"/>
      <c r="AQ66" s="7"/>
      <c r="AR66" s="7" t="s">
        <v>62</v>
      </c>
      <c r="AS66" s="7" t="s">
        <v>62</v>
      </c>
      <c r="AT66" s="7" t="s">
        <v>62</v>
      </c>
      <c r="AU66" s="7"/>
      <c r="AV66" s="7" t="s">
        <v>408</v>
      </c>
    </row>
    <row r="67" spans="1:48" ht="15.75" customHeight="1">
      <c r="A67" s="7">
        <v>66</v>
      </c>
      <c r="B67" s="7">
        <v>28</v>
      </c>
      <c r="C67" s="7" t="s">
        <v>403</v>
      </c>
      <c r="D67" s="7" t="s">
        <v>404</v>
      </c>
      <c r="E67" s="7">
        <v>2019</v>
      </c>
      <c r="F67" s="7">
        <v>2021</v>
      </c>
      <c r="G67" s="7" t="s">
        <v>412</v>
      </c>
      <c r="H67" s="7" t="s">
        <v>215</v>
      </c>
      <c r="I67" s="7" t="s">
        <v>50</v>
      </c>
      <c r="J67" s="7" t="s">
        <v>51</v>
      </c>
      <c r="K67" s="7" t="s">
        <v>51</v>
      </c>
      <c r="L67" s="7" t="s">
        <v>52</v>
      </c>
      <c r="M67" s="7" t="s">
        <v>53</v>
      </c>
      <c r="N67" s="7" t="s">
        <v>406</v>
      </c>
      <c r="O67" s="7">
        <v>0.30833039179999999</v>
      </c>
      <c r="P67" s="7">
        <v>5666</v>
      </c>
      <c r="Q67" s="7">
        <v>0.2601291838</v>
      </c>
      <c r="R67" s="7">
        <v>1703</v>
      </c>
      <c r="S67" s="7"/>
      <c r="T67" s="7"/>
      <c r="U67" s="7"/>
      <c r="V67" s="4" t="s">
        <v>691</v>
      </c>
      <c r="W67" s="7" t="s">
        <v>323</v>
      </c>
      <c r="X67" s="7"/>
      <c r="Y67" s="7" t="s">
        <v>94</v>
      </c>
      <c r="Z67" s="7" t="s">
        <v>413</v>
      </c>
      <c r="AA67" s="7" t="s">
        <v>79</v>
      </c>
      <c r="AB67" s="7" t="s">
        <v>79</v>
      </c>
      <c r="AC67" s="7">
        <v>-0.13089999999999999</v>
      </c>
      <c r="AD67" s="7"/>
      <c r="AE67" s="7">
        <v>-0.13089999999999999</v>
      </c>
      <c r="AF67" s="7">
        <v>1.1789999999999999E-3</v>
      </c>
      <c r="AG67" s="7"/>
      <c r="AH67" s="7">
        <f>-0.1982- -0.0636</f>
        <v>-0.1346</v>
      </c>
      <c r="AI67" s="7"/>
      <c r="AJ67" s="7"/>
      <c r="AK67" s="7">
        <v>1.1789999999999999E-3</v>
      </c>
      <c r="AL67" s="7">
        <v>7369</v>
      </c>
      <c r="AM67" s="12">
        <v>44620</v>
      </c>
      <c r="AN67" s="7"/>
      <c r="AO67" s="7"/>
      <c r="AP67" s="7"/>
      <c r="AQ67" s="7"/>
      <c r="AR67" s="7" t="s">
        <v>62</v>
      </c>
      <c r="AS67" s="7" t="s">
        <v>62</v>
      </c>
      <c r="AT67" s="7" t="s">
        <v>62</v>
      </c>
      <c r="AU67" s="7"/>
      <c r="AV67" s="7" t="s">
        <v>408</v>
      </c>
    </row>
    <row r="68" spans="1:48" ht="15.75" customHeight="1">
      <c r="A68" s="7">
        <v>67</v>
      </c>
      <c r="B68" s="7">
        <v>28</v>
      </c>
      <c r="C68" s="7" t="s">
        <v>403</v>
      </c>
      <c r="D68" s="7" t="s">
        <v>404</v>
      </c>
      <c r="E68" s="7">
        <v>2019</v>
      </c>
      <c r="F68" s="7">
        <v>2021</v>
      </c>
      <c r="G68" s="7" t="s">
        <v>414</v>
      </c>
      <c r="H68" s="7" t="s">
        <v>410</v>
      </c>
      <c r="I68" s="7" t="s">
        <v>50</v>
      </c>
      <c r="J68" s="7" t="s">
        <v>51</v>
      </c>
      <c r="K68" s="7" t="s">
        <v>51</v>
      </c>
      <c r="L68" s="7" t="s">
        <v>52</v>
      </c>
      <c r="M68" s="7" t="s">
        <v>53</v>
      </c>
      <c r="N68" s="7" t="s">
        <v>406</v>
      </c>
      <c r="O68" s="7">
        <v>0.2663534293</v>
      </c>
      <c r="P68" s="7">
        <v>16388</v>
      </c>
      <c r="Q68" s="7">
        <v>0.24943873329999999</v>
      </c>
      <c r="R68" s="7">
        <v>8463</v>
      </c>
      <c r="S68" s="7"/>
      <c r="T68" s="7"/>
      <c r="U68" s="7"/>
      <c r="V68" s="4" t="s">
        <v>691</v>
      </c>
      <c r="W68" s="7" t="s">
        <v>323</v>
      </c>
      <c r="X68" s="7"/>
      <c r="Y68" s="7" t="s">
        <v>94</v>
      </c>
      <c r="Z68" s="7" t="s">
        <v>415</v>
      </c>
      <c r="AA68" s="7" t="s">
        <v>79</v>
      </c>
      <c r="AB68" s="7" t="s">
        <v>79</v>
      </c>
      <c r="AC68" s="7">
        <v>-4.87E-2</v>
      </c>
      <c r="AD68" s="7"/>
      <c r="AE68" s="7">
        <v>-4.87E-2</v>
      </c>
      <c r="AF68" s="7">
        <v>2.8699999999999998E-4</v>
      </c>
      <c r="AG68" s="7"/>
      <c r="AH68" s="7">
        <f>-0.0819- -0.0155</f>
        <v>-6.6400000000000001E-2</v>
      </c>
      <c r="AI68" s="7"/>
      <c r="AJ68" s="7"/>
      <c r="AK68" s="7">
        <v>2.8699999999999998E-4</v>
      </c>
      <c r="AL68" s="7">
        <v>24851</v>
      </c>
      <c r="AM68" s="12">
        <v>44620</v>
      </c>
      <c r="AN68" s="7"/>
      <c r="AO68" s="7"/>
      <c r="AP68" s="7"/>
      <c r="AQ68" s="7"/>
      <c r="AR68" s="7" t="s">
        <v>62</v>
      </c>
      <c r="AS68" s="7" t="s">
        <v>62</v>
      </c>
      <c r="AT68" s="7" t="s">
        <v>62</v>
      </c>
      <c r="AU68" s="7"/>
      <c r="AV68" s="7" t="s">
        <v>408</v>
      </c>
    </row>
    <row r="69" spans="1:48" ht="15.75" customHeight="1">
      <c r="A69" s="7">
        <v>68</v>
      </c>
      <c r="B69" s="7">
        <v>28</v>
      </c>
      <c r="C69" s="7" t="s">
        <v>403</v>
      </c>
      <c r="D69" s="7" t="s">
        <v>404</v>
      </c>
      <c r="E69" s="7">
        <v>2019</v>
      </c>
      <c r="F69" s="7">
        <v>2021</v>
      </c>
      <c r="G69" s="7" t="s">
        <v>416</v>
      </c>
      <c r="H69" s="7" t="s">
        <v>410</v>
      </c>
      <c r="I69" s="7" t="s">
        <v>50</v>
      </c>
      <c r="J69" s="7" t="s">
        <v>51</v>
      </c>
      <c r="K69" s="7" t="s">
        <v>51</v>
      </c>
      <c r="L69" s="7" t="s">
        <v>52</v>
      </c>
      <c r="M69" s="7" t="s">
        <v>53</v>
      </c>
      <c r="N69" s="7" t="s">
        <v>406</v>
      </c>
      <c r="O69" s="7">
        <v>0.24927991620000001</v>
      </c>
      <c r="P69" s="7">
        <v>22914</v>
      </c>
      <c r="Q69" s="7">
        <v>0.2442697522</v>
      </c>
      <c r="R69" s="7">
        <v>22643</v>
      </c>
      <c r="S69" s="7"/>
      <c r="T69" s="7"/>
      <c r="U69" s="7"/>
      <c r="V69" s="4" t="s">
        <v>691</v>
      </c>
      <c r="W69" s="7" t="s">
        <v>323</v>
      </c>
      <c r="X69" s="7"/>
      <c r="Y69" s="7" t="s">
        <v>94</v>
      </c>
      <c r="Z69" s="7" t="s">
        <v>417</v>
      </c>
      <c r="AA69" s="7" t="s">
        <v>79</v>
      </c>
      <c r="AB69" s="7" t="s">
        <v>79</v>
      </c>
      <c r="AC69" s="7">
        <v>-1.49E-2</v>
      </c>
      <c r="AD69" s="7"/>
      <c r="AE69" s="7">
        <v>-1.49E-2</v>
      </c>
      <c r="AF69" s="7">
        <v>1.44E-4</v>
      </c>
      <c r="AG69" s="7"/>
      <c r="AH69" s="7">
        <f>-0.0383- 0.0086</f>
        <v>-4.6899999999999997E-2</v>
      </c>
      <c r="AI69" s="7"/>
      <c r="AJ69" s="7"/>
      <c r="AK69" s="7">
        <v>1.44E-4</v>
      </c>
      <c r="AL69" s="7">
        <v>45557</v>
      </c>
      <c r="AM69" s="12">
        <v>44620</v>
      </c>
      <c r="AN69" s="7"/>
      <c r="AO69" s="7"/>
      <c r="AP69" s="7"/>
      <c r="AQ69" s="7"/>
      <c r="AR69" s="7" t="s">
        <v>62</v>
      </c>
      <c r="AS69" s="7" t="s">
        <v>62</v>
      </c>
      <c r="AT69" s="7" t="s">
        <v>62</v>
      </c>
      <c r="AU69" s="7"/>
      <c r="AV69" s="7" t="s">
        <v>408</v>
      </c>
    </row>
    <row r="70" spans="1:48" ht="15.75" customHeight="1">
      <c r="A70" s="7">
        <v>69</v>
      </c>
      <c r="B70" s="7">
        <v>28</v>
      </c>
      <c r="C70" s="7" t="s">
        <v>403</v>
      </c>
      <c r="D70" s="7" t="s">
        <v>404</v>
      </c>
      <c r="E70" s="7">
        <v>2019</v>
      </c>
      <c r="F70" s="7">
        <v>2021</v>
      </c>
      <c r="G70" s="7" t="s">
        <v>418</v>
      </c>
      <c r="H70" s="7" t="s">
        <v>150</v>
      </c>
      <c r="I70" s="7" t="s">
        <v>50</v>
      </c>
      <c r="J70" s="7" t="s">
        <v>51</v>
      </c>
      <c r="K70" s="7" t="s">
        <v>51</v>
      </c>
      <c r="L70" s="7" t="s">
        <v>52</v>
      </c>
      <c r="M70" s="7" t="s">
        <v>53</v>
      </c>
      <c r="N70" s="7" t="s">
        <v>406</v>
      </c>
      <c r="O70" s="7">
        <v>0.37710098469999997</v>
      </c>
      <c r="P70" s="7">
        <v>21835</v>
      </c>
      <c r="Q70" s="7">
        <v>0.37951236830000001</v>
      </c>
      <c r="R70" s="7">
        <v>33796</v>
      </c>
      <c r="S70" s="7"/>
      <c r="T70" s="7"/>
      <c r="U70" s="7"/>
      <c r="V70" s="4" t="s">
        <v>691</v>
      </c>
      <c r="W70" s="7" t="s">
        <v>323</v>
      </c>
      <c r="X70" s="7"/>
      <c r="Y70" s="7" t="s">
        <v>94</v>
      </c>
      <c r="Z70" s="7" t="s">
        <v>419</v>
      </c>
      <c r="AA70" s="7" t="s">
        <v>79</v>
      </c>
      <c r="AB70" s="7" t="s">
        <v>79</v>
      </c>
      <c r="AC70" s="7">
        <v>5.7000000000000002E-3</v>
      </c>
      <c r="AD70" s="7"/>
      <c r="AE70" s="7">
        <v>5.7000000000000002E-3</v>
      </c>
      <c r="AF70" s="7">
        <v>9.7E-5</v>
      </c>
      <c r="AG70" s="7"/>
      <c r="AH70" s="7">
        <f>-0.0137-0.025</f>
        <v>-3.8699999999999998E-2</v>
      </c>
      <c r="AI70" s="7"/>
      <c r="AJ70" s="7"/>
      <c r="AK70" s="7">
        <v>9.7E-5</v>
      </c>
      <c r="AL70" s="7">
        <v>55631</v>
      </c>
      <c r="AM70" s="12">
        <v>44620</v>
      </c>
      <c r="AN70" s="7"/>
      <c r="AO70" s="7"/>
      <c r="AP70" s="7"/>
      <c r="AQ70" s="7"/>
      <c r="AR70" s="7" t="s">
        <v>62</v>
      </c>
      <c r="AS70" s="7" t="s">
        <v>62</v>
      </c>
      <c r="AT70" s="7" t="s">
        <v>62</v>
      </c>
      <c r="AU70" s="7"/>
      <c r="AV70" s="7" t="s">
        <v>408</v>
      </c>
    </row>
    <row r="71" spans="1:48" ht="15.75" customHeight="1">
      <c r="A71" s="7">
        <v>70</v>
      </c>
      <c r="B71" s="7">
        <v>28</v>
      </c>
      <c r="C71" s="7" t="s">
        <v>403</v>
      </c>
      <c r="D71" s="7" t="s">
        <v>404</v>
      </c>
      <c r="E71" s="7">
        <v>2019</v>
      </c>
      <c r="F71" s="7">
        <v>2021</v>
      </c>
      <c r="G71" s="7" t="s">
        <v>420</v>
      </c>
      <c r="H71" s="7" t="s">
        <v>410</v>
      </c>
      <c r="I71" s="7" t="s">
        <v>50</v>
      </c>
      <c r="J71" s="7" t="s">
        <v>51</v>
      </c>
      <c r="K71" s="7" t="s">
        <v>51</v>
      </c>
      <c r="L71" s="7" t="s">
        <v>52</v>
      </c>
      <c r="M71" s="7" t="s">
        <v>53</v>
      </c>
      <c r="N71" s="7" t="s">
        <v>406</v>
      </c>
      <c r="O71" s="7">
        <v>0.2406057207</v>
      </c>
      <c r="P71" s="7">
        <v>1783</v>
      </c>
      <c r="Q71" s="7">
        <v>0.19796954310000001</v>
      </c>
      <c r="R71" s="7">
        <v>788</v>
      </c>
      <c r="S71" s="7"/>
      <c r="T71" s="7"/>
      <c r="U71" s="7"/>
      <c r="V71" s="4" t="s">
        <v>691</v>
      </c>
      <c r="W71" s="7" t="s">
        <v>323</v>
      </c>
      <c r="X71" s="7"/>
      <c r="Y71" s="7" t="s">
        <v>94</v>
      </c>
      <c r="Z71" s="7" t="s">
        <v>421</v>
      </c>
      <c r="AA71" s="7" t="s">
        <v>79</v>
      </c>
      <c r="AB71" s="7" t="s">
        <v>79</v>
      </c>
      <c r="AC71" s="7">
        <v>-0.13769999999999999</v>
      </c>
      <c r="AD71" s="7"/>
      <c r="AE71" s="7">
        <v>-0.13769999999999999</v>
      </c>
      <c r="AF71" s="7">
        <v>3.362E-3</v>
      </c>
      <c r="AG71" s="7"/>
      <c r="AH71" s="7">
        <f>-0.2513- -0.024</f>
        <v>-0.22730000000000003</v>
      </c>
      <c r="AI71" s="7"/>
      <c r="AJ71" s="7"/>
      <c r="AK71" s="7">
        <v>3.362E-3</v>
      </c>
      <c r="AL71" s="7">
        <v>2571</v>
      </c>
      <c r="AM71" s="12">
        <v>44620</v>
      </c>
      <c r="AN71" s="7"/>
      <c r="AO71" s="7"/>
      <c r="AP71" s="7"/>
      <c r="AQ71" s="7"/>
      <c r="AR71" s="7" t="s">
        <v>62</v>
      </c>
      <c r="AS71" s="7" t="s">
        <v>62</v>
      </c>
      <c r="AT71" s="7" t="s">
        <v>62</v>
      </c>
      <c r="AU71" s="7"/>
      <c r="AV71" s="7" t="s">
        <v>408</v>
      </c>
    </row>
    <row r="72" spans="1:48" ht="15.75" customHeight="1">
      <c r="A72" s="7">
        <v>71</v>
      </c>
      <c r="B72" s="7">
        <v>28</v>
      </c>
      <c r="C72" s="7" t="s">
        <v>403</v>
      </c>
      <c r="D72" s="7" t="s">
        <v>404</v>
      </c>
      <c r="E72" s="7">
        <v>2019</v>
      </c>
      <c r="F72" s="7">
        <v>2021</v>
      </c>
      <c r="G72" s="7" t="s">
        <v>422</v>
      </c>
      <c r="H72" s="7" t="s">
        <v>215</v>
      </c>
      <c r="I72" s="7" t="s">
        <v>50</v>
      </c>
      <c r="J72" s="7" t="s">
        <v>51</v>
      </c>
      <c r="K72" s="7" t="s">
        <v>51</v>
      </c>
      <c r="L72" s="7" t="s">
        <v>52</v>
      </c>
      <c r="M72" s="7" t="s">
        <v>53</v>
      </c>
      <c r="N72" s="7" t="s">
        <v>406</v>
      </c>
      <c r="O72" s="7">
        <v>0.50488639140000002</v>
      </c>
      <c r="P72" s="7">
        <v>8186</v>
      </c>
      <c r="Q72" s="7">
        <v>0.52817207420000001</v>
      </c>
      <c r="R72" s="7">
        <v>13808</v>
      </c>
      <c r="S72" s="7"/>
      <c r="T72" s="7"/>
      <c r="U72" s="7"/>
      <c r="V72" s="4" t="s">
        <v>691</v>
      </c>
      <c r="W72" s="7" t="s">
        <v>323</v>
      </c>
      <c r="X72" s="7"/>
      <c r="Y72" s="7" t="s">
        <v>94</v>
      </c>
      <c r="Z72" s="7" t="s">
        <v>423</v>
      </c>
      <c r="AA72" s="7" t="s">
        <v>79</v>
      </c>
      <c r="AB72" s="7" t="s">
        <v>79</v>
      </c>
      <c r="AC72" s="7">
        <v>5.1400000000000001E-2</v>
      </c>
      <c r="AD72" s="7"/>
      <c r="AE72" s="7">
        <v>5.1400000000000001E-2</v>
      </c>
      <c r="AF72" s="7">
        <v>2.3699999999999999E-4</v>
      </c>
      <c r="AG72" s="7"/>
      <c r="AH72" s="7" t="s">
        <v>424</v>
      </c>
      <c r="AI72" s="7"/>
      <c r="AJ72" s="7"/>
      <c r="AK72" s="7">
        <v>2.3699999999999999E-4</v>
      </c>
      <c r="AL72" s="7">
        <v>21994</v>
      </c>
      <c r="AM72" s="12">
        <v>44620</v>
      </c>
      <c r="AN72" s="7"/>
      <c r="AO72" s="7"/>
      <c r="AP72" s="7"/>
      <c r="AQ72" s="7"/>
      <c r="AR72" s="7" t="s">
        <v>62</v>
      </c>
      <c r="AS72" s="7" t="s">
        <v>62</v>
      </c>
      <c r="AT72" s="7" t="s">
        <v>62</v>
      </c>
      <c r="AU72" s="7"/>
      <c r="AV72" s="7" t="s">
        <v>408</v>
      </c>
    </row>
    <row r="73" spans="1:48" ht="15.75" customHeight="1">
      <c r="A73" s="7">
        <v>72</v>
      </c>
      <c r="B73" s="7">
        <v>28</v>
      </c>
      <c r="C73" s="7" t="s">
        <v>403</v>
      </c>
      <c r="D73" s="7" t="s">
        <v>404</v>
      </c>
      <c r="E73" s="7">
        <v>2019</v>
      </c>
      <c r="F73" s="7">
        <v>2021</v>
      </c>
      <c r="G73" s="7" t="s">
        <v>425</v>
      </c>
      <c r="H73" s="7" t="s">
        <v>291</v>
      </c>
      <c r="I73" s="7" t="s">
        <v>50</v>
      </c>
      <c r="J73" s="7" t="s">
        <v>51</v>
      </c>
      <c r="K73" s="7" t="s">
        <v>51</v>
      </c>
      <c r="L73" s="7" t="s">
        <v>52</v>
      </c>
      <c r="M73" s="7" t="s">
        <v>53</v>
      </c>
      <c r="N73" s="7" t="s">
        <v>406</v>
      </c>
      <c r="O73" s="7">
        <v>0.41608835360000002</v>
      </c>
      <c r="P73" s="7">
        <v>74066</v>
      </c>
      <c r="Q73" s="7">
        <v>0.42054250050000003</v>
      </c>
      <c r="R73" s="7">
        <v>28682</v>
      </c>
      <c r="S73" s="7"/>
      <c r="T73" s="7"/>
      <c r="U73" s="7"/>
      <c r="V73" s="4" t="s">
        <v>691</v>
      </c>
      <c r="W73" s="7" t="s">
        <v>323</v>
      </c>
      <c r="X73" s="7"/>
      <c r="Y73" s="7" t="s">
        <v>94</v>
      </c>
      <c r="Z73" s="7" t="s">
        <v>426</v>
      </c>
      <c r="AA73" s="7" t="s">
        <v>79</v>
      </c>
      <c r="AB73" s="7" t="s">
        <v>79</v>
      </c>
      <c r="AC73" s="7">
        <v>1.01E-2</v>
      </c>
      <c r="AD73" s="7"/>
      <c r="AE73" s="7">
        <v>1.01E-2</v>
      </c>
      <c r="AF73" s="7">
        <v>6.0000000000000002E-5</v>
      </c>
      <c r="AG73" s="7"/>
      <c r="AH73" s="7">
        <f>-0.0051- 0.0253</f>
        <v>-3.04E-2</v>
      </c>
      <c r="AI73" s="7"/>
      <c r="AJ73" s="7"/>
      <c r="AK73" s="7">
        <v>6.0000000000000002E-5</v>
      </c>
      <c r="AL73" s="7">
        <v>102748</v>
      </c>
      <c r="AM73" s="12">
        <v>44620</v>
      </c>
      <c r="AN73" s="7"/>
      <c r="AO73" s="7"/>
      <c r="AP73" s="7"/>
      <c r="AQ73" s="7"/>
      <c r="AR73" s="7" t="s">
        <v>62</v>
      </c>
      <c r="AS73" s="7" t="s">
        <v>62</v>
      </c>
      <c r="AT73" s="7" t="s">
        <v>62</v>
      </c>
      <c r="AU73" s="7"/>
      <c r="AV73" s="7" t="s">
        <v>408</v>
      </c>
    </row>
    <row r="74" spans="1:48" ht="15.75" customHeight="1">
      <c r="A74" s="7">
        <v>73</v>
      </c>
      <c r="B74" s="7">
        <v>28</v>
      </c>
      <c r="C74" s="7" t="s">
        <v>403</v>
      </c>
      <c r="D74" s="7" t="s">
        <v>404</v>
      </c>
      <c r="E74" s="7">
        <v>2019</v>
      </c>
      <c r="F74" s="7">
        <v>2021</v>
      </c>
      <c r="G74" s="7" t="s">
        <v>427</v>
      </c>
      <c r="H74" s="7" t="s">
        <v>410</v>
      </c>
      <c r="I74" s="7" t="s">
        <v>50</v>
      </c>
      <c r="J74" s="7" t="s">
        <v>51</v>
      </c>
      <c r="K74" s="7" t="s">
        <v>51</v>
      </c>
      <c r="L74" s="7" t="s">
        <v>52</v>
      </c>
      <c r="M74" s="7" t="s">
        <v>53</v>
      </c>
      <c r="N74" s="7" t="s">
        <v>406</v>
      </c>
      <c r="O74" s="7">
        <v>0.1913990247</v>
      </c>
      <c r="P74" s="7">
        <v>23788</v>
      </c>
      <c r="Q74" s="7">
        <v>0.19768379389999999</v>
      </c>
      <c r="R74" s="7">
        <v>13643</v>
      </c>
      <c r="S74" s="7"/>
      <c r="T74" s="7"/>
      <c r="U74" s="7"/>
      <c r="V74" s="4" t="s">
        <v>691</v>
      </c>
      <c r="W74" s="7" t="s">
        <v>323</v>
      </c>
      <c r="X74" s="7"/>
      <c r="Y74" s="7" t="s">
        <v>94</v>
      </c>
      <c r="Z74" s="7" t="s">
        <v>428</v>
      </c>
      <c r="AA74" s="7" t="s">
        <v>79</v>
      </c>
      <c r="AB74" s="7" t="s">
        <v>79</v>
      </c>
      <c r="AC74" s="7">
        <v>2.2100000000000002E-2</v>
      </c>
      <c r="AD74" s="7"/>
      <c r="AE74" s="7">
        <v>2.2100000000000002E-2</v>
      </c>
      <c r="AF74" s="7">
        <v>2.23E-4</v>
      </c>
      <c r="AG74" s="7"/>
      <c r="AH74" s="7">
        <f>-0.0072-0.0514</f>
        <v>-5.8599999999999999E-2</v>
      </c>
      <c r="AI74" s="7"/>
      <c r="AJ74" s="7"/>
      <c r="AK74" s="7">
        <v>2.23E-4</v>
      </c>
      <c r="AL74" s="7">
        <v>37431</v>
      </c>
      <c r="AM74" s="12">
        <v>44620</v>
      </c>
      <c r="AN74" s="7"/>
      <c r="AO74" s="7"/>
      <c r="AP74" s="7"/>
      <c r="AQ74" s="7"/>
      <c r="AR74" s="7" t="s">
        <v>62</v>
      </c>
      <c r="AS74" s="7" t="s">
        <v>62</v>
      </c>
      <c r="AT74" s="7" t="s">
        <v>62</v>
      </c>
      <c r="AU74" s="7"/>
      <c r="AV74" s="7" t="s">
        <v>408</v>
      </c>
    </row>
    <row r="75" spans="1:48" ht="15.75" customHeight="1">
      <c r="A75" s="7">
        <v>74</v>
      </c>
      <c r="B75" s="7">
        <v>28</v>
      </c>
      <c r="C75" s="7" t="s">
        <v>403</v>
      </c>
      <c r="D75" s="7" t="s">
        <v>404</v>
      </c>
      <c r="E75" s="7">
        <v>2019</v>
      </c>
      <c r="F75" s="7">
        <v>2021</v>
      </c>
      <c r="G75" s="7" t="s">
        <v>429</v>
      </c>
      <c r="H75" s="7" t="s">
        <v>291</v>
      </c>
      <c r="I75" s="7" t="s">
        <v>50</v>
      </c>
      <c r="J75" s="7" t="s">
        <v>51</v>
      </c>
      <c r="K75" s="7" t="s">
        <v>51</v>
      </c>
      <c r="L75" s="7" t="s">
        <v>52</v>
      </c>
      <c r="M75" s="7" t="s">
        <v>53</v>
      </c>
      <c r="N75" s="7" t="s">
        <v>406</v>
      </c>
      <c r="O75" s="7">
        <v>0.36889460149999997</v>
      </c>
      <c r="P75" s="7">
        <v>49014</v>
      </c>
      <c r="Q75" s="7">
        <v>0.36954737139999999</v>
      </c>
      <c r="R75" s="7">
        <v>88925</v>
      </c>
      <c r="S75" s="7"/>
      <c r="T75" s="7"/>
      <c r="U75" s="7"/>
      <c r="V75" s="4" t="s">
        <v>691</v>
      </c>
      <c r="W75" s="7" t="s">
        <v>323</v>
      </c>
      <c r="X75" s="7"/>
      <c r="Y75" s="7" t="s">
        <v>94</v>
      </c>
      <c r="Z75" s="7" t="s">
        <v>430</v>
      </c>
      <c r="AA75" s="7" t="s">
        <v>79</v>
      </c>
      <c r="AB75" s="7" t="s">
        <v>79</v>
      </c>
      <c r="AC75" s="7">
        <v>-1.5E-3</v>
      </c>
      <c r="AD75" s="7"/>
      <c r="AE75" s="7">
        <v>-1.5E-3</v>
      </c>
      <c r="AF75" s="7">
        <v>4.1E-5</v>
      </c>
      <c r="AG75" s="7"/>
      <c r="AH75" s="7">
        <f>-0.0141-0.0111</f>
        <v>-2.52E-2</v>
      </c>
      <c r="AI75" s="7"/>
      <c r="AJ75" s="7"/>
      <c r="AK75" s="7">
        <v>4.1E-5</v>
      </c>
      <c r="AL75" s="7">
        <v>137939</v>
      </c>
      <c r="AM75" s="12">
        <v>44620</v>
      </c>
      <c r="AN75" s="7"/>
      <c r="AO75" s="7"/>
      <c r="AP75" s="7"/>
      <c r="AQ75" s="7"/>
      <c r="AR75" s="7" t="s">
        <v>62</v>
      </c>
      <c r="AS75" s="7" t="s">
        <v>62</v>
      </c>
      <c r="AT75" s="7" t="s">
        <v>62</v>
      </c>
      <c r="AU75" s="7"/>
      <c r="AV75" s="7" t="s">
        <v>408</v>
      </c>
    </row>
    <row r="76" spans="1:48" ht="15.75" customHeight="1">
      <c r="A76" s="7">
        <v>75</v>
      </c>
      <c r="B76" s="7">
        <v>28</v>
      </c>
      <c r="C76" s="7" t="s">
        <v>403</v>
      </c>
      <c r="D76" s="7" t="s">
        <v>404</v>
      </c>
      <c r="E76" s="7">
        <v>2019</v>
      </c>
      <c r="F76" s="7">
        <v>2021</v>
      </c>
      <c r="G76" s="7" t="s">
        <v>215</v>
      </c>
      <c r="H76" s="7" t="s">
        <v>215</v>
      </c>
      <c r="I76" s="7" t="s">
        <v>50</v>
      </c>
      <c r="J76" s="7" t="s">
        <v>51</v>
      </c>
      <c r="K76" s="7" t="s">
        <v>51</v>
      </c>
      <c r="L76" s="7" t="s">
        <v>52</v>
      </c>
      <c r="M76" s="7" t="s">
        <v>53</v>
      </c>
      <c r="N76" s="7" t="s">
        <v>406</v>
      </c>
      <c r="O76" s="7">
        <v>0.43923945990000002</v>
      </c>
      <c r="P76" s="7">
        <v>7258</v>
      </c>
      <c r="Q76" s="7">
        <v>0.4595317726</v>
      </c>
      <c r="R76" s="7">
        <v>2990</v>
      </c>
      <c r="S76" s="7"/>
      <c r="T76" s="7"/>
      <c r="U76" s="7"/>
      <c r="V76" s="4" t="s">
        <v>691</v>
      </c>
      <c r="W76" s="7" t="s">
        <v>323</v>
      </c>
      <c r="X76" s="7"/>
      <c r="Y76" s="7" t="s">
        <v>94</v>
      </c>
      <c r="Z76" s="7" t="s">
        <v>431</v>
      </c>
      <c r="AA76" s="7" t="s">
        <v>79</v>
      </c>
      <c r="AB76" s="7" t="s">
        <v>79</v>
      </c>
      <c r="AC76" s="7">
        <v>-4.5199999999999997E-2</v>
      </c>
      <c r="AD76" s="7"/>
      <c r="AE76" s="7">
        <v>-4.5199999999999997E-2</v>
      </c>
      <c r="AF76" s="7">
        <v>5.7899999999999998E-4</v>
      </c>
      <c r="AG76" s="7"/>
      <c r="AH76" s="7">
        <f>-0.0924- -0.002</f>
        <v>-9.0399999999999994E-2</v>
      </c>
      <c r="AI76" s="7"/>
      <c r="AJ76" s="7"/>
      <c r="AK76" s="7">
        <v>5.7899999999999998E-4</v>
      </c>
      <c r="AL76" s="7">
        <v>10248</v>
      </c>
      <c r="AM76" s="12">
        <v>44620</v>
      </c>
      <c r="AN76" s="7"/>
      <c r="AO76" s="7"/>
      <c r="AP76" s="7"/>
      <c r="AQ76" s="7"/>
      <c r="AR76" s="7" t="s">
        <v>62</v>
      </c>
      <c r="AS76" s="7" t="s">
        <v>62</v>
      </c>
      <c r="AT76" s="7" t="s">
        <v>62</v>
      </c>
      <c r="AU76" s="7"/>
      <c r="AV76" s="7" t="s">
        <v>408</v>
      </c>
    </row>
    <row r="77" spans="1:48" ht="15.75" customHeight="1">
      <c r="A77" s="7">
        <v>76</v>
      </c>
      <c r="B77" s="7">
        <v>28</v>
      </c>
      <c r="C77" s="7" t="s">
        <v>403</v>
      </c>
      <c r="D77" s="7" t="s">
        <v>404</v>
      </c>
      <c r="E77" s="7">
        <v>2019</v>
      </c>
      <c r="F77" s="7">
        <v>2021</v>
      </c>
      <c r="G77" s="7" t="s">
        <v>432</v>
      </c>
      <c r="H77" s="7" t="s">
        <v>88</v>
      </c>
      <c r="I77" s="7" t="s">
        <v>50</v>
      </c>
      <c r="J77" s="7" t="s">
        <v>51</v>
      </c>
      <c r="K77" s="7" t="s">
        <v>51</v>
      </c>
      <c r="L77" s="7" t="s">
        <v>52</v>
      </c>
      <c r="M77" s="7" t="s">
        <v>53</v>
      </c>
      <c r="N77" s="7" t="s">
        <v>406</v>
      </c>
      <c r="O77" s="7">
        <v>0.37457537260000001</v>
      </c>
      <c r="P77" s="7">
        <v>50927</v>
      </c>
      <c r="Q77" s="7">
        <v>0.37949848749999998</v>
      </c>
      <c r="R77" s="7">
        <v>35373</v>
      </c>
      <c r="S77" s="7"/>
      <c r="T77" s="7"/>
      <c r="U77" s="7"/>
      <c r="V77" s="4" t="s">
        <v>691</v>
      </c>
      <c r="W77" s="7" t="s">
        <v>323</v>
      </c>
      <c r="X77" s="7"/>
      <c r="Y77" s="7" t="s">
        <v>94</v>
      </c>
      <c r="Z77" s="7" t="s">
        <v>433</v>
      </c>
      <c r="AA77" s="7" t="s">
        <v>79</v>
      </c>
      <c r="AB77" s="7" t="s">
        <v>79</v>
      </c>
      <c r="AC77" s="7">
        <v>1.1599999999999999E-2</v>
      </c>
      <c r="AD77" s="7"/>
      <c r="AE77" s="7">
        <v>1.1599999999999999E-2</v>
      </c>
      <c r="AF77" s="7">
        <v>6.2000000000000003E-5</v>
      </c>
      <c r="AG77" s="7"/>
      <c r="AH77" s="7">
        <f>-0.0039-0.027</f>
        <v>-3.09E-2</v>
      </c>
      <c r="AI77" s="7"/>
      <c r="AJ77" s="7"/>
      <c r="AK77" s="7">
        <v>6.2000000000000003E-5</v>
      </c>
      <c r="AL77" s="7">
        <v>86300</v>
      </c>
      <c r="AM77" s="12">
        <v>44620</v>
      </c>
      <c r="AN77" s="7"/>
      <c r="AO77" s="7"/>
      <c r="AP77" s="7"/>
      <c r="AQ77" s="7"/>
      <c r="AR77" s="7" t="s">
        <v>62</v>
      </c>
      <c r="AS77" s="7" t="s">
        <v>62</v>
      </c>
      <c r="AT77" s="7" t="s">
        <v>62</v>
      </c>
      <c r="AU77" s="7"/>
      <c r="AV77" s="7" t="s">
        <v>408</v>
      </c>
    </row>
    <row r="78" spans="1:48" ht="15.75" customHeight="1">
      <c r="A78" s="7">
        <v>77</v>
      </c>
      <c r="B78" s="7">
        <v>28</v>
      </c>
      <c r="C78" s="7" t="s">
        <v>403</v>
      </c>
      <c r="D78" s="7" t="s">
        <v>404</v>
      </c>
      <c r="E78" s="7">
        <v>2019</v>
      </c>
      <c r="F78" s="7">
        <v>2021</v>
      </c>
      <c r="G78" s="7" t="s">
        <v>434</v>
      </c>
      <c r="H78" s="7" t="s">
        <v>215</v>
      </c>
      <c r="I78" s="7" t="s">
        <v>50</v>
      </c>
      <c r="J78" s="7" t="s">
        <v>51</v>
      </c>
      <c r="K78" s="7" t="s">
        <v>51</v>
      </c>
      <c r="L78" s="7" t="s">
        <v>52</v>
      </c>
      <c r="M78" s="7" t="s">
        <v>53</v>
      </c>
      <c r="N78" s="7" t="s">
        <v>406</v>
      </c>
      <c r="O78" s="7">
        <v>0.26620297189999997</v>
      </c>
      <c r="P78" s="7">
        <v>6326</v>
      </c>
      <c r="Q78" s="7">
        <v>0.2410106383</v>
      </c>
      <c r="R78" s="7">
        <v>18800</v>
      </c>
      <c r="S78" s="7"/>
      <c r="T78" s="7"/>
      <c r="U78" s="7"/>
      <c r="V78" s="4" t="s">
        <v>691</v>
      </c>
      <c r="W78" s="7" t="s">
        <v>323</v>
      </c>
      <c r="X78" s="7"/>
      <c r="Y78" s="7" t="s">
        <v>94</v>
      </c>
      <c r="Z78" s="7" t="s">
        <v>435</v>
      </c>
      <c r="AA78" s="7" t="s">
        <v>79</v>
      </c>
      <c r="AB78" s="7" t="s">
        <v>79</v>
      </c>
      <c r="AC78" s="7">
        <v>-7.3400000000000007E-2</v>
      </c>
      <c r="AD78" s="7"/>
      <c r="AE78" s="7">
        <v>-7.3400000000000007E-2</v>
      </c>
      <c r="AF78" s="7">
        <v>3.3399999999999999E-4</v>
      </c>
      <c r="AG78" s="7"/>
      <c r="AH78" s="7">
        <f>-0.1093- -0.0376</f>
        <v>-7.1699999999999986E-2</v>
      </c>
      <c r="AI78" s="7"/>
      <c r="AJ78" s="7"/>
      <c r="AK78" s="7">
        <v>3.3399999999999999E-4</v>
      </c>
      <c r="AL78" s="7">
        <v>25126</v>
      </c>
      <c r="AM78" s="12">
        <v>44620</v>
      </c>
      <c r="AN78" s="7"/>
      <c r="AO78" s="7"/>
      <c r="AP78" s="7"/>
      <c r="AQ78" s="7"/>
      <c r="AR78" s="7" t="s">
        <v>62</v>
      </c>
      <c r="AS78" s="7" t="s">
        <v>62</v>
      </c>
      <c r="AT78" s="7" t="s">
        <v>62</v>
      </c>
      <c r="AU78" s="7"/>
      <c r="AV78" s="7" t="s">
        <v>408</v>
      </c>
    </row>
    <row r="79" spans="1:48" ht="15.75" customHeight="1">
      <c r="A79" s="7">
        <v>78</v>
      </c>
      <c r="B79" s="7">
        <v>28</v>
      </c>
      <c r="C79" s="7" t="s">
        <v>403</v>
      </c>
      <c r="D79" s="7" t="s">
        <v>404</v>
      </c>
      <c r="E79" s="7">
        <v>2019</v>
      </c>
      <c r="F79" s="7">
        <v>2021</v>
      </c>
      <c r="G79" s="7" t="s">
        <v>436</v>
      </c>
      <c r="H79" s="7" t="s">
        <v>410</v>
      </c>
      <c r="I79" s="7" t="s">
        <v>50</v>
      </c>
      <c r="J79" s="7" t="s">
        <v>51</v>
      </c>
      <c r="K79" s="7" t="s">
        <v>51</v>
      </c>
      <c r="L79" s="7" t="s">
        <v>52</v>
      </c>
      <c r="M79" s="7" t="s">
        <v>53</v>
      </c>
      <c r="N79" s="7" t="s">
        <v>406</v>
      </c>
      <c r="O79" s="7">
        <v>0.37559414099999999</v>
      </c>
      <c r="P79" s="7">
        <v>30927</v>
      </c>
      <c r="Q79" s="7">
        <v>0.37077938560000001</v>
      </c>
      <c r="R79" s="7">
        <v>15756</v>
      </c>
      <c r="S79" s="7"/>
      <c r="T79" s="7"/>
      <c r="U79" s="7"/>
      <c r="V79" s="4" t="s">
        <v>691</v>
      </c>
      <c r="W79" s="7" t="s">
        <v>323</v>
      </c>
      <c r="X79" s="7"/>
      <c r="Y79" s="7" t="s">
        <v>94</v>
      </c>
      <c r="Z79" s="7" t="s">
        <v>437</v>
      </c>
      <c r="AA79" s="7" t="s">
        <v>79</v>
      </c>
      <c r="AB79" s="7" t="s">
        <v>79</v>
      </c>
      <c r="AC79" s="7">
        <v>-1.1299999999999999E-2</v>
      </c>
      <c r="AD79" s="7"/>
      <c r="AE79" s="7">
        <v>-1.1299999999999999E-2</v>
      </c>
      <c r="AF79" s="7">
        <v>1.25E-4</v>
      </c>
      <c r="AG79" s="7"/>
      <c r="AH79" s="7">
        <f>-0.0332- 0.0105</f>
        <v>-4.3700000000000003E-2</v>
      </c>
      <c r="AI79" s="7"/>
      <c r="AJ79" s="7"/>
      <c r="AK79" s="7">
        <v>1.25E-4</v>
      </c>
      <c r="AL79" s="7">
        <v>46683</v>
      </c>
      <c r="AM79" s="12">
        <v>44620</v>
      </c>
      <c r="AN79" s="7"/>
      <c r="AO79" s="7"/>
      <c r="AP79" s="7"/>
      <c r="AQ79" s="7"/>
      <c r="AR79" s="7" t="s">
        <v>62</v>
      </c>
      <c r="AS79" s="7" t="s">
        <v>62</v>
      </c>
      <c r="AT79" s="7" t="s">
        <v>62</v>
      </c>
      <c r="AU79" s="7"/>
      <c r="AV79" s="7" t="s">
        <v>408</v>
      </c>
    </row>
    <row r="80" spans="1:48" ht="15.75" customHeight="1">
      <c r="A80" s="7">
        <v>79</v>
      </c>
      <c r="B80" s="7">
        <v>28</v>
      </c>
      <c r="C80" s="7" t="s">
        <v>403</v>
      </c>
      <c r="D80" s="7" t="s">
        <v>404</v>
      </c>
      <c r="E80" s="7">
        <v>2019</v>
      </c>
      <c r="F80" s="7">
        <v>2021</v>
      </c>
      <c r="G80" s="7" t="s">
        <v>438</v>
      </c>
      <c r="H80" s="7" t="s">
        <v>410</v>
      </c>
      <c r="I80" s="7" t="s">
        <v>50</v>
      </c>
      <c r="J80" s="7" t="s">
        <v>51</v>
      </c>
      <c r="K80" s="7" t="s">
        <v>51</v>
      </c>
      <c r="L80" s="7" t="s">
        <v>52</v>
      </c>
      <c r="M80" s="7" t="s">
        <v>53</v>
      </c>
      <c r="N80" s="7" t="s">
        <v>406</v>
      </c>
      <c r="O80" s="7">
        <v>0.1929692875</v>
      </c>
      <c r="P80" s="7">
        <v>15987</v>
      </c>
      <c r="Q80" s="7">
        <v>0.2223273415</v>
      </c>
      <c r="R80" s="7">
        <v>3171</v>
      </c>
      <c r="S80" s="7"/>
      <c r="T80" s="7"/>
      <c r="U80" s="7"/>
      <c r="V80" s="4" t="s">
        <v>691</v>
      </c>
      <c r="W80" s="7" t="s">
        <v>323</v>
      </c>
      <c r="X80" s="7"/>
      <c r="Y80" s="7" t="s">
        <v>94</v>
      </c>
      <c r="Z80" s="7" t="s">
        <v>439</v>
      </c>
      <c r="AA80" s="7" t="s">
        <v>79</v>
      </c>
      <c r="AB80" s="7" t="s">
        <v>79</v>
      </c>
      <c r="AC80" s="7">
        <v>9.8500000000000004E-2</v>
      </c>
      <c r="AD80" s="7"/>
      <c r="AE80" s="7">
        <v>9.8500000000000004E-2</v>
      </c>
      <c r="AF80" s="7">
        <v>6.7699999999999998E-4</v>
      </c>
      <c r="AG80" s="7"/>
      <c r="AH80" s="7" t="s">
        <v>440</v>
      </c>
      <c r="AI80" s="7"/>
      <c r="AJ80" s="7"/>
      <c r="AK80" s="7">
        <v>6.7699999999999998E-4</v>
      </c>
      <c r="AL80" s="7">
        <v>19158</v>
      </c>
      <c r="AM80" s="12">
        <v>44620</v>
      </c>
      <c r="AN80" s="7"/>
      <c r="AO80" s="7"/>
      <c r="AP80" s="7"/>
      <c r="AQ80" s="7"/>
      <c r="AR80" s="7" t="s">
        <v>62</v>
      </c>
      <c r="AS80" s="7" t="s">
        <v>62</v>
      </c>
      <c r="AT80" s="7" t="s">
        <v>62</v>
      </c>
      <c r="AU80" s="7"/>
      <c r="AV80" s="7" t="s">
        <v>408</v>
      </c>
    </row>
    <row r="81" spans="1:48" ht="15.75" customHeight="1">
      <c r="A81" s="7">
        <v>80</v>
      </c>
      <c r="B81" s="7">
        <v>28</v>
      </c>
      <c r="C81" s="7" t="s">
        <v>403</v>
      </c>
      <c r="D81" s="7" t="s">
        <v>404</v>
      </c>
      <c r="E81" s="7">
        <v>2019</v>
      </c>
      <c r="F81" s="7">
        <v>2021</v>
      </c>
      <c r="G81" s="7" t="s">
        <v>441</v>
      </c>
      <c r="H81" s="7" t="s">
        <v>215</v>
      </c>
      <c r="I81" s="7" t="s">
        <v>50</v>
      </c>
      <c r="J81" s="7" t="s">
        <v>51</v>
      </c>
      <c r="K81" s="7" t="s">
        <v>51</v>
      </c>
      <c r="L81" s="7" t="s">
        <v>52</v>
      </c>
      <c r="M81" s="7" t="s">
        <v>53</v>
      </c>
      <c r="N81" s="7" t="s">
        <v>406</v>
      </c>
      <c r="O81" s="7">
        <v>0.26600441499999999</v>
      </c>
      <c r="P81" s="7">
        <v>6342</v>
      </c>
      <c r="Q81" s="7">
        <v>0.2803869558</v>
      </c>
      <c r="R81" s="7">
        <v>6409</v>
      </c>
      <c r="S81" s="7"/>
      <c r="T81" s="7"/>
      <c r="U81" s="7"/>
      <c r="V81" s="4" t="s">
        <v>691</v>
      </c>
      <c r="W81" s="7" t="s">
        <v>323</v>
      </c>
      <c r="X81" s="7"/>
      <c r="Y81" s="7" t="s">
        <v>94</v>
      </c>
      <c r="Z81" s="7" t="s">
        <v>442</v>
      </c>
      <c r="AA81" s="7" t="s">
        <v>79</v>
      </c>
      <c r="AB81" s="7" t="s">
        <v>79</v>
      </c>
      <c r="AC81" s="7">
        <v>3.9899999999999998E-2</v>
      </c>
      <c r="AD81" s="7"/>
      <c r="AE81" s="7">
        <v>3.9899999999999998E-2</v>
      </c>
      <c r="AF81" s="7">
        <v>4.8099999999999998E-4</v>
      </c>
      <c r="AG81" s="7"/>
      <c r="AH81" s="7">
        <f>-0.003-0.0829</f>
        <v>-8.5900000000000004E-2</v>
      </c>
      <c r="AI81" s="7"/>
      <c r="AJ81" s="7"/>
      <c r="AK81" s="7">
        <v>4.8099999999999998E-4</v>
      </c>
      <c r="AL81" s="7">
        <v>12751</v>
      </c>
      <c r="AM81" s="12">
        <v>44620</v>
      </c>
      <c r="AN81" s="7"/>
      <c r="AO81" s="7"/>
      <c r="AP81" s="7"/>
      <c r="AQ81" s="7"/>
      <c r="AR81" s="7" t="s">
        <v>62</v>
      </c>
      <c r="AS81" s="7" t="s">
        <v>62</v>
      </c>
      <c r="AT81" s="7" t="s">
        <v>62</v>
      </c>
      <c r="AU81" s="7"/>
      <c r="AV81" s="7" t="s">
        <v>408</v>
      </c>
    </row>
    <row r="82" spans="1:48" ht="15.75" customHeight="1">
      <c r="A82" s="7">
        <v>81</v>
      </c>
      <c r="B82" s="7">
        <v>28</v>
      </c>
      <c r="C82" s="7" t="s">
        <v>403</v>
      </c>
      <c r="D82" s="7" t="s">
        <v>404</v>
      </c>
      <c r="E82" s="7">
        <v>2019</v>
      </c>
      <c r="F82" s="7">
        <v>2021</v>
      </c>
      <c r="G82" s="7" t="s">
        <v>443</v>
      </c>
      <c r="H82" s="7" t="s">
        <v>410</v>
      </c>
      <c r="I82" s="7" t="s">
        <v>50</v>
      </c>
      <c r="J82" s="7" t="s">
        <v>51</v>
      </c>
      <c r="K82" s="7" t="s">
        <v>51</v>
      </c>
      <c r="L82" s="7" t="s">
        <v>52</v>
      </c>
      <c r="M82" s="7" t="s">
        <v>53</v>
      </c>
      <c r="N82" s="7" t="s">
        <v>406</v>
      </c>
      <c r="O82" s="7">
        <v>0.16484475239999999</v>
      </c>
      <c r="P82" s="7">
        <v>19485</v>
      </c>
      <c r="Q82" s="7">
        <v>0.18880261540000001</v>
      </c>
      <c r="R82" s="7">
        <v>2447</v>
      </c>
      <c r="S82" s="7"/>
      <c r="T82" s="7"/>
      <c r="U82" s="7"/>
      <c r="V82" s="4" t="s">
        <v>691</v>
      </c>
      <c r="W82" s="7" t="s">
        <v>323</v>
      </c>
      <c r="X82" s="7"/>
      <c r="Y82" s="7" t="s">
        <v>94</v>
      </c>
      <c r="Z82" s="7" t="s">
        <v>444</v>
      </c>
      <c r="AA82" s="7" t="s">
        <v>79</v>
      </c>
      <c r="AB82" s="7" t="s">
        <v>79</v>
      </c>
      <c r="AC82" s="7">
        <v>9.0899999999999995E-2</v>
      </c>
      <c r="AD82" s="7"/>
      <c r="AE82" s="7">
        <v>9.0899999999999995E-2</v>
      </c>
      <c r="AF82" s="7">
        <v>9.2400000000000002E-4</v>
      </c>
      <c r="AG82" s="7"/>
      <c r="AH82" s="7" t="s">
        <v>445</v>
      </c>
      <c r="AI82" s="7"/>
      <c r="AJ82" s="7"/>
      <c r="AK82" s="7">
        <v>9.2400000000000002E-4</v>
      </c>
      <c r="AL82" s="7">
        <v>21932</v>
      </c>
      <c r="AM82" s="12">
        <v>44620</v>
      </c>
      <c r="AN82" s="7"/>
      <c r="AO82" s="7"/>
      <c r="AP82" s="7"/>
      <c r="AQ82" s="7"/>
      <c r="AR82" s="7" t="s">
        <v>62</v>
      </c>
      <c r="AS82" s="7" t="s">
        <v>62</v>
      </c>
      <c r="AT82" s="7" t="s">
        <v>62</v>
      </c>
      <c r="AU82" s="7"/>
      <c r="AV82" s="7" t="s">
        <v>408</v>
      </c>
    </row>
    <row r="83" spans="1:48" ht="15.75" customHeight="1">
      <c r="A83" s="7">
        <v>82</v>
      </c>
      <c r="B83" s="7">
        <v>28</v>
      </c>
      <c r="C83" s="7" t="s">
        <v>403</v>
      </c>
      <c r="D83" s="7" t="s">
        <v>404</v>
      </c>
      <c r="E83" s="7">
        <v>2019</v>
      </c>
      <c r="F83" s="7">
        <v>2021</v>
      </c>
      <c r="G83" s="7" t="s">
        <v>446</v>
      </c>
      <c r="H83" s="7" t="s">
        <v>410</v>
      </c>
      <c r="I83" s="7" t="s">
        <v>50</v>
      </c>
      <c r="J83" s="7" t="s">
        <v>51</v>
      </c>
      <c r="K83" s="7" t="s">
        <v>51</v>
      </c>
      <c r="L83" s="7" t="s">
        <v>52</v>
      </c>
      <c r="M83" s="7" t="s">
        <v>53</v>
      </c>
      <c r="N83" s="7" t="s">
        <v>406</v>
      </c>
      <c r="O83" s="7">
        <v>0.25783289819999999</v>
      </c>
      <c r="P83" s="7">
        <v>1532</v>
      </c>
      <c r="Q83" s="7">
        <v>0.30799735620000002</v>
      </c>
      <c r="R83" s="7">
        <v>3026</v>
      </c>
      <c r="S83" s="7"/>
      <c r="T83" s="7"/>
      <c r="U83" s="7"/>
      <c r="V83" s="4" t="s">
        <v>691</v>
      </c>
      <c r="W83" s="7" t="s">
        <v>323</v>
      </c>
      <c r="X83" s="7"/>
      <c r="Y83" s="7" t="s">
        <v>94</v>
      </c>
      <c r="Z83" s="7" t="s">
        <v>447</v>
      </c>
      <c r="AA83" s="7" t="s">
        <v>79</v>
      </c>
      <c r="AB83" s="7" t="s">
        <v>79</v>
      </c>
      <c r="AC83" s="7">
        <v>0.1366</v>
      </c>
      <c r="AD83" s="7"/>
      <c r="AE83" s="7">
        <v>0.1366</v>
      </c>
      <c r="AF83" s="7">
        <v>1.508E-3</v>
      </c>
      <c r="AG83" s="7"/>
      <c r="AH83" s="7" t="s">
        <v>448</v>
      </c>
      <c r="AI83" s="7"/>
      <c r="AJ83" s="7"/>
      <c r="AK83" s="7">
        <v>1.508E-3</v>
      </c>
      <c r="AL83" s="7">
        <v>4558</v>
      </c>
      <c r="AM83" s="12">
        <v>44620</v>
      </c>
      <c r="AN83" s="7"/>
      <c r="AO83" s="7"/>
      <c r="AP83" s="7"/>
      <c r="AQ83" s="7"/>
      <c r="AR83" s="7" t="s">
        <v>62</v>
      </c>
      <c r="AS83" s="7" t="s">
        <v>62</v>
      </c>
      <c r="AT83" s="7" t="s">
        <v>62</v>
      </c>
      <c r="AU83" s="7"/>
      <c r="AV83" s="7" t="s">
        <v>408</v>
      </c>
    </row>
    <row r="84" spans="1:48" ht="15.75" customHeight="1">
      <c r="A84" s="7">
        <v>83</v>
      </c>
      <c r="B84" s="7">
        <v>28</v>
      </c>
      <c r="C84" s="7" t="s">
        <v>403</v>
      </c>
      <c r="D84" s="7" t="s">
        <v>404</v>
      </c>
      <c r="E84" s="7">
        <v>2019</v>
      </c>
      <c r="F84" s="7">
        <v>2021</v>
      </c>
      <c r="G84" s="7" t="s">
        <v>449</v>
      </c>
      <c r="H84" s="7" t="s">
        <v>215</v>
      </c>
      <c r="I84" s="7" t="s">
        <v>50</v>
      </c>
      <c r="J84" s="7" t="s">
        <v>51</v>
      </c>
      <c r="K84" s="7" t="s">
        <v>51</v>
      </c>
      <c r="L84" s="7" t="s">
        <v>52</v>
      </c>
      <c r="M84" s="7" t="s">
        <v>53</v>
      </c>
      <c r="N84" s="7" t="s">
        <v>406</v>
      </c>
      <c r="O84" s="7">
        <v>0.25830258299999997</v>
      </c>
      <c r="P84" s="7">
        <v>813</v>
      </c>
      <c r="Q84" s="7">
        <v>0.2540816327</v>
      </c>
      <c r="R84" s="7">
        <v>980</v>
      </c>
      <c r="S84" s="7"/>
      <c r="T84" s="7"/>
      <c r="U84" s="7"/>
      <c r="V84" s="4" t="s">
        <v>691</v>
      </c>
      <c r="W84" s="7" t="s">
        <v>323</v>
      </c>
      <c r="X84" s="7"/>
      <c r="Y84" s="7" t="s">
        <v>94</v>
      </c>
      <c r="Z84" s="7" t="s">
        <v>450</v>
      </c>
      <c r="AA84" s="7" t="s">
        <v>79</v>
      </c>
      <c r="AB84" s="7" t="s">
        <v>79</v>
      </c>
      <c r="AC84" s="7">
        <v>-1.2200000000000001E-2</v>
      </c>
      <c r="AD84" s="7"/>
      <c r="AE84" s="7">
        <v>-1.2200000000000001E-2</v>
      </c>
      <c r="AF84" s="7">
        <v>3.588E-3</v>
      </c>
      <c r="AG84" s="7"/>
      <c r="AH84" s="7">
        <f>-0.1296- 0.1052</f>
        <v>-0.23480000000000001</v>
      </c>
      <c r="AI84" s="7"/>
      <c r="AJ84" s="7"/>
      <c r="AK84" s="7">
        <v>3.588E-3</v>
      </c>
      <c r="AL84" s="7">
        <v>1793</v>
      </c>
      <c r="AM84" s="12">
        <v>44620</v>
      </c>
      <c r="AN84" s="7"/>
      <c r="AO84" s="7"/>
      <c r="AP84" s="7"/>
      <c r="AQ84" s="7"/>
      <c r="AR84" s="7" t="s">
        <v>62</v>
      </c>
      <c r="AS84" s="7" t="s">
        <v>62</v>
      </c>
      <c r="AT84" s="7" t="s">
        <v>62</v>
      </c>
      <c r="AU84" s="7"/>
      <c r="AV84" s="7" t="s">
        <v>408</v>
      </c>
    </row>
    <row r="85" spans="1:48" ht="15.75" customHeight="1">
      <c r="A85" s="7">
        <v>84</v>
      </c>
      <c r="B85" s="7">
        <v>28</v>
      </c>
      <c r="C85" s="7" t="s">
        <v>403</v>
      </c>
      <c r="D85" s="7" t="s">
        <v>404</v>
      </c>
      <c r="E85" s="7">
        <v>2019</v>
      </c>
      <c r="F85" s="7">
        <v>2021</v>
      </c>
      <c r="G85" s="7" t="s">
        <v>451</v>
      </c>
      <c r="H85" s="7" t="s">
        <v>291</v>
      </c>
      <c r="I85" s="7" t="s">
        <v>50</v>
      </c>
      <c r="J85" s="7" t="s">
        <v>51</v>
      </c>
      <c r="K85" s="7" t="s">
        <v>51</v>
      </c>
      <c r="L85" s="7" t="s">
        <v>52</v>
      </c>
      <c r="M85" s="7" t="s">
        <v>53</v>
      </c>
      <c r="N85" s="7" t="s">
        <v>406</v>
      </c>
      <c r="O85" s="7">
        <v>0.38214716529999998</v>
      </c>
      <c r="P85" s="7">
        <v>4145</v>
      </c>
      <c r="Q85" s="7">
        <v>0.40373654209999998</v>
      </c>
      <c r="R85" s="7">
        <v>6316</v>
      </c>
      <c r="S85" s="7"/>
      <c r="T85" s="7"/>
      <c r="U85" s="7"/>
      <c r="V85" s="4" t="s">
        <v>691</v>
      </c>
      <c r="W85" s="7" t="s">
        <v>323</v>
      </c>
      <c r="X85" s="7"/>
      <c r="Y85" s="7" t="s">
        <v>94</v>
      </c>
      <c r="Z85" s="7" t="s">
        <v>452</v>
      </c>
      <c r="AA85" s="7" t="s">
        <v>79</v>
      </c>
      <c r="AB85" s="7" t="s">
        <v>79</v>
      </c>
      <c r="AC85" s="7">
        <v>4.99E-2</v>
      </c>
      <c r="AD85" s="7"/>
      <c r="AE85" s="7">
        <v>4.99E-2</v>
      </c>
      <c r="AF85" s="7">
        <v>5.1000000000000004E-4</v>
      </c>
      <c r="AG85" s="7"/>
      <c r="AH85" s="7" t="s">
        <v>453</v>
      </c>
      <c r="AI85" s="7"/>
      <c r="AJ85" s="7"/>
      <c r="AK85" s="7">
        <v>5.1000000000000004E-4</v>
      </c>
      <c r="AL85" s="7">
        <v>10461</v>
      </c>
      <c r="AM85" s="12">
        <v>44620</v>
      </c>
      <c r="AN85" s="7"/>
      <c r="AO85" s="7"/>
      <c r="AP85" s="7"/>
      <c r="AQ85" s="7"/>
      <c r="AR85" s="7" t="s">
        <v>62</v>
      </c>
      <c r="AS85" s="7" t="s">
        <v>62</v>
      </c>
      <c r="AT85" s="7" t="s">
        <v>62</v>
      </c>
      <c r="AU85" s="7"/>
      <c r="AV85" s="7" t="s">
        <v>408</v>
      </c>
    </row>
    <row r="86" spans="1:48" ht="15.75" customHeight="1">
      <c r="A86" s="7">
        <v>85</v>
      </c>
      <c r="B86" s="7">
        <v>29</v>
      </c>
      <c r="C86" s="7" t="s">
        <v>454</v>
      </c>
      <c r="D86" s="7" t="s">
        <v>455</v>
      </c>
      <c r="E86" s="7" t="s">
        <v>456</v>
      </c>
      <c r="F86" s="7" t="s">
        <v>457</v>
      </c>
      <c r="G86" s="7" t="s">
        <v>458</v>
      </c>
      <c r="H86" s="7" t="s">
        <v>291</v>
      </c>
      <c r="I86" s="7" t="s">
        <v>50</v>
      </c>
      <c r="J86" s="7" t="s">
        <v>72</v>
      </c>
      <c r="K86" s="7" t="s">
        <v>72</v>
      </c>
      <c r="L86" s="7" t="s">
        <v>52</v>
      </c>
      <c r="M86" s="7" t="s">
        <v>459</v>
      </c>
      <c r="N86" s="7" t="s">
        <v>460</v>
      </c>
      <c r="O86" s="7">
        <v>0.45959906090000002</v>
      </c>
      <c r="P86" s="7">
        <v>27685</v>
      </c>
      <c r="Q86" s="7">
        <v>0.4370831677</v>
      </c>
      <c r="R86" s="7">
        <v>22641</v>
      </c>
      <c r="S86" s="7"/>
      <c r="T86" s="7"/>
      <c r="U86" s="7"/>
      <c r="V86" s="7" t="s">
        <v>461</v>
      </c>
      <c r="W86" s="7" t="s">
        <v>323</v>
      </c>
      <c r="X86" s="7"/>
      <c r="Y86" s="7" t="s">
        <v>94</v>
      </c>
      <c r="Z86" s="7" t="s">
        <v>462</v>
      </c>
      <c r="AA86" s="7" t="s">
        <v>79</v>
      </c>
      <c r="AB86" s="7" t="s">
        <v>79</v>
      </c>
      <c r="AC86" s="7">
        <v>-5.0200000000000002E-2</v>
      </c>
      <c r="AD86" s="7"/>
      <c r="AE86" s="7">
        <v>-5.0200000000000002E-2</v>
      </c>
      <c r="AF86" s="7">
        <v>9.8999999999999994E-5</v>
      </c>
      <c r="AG86" s="7"/>
      <c r="AH86" s="7">
        <f>-0.0697- -0.0307</f>
        <v>-3.8999999999999993E-2</v>
      </c>
      <c r="AI86" s="7"/>
      <c r="AJ86" s="7"/>
      <c r="AK86" s="7">
        <v>9.8999999999999994E-5</v>
      </c>
      <c r="AL86" s="7">
        <v>50326</v>
      </c>
      <c r="AM86" s="12">
        <v>44620</v>
      </c>
      <c r="AN86" s="7"/>
      <c r="AO86" s="7"/>
      <c r="AP86" s="7"/>
      <c r="AQ86" s="7"/>
      <c r="AR86" s="7" t="s">
        <v>62</v>
      </c>
      <c r="AS86" s="7" t="s">
        <v>463</v>
      </c>
      <c r="AT86" s="7" t="s">
        <v>62</v>
      </c>
      <c r="AU86" s="7"/>
      <c r="AV86" s="7"/>
    </row>
    <row r="87" spans="1:48" ht="15.75" customHeight="1">
      <c r="A87" s="7">
        <v>86</v>
      </c>
      <c r="B87" s="7">
        <v>29</v>
      </c>
      <c r="C87" s="7" t="s">
        <v>454</v>
      </c>
      <c r="D87" s="7" t="s">
        <v>455</v>
      </c>
      <c r="E87" s="7" t="s">
        <v>456</v>
      </c>
      <c r="F87" s="7" t="s">
        <v>457</v>
      </c>
      <c r="G87" s="7" t="s">
        <v>458</v>
      </c>
      <c r="H87" s="7" t="s">
        <v>291</v>
      </c>
      <c r="I87" s="7" t="s">
        <v>50</v>
      </c>
      <c r="J87" s="7" t="s">
        <v>72</v>
      </c>
      <c r="K87" s="7" t="s">
        <v>72</v>
      </c>
      <c r="L87" s="7" t="s">
        <v>64</v>
      </c>
      <c r="M87" s="7" t="s">
        <v>459</v>
      </c>
      <c r="N87" s="7" t="s">
        <v>460</v>
      </c>
      <c r="O87" s="7">
        <v>0.31399113239999998</v>
      </c>
      <c r="P87" s="7">
        <v>28418</v>
      </c>
      <c r="Q87" s="7">
        <v>0.3067569316</v>
      </c>
      <c r="R87" s="7">
        <v>23191</v>
      </c>
      <c r="S87" s="7"/>
      <c r="T87" s="7"/>
      <c r="U87" s="7"/>
      <c r="V87" s="7" t="s">
        <v>461</v>
      </c>
      <c r="W87" s="7" t="s">
        <v>323</v>
      </c>
      <c r="X87" s="7"/>
      <c r="Y87" s="7" t="s">
        <v>94</v>
      </c>
      <c r="Z87" s="7" t="s">
        <v>464</v>
      </c>
      <c r="AA87" s="7" t="s">
        <v>79</v>
      </c>
      <c r="AB87" s="7" t="s">
        <v>79</v>
      </c>
      <c r="AC87" s="7">
        <v>-1.8599999999999998E-2</v>
      </c>
      <c r="AD87" s="7"/>
      <c r="AE87" s="7">
        <v>-1.8599999999999998E-2</v>
      </c>
      <c r="AF87" s="7">
        <v>1.11E-4</v>
      </c>
      <c r="AG87" s="7"/>
      <c r="AH87" s="7">
        <f>-0.0393-0.002</f>
        <v>-4.1300000000000003E-2</v>
      </c>
      <c r="AI87" s="7"/>
      <c r="AJ87" s="7"/>
      <c r="AK87" s="7">
        <v>1.11E-4</v>
      </c>
      <c r="AL87" s="7">
        <v>51609</v>
      </c>
      <c r="AM87" s="12">
        <v>44620</v>
      </c>
      <c r="AN87" s="7"/>
      <c r="AO87" s="7"/>
      <c r="AP87" s="7"/>
      <c r="AQ87" s="7"/>
      <c r="AR87" s="7" t="s">
        <v>62</v>
      </c>
      <c r="AS87" s="7" t="s">
        <v>463</v>
      </c>
      <c r="AT87" s="7" t="s">
        <v>62</v>
      </c>
      <c r="AU87" s="7"/>
      <c r="AV87" s="7"/>
    </row>
    <row r="88" spans="1:48" ht="15.75" customHeight="1">
      <c r="A88" s="7">
        <v>87</v>
      </c>
      <c r="B88" s="7">
        <v>29</v>
      </c>
      <c r="C88" s="7" t="s">
        <v>454</v>
      </c>
      <c r="D88" s="7" t="s">
        <v>455</v>
      </c>
      <c r="E88" s="7" t="s">
        <v>456</v>
      </c>
      <c r="F88" s="7" t="s">
        <v>457</v>
      </c>
      <c r="G88" s="7" t="s">
        <v>458</v>
      </c>
      <c r="H88" s="7" t="s">
        <v>291</v>
      </c>
      <c r="I88" s="7" t="s">
        <v>50</v>
      </c>
      <c r="J88" s="7" t="s">
        <v>72</v>
      </c>
      <c r="K88" s="7" t="s">
        <v>72</v>
      </c>
      <c r="L88" s="7" t="s">
        <v>73</v>
      </c>
      <c r="M88" s="7" t="s">
        <v>459</v>
      </c>
      <c r="N88" s="7" t="s">
        <v>460</v>
      </c>
      <c r="O88" s="7">
        <v>0.3888043055</v>
      </c>
      <c r="P88" s="7">
        <v>28243</v>
      </c>
      <c r="Q88" s="7">
        <v>0.36322714680000001</v>
      </c>
      <c r="R88" s="7">
        <v>23104</v>
      </c>
      <c r="S88" s="7"/>
      <c r="T88" s="7"/>
      <c r="U88" s="7"/>
      <c r="V88" s="7" t="s">
        <v>461</v>
      </c>
      <c r="W88" s="7" t="s">
        <v>323</v>
      </c>
      <c r="X88" s="7"/>
      <c r="Y88" s="7" t="s">
        <v>94</v>
      </c>
      <c r="Z88" s="7" t="s">
        <v>465</v>
      </c>
      <c r="AA88" s="7" t="s">
        <v>79</v>
      </c>
      <c r="AB88" s="7" t="s">
        <v>79</v>
      </c>
      <c r="AC88" s="7">
        <v>-6.0100000000000001E-2</v>
      </c>
      <c r="AD88" s="7"/>
      <c r="AE88" s="7">
        <v>-6.0100000000000001E-2</v>
      </c>
      <c r="AF88" s="7">
        <v>1.02E-4</v>
      </c>
      <c r="AG88" s="7"/>
      <c r="AH88" s="7">
        <f>-0.0799--0.0403</f>
        <v>-3.9599999999999996E-2</v>
      </c>
      <c r="AI88" s="7"/>
      <c r="AJ88" s="7"/>
      <c r="AK88" s="7">
        <v>1.02E-4</v>
      </c>
      <c r="AL88" s="7">
        <v>51347</v>
      </c>
      <c r="AM88" s="12">
        <v>44620</v>
      </c>
      <c r="AN88" s="7"/>
      <c r="AO88" s="7"/>
      <c r="AP88" s="7"/>
      <c r="AQ88" s="7"/>
      <c r="AR88" s="7" t="s">
        <v>62</v>
      </c>
      <c r="AS88" s="7" t="s">
        <v>463</v>
      </c>
      <c r="AT88" s="7" t="s">
        <v>62</v>
      </c>
      <c r="AU88" s="7"/>
      <c r="AV88" s="7"/>
    </row>
    <row r="89" spans="1:48">
      <c r="A89" s="7">
        <v>88</v>
      </c>
      <c r="B89" s="7">
        <v>30</v>
      </c>
      <c r="C89" s="7" t="s">
        <v>466</v>
      </c>
      <c r="D89" s="7" t="s">
        <v>467</v>
      </c>
      <c r="E89" s="7" t="s">
        <v>468</v>
      </c>
      <c r="F89" s="7" t="s">
        <v>469</v>
      </c>
      <c r="G89" s="7" t="s">
        <v>470</v>
      </c>
      <c r="H89" s="7" t="s">
        <v>291</v>
      </c>
      <c r="I89" s="7" t="s">
        <v>50</v>
      </c>
      <c r="J89" s="7" t="s">
        <v>72</v>
      </c>
      <c r="K89" s="7" t="s">
        <v>72</v>
      </c>
      <c r="L89" s="7" t="s">
        <v>73</v>
      </c>
      <c r="M89" s="7" t="s">
        <v>471</v>
      </c>
      <c r="N89" s="7" t="s">
        <v>472</v>
      </c>
      <c r="O89" s="7">
        <v>0.35806289130000002</v>
      </c>
      <c r="P89" s="7">
        <v>2016.074828</v>
      </c>
      <c r="Q89" s="7">
        <v>0.36436378120000001</v>
      </c>
      <c r="R89" s="7">
        <v>1295.1671650000001</v>
      </c>
      <c r="S89" s="7"/>
      <c r="T89" s="7"/>
      <c r="U89" s="7"/>
      <c r="V89" s="7" t="s">
        <v>473</v>
      </c>
      <c r="W89" s="7" t="s">
        <v>323</v>
      </c>
      <c r="X89" s="7"/>
      <c r="Y89" s="7" t="s">
        <v>94</v>
      </c>
      <c r="Z89" s="7" t="s">
        <v>474</v>
      </c>
      <c r="AA89" s="7" t="s">
        <v>79</v>
      </c>
      <c r="AB89" s="7" t="s">
        <v>79</v>
      </c>
      <c r="AC89" s="7">
        <v>1.52E-2</v>
      </c>
      <c r="AD89" s="7"/>
      <c r="AE89" s="7">
        <v>1.52E-2</v>
      </c>
      <c r="AF89" s="7">
        <v>1.6689999999999999E-3</v>
      </c>
      <c r="AG89" s="7"/>
      <c r="AH89" s="7">
        <f>-0.0649- 0.0952</f>
        <v>-0.16010000000000002</v>
      </c>
      <c r="AI89" s="7"/>
      <c r="AJ89" s="7"/>
      <c r="AK89" s="7">
        <v>1.6689999999999999E-3</v>
      </c>
      <c r="AL89" s="7">
        <v>3340</v>
      </c>
      <c r="AM89" s="12">
        <v>44620</v>
      </c>
      <c r="AN89" s="7"/>
      <c r="AO89" s="7"/>
      <c r="AP89" s="7"/>
      <c r="AQ89" s="7"/>
      <c r="AR89" s="7" t="s">
        <v>62</v>
      </c>
      <c r="AS89" s="7" t="s">
        <v>62</v>
      </c>
      <c r="AT89" s="7" t="s">
        <v>62</v>
      </c>
      <c r="AU89" s="7"/>
      <c r="AV89" s="7"/>
    </row>
    <row r="90" spans="1:48">
      <c r="A90" s="7">
        <v>89</v>
      </c>
      <c r="B90" s="7">
        <v>31</v>
      </c>
      <c r="C90" s="7" t="s">
        <v>475</v>
      </c>
      <c r="D90" s="7" t="s">
        <v>476</v>
      </c>
      <c r="E90" s="7"/>
      <c r="F90" s="7" t="s">
        <v>477</v>
      </c>
      <c r="G90" s="7" t="s">
        <v>478</v>
      </c>
      <c r="H90" s="7" t="s">
        <v>291</v>
      </c>
      <c r="I90" s="2" t="s">
        <v>117</v>
      </c>
      <c r="J90" s="7" t="s">
        <v>151</v>
      </c>
      <c r="K90" s="7" t="s">
        <v>479</v>
      </c>
      <c r="L90" s="7" t="s">
        <v>480</v>
      </c>
      <c r="M90" s="7" t="s">
        <v>481</v>
      </c>
      <c r="N90" s="7" t="s">
        <v>482</v>
      </c>
      <c r="O90" s="7"/>
      <c r="P90" s="7"/>
      <c r="Q90" s="7"/>
      <c r="R90" s="7"/>
      <c r="S90" s="7">
        <v>0.246</v>
      </c>
      <c r="T90" s="7"/>
      <c r="U90" s="7" t="s">
        <v>103</v>
      </c>
      <c r="V90" s="7" t="s">
        <v>309</v>
      </c>
      <c r="W90" s="7" t="s">
        <v>483</v>
      </c>
      <c r="X90" s="7" t="s">
        <v>484</v>
      </c>
      <c r="Y90" s="7" t="s">
        <v>94</v>
      </c>
      <c r="Z90" s="7" t="s">
        <v>485</v>
      </c>
      <c r="AA90" s="7" t="s">
        <v>79</v>
      </c>
      <c r="AB90" s="7" t="s">
        <v>79</v>
      </c>
      <c r="AC90" s="7">
        <v>-1.2927999999999999</v>
      </c>
      <c r="AD90" s="7"/>
      <c r="AE90" s="7">
        <v>-1.2927999999999999</v>
      </c>
      <c r="AF90" s="7">
        <v>4.8288999999999999E-2</v>
      </c>
      <c r="AG90" s="7"/>
      <c r="AH90" s="7">
        <f>-1.7235- -0.8621</f>
        <v>-0.86140000000000005</v>
      </c>
      <c r="AI90" s="7"/>
      <c r="AJ90" s="7"/>
      <c r="AK90" s="7">
        <v>4.8288999999999999E-2</v>
      </c>
      <c r="AL90" s="7">
        <v>177</v>
      </c>
      <c r="AM90" s="12">
        <v>44620</v>
      </c>
      <c r="AN90" s="7"/>
      <c r="AO90" s="7"/>
      <c r="AP90" s="7"/>
      <c r="AQ90" s="7"/>
      <c r="AR90" s="7" t="s">
        <v>62</v>
      </c>
      <c r="AS90" s="7" t="s">
        <v>62</v>
      </c>
      <c r="AT90" s="7" t="s">
        <v>62</v>
      </c>
      <c r="AU90" s="7"/>
      <c r="AV90" s="7"/>
    </row>
    <row r="91" spans="1:48">
      <c r="A91" s="7">
        <v>90</v>
      </c>
      <c r="B91" s="7">
        <v>32</v>
      </c>
      <c r="C91" s="7" t="s">
        <v>486</v>
      </c>
      <c r="D91" s="7" t="s">
        <v>487</v>
      </c>
      <c r="E91" s="7" t="s">
        <v>103</v>
      </c>
      <c r="F91" s="7" t="s">
        <v>488</v>
      </c>
      <c r="G91" s="7" t="s">
        <v>489</v>
      </c>
      <c r="H91" s="7" t="s">
        <v>291</v>
      </c>
      <c r="I91" s="2" t="s">
        <v>117</v>
      </c>
      <c r="J91" s="7" t="s">
        <v>151</v>
      </c>
      <c r="K91" s="7" t="s">
        <v>168</v>
      </c>
      <c r="L91" s="7" t="s">
        <v>490</v>
      </c>
      <c r="M91" s="7" t="s">
        <v>491</v>
      </c>
      <c r="N91" s="7" t="s">
        <v>406</v>
      </c>
      <c r="O91" s="7"/>
      <c r="P91" s="7"/>
      <c r="Q91" s="7"/>
      <c r="R91" s="7"/>
      <c r="S91" s="7">
        <v>0.52</v>
      </c>
      <c r="T91" s="7"/>
      <c r="U91" s="7"/>
      <c r="V91" s="7" t="s">
        <v>309</v>
      </c>
      <c r="W91" s="7" t="s">
        <v>323</v>
      </c>
      <c r="X91" s="7"/>
      <c r="Y91" s="7" t="s">
        <v>94</v>
      </c>
      <c r="Z91" s="7" t="s">
        <v>492</v>
      </c>
      <c r="AA91" s="7" t="s">
        <v>79</v>
      </c>
      <c r="AB91" s="7" t="s">
        <v>79</v>
      </c>
      <c r="AC91" s="7">
        <v>0.16020000000000001</v>
      </c>
      <c r="AD91" s="7"/>
      <c r="AE91" s="7">
        <v>0.16020000000000001</v>
      </c>
      <c r="AF91" s="7">
        <v>5.1633999999999999E-2</v>
      </c>
      <c r="AG91" s="7"/>
      <c r="AH91" s="7">
        <f>-0.2851- 0.6056</f>
        <v>-0.89070000000000005</v>
      </c>
      <c r="AI91" s="7"/>
      <c r="AJ91" s="7"/>
      <c r="AK91" s="7">
        <v>5.1633999999999999E-2</v>
      </c>
      <c r="AL91" s="7">
        <v>100</v>
      </c>
      <c r="AM91" s="12">
        <v>44620</v>
      </c>
      <c r="AN91" s="7"/>
      <c r="AO91" s="7"/>
      <c r="AP91" s="7"/>
      <c r="AQ91" s="7"/>
      <c r="AR91" s="7" t="s">
        <v>62</v>
      </c>
      <c r="AS91" s="7" t="s">
        <v>62</v>
      </c>
      <c r="AT91" s="7" t="s">
        <v>62</v>
      </c>
      <c r="AU91" s="4" t="s">
        <v>493</v>
      </c>
      <c r="AV91" s="7" t="s">
        <v>408</v>
      </c>
    </row>
    <row r="92" spans="1:48" ht="15.75" customHeight="1">
      <c r="A92" s="7">
        <v>91</v>
      </c>
      <c r="B92" s="7">
        <v>33</v>
      </c>
      <c r="C92" s="7" t="s">
        <v>494</v>
      </c>
      <c r="D92" s="7" t="s">
        <v>495</v>
      </c>
      <c r="E92" s="7" t="s">
        <v>103</v>
      </c>
      <c r="F92" s="7" t="s">
        <v>496</v>
      </c>
      <c r="G92" s="7" t="s">
        <v>497</v>
      </c>
      <c r="H92" s="7" t="s">
        <v>291</v>
      </c>
      <c r="I92" s="2" t="s">
        <v>117</v>
      </c>
      <c r="J92" s="7" t="s">
        <v>151</v>
      </c>
      <c r="K92" s="7" t="s">
        <v>168</v>
      </c>
      <c r="L92" s="7" t="s">
        <v>498</v>
      </c>
      <c r="M92" s="7" t="s">
        <v>292</v>
      </c>
      <c r="N92" s="7" t="s">
        <v>499</v>
      </c>
      <c r="O92" s="7"/>
      <c r="P92" s="7"/>
      <c r="Q92" s="7"/>
      <c r="R92" s="7"/>
      <c r="S92" s="7">
        <v>0.46899999999999997</v>
      </c>
      <c r="T92" s="7"/>
      <c r="U92" s="7" t="s">
        <v>103</v>
      </c>
      <c r="V92" s="7" t="s">
        <v>309</v>
      </c>
      <c r="W92" s="7"/>
      <c r="X92" s="7"/>
      <c r="Y92" s="7" t="s">
        <v>94</v>
      </c>
      <c r="Z92" s="7" t="s">
        <v>692</v>
      </c>
      <c r="AA92" s="7" t="s">
        <v>500</v>
      </c>
      <c r="AB92" s="7" t="s">
        <v>500</v>
      </c>
      <c r="AC92" s="7">
        <v>-0.56120000000000003</v>
      </c>
      <c r="AD92" s="7"/>
      <c r="AE92" s="7">
        <v>-0.56120000000000003</v>
      </c>
      <c r="AF92" s="7">
        <v>4.3499999999999997E-2</v>
      </c>
      <c r="AG92" s="7"/>
      <c r="AH92" s="7">
        <f>-0.9699- -0.1526</f>
        <v>-0.81729999999999992</v>
      </c>
      <c r="AI92" s="7"/>
      <c r="AJ92" s="7"/>
      <c r="AK92" s="7">
        <v>4.3499999999999997E-2</v>
      </c>
      <c r="AL92" s="7">
        <v>96</v>
      </c>
      <c r="AM92" s="12">
        <v>44620</v>
      </c>
      <c r="AN92" s="7"/>
      <c r="AO92" s="7"/>
      <c r="AP92" s="7"/>
      <c r="AQ92" s="7"/>
      <c r="AR92" s="7" t="s">
        <v>62</v>
      </c>
      <c r="AS92" s="7" t="s">
        <v>62</v>
      </c>
      <c r="AT92" s="7" t="s">
        <v>62</v>
      </c>
      <c r="AU92" s="7"/>
      <c r="AV92" s="7"/>
    </row>
    <row r="93" spans="1:48">
      <c r="A93" s="7">
        <v>92</v>
      </c>
      <c r="B93" s="7">
        <v>34</v>
      </c>
      <c r="C93" s="7" t="s">
        <v>501</v>
      </c>
      <c r="D93" s="7" t="s">
        <v>502</v>
      </c>
      <c r="E93" s="7" t="s">
        <v>503</v>
      </c>
      <c r="F93" s="7" t="s">
        <v>504</v>
      </c>
      <c r="G93" s="7" t="s">
        <v>505</v>
      </c>
      <c r="H93" s="7" t="s">
        <v>215</v>
      </c>
      <c r="I93" s="7" t="s">
        <v>50</v>
      </c>
      <c r="J93" s="7" t="s">
        <v>72</v>
      </c>
      <c r="K93" s="7" t="s">
        <v>72</v>
      </c>
      <c r="L93" s="7" t="s">
        <v>73</v>
      </c>
      <c r="M93" s="7" t="s">
        <v>506</v>
      </c>
      <c r="N93" s="7" t="s">
        <v>507</v>
      </c>
      <c r="O93" s="7"/>
      <c r="P93" s="7"/>
      <c r="Q93" s="7"/>
      <c r="R93" s="7"/>
      <c r="S93" s="7"/>
      <c r="T93" s="7"/>
      <c r="U93" s="7"/>
      <c r="V93" s="7" t="s">
        <v>91</v>
      </c>
      <c r="W93" s="7" t="s">
        <v>508</v>
      </c>
      <c r="X93" s="7"/>
      <c r="Y93" s="7" t="s">
        <v>56</v>
      </c>
      <c r="Z93" s="7" t="s">
        <v>693</v>
      </c>
      <c r="AA93" s="7" t="s">
        <v>509</v>
      </c>
      <c r="AB93" s="7" t="s">
        <v>509</v>
      </c>
      <c r="AC93" s="7">
        <v>-5.4800000000000001E-2</v>
      </c>
      <c r="AD93" s="7"/>
      <c r="AE93" s="7">
        <v>-5.4800000000000001E-2</v>
      </c>
      <c r="AF93" s="7">
        <v>8.6899999999999998E-4</v>
      </c>
      <c r="AG93" s="7"/>
      <c r="AH93" s="7">
        <f>-0.1125-0.003</f>
        <v>-0.11550000000000001</v>
      </c>
      <c r="AI93" s="7"/>
      <c r="AJ93" s="7"/>
      <c r="AK93" s="7">
        <v>8.6899999999999998E-4</v>
      </c>
      <c r="AL93" s="7">
        <v>5366</v>
      </c>
      <c r="AM93" s="12">
        <v>44620</v>
      </c>
      <c r="AN93" s="7"/>
      <c r="AO93" s="7"/>
      <c r="AP93" s="7"/>
      <c r="AQ93" s="7"/>
      <c r="AR93" s="7" t="s">
        <v>62</v>
      </c>
      <c r="AS93" s="7" t="s">
        <v>62</v>
      </c>
      <c r="AT93" s="7" t="s">
        <v>62</v>
      </c>
      <c r="AU93" s="7"/>
      <c r="AV93" s="7"/>
    </row>
    <row r="94" spans="1:48">
      <c r="A94" s="7">
        <v>93</v>
      </c>
      <c r="B94" s="7">
        <v>35</v>
      </c>
      <c r="C94" s="7" t="s">
        <v>510</v>
      </c>
      <c r="D94" s="7" t="s">
        <v>511</v>
      </c>
      <c r="E94" s="7" t="s">
        <v>103</v>
      </c>
      <c r="F94" s="7" t="s">
        <v>512</v>
      </c>
      <c r="G94" s="7" t="s">
        <v>388</v>
      </c>
      <c r="H94" s="7" t="s">
        <v>88</v>
      </c>
      <c r="I94" s="2" t="s">
        <v>117</v>
      </c>
      <c r="J94" s="7" t="s">
        <v>151</v>
      </c>
      <c r="K94" s="7" t="s">
        <v>152</v>
      </c>
      <c r="L94" s="7" t="s">
        <v>513</v>
      </c>
      <c r="M94" s="7" t="s">
        <v>53</v>
      </c>
      <c r="N94" s="7" t="s">
        <v>514</v>
      </c>
      <c r="O94" s="7"/>
      <c r="P94" s="7"/>
      <c r="Q94" s="7"/>
      <c r="R94" s="7"/>
      <c r="S94" s="7">
        <v>0.40200000000000002</v>
      </c>
      <c r="T94" s="7"/>
      <c r="U94" s="7" t="s">
        <v>103</v>
      </c>
      <c r="V94" s="7" t="s">
        <v>120</v>
      </c>
      <c r="W94" s="7" t="s">
        <v>515</v>
      </c>
      <c r="X94" s="7"/>
      <c r="Y94" s="7" t="s">
        <v>56</v>
      </c>
      <c r="Z94" s="7" t="s">
        <v>516</v>
      </c>
      <c r="AA94" s="7" t="s">
        <v>517</v>
      </c>
      <c r="AB94" s="7" t="s">
        <v>517</v>
      </c>
      <c r="AC94" s="7">
        <v>-5.6300000000000003E-2</v>
      </c>
      <c r="AD94" s="7"/>
      <c r="AE94" s="18">
        <v>-5.6300000000000003E-2</v>
      </c>
      <c r="AF94" s="7">
        <v>2.0900000000000001E-4</v>
      </c>
      <c r="AG94" s="7"/>
      <c r="AH94" s="7">
        <f>-0.0279--0.0846</f>
        <v>5.6699999999999993E-2</v>
      </c>
      <c r="AI94" s="7"/>
      <c r="AJ94" s="7"/>
      <c r="AK94" s="7">
        <v>2.0900000000000001E-4</v>
      </c>
      <c r="AL94" s="19">
        <v>19905</v>
      </c>
      <c r="AM94" s="12">
        <v>44620</v>
      </c>
      <c r="AN94" s="7"/>
      <c r="AO94" s="7"/>
      <c r="AP94" s="7"/>
      <c r="AQ94" s="7"/>
      <c r="AR94" s="7" t="s">
        <v>518</v>
      </c>
      <c r="AS94" s="7" t="s">
        <v>519</v>
      </c>
      <c r="AT94" s="7" t="s">
        <v>520</v>
      </c>
      <c r="AU94" s="7"/>
      <c r="AV94" s="7"/>
    </row>
    <row r="95" spans="1:48" ht="15.75" customHeight="1">
      <c r="A95" s="7">
        <v>94</v>
      </c>
      <c r="B95" s="7">
        <v>36</v>
      </c>
      <c r="C95" s="7" t="s">
        <v>521</v>
      </c>
      <c r="D95" s="7" t="s">
        <v>700</v>
      </c>
      <c r="E95" s="7" t="s">
        <v>103</v>
      </c>
      <c r="F95" s="7" t="s">
        <v>522</v>
      </c>
      <c r="G95" s="7" t="s">
        <v>523</v>
      </c>
      <c r="H95" s="7" t="s">
        <v>215</v>
      </c>
      <c r="I95" s="2" t="s">
        <v>117</v>
      </c>
      <c r="J95" s="7" t="s">
        <v>151</v>
      </c>
      <c r="K95" s="7" t="s">
        <v>168</v>
      </c>
      <c r="L95" s="7" t="s">
        <v>524</v>
      </c>
      <c r="M95" s="7" t="s">
        <v>191</v>
      </c>
      <c r="N95" s="7" t="s">
        <v>381</v>
      </c>
      <c r="O95" s="7"/>
      <c r="P95" s="7"/>
      <c r="Q95" s="7"/>
      <c r="R95" s="7"/>
      <c r="S95" s="7">
        <v>0.496</v>
      </c>
      <c r="T95" s="7"/>
      <c r="U95" s="7"/>
      <c r="V95" s="7" t="s">
        <v>120</v>
      </c>
      <c r="W95" s="7" t="s">
        <v>323</v>
      </c>
      <c r="X95" s="7"/>
      <c r="Y95" s="7" t="s">
        <v>94</v>
      </c>
      <c r="Z95" s="7" t="s">
        <v>694</v>
      </c>
      <c r="AA95" s="7" t="s">
        <v>500</v>
      </c>
      <c r="AB95" s="7" t="s">
        <v>500</v>
      </c>
      <c r="AC95" s="7">
        <v>-3.1899999999999998E-2</v>
      </c>
      <c r="AD95" s="7"/>
      <c r="AE95" s="7">
        <v>-3.1899999999999998E-2</v>
      </c>
      <c r="AF95" s="7">
        <v>0.01</v>
      </c>
      <c r="AG95" s="7"/>
      <c r="AH95" s="7">
        <f>-0.2277-0.1638</f>
        <v>-0.39150000000000001</v>
      </c>
      <c r="AI95" s="7"/>
      <c r="AJ95" s="7"/>
      <c r="AK95" s="7">
        <v>0.01</v>
      </c>
      <c r="AL95" s="19">
        <v>1073</v>
      </c>
      <c r="AM95" s="12">
        <v>44620</v>
      </c>
      <c r="AN95" s="7"/>
      <c r="AO95" s="7"/>
      <c r="AP95" s="7"/>
      <c r="AQ95" s="7"/>
      <c r="AR95" s="7" t="s">
        <v>62</v>
      </c>
      <c r="AS95" s="7" t="s">
        <v>525</v>
      </c>
      <c r="AT95" s="7" t="s">
        <v>62</v>
      </c>
      <c r="AU95" s="7"/>
      <c r="AV95" s="7" t="s">
        <v>526</v>
      </c>
    </row>
    <row r="96" spans="1:48">
      <c r="A96" s="7">
        <v>95</v>
      </c>
      <c r="B96" s="7">
        <v>37</v>
      </c>
      <c r="C96" s="7" t="s">
        <v>527</v>
      </c>
      <c r="D96" s="7" t="s">
        <v>528</v>
      </c>
      <c r="E96" s="7" t="s">
        <v>529</v>
      </c>
      <c r="F96" s="7" t="s">
        <v>530</v>
      </c>
      <c r="G96" s="7" t="s">
        <v>531</v>
      </c>
      <c r="H96" s="7" t="s">
        <v>215</v>
      </c>
      <c r="I96" s="7" t="s">
        <v>50</v>
      </c>
      <c r="J96" s="7" t="s">
        <v>72</v>
      </c>
      <c r="K96" s="7" t="s">
        <v>72</v>
      </c>
      <c r="L96" s="7" t="s">
        <v>52</v>
      </c>
      <c r="M96" s="7" t="s">
        <v>53</v>
      </c>
      <c r="N96" s="7" t="s">
        <v>532</v>
      </c>
      <c r="O96" s="7">
        <v>0.58928571429999999</v>
      </c>
      <c r="P96" s="7">
        <v>56</v>
      </c>
      <c r="Q96" s="7">
        <v>0.61855670100000004</v>
      </c>
      <c r="R96" s="7">
        <v>97</v>
      </c>
      <c r="S96" s="7"/>
      <c r="T96" s="7"/>
      <c r="U96" s="7"/>
      <c r="V96" s="7" t="s">
        <v>533</v>
      </c>
      <c r="W96" s="7" t="s">
        <v>323</v>
      </c>
      <c r="X96" s="7"/>
      <c r="Y96" s="7" t="s">
        <v>94</v>
      </c>
      <c r="Z96" s="7" t="s">
        <v>534</v>
      </c>
      <c r="AA96" s="7" t="s">
        <v>79</v>
      </c>
      <c r="AB96" s="7" t="s">
        <v>79</v>
      </c>
      <c r="AC96" s="7">
        <v>6.7500000000000004E-2</v>
      </c>
      <c r="AD96" s="7"/>
      <c r="AE96" s="7">
        <v>6.7500000000000004E-2</v>
      </c>
      <c r="AF96" s="7">
        <v>3.5707999999999997E-2</v>
      </c>
      <c r="AG96" s="7"/>
      <c r="AH96" s="7">
        <f>-0.3029-0.4379</f>
        <v>-0.74080000000000001</v>
      </c>
      <c r="AI96" s="7"/>
      <c r="AJ96" s="7"/>
      <c r="AK96" s="7">
        <v>3.5707999999999997E-2</v>
      </c>
      <c r="AL96" s="7">
        <v>130</v>
      </c>
      <c r="AM96" s="12">
        <v>44620</v>
      </c>
      <c r="AN96" s="7"/>
      <c r="AO96" s="7"/>
      <c r="AP96" s="7"/>
      <c r="AQ96" s="7"/>
      <c r="AR96" s="7" t="s">
        <v>62</v>
      </c>
      <c r="AS96" s="7" t="s">
        <v>62</v>
      </c>
      <c r="AT96" s="7" t="s">
        <v>62</v>
      </c>
      <c r="AU96" s="7"/>
      <c r="AV96" s="7"/>
    </row>
    <row r="97" spans="1:48" ht="15.75" customHeight="1">
      <c r="A97" s="7">
        <v>96</v>
      </c>
      <c r="B97" s="7">
        <v>38</v>
      </c>
      <c r="C97" s="7" t="s">
        <v>535</v>
      </c>
      <c r="D97" s="7" t="s">
        <v>536</v>
      </c>
      <c r="E97" s="7" t="s">
        <v>103</v>
      </c>
      <c r="F97" s="7" t="s">
        <v>537</v>
      </c>
      <c r="G97" s="7" t="s">
        <v>538</v>
      </c>
      <c r="H97" s="7" t="s">
        <v>291</v>
      </c>
      <c r="I97" s="2" t="s">
        <v>117</v>
      </c>
      <c r="J97" s="7" t="s">
        <v>151</v>
      </c>
      <c r="K97" s="7" t="s">
        <v>168</v>
      </c>
      <c r="L97" s="7" t="s">
        <v>539</v>
      </c>
      <c r="M97" s="7" t="s">
        <v>695</v>
      </c>
      <c r="N97" s="7" t="s">
        <v>119</v>
      </c>
      <c r="O97" s="7"/>
      <c r="P97" s="7"/>
      <c r="Q97" s="7"/>
      <c r="R97" s="7"/>
      <c r="S97" s="7">
        <v>0.57899999999999996</v>
      </c>
      <c r="T97" s="7"/>
      <c r="U97" s="7"/>
      <c r="V97" s="7" t="s">
        <v>309</v>
      </c>
      <c r="W97" s="7"/>
      <c r="X97" s="7"/>
      <c r="Y97" s="7" t="s">
        <v>94</v>
      </c>
      <c r="Z97" s="7" t="s">
        <v>696</v>
      </c>
      <c r="AA97" s="7" t="s">
        <v>500</v>
      </c>
      <c r="AB97" s="7" t="s">
        <v>500</v>
      </c>
      <c r="AC97" s="7">
        <v>-0.39300000000000002</v>
      </c>
      <c r="AD97" s="7"/>
      <c r="AE97" s="7">
        <v>-0.39300000000000002</v>
      </c>
      <c r="AF97" s="7">
        <v>3.6700000000000003E-2</v>
      </c>
      <c r="AG97" s="7"/>
      <c r="AH97" s="7">
        <f>-0.7683- -0.0177</f>
        <v>-0.75059999999999993</v>
      </c>
      <c r="AI97" s="7"/>
      <c r="AJ97" s="7"/>
      <c r="AK97" s="7">
        <v>3.6700000000000003E-2</v>
      </c>
      <c r="AL97" s="7">
        <v>114</v>
      </c>
      <c r="AM97" s="12">
        <v>44620</v>
      </c>
      <c r="AN97" s="7"/>
      <c r="AO97" s="7"/>
      <c r="AP97" s="7"/>
      <c r="AQ97" s="7"/>
      <c r="AR97" s="7" t="s">
        <v>62</v>
      </c>
      <c r="AS97" s="7" t="s">
        <v>62</v>
      </c>
      <c r="AT97" s="7" t="s">
        <v>540</v>
      </c>
      <c r="AU97" s="7"/>
      <c r="AV97" s="7"/>
    </row>
    <row r="98" spans="1:48" ht="15.75" customHeight="1">
      <c r="A98" s="7">
        <v>96</v>
      </c>
      <c r="B98" s="7">
        <v>39</v>
      </c>
      <c r="C98" s="7" t="s">
        <v>541</v>
      </c>
      <c r="D98" s="7" t="s">
        <v>542</v>
      </c>
      <c r="E98" s="7" t="s">
        <v>543</v>
      </c>
      <c r="F98" s="7" t="s">
        <v>544</v>
      </c>
      <c r="G98" s="7" t="s">
        <v>545</v>
      </c>
      <c r="H98" s="7" t="s">
        <v>215</v>
      </c>
      <c r="I98" s="7" t="s">
        <v>50</v>
      </c>
      <c r="J98" s="7" t="s">
        <v>72</v>
      </c>
      <c r="K98" s="7" t="s">
        <v>546</v>
      </c>
      <c r="L98" s="7" t="s">
        <v>702</v>
      </c>
      <c r="M98" s="7" t="s">
        <v>53</v>
      </c>
      <c r="N98" s="7" t="s">
        <v>547</v>
      </c>
      <c r="O98" s="7">
        <v>0.208030303</v>
      </c>
      <c r="P98" s="7">
        <v>2310</v>
      </c>
      <c r="Q98" s="7">
        <v>0.20704054829999999</v>
      </c>
      <c r="R98" s="7">
        <v>3502</v>
      </c>
      <c r="S98" s="7"/>
      <c r="T98" s="7"/>
      <c r="U98" s="7" t="s">
        <v>548</v>
      </c>
      <c r="V98" s="7" t="s">
        <v>549</v>
      </c>
      <c r="W98" s="7" t="s">
        <v>323</v>
      </c>
      <c r="X98" s="7"/>
      <c r="Y98" s="7" t="s">
        <v>94</v>
      </c>
      <c r="Z98" s="7" t="s">
        <v>550</v>
      </c>
      <c r="AA98" s="7" t="s">
        <v>79</v>
      </c>
      <c r="AB98" s="7" t="s">
        <v>79</v>
      </c>
      <c r="AC98" s="7">
        <v>-4.0000000000000001E-3</v>
      </c>
      <c r="AD98" s="7"/>
      <c r="AE98" s="7">
        <v>-4.0000000000000001E-3</v>
      </c>
      <c r="AF98" s="7">
        <v>1.3270000000000001E-3</v>
      </c>
      <c r="AG98" s="7"/>
      <c r="AH98" s="7">
        <f>-0.0754-0.0674</f>
        <v>-0.14279999999999998</v>
      </c>
      <c r="AI98" s="7"/>
      <c r="AJ98" s="7"/>
      <c r="AK98" s="7">
        <v>1.3270000000000001E-3</v>
      </c>
      <c r="AL98" s="7">
        <v>5812</v>
      </c>
      <c r="AM98" s="12">
        <v>44620</v>
      </c>
      <c r="AN98" s="7"/>
      <c r="AO98" s="7"/>
      <c r="AP98" s="7"/>
      <c r="AQ98" s="7"/>
      <c r="AR98" s="7" t="s">
        <v>62</v>
      </c>
      <c r="AS98" s="7" t="s">
        <v>62</v>
      </c>
      <c r="AT98" s="7" t="s">
        <v>551</v>
      </c>
      <c r="AU98" s="7"/>
      <c r="AV98" s="7"/>
    </row>
    <row r="99" spans="1:48" ht="15.75" customHeight="1">
      <c r="A99" s="7">
        <v>99</v>
      </c>
      <c r="B99" s="7">
        <v>40</v>
      </c>
      <c r="C99" s="7" t="s">
        <v>552</v>
      </c>
      <c r="D99" s="7" t="s">
        <v>553</v>
      </c>
      <c r="E99" s="7" t="s">
        <v>554</v>
      </c>
      <c r="F99" s="7" t="s">
        <v>555</v>
      </c>
      <c r="G99" s="7" t="s">
        <v>556</v>
      </c>
      <c r="H99" s="7" t="s">
        <v>410</v>
      </c>
      <c r="I99" s="7" t="s">
        <v>50</v>
      </c>
      <c r="J99" s="7" t="s">
        <v>72</v>
      </c>
      <c r="K99" s="7" t="s">
        <v>72</v>
      </c>
      <c r="L99" s="7" t="s">
        <v>73</v>
      </c>
      <c r="M99" s="7" t="s">
        <v>53</v>
      </c>
      <c r="N99" s="7" t="s">
        <v>557</v>
      </c>
      <c r="O99" s="7">
        <v>0.228066187</v>
      </c>
      <c r="P99" s="7">
        <v>31621.906269999999</v>
      </c>
      <c r="Q99" s="7">
        <v>0.2228464419</v>
      </c>
      <c r="R99" s="7">
        <v>17314.37599</v>
      </c>
      <c r="S99" s="7"/>
      <c r="T99" s="7"/>
      <c r="U99" s="7"/>
      <c r="V99" s="7" t="s">
        <v>558</v>
      </c>
      <c r="W99" s="7" t="s">
        <v>323</v>
      </c>
      <c r="X99" s="7"/>
      <c r="Y99" s="7" t="s">
        <v>94</v>
      </c>
      <c r="Z99" s="7" t="s">
        <v>559</v>
      </c>
      <c r="AA99" s="7" t="s">
        <v>79</v>
      </c>
      <c r="AB99" s="7" t="s">
        <v>79</v>
      </c>
      <c r="AC99" s="7">
        <v>-1.66E-2</v>
      </c>
      <c r="AD99" s="7"/>
      <c r="AE99" s="7">
        <v>-1.66E-2</v>
      </c>
      <c r="AF99" s="7">
        <v>1.56E-4</v>
      </c>
      <c r="AG99" s="7"/>
      <c r="AH99" s="7">
        <f>-0.0411-0.0079</f>
        <v>-4.9000000000000002E-2</v>
      </c>
      <c r="AI99" s="7"/>
      <c r="AJ99" s="7"/>
      <c r="AK99" s="7">
        <v>1.56E-4</v>
      </c>
      <c r="AL99" s="7">
        <v>48936</v>
      </c>
      <c r="AM99" s="12">
        <v>44620</v>
      </c>
      <c r="AN99" s="7"/>
      <c r="AO99" s="7"/>
      <c r="AP99" s="7"/>
      <c r="AQ99" s="7"/>
      <c r="AR99" s="7" t="s">
        <v>62</v>
      </c>
      <c r="AS99" s="7" t="s">
        <v>697</v>
      </c>
      <c r="AT99" s="7" t="s">
        <v>560</v>
      </c>
      <c r="AU99" s="7"/>
      <c r="AV99" s="7"/>
    </row>
    <row r="100" spans="1:48" ht="15.75" customHeight="1">
      <c r="A100" s="7">
        <v>100</v>
      </c>
      <c r="B100" s="7">
        <v>41</v>
      </c>
      <c r="C100" s="7" t="s">
        <v>561</v>
      </c>
      <c r="D100" s="7" t="s">
        <v>562</v>
      </c>
      <c r="E100" s="7" t="s">
        <v>456</v>
      </c>
      <c r="F100" s="7">
        <v>2020</v>
      </c>
      <c r="G100" s="7" t="s">
        <v>563</v>
      </c>
      <c r="H100" s="7" t="s">
        <v>150</v>
      </c>
      <c r="I100" s="7" t="s">
        <v>50</v>
      </c>
      <c r="J100" s="7" t="s">
        <v>51</v>
      </c>
      <c r="K100" s="7" t="s">
        <v>51</v>
      </c>
      <c r="L100" s="7" t="s">
        <v>52</v>
      </c>
      <c r="M100" s="7" t="s">
        <v>53</v>
      </c>
      <c r="N100" s="7" t="s">
        <v>564</v>
      </c>
      <c r="O100" s="7">
        <v>0.38142198199999999</v>
      </c>
      <c r="P100" s="7">
        <v>1569</v>
      </c>
      <c r="Q100" s="7">
        <v>0.40750126710000001</v>
      </c>
      <c r="R100" s="7">
        <v>932</v>
      </c>
      <c r="S100" s="7"/>
      <c r="T100" s="7"/>
      <c r="U100" s="7"/>
      <c r="V100" s="7" t="s">
        <v>565</v>
      </c>
      <c r="W100" s="7" t="s">
        <v>566</v>
      </c>
      <c r="X100" s="7">
        <v>1.06619</v>
      </c>
      <c r="Y100" s="7" t="s">
        <v>94</v>
      </c>
      <c r="Z100" s="7" t="s">
        <v>567</v>
      </c>
      <c r="AA100" s="7" t="s">
        <v>79</v>
      </c>
      <c r="AB100" s="7" t="s">
        <v>79</v>
      </c>
      <c r="AC100" s="7">
        <v>6.5100000000000005E-2</v>
      </c>
      <c r="AD100" s="7"/>
      <c r="AE100" s="7">
        <v>6.5100000000000005E-2</v>
      </c>
      <c r="AF100" s="7">
        <v>2.1840000000000002E-3</v>
      </c>
      <c r="AG100" s="7"/>
      <c r="AH100" s="7">
        <f>-0.0264- 0.1567</f>
        <v>-0.18310000000000001</v>
      </c>
      <c r="AI100" s="7"/>
      <c r="AJ100" s="7"/>
      <c r="AK100" s="7">
        <v>2.1840000000000002E-3</v>
      </c>
      <c r="AL100" s="7">
        <v>2501</v>
      </c>
      <c r="AM100" s="12">
        <v>44620</v>
      </c>
      <c r="AN100" s="7"/>
      <c r="AO100" s="7"/>
      <c r="AP100" s="7"/>
      <c r="AQ100" s="7"/>
      <c r="AR100" s="7" t="s">
        <v>62</v>
      </c>
      <c r="AS100" s="7" t="s">
        <v>62</v>
      </c>
      <c r="AT100" s="7" t="s">
        <v>62</v>
      </c>
      <c r="AU100" s="7"/>
      <c r="AV100" s="7"/>
    </row>
    <row r="101" spans="1:48" ht="15.75" customHeight="1">
      <c r="A101" s="7">
        <v>101</v>
      </c>
      <c r="B101" s="7">
        <v>41</v>
      </c>
      <c r="C101" s="7" t="s">
        <v>561</v>
      </c>
      <c r="D101" s="7" t="s">
        <v>562</v>
      </c>
      <c r="E101" s="7" t="s">
        <v>456</v>
      </c>
      <c r="F101" s="7">
        <v>2020</v>
      </c>
      <c r="G101" s="7" t="s">
        <v>563</v>
      </c>
      <c r="H101" s="7" t="s">
        <v>150</v>
      </c>
      <c r="I101" s="7" t="s">
        <v>50</v>
      </c>
      <c r="J101" s="7" t="s">
        <v>51</v>
      </c>
      <c r="K101" s="7" t="s">
        <v>51</v>
      </c>
      <c r="L101" s="7" t="s">
        <v>64</v>
      </c>
      <c r="M101" s="7" t="s">
        <v>53</v>
      </c>
      <c r="N101" s="7" t="s">
        <v>564</v>
      </c>
      <c r="O101" s="7">
        <v>0.25373776059999997</v>
      </c>
      <c r="P101" s="7">
        <v>1569</v>
      </c>
      <c r="Q101" s="7">
        <v>0.22301064370000001</v>
      </c>
      <c r="R101" s="7">
        <v>932</v>
      </c>
      <c r="S101" s="7"/>
      <c r="T101" s="7"/>
      <c r="U101" s="7"/>
      <c r="V101" s="7" t="s">
        <v>565</v>
      </c>
      <c r="W101" s="7" t="s">
        <v>566</v>
      </c>
      <c r="X101" s="7">
        <v>0.96376280000000003</v>
      </c>
      <c r="Y101" s="7" t="s">
        <v>94</v>
      </c>
      <c r="Z101" s="7" t="s">
        <v>568</v>
      </c>
      <c r="AA101" s="7" t="s">
        <v>79</v>
      </c>
      <c r="AB101" s="7" t="s">
        <v>79</v>
      </c>
      <c r="AC101" s="7">
        <v>-8.6900000000000005E-2</v>
      </c>
      <c r="AD101" s="7"/>
      <c r="AE101" s="7">
        <v>-8.6900000000000005E-2</v>
      </c>
      <c r="AF101" s="7">
        <v>2.9429999999999999E-3</v>
      </c>
      <c r="AG101" s="7"/>
      <c r="AH101" s="7">
        <f>-0.1932-0.0195</f>
        <v>-0.2127</v>
      </c>
      <c r="AI101" s="7"/>
      <c r="AJ101" s="7"/>
      <c r="AK101" s="7">
        <v>2.9429999999999999E-3</v>
      </c>
      <c r="AL101" s="7">
        <v>2501</v>
      </c>
      <c r="AM101" s="12">
        <v>44620</v>
      </c>
      <c r="AN101" s="7"/>
      <c r="AO101" s="7"/>
      <c r="AP101" s="7"/>
      <c r="AQ101" s="7"/>
      <c r="AR101" s="7" t="s">
        <v>62</v>
      </c>
      <c r="AS101" s="7" t="s">
        <v>62</v>
      </c>
      <c r="AT101" s="7" t="s">
        <v>62</v>
      </c>
      <c r="AU101" s="7"/>
      <c r="AV101" s="7"/>
    </row>
    <row r="102" spans="1:48" ht="15.75" customHeight="1">
      <c r="A102" s="7">
        <v>102</v>
      </c>
      <c r="B102" s="7">
        <v>41</v>
      </c>
      <c r="C102" s="7" t="s">
        <v>561</v>
      </c>
      <c r="D102" s="7" t="s">
        <v>562</v>
      </c>
      <c r="E102" s="7" t="s">
        <v>456</v>
      </c>
      <c r="F102" s="7">
        <v>2020</v>
      </c>
      <c r="G102" s="7" t="s">
        <v>569</v>
      </c>
      <c r="H102" s="7" t="s">
        <v>291</v>
      </c>
      <c r="I102" s="7" t="s">
        <v>50</v>
      </c>
      <c r="J102" s="7" t="s">
        <v>51</v>
      </c>
      <c r="K102" s="7" t="s">
        <v>51</v>
      </c>
      <c r="L102" s="7" t="s">
        <v>52</v>
      </c>
      <c r="M102" s="7" t="s">
        <v>53</v>
      </c>
      <c r="N102" s="7" t="s">
        <v>564</v>
      </c>
      <c r="O102" s="7">
        <v>0.48289954429999998</v>
      </c>
      <c r="P102" s="7">
        <v>1898</v>
      </c>
      <c r="Q102" s="7">
        <v>0.44754181450000002</v>
      </c>
      <c r="R102" s="7">
        <v>1147</v>
      </c>
      <c r="S102" s="7"/>
      <c r="T102" s="7"/>
      <c r="U102" s="7"/>
      <c r="V102" s="7" t="s">
        <v>565</v>
      </c>
      <c r="W102" s="7" t="s">
        <v>566</v>
      </c>
      <c r="X102" s="7">
        <v>0.89160519999999999</v>
      </c>
      <c r="Y102" s="7" t="s">
        <v>94</v>
      </c>
      <c r="Z102" s="7" t="s">
        <v>570</v>
      </c>
      <c r="AA102" s="7" t="s">
        <v>79</v>
      </c>
      <c r="AB102" s="7" t="s">
        <v>79</v>
      </c>
      <c r="AC102" s="7">
        <v>-7.9100000000000004E-2</v>
      </c>
      <c r="AD102" s="7"/>
      <c r="AE102" s="7">
        <v>-7.9100000000000004E-2</v>
      </c>
      <c r="AF102" s="7">
        <v>1.72E-3</v>
      </c>
      <c r="AG102" s="7"/>
      <c r="AH102" s="7">
        <f>-0.1604-0.0022</f>
        <v>-0.16259999999999999</v>
      </c>
      <c r="AI102" s="7"/>
      <c r="AJ102" s="7"/>
      <c r="AK102" s="7">
        <v>1.72E-3</v>
      </c>
      <c r="AL102" s="7">
        <v>3045</v>
      </c>
      <c r="AM102" s="12">
        <v>44620</v>
      </c>
      <c r="AN102" s="7"/>
      <c r="AO102" s="7"/>
      <c r="AP102" s="7"/>
      <c r="AQ102" s="7"/>
      <c r="AR102" s="7" t="s">
        <v>62</v>
      </c>
      <c r="AS102" s="7" t="s">
        <v>62</v>
      </c>
      <c r="AT102" s="7" t="s">
        <v>62</v>
      </c>
      <c r="AU102" s="7"/>
      <c r="AV102" s="7"/>
    </row>
    <row r="103" spans="1:48" ht="15.75" customHeight="1">
      <c r="A103" s="7">
        <v>103</v>
      </c>
      <c r="B103" s="7">
        <v>41</v>
      </c>
      <c r="C103" s="7" t="s">
        <v>561</v>
      </c>
      <c r="D103" s="7" t="s">
        <v>562</v>
      </c>
      <c r="E103" s="7" t="s">
        <v>456</v>
      </c>
      <c r="F103" s="7">
        <v>2020</v>
      </c>
      <c r="G103" s="7" t="s">
        <v>569</v>
      </c>
      <c r="H103" s="7" t="s">
        <v>291</v>
      </c>
      <c r="I103" s="7" t="s">
        <v>50</v>
      </c>
      <c r="J103" s="7" t="s">
        <v>51</v>
      </c>
      <c r="K103" s="7" t="s">
        <v>51</v>
      </c>
      <c r="L103" s="7" t="s">
        <v>64</v>
      </c>
      <c r="M103" s="7" t="s">
        <v>53</v>
      </c>
      <c r="N103" s="7" t="s">
        <v>564</v>
      </c>
      <c r="O103" s="7">
        <v>0.31087542730000001</v>
      </c>
      <c r="P103" s="7">
        <v>1898</v>
      </c>
      <c r="Q103" s="7">
        <v>0.32083122149999999</v>
      </c>
      <c r="R103" s="7">
        <v>1147</v>
      </c>
      <c r="S103" s="7"/>
      <c r="T103" s="7"/>
      <c r="U103" s="7"/>
      <c r="V103" s="7" t="s">
        <v>565</v>
      </c>
      <c r="W103" s="7" t="s">
        <v>566</v>
      </c>
      <c r="X103" s="7">
        <v>1.1468229999999999</v>
      </c>
      <c r="Y103" s="7" t="s">
        <v>94</v>
      </c>
      <c r="Z103" s="7" t="s">
        <v>571</v>
      </c>
      <c r="AA103" s="7" t="s">
        <v>79</v>
      </c>
      <c r="AB103" s="7" t="s">
        <v>79</v>
      </c>
      <c r="AC103" s="7">
        <v>3.3300000000000003E-2</v>
      </c>
      <c r="AD103" s="7"/>
      <c r="AE103" s="7">
        <v>3.3300000000000003E-2</v>
      </c>
      <c r="AF103" s="7">
        <v>1.983E-3</v>
      </c>
      <c r="AG103" s="7"/>
      <c r="AH103" s="7">
        <f>-0.054-0.1206</f>
        <v>-0.17460000000000001</v>
      </c>
      <c r="AI103" s="7"/>
      <c r="AJ103" s="7"/>
      <c r="AK103" s="7">
        <v>1.983E-3</v>
      </c>
      <c r="AL103" s="7">
        <v>3045</v>
      </c>
      <c r="AM103" s="12">
        <v>44620</v>
      </c>
      <c r="AN103" s="7"/>
      <c r="AO103" s="7"/>
      <c r="AP103" s="7"/>
      <c r="AQ103" s="7"/>
      <c r="AR103" s="7" t="s">
        <v>62</v>
      </c>
      <c r="AS103" s="7" t="s">
        <v>62</v>
      </c>
      <c r="AT103" s="7" t="s">
        <v>62</v>
      </c>
      <c r="AU103" s="7"/>
      <c r="AV103" s="7"/>
    </row>
    <row r="104" spans="1:48" ht="15.75" customHeight="1">
      <c r="A104" s="7">
        <v>104</v>
      </c>
      <c r="B104" s="7">
        <v>42</v>
      </c>
      <c r="C104" s="7" t="s">
        <v>572</v>
      </c>
      <c r="D104" s="7" t="s">
        <v>573</v>
      </c>
      <c r="E104" s="7" t="s">
        <v>574</v>
      </c>
      <c r="F104" s="7">
        <v>2020</v>
      </c>
      <c r="G104" s="7" t="s">
        <v>575</v>
      </c>
      <c r="H104" s="7" t="s">
        <v>291</v>
      </c>
      <c r="I104" s="7" t="s">
        <v>50</v>
      </c>
      <c r="J104" s="7" t="s">
        <v>72</v>
      </c>
      <c r="K104" s="7" t="s">
        <v>72</v>
      </c>
      <c r="L104" s="7" t="s">
        <v>52</v>
      </c>
      <c r="M104" s="7" t="s">
        <v>576</v>
      </c>
      <c r="N104" s="7" t="s">
        <v>119</v>
      </c>
      <c r="O104" s="7">
        <v>0.45348837209999998</v>
      </c>
      <c r="P104" s="7">
        <v>172</v>
      </c>
      <c r="Q104" s="7">
        <v>0.44588744590000001</v>
      </c>
      <c r="R104" s="7">
        <v>231</v>
      </c>
      <c r="S104" s="7"/>
      <c r="T104" s="7"/>
      <c r="U104" s="7"/>
      <c r="V104" s="7" t="s">
        <v>577</v>
      </c>
      <c r="W104" s="7" t="s">
        <v>323</v>
      </c>
      <c r="X104" s="7"/>
      <c r="Y104" s="7" t="s">
        <v>94</v>
      </c>
      <c r="Z104" s="7" t="s">
        <v>578</v>
      </c>
      <c r="AA104" s="7" t="s">
        <v>79</v>
      </c>
      <c r="AB104" s="7" t="s">
        <v>79</v>
      </c>
      <c r="AC104" s="7">
        <v>-1.6899999999999998E-2</v>
      </c>
      <c r="AD104" s="7"/>
      <c r="AE104" s="7">
        <v>-1.6899999999999998E-2</v>
      </c>
      <c r="AF104" s="7">
        <v>1.2456E-2</v>
      </c>
      <c r="AG104" s="7"/>
      <c r="AH104" s="7">
        <f>-0.2357-0.2018</f>
        <v>-0.4375</v>
      </c>
      <c r="AI104" s="7"/>
      <c r="AJ104" s="7"/>
      <c r="AK104" s="7">
        <v>1.2456E-2</v>
      </c>
      <c r="AL104" s="7">
        <v>403</v>
      </c>
      <c r="AM104" s="12">
        <v>44620</v>
      </c>
      <c r="AN104" s="7"/>
      <c r="AO104" s="7"/>
      <c r="AP104" s="7"/>
      <c r="AQ104" s="7"/>
      <c r="AR104" s="7" t="s">
        <v>62</v>
      </c>
      <c r="AS104" s="7" t="s">
        <v>62</v>
      </c>
      <c r="AT104" s="7" t="s">
        <v>62</v>
      </c>
      <c r="AU104" s="7"/>
      <c r="AV104" s="7"/>
    </row>
    <row r="105" spans="1:48" ht="15.75" customHeight="1">
      <c r="A105" s="7">
        <v>105</v>
      </c>
      <c r="B105" s="7">
        <v>42</v>
      </c>
      <c r="C105" s="7" t="s">
        <v>572</v>
      </c>
      <c r="D105" s="7" t="s">
        <v>573</v>
      </c>
      <c r="E105" s="7" t="s">
        <v>574</v>
      </c>
      <c r="F105" s="7">
        <v>2020</v>
      </c>
      <c r="G105" s="7" t="s">
        <v>575</v>
      </c>
      <c r="H105" s="7" t="s">
        <v>291</v>
      </c>
      <c r="I105" s="7" t="s">
        <v>50</v>
      </c>
      <c r="J105" s="7" t="s">
        <v>72</v>
      </c>
      <c r="K105" s="7" t="s">
        <v>72</v>
      </c>
      <c r="L105" s="7" t="s">
        <v>64</v>
      </c>
      <c r="M105" s="7" t="s">
        <v>576</v>
      </c>
      <c r="N105" s="7" t="s">
        <v>119</v>
      </c>
      <c r="O105" s="7">
        <v>0.4302325581</v>
      </c>
      <c r="P105" s="7">
        <v>172</v>
      </c>
      <c r="Q105" s="7">
        <v>0.33766233769999998</v>
      </c>
      <c r="R105" s="7">
        <v>231</v>
      </c>
      <c r="S105" s="7"/>
      <c r="T105" s="7"/>
      <c r="U105" s="7"/>
      <c r="V105" s="7" t="s">
        <v>577</v>
      </c>
      <c r="W105" s="7" t="s">
        <v>323</v>
      </c>
      <c r="X105" s="7"/>
      <c r="Y105" s="7" t="s">
        <v>94</v>
      </c>
      <c r="Z105" s="7" t="s">
        <v>579</v>
      </c>
      <c r="AA105" s="7" t="s">
        <v>79</v>
      </c>
      <c r="AB105" s="7" t="s">
        <v>79</v>
      </c>
      <c r="AC105" s="7">
        <v>-0.21659999999999999</v>
      </c>
      <c r="AD105" s="7"/>
      <c r="AE105" s="7">
        <v>-0.21659999999999999</v>
      </c>
      <c r="AF105" s="7">
        <v>1.3093E-2</v>
      </c>
      <c r="AG105" s="7"/>
      <c r="AH105" s="7">
        <f>-0.4408-0.0077</f>
        <v>-0.44850000000000001</v>
      </c>
      <c r="AI105" s="7"/>
      <c r="AJ105" s="7"/>
      <c r="AK105" s="7">
        <v>1.3093E-2</v>
      </c>
      <c r="AL105" s="7">
        <v>403</v>
      </c>
      <c r="AM105" s="12">
        <v>44620</v>
      </c>
      <c r="AN105" s="7"/>
      <c r="AO105" s="7"/>
      <c r="AP105" s="7"/>
      <c r="AQ105" s="7"/>
      <c r="AR105" s="7" t="s">
        <v>62</v>
      </c>
      <c r="AS105" s="7" t="s">
        <v>62</v>
      </c>
      <c r="AT105" s="7" t="s">
        <v>62</v>
      </c>
      <c r="AU105" s="7"/>
      <c r="AV105" s="7"/>
    </row>
    <row r="106" spans="1:48">
      <c r="A106" s="7">
        <v>106</v>
      </c>
      <c r="B106" s="7">
        <v>42</v>
      </c>
      <c r="C106" s="7" t="s">
        <v>572</v>
      </c>
      <c r="D106" s="7" t="s">
        <v>573</v>
      </c>
      <c r="E106" s="7" t="s">
        <v>574</v>
      </c>
      <c r="F106" s="7">
        <v>2020</v>
      </c>
      <c r="G106" s="7" t="s">
        <v>575</v>
      </c>
      <c r="H106" s="7" t="s">
        <v>291</v>
      </c>
      <c r="I106" s="7" t="s">
        <v>50</v>
      </c>
      <c r="J106" s="7" t="s">
        <v>72</v>
      </c>
      <c r="K106" s="7" t="s">
        <v>72</v>
      </c>
      <c r="L106" s="7" t="s">
        <v>73</v>
      </c>
      <c r="M106" s="7" t="s">
        <v>576</v>
      </c>
      <c r="N106" s="7" t="s">
        <v>119</v>
      </c>
      <c r="O106" s="7">
        <v>0.39534883720000003</v>
      </c>
      <c r="P106" s="7">
        <v>172</v>
      </c>
      <c r="Q106" s="7">
        <v>0.40692640689999998</v>
      </c>
      <c r="R106" s="7">
        <v>231</v>
      </c>
      <c r="S106" s="7"/>
      <c r="T106" s="7"/>
      <c r="U106" s="7"/>
      <c r="V106" s="7" t="s">
        <v>577</v>
      </c>
      <c r="W106" s="7" t="s">
        <v>323</v>
      </c>
      <c r="X106" s="7"/>
      <c r="Y106" s="7" t="s">
        <v>94</v>
      </c>
      <c r="Z106" s="7" t="s">
        <v>580</v>
      </c>
      <c r="AA106" s="7" t="s">
        <v>79</v>
      </c>
      <c r="AB106" s="7" t="s">
        <v>79</v>
      </c>
      <c r="AC106" s="7">
        <v>2.6599999999999999E-2</v>
      </c>
      <c r="AD106" s="7"/>
      <c r="AE106" s="7">
        <v>2.6599999999999999E-2</v>
      </c>
      <c r="AF106" s="7">
        <v>1.2845000000000001E-2</v>
      </c>
      <c r="AG106" s="7"/>
      <c r="AH106" s="7">
        <f>-0.1956-0.2487</f>
        <v>-0.44430000000000003</v>
      </c>
      <c r="AI106" s="7"/>
      <c r="AJ106" s="7"/>
      <c r="AK106" s="7">
        <v>1.2845000000000001E-2</v>
      </c>
      <c r="AL106" s="7">
        <v>403</v>
      </c>
      <c r="AM106" s="12">
        <v>44620</v>
      </c>
      <c r="AN106" s="7"/>
      <c r="AO106" s="7"/>
      <c r="AP106" s="7"/>
      <c r="AQ106" s="7"/>
      <c r="AR106" s="7" t="s">
        <v>62</v>
      </c>
      <c r="AS106" s="7" t="s">
        <v>62</v>
      </c>
      <c r="AT106" s="7" t="s">
        <v>62</v>
      </c>
      <c r="AU106" s="7"/>
      <c r="AV106" s="7"/>
    </row>
    <row r="107" spans="1:48">
      <c r="A107" s="7">
        <v>107</v>
      </c>
      <c r="B107" s="7">
        <v>43</v>
      </c>
      <c r="C107" s="7" t="s">
        <v>581</v>
      </c>
      <c r="D107" s="7" t="s">
        <v>582</v>
      </c>
      <c r="E107" s="7" t="s">
        <v>103</v>
      </c>
      <c r="F107" s="7" t="s">
        <v>583</v>
      </c>
      <c r="G107" s="7" t="s">
        <v>584</v>
      </c>
      <c r="H107" s="7" t="s">
        <v>291</v>
      </c>
      <c r="I107" s="2" t="s">
        <v>117</v>
      </c>
      <c r="J107" s="7" t="s">
        <v>151</v>
      </c>
      <c r="K107" s="7" t="s">
        <v>168</v>
      </c>
      <c r="L107" s="7" t="s">
        <v>585</v>
      </c>
      <c r="M107" s="7" t="s">
        <v>576</v>
      </c>
      <c r="N107" s="7" t="s">
        <v>401</v>
      </c>
      <c r="O107" s="7"/>
      <c r="P107" s="7"/>
      <c r="Q107" s="7"/>
      <c r="R107" s="7"/>
      <c r="S107" s="7">
        <v>0.623</v>
      </c>
      <c r="T107" s="7"/>
      <c r="U107" s="7"/>
      <c r="V107" s="7" t="s">
        <v>120</v>
      </c>
      <c r="W107" s="7" t="s">
        <v>586</v>
      </c>
      <c r="X107" s="7" t="s">
        <v>587</v>
      </c>
      <c r="Y107" s="7" t="s">
        <v>56</v>
      </c>
      <c r="Z107" s="7" t="s">
        <v>588</v>
      </c>
      <c r="AA107" s="7" t="s">
        <v>79</v>
      </c>
      <c r="AB107" s="7" t="s">
        <v>79</v>
      </c>
      <c r="AC107" s="7">
        <v>-0.1895</v>
      </c>
      <c r="AD107" s="7"/>
      <c r="AE107" s="7">
        <v>-0.1895</v>
      </c>
      <c r="AF107" s="7">
        <v>2.1453E-2</v>
      </c>
      <c r="AG107" s="7"/>
      <c r="AH107" s="7">
        <f>-0.4766-0.0975</f>
        <v>-0.57410000000000005</v>
      </c>
      <c r="AI107" s="7"/>
      <c r="AJ107" s="7"/>
      <c r="AK107" s="7">
        <v>2.1453E-2</v>
      </c>
      <c r="AL107" s="7">
        <v>290</v>
      </c>
      <c r="AM107" s="12">
        <v>44620</v>
      </c>
      <c r="AN107" s="7"/>
      <c r="AO107" s="7"/>
      <c r="AP107" s="7"/>
      <c r="AQ107" s="7"/>
      <c r="AR107" s="7" t="s">
        <v>589</v>
      </c>
      <c r="AS107" s="7" t="s">
        <v>62</v>
      </c>
      <c r="AT107" s="7" t="s">
        <v>590</v>
      </c>
      <c r="AU107" s="7"/>
      <c r="AV107" s="7"/>
    </row>
    <row r="108" spans="1:48" ht="15.75" customHeight="1">
      <c r="A108" s="7">
        <v>108</v>
      </c>
      <c r="B108" s="7">
        <v>44</v>
      </c>
      <c r="C108" s="7" t="s">
        <v>591</v>
      </c>
      <c r="D108" s="7" t="s">
        <v>592</v>
      </c>
      <c r="E108" s="7" t="s">
        <v>103</v>
      </c>
      <c r="F108" s="7" t="s">
        <v>593</v>
      </c>
      <c r="G108" s="7" t="s">
        <v>594</v>
      </c>
      <c r="H108" s="7" t="s">
        <v>291</v>
      </c>
      <c r="I108" s="2" t="s">
        <v>117</v>
      </c>
      <c r="J108" s="7" t="s">
        <v>151</v>
      </c>
      <c r="K108" s="7" t="s">
        <v>168</v>
      </c>
      <c r="L108" s="7" t="s">
        <v>595</v>
      </c>
      <c r="M108" s="7" t="s">
        <v>596</v>
      </c>
      <c r="N108" s="7" t="s">
        <v>597</v>
      </c>
      <c r="O108" s="7"/>
      <c r="P108" s="7"/>
      <c r="Q108" s="7"/>
      <c r="R108" s="7"/>
      <c r="S108" s="7">
        <v>0.75900000000000001</v>
      </c>
      <c r="T108" s="7"/>
      <c r="U108" s="7"/>
      <c r="V108" s="7" t="s">
        <v>120</v>
      </c>
      <c r="W108" s="7" t="s">
        <v>598</v>
      </c>
      <c r="X108" s="7" t="s">
        <v>599</v>
      </c>
      <c r="Y108" s="7" t="s">
        <v>56</v>
      </c>
      <c r="Z108" s="7" t="s">
        <v>698</v>
      </c>
      <c r="AA108" s="7" t="s">
        <v>500</v>
      </c>
      <c r="AB108" s="7" t="s">
        <v>500</v>
      </c>
      <c r="AC108" s="7">
        <v>-0.73550000000000004</v>
      </c>
      <c r="AD108" s="7"/>
      <c r="AE108" s="7">
        <v>-0.73550000000000004</v>
      </c>
      <c r="AF108" s="7">
        <v>5.4800000000000001E-2</v>
      </c>
      <c r="AG108" s="7"/>
      <c r="AH108" s="7">
        <f>-1.1945- -0.2766</f>
        <v>-0.91789999999999994</v>
      </c>
      <c r="AI108" s="7"/>
      <c r="AJ108" s="7"/>
      <c r="AK108" s="7">
        <v>5.4800000000000001E-2</v>
      </c>
      <c r="AL108" s="7">
        <v>87</v>
      </c>
      <c r="AM108" s="12">
        <v>44620</v>
      </c>
      <c r="AN108" s="7"/>
      <c r="AO108" s="7"/>
      <c r="AP108" s="7"/>
      <c r="AQ108" s="7"/>
      <c r="AR108" s="7" t="s">
        <v>62</v>
      </c>
      <c r="AS108" s="7" t="s">
        <v>62</v>
      </c>
      <c r="AT108" s="7" t="s">
        <v>62</v>
      </c>
      <c r="AU108" s="7"/>
      <c r="AV108" s="7"/>
    </row>
    <row r="109" spans="1:48" ht="15.75" customHeight="1">
      <c r="A109" s="7">
        <v>109</v>
      </c>
      <c r="B109" s="7">
        <v>45</v>
      </c>
      <c r="C109" s="7" t="s">
        <v>600</v>
      </c>
      <c r="D109" s="7" t="s">
        <v>601</v>
      </c>
      <c r="E109" s="7" t="s">
        <v>602</v>
      </c>
      <c r="F109" s="7" t="s">
        <v>603</v>
      </c>
      <c r="G109" s="7" t="s">
        <v>604</v>
      </c>
      <c r="H109" s="7" t="s">
        <v>291</v>
      </c>
      <c r="I109" s="7" t="s">
        <v>50</v>
      </c>
      <c r="J109" s="7" t="s">
        <v>72</v>
      </c>
      <c r="K109" s="7" t="s">
        <v>72</v>
      </c>
      <c r="L109" s="7" t="s">
        <v>702</v>
      </c>
      <c r="M109" s="7" t="s">
        <v>53</v>
      </c>
      <c r="N109" s="7" t="s">
        <v>119</v>
      </c>
      <c r="O109" s="7"/>
      <c r="P109" s="7"/>
      <c r="Q109" s="7"/>
      <c r="R109" s="7"/>
      <c r="S109" s="7"/>
      <c r="T109" s="7"/>
      <c r="U109" s="7"/>
      <c r="V109" s="7" t="s">
        <v>605</v>
      </c>
      <c r="W109" s="7" t="s">
        <v>606</v>
      </c>
      <c r="X109" s="7">
        <v>-0.16400000000000001</v>
      </c>
      <c r="Y109" s="7" t="s">
        <v>56</v>
      </c>
      <c r="Z109" s="7" t="s">
        <v>103</v>
      </c>
      <c r="AA109" s="7" t="s">
        <v>103</v>
      </c>
      <c r="AB109" s="7" t="s">
        <v>103</v>
      </c>
      <c r="AC109" s="7" t="s">
        <v>103</v>
      </c>
      <c r="AD109" s="7"/>
      <c r="AE109" s="7">
        <v>-0.08</v>
      </c>
      <c r="AF109" s="7" t="s">
        <v>103</v>
      </c>
      <c r="AG109" s="7"/>
      <c r="AH109" s="7" t="s">
        <v>103</v>
      </c>
      <c r="AI109" s="7"/>
      <c r="AJ109" s="7">
        <v>8.0000000000000002E-3</v>
      </c>
      <c r="AK109" s="7">
        <v>6.3999999999999997E-5</v>
      </c>
      <c r="AL109" s="7">
        <v>847892</v>
      </c>
      <c r="AM109" s="12">
        <v>44620</v>
      </c>
      <c r="AN109" s="7" t="s">
        <v>607</v>
      </c>
      <c r="AO109" s="7"/>
      <c r="AP109" s="7"/>
      <c r="AQ109" s="7"/>
      <c r="AR109" s="7" t="s">
        <v>62</v>
      </c>
      <c r="AS109" s="7" t="s">
        <v>62</v>
      </c>
      <c r="AT109" s="7" t="s">
        <v>608</v>
      </c>
      <c r="AU109" s="7"/>
      <c r="AV109" s="7"/>
    </row>
    <row r="110" spans="1:48" ht="15.75" customHeight="1">
      <c r="A110" s="7">
        <v>110</v>
      </c>
      <c r="B110" s="7">
        <v>45</v>
      </c>
      <c r="C110" s="7" t="s">
        <v>600</v>
      </c>
      <c r="D110" s="7" t="s">
        <v>601</v>
      </c>
      <c r="E110" s="7" t="s">
        <v>602</v>
      </c>
      <c r="F110" s="7" t="s">
        <v>603</v>
      </c>
      <c r="G110" s="7" t="s">
        <v>609</v>
      </c>
      <c r="H110" s="7" t="s">
        <v>150</v>
      </c>
      <c r="I110" s="7" t="s">
        <v>50</v>
      </c>
      <c r="J110" s="7" t="s">
        <v>72</v>
      </c>
      <c r="K110" s="7" t="s">
        <v>72</v>
      </c>
      <c r="L110" s="7" t="s">
        <v>702</v>
      </c>
      <c r="M110" s="7" t="s">
        <v>53</v>
      </c>
      <c r="N110" s="7" t="s">
        <v>119</v>
      </c>
      <c r="O110" s="7"/>
      <c r="P110" s="7"/>
      <c r="Q110" s="7"/>
      <c r="R110" s="7"/>
      <c r="S110" s="7"/>
      <c r="T110" s="7"/>
      <c r="U110" s="7"/>
      <c r="V110" s="7" t="s">
        <v>605</v>
      </c>
      <c r="W110" s="7" t="s">
        <v>606</v>
      </c>
      <c r="X110" s="7">
        <v>-7.8E-2</v>
      </c>
      <c r="Y110" s="7" t="s">
        <v>56</v>
      </c>
      <c r="Z110" s="7" t="s">
        <v>103</v>
      </c>
      <c r="AA110" s="7" t="s">
        <v>103</v>
      </c>
      <c r="AB110" s="7" t="s">
        <v>103</v>
      </c>
      <c r="AC110" s="7" t="s">
        <v>103</v>
      </c>
      <c r="AD110" s="7"/>
      <c r="AE110" s="7">
        <v>-2.9999999999999997E-4</v>
      </c>
      <c r="AF110" s="7" t="s">
        <v>103</v>
      </c>
      <c r="AG110" s="7"/>
      <c r="AH110" s="7" t="s">
        <v>103</v>
      </c>
      <c r="AI110" s="7"/>
      <c r="AJ110" s="7">
        <v>8.0000000000000002E-3</v>
      </c>
      <c r="AK110" s="7">
        <v>6.3999999999999997E-5</v>
      </c>
      <c r="AL110" s="7">
        <v>571051</v>
      </c>
      <c r="AM110" s="12">
        <v>44620</v>
      </c>
      <c r="AN110" s="7" t="s">
        <v>607</v>
      </c>
      <c r="AO110" s="7"/>
      <c r="AP110" s="7"/>
      <c r="AQ110" s="7"/>
      <c r="AR110" s="7" t="s">
        <v>62</v>
      </c>
      <c r="AS110" s="7" t="s">
        <v>62</v>
      </c>
      <c r="AT110" s="7" t="s">
        <v>608</v>
      </c>
      <c r="AU110" s="7"/>
      <c r="AV110" s="7"/>
    </row>
    <row r="111" spans="1:48" ht="15.75" customHeight="1">
      <c r="A111" s="7">
        <v>111</v>
      </c>
      <c r="B111" s="7">
        <v>45</v>
      </c>
      <c r="C111" s="7" t="s">
        <v>600</v>
      </c>
      <c r="D111" s="7" t="s">
        <v>601</v>
      </c>
      <c r="E111" s="7" t="s">
        <v>602</v>
      </c>
      <c r="F111" s="7" t="s">
        <v>603</v>
      </c>
      <c r="G111" s="7" t="s">
        <v>610</v>
      </c>
      <c r="H111" s="7" t="s">
        <v>410</v>
      </c>
      <c r="I111" s="7" t="s">
        <v>50</v>
      </c>
      <c r="J111" s="7" t="s">
        <v>72</v>
      </c>
      <c r="K111" s="7" t="s">
        <v>72</v>
      </c>
      <c r="L111" s="7" t="s">
        <v>702</v>
      </c>
      <c r="M111" s="7" t="s">
        <v>53</v>
      </c>
      <c r="N111" s="7" t="s">
        <v>119</v>
      </c>
      <c r="O111" s="7"/>
      <c r="P111" s="7"/>
      <c r="Q111" s="7"/>
      <c r="R111" s="7"/>
      <c r="S111" s="7"/>
      <c r="T111" s="7"/>
      <c r="U111" s="7"/>
      <c r="V111" s="7" t="s">
        <v>605</v>
      </c>
      <c r="W111" s="7" t="s">
        <v>606</v>
      </c>
      <c r="X111" s="7">
        <v>-9.7000000000000003E-2</v>
      </c>
      <c r="Y111" s="7" t="s">
        <v>56</v>
      </c>
      <c r="Z111" s="7" t="s">
        <v>103</v>
      </c>
      <c r="AA111" s="7" t="s">
        <v>103</v>
      </c>
      <c r="AB111" s="7" t="s">
        <v>103</v>
      </c>
      <c r="AC111" s="7" t="s">
        <v>103</v>
      </c>
      <c r="AD111" s="7"/>
      <c r="AE111" s="7">
        <v>-1.6E-2</v>
      </c>
      <c r="AF111" s="7" t="s">
        <v>103</v>
      </c>
      <c r="AG111" s="7"/>
      <c r="AH111" s="7" t="s">
        <v>103</v>
      </c>
      <c r="AI111" s="7"/>
      <c r="AJ111" s="7">
        <v>8.0000000000000002E-3</v>
      </c>
      <c r="AK111" s="7">
        <v>6.3999999999999997E-5</v>
      </c>
      <c r="AL111" s="7">
        <v>1026221</v>
      </c>
      <c r="AM111" s="12">
        <v>44620</v>
      </c>
      <c r="AN111" s="7" t="s">
        <v>607</v>
      </c>
      <c r="AO111" s="7"/>
      <c r="AP111" s="7"/>
      <c r="AQ111" s="7"/>
      <c r="AR111" s="7" t="s">
        <v>62</v>
      </c>
      <c r="AS111" s="7" t="s">
        <v>62</v>
      </c>
      <c r="AT111" s="7" t="s">
        <v>608</v>
      </c>
      <c r="AU111" s="7"/>
      <c r="AV111" s="7"/>
    </row>
    <row r="112" spans="1:48" ht="15.75" customHeight="1">
      <c r="A112" s="7">
        <v>112</v>
      </c>
      <c r="B112" s="7">
        <v>45</v>
      </c>
      <c r="C112" s="7" t="s">
        <v>600</v>
      </c>
      <c r="D112" s="7" t="s">
        <v>601</v>
      </c>
      <c r="E112" s="7" t="s">
        <v>602</v>
      </c>
      <c r="F112" s="7" t="s">
        <v>603</v>
      </c>
      <c r="G112" s="7" t="s">
        <v>701</v>
      </c>
      <c r="H112" s="7" t="s">
        <v>215</v>
      </c>
      <c r="I112" s="7" t="s">
        <v>50</v>
      </c>
      <c r="J112" s="7" t="s">
        <v>72</v>
      </c>
      <c r="K112" s="7" t="s">
        <v>72</v>
      </c>
      <c r="L112" s="7" t="s">
        <v>702</v>
      </c>
      <c r="M112" s="7" t="s">
        <v>53</v>
      </c>
      <c r="N112" s="7" t="s">
        <v>119</v>
      </c>
      <c r="O112" s="7"/>
      <c r="P112" s="7"/>
      <c r="Q112" s="7"/>
      <c r="R112" s="7"/>
      <c r="S112" s="7"/>
      <c r="T112" s="7"/>
      <c r="U112" s="7"/>
      <c r="V112" s="7" t="s">
        <v>605</v>
      </c>
      <c r="W112" s="7" t="s">
        <v>606</v>
      </c>
      <c r="X112" s="7">
        <v>-7.6999999999999999E-2</v>
      </c>
      <c r="Y112" s="7" t="s">
        <v>56</v>
      </c>
      <c r="Z112" s="7" t="s">
        <v>103</v>
      </c>
      <c r="AA112" s="7" t="s">
        <v>103</v>
      </c>
      <c r="AB112" s="7" t="s">
        <v>103</v>
      </c>
      <c r="AC112" s="7" t="s">
        <v>103</v>
      </c>
      <c r="AD112" s="7"/>
      <c r="AE112" s="7">
        <v>-2.8000000000000001E-2</v>
      </c>
      <c r="AF112" s="7" t="s">
        <v>103</v>
      </c>
      <c r="AG112" s="7"/>
      <c r="AH112" s="7" t="s">
        <v>103</v>
      </c>
      <c r="AI112" s="7"/>
      <c r="AJ112" s="7">
        <v>1.2E-2</v>
      </c>
      <c r="AK112" s="7">
        <v>1.44E-4</v>
      </c>
      <c r="AL112" s="7">
        <v>195157</v>
      </c>
      <c r="AM112" s="12">
        <v>44620</v>
      </c>
      <c r="AN112" s="7" t="s">
        <v>607</v>
      </c>
      <c r="AO112" s="7"/>
      <c r="AP112" s="7"/>
      <c r="AQ112" s="7"/>
      <c r="AR112" s="7" t="s">
        <v>62</v>
      </c>
      <c r="AS112" s="7" t="s">
        <v>62</v>
      </c>
      <c r="AT112" s="7" t="s">
        <v>608</v>
      </c>
      <c r="AU112" s="7"/>
      <c r="AV112" s="7"/>
    </row>
    <row r="113" spans="1:48" ht="15.75" customHeight="1">
      <c r="A113" s="7">
        <v>113</v>
      </c>
      <c r="B113" s="7">
        <v>46</v>
      </c>
      <c r="C113" s="7" t="s">
        <v>611</v>
      </c>
      <c r="D113" s="7" t="s">
        <v>612</v>
      </c>
      <c r="E113" s="7" t="s">
        <v>613</v>
      </c>
      <c r="F113" s="7" t="s">
        <v>614</v>
      </c>
      <c r="G113" s="7" t="s">
        <v>615</v>
      </c>
      <c r="H113" s="7" t="s">
        <v>215</v>
      </c>
      <c r="I113" s="7" t="s">
        <v>50</v>
      </c>
      <c r="J113" s="7" t="s">
        <v>72</v>
      </c>
      <c r="K113" s="7" t="s">
        <v>72</v>
      </c>
      <c r="L113" s="7" t="s">
        <v>52</v>
      </c>
      <c r="M113" s="7" t="s">
        <v>576</v>
      </c>
      <c r="N113" s="7" t="s">
        <v>119</v>
      </c>
      <c r="O113" s="7">
        <v>0.58095238100000002</v>
      </c>
      <c r="P113" s="7">
        <v>525</v>
      </c>
      <c r="Q113" s="7">
        <v>0.61714285710000005</v>
      </c>
      <c r="R113" s="7">
        <v>175</v>
      </c>
      <c r="S113" s="7"/>
      <c r="T113" s="7"/>
      <c r="U113" s="7"/>
      <c r="V113" s="7" t="s">
        <v>616</v>
      </c>
      <c r="W113" s="7" t="s">
        <v>617</v>
      </c>
      <c r="X113" s="7" t="s">
        <v>618</v>
      </c>
      <c r="Y113" s="7" t="s">
        <v>56</v>
      </c>
      <c r="Z113" s="7" t="s">
        <v>619</v>
      </c>
      <c r="AA113" s="7" t="s">
        <v>79</v>
      </c>
      <c r="AB113" s="7" t="s">
        <v>79</v>
      </c>
      <c r="AC113" s="7">
        <v>8.3099999999999993E-2</v>
      </c>
      <c r="AD113" s="7"/>
      <c r="AE113" s="7">
        <v>8.3099999999999993E-2</v>
      </c>
      <c r="AF113" s="7">
        <v>9.7300000000000008E-3</v>
      </c>
      <c r="AG113" s="7"/>
      <c r="AH113" s="7">
        <f>-0.1102- 0.2764</f>
        <v>-0.3866</v>
      </c>
      <c r="AI113" s="7"/>
      <c r="AJ113" s="7"/>
      <c r="AK113" s="7">
        <v>9.7300000000000008E-3</v>
      </c>
      <c r="AL113" s="7">
        <v>700</v>
      </c>
      <c r="AM113" s="12">
        <v>44620</v>
      </c>
      <c r="AN113" s="7"/>
      <c r="AO113" s="7"/>
      <c r="AP113" s="7"/>
      <c r="AQ113" s="7"/>
      <c r="AR113" s="7" t="s">
        <v>62</v>
      </c>
      <c r="AS113" s="7" t="s">
        <v>62</v>
      </c>
      <c r="AT113" s="7" t="s">
        <v>62</v>
      </c>
      <c r="AU113" s="7"/>
      <c r="AV113" s="7"/>
    </row>
    <row r="114" spans="1:48">
      <c r="A114" s="7">
        <v>114</v>
      </c>
      <c r="B114" s="7">
        <v>47</v>
      </c>
      <c r="C114" s="7" t="s">
        <v>620</v>
      </c>
      <c r="D114" s="7" t="s">
        <v>621</v>
      </c>
      <c r="E114" s="7" t="s">
        <v>622</v>
      </c>
      <c r="F114" s="7" t="s">
        <v>623</v>
      </c>
      <c r="G114" s="7" t="s">
        <v>624</v>
      </c>
      <c r="H114" s="7" t="s">
        <v>215</v>
      </c>
      <c r="I114" s="7" t="s">
        <v>50</v>
      </c>
      <c r="J114" s="7" t="s">
        <v>51</v>
      </c>
      <c r="K114" s="7" t="s">
        <v>51</v>
      </c>
      <c r="L114" s="7" t="s">
        <v>52</v>
      </c>
      <c r="M114" s="7" t="s">
        <v>53</v>
      </c>
      <c r="N114" s="7" t="s">
        <v>625</v>
      </c>
      <c r="O114" s="7">
        <v>0.2666666667</v>
      </c>
      <c r="P114" s="7">
        <v>210</v>
      </c>
      <c r="Q114" s="7">
        <v>0.38235294120000002</v>
      </c>
      <c r="R114" s="7">
        <v>170</v>
      </c>
      <c r="S114" s="7"/>
      <c r="T114" s="7"/>
      <c r="U114" s="7"/>
      <c r="V114" s="7" t="s">
        <v>626</v>
      </c>
      <c r="W114" s="7" t="s">
        <v>323</v>
      </c>
      <c r="X114" s="7"/>
      <c r="Y114" s="7" t="s">
        <v>94</v>
      </c>
      <c r="Z114" s="7" t="s">
        <v>627</v>
      </c>
      <c r="AA114" s="7" t="s">
        <v>79</v>
      </c>
      <c r="AB114" s="7" t="s">
        <v>79</v>
      </c>
      <c r="AC114" s="7">
        <v>0.29330000000000001</v>
      </c>
      <c r="AD114" s="7"/>
      <c r="AE114" s="7">
        <v>0.29330000000000001</v>
      </c>
      <c r="AF114" s="7">
        <v>1.4973E-2</v>
      </c>
      <c r="AG114" s="7"/>
      <c r="AH114" s="7" t="s">
        <v>628</v>
      </c>
      <c r="AI114" s="7"/>
      <c r="AJ114" s="7"/>
      <c r="AK114" s="7">
        <v>1.4973E-2</v>
      </c>
      <c r="AL114" s="7">
        <v>380</v>
      </c>
      <c r="AM114" s="12">
        <v>44620</v>
      </c>
      <c r="AN114" s="7"/>
      <c r="AO114" s="7"/>
      <c r="AP114" s="7"/>
      <c r="AQ114" s="7"/>
      <c r="AR114" s="7" t="s">
        <v>62</v>
      </c>
      <c r="AS114" s="7" t="s">
        <v>629</v>
      </c>
      <c r="AT114" s="7" t="s">
        <v>62</v>
      </c>
      <c r="AU114" s="7"/>
      <c r="AV114" s="7"/>
    </row>
    <row r="115" spans="1:48">
      <c r="A115" s="7">
        <v>115</v>
      </c>
      <c r="B115" s="7">
        <v>48</v>
      </c>
      <c r="C115" s="7" t="s">
        <v>630</v>
      </c>
      <c r="D115" s="7" t="s">
        <v>631</v>
      </c>
      <c r="E115" s="7" t="s">
        <v>103</v>
      </c>
      <c r="F115" s="7" t="s">
        <v>632</v>
      </c>
      <c r="G115" s="7" t="s">
        <v>88</v>
      </c>
      <c r="H115" s="7" t="s">
        <v>88</v>
      </c>
      <c r="I115" s="2" t="s">
        <v>117</v>
      </c>
      <c r="J115" s="7" t="s">
        <v>151</v>
      </c>
      <c r="K115" s="7" t="s">
        <v>633</v>
      </c>
      <c r="L115" s="7" t="s">
        <v>634</v>
      </c>
      <c r="M115" s="7" t="s">
        <v>181</v>
      </c>
      <c r="N115" s="7" t="s">
        <v>635</v>
      </c>
      <c r="O115" s="7"/>
      <c r="P115" s="7"/>
      <c r="Q115" s="7"/>
      <c r="R115" s="7"/>
      <c r="S115" s="7" t="s">
        <v>103</v>
      </c>
      <c r="T115" s="7"/>
      <c r="U115" s="7"/>
      <c r="V115" s="7" t="s">
        <v>120</v>
      </c>
      <c r="W115" s="7" t="s">
        <v>183</v>
      </c>
      <c r="X115" s="7">
        <v>-0.40405616220000001</v>
      </c>
      <c r="Y115" s="7" t="s">
        <v>56</v>
      </c>
      <c r="Z115" s="7" t="s">
        <v>103</v>
      </c>
      <c r="AA115" s="7" t="s">
        <v>103</v>
      </c>
      <c r="AB115" s="7" t="s">
        <v>103</v>
      </c>
      <c r="AC115" s="7" t="s">
        <v>103</v>
      </c>
      <c r="AD115" s="7"/>
      <c r="AE115" s="7">
        <v>-0.2046801872</v>
      </c>
      <c r="AF115" s="7">
        <v>2.40467678E-2</v>
      </c>
      <c r="AG115" s="7"/>
      <c r="AH115" s="7" t="s">
        <v>103</v>
      </c>
      <c r="AI115" s="7"/>
      <c r="AJ115" s="7">
        <v>0.1550702028</v>
      </c>
      <c r="AK115" s="7">
        <v>2.40467678E-2</v>
      </c>
      <c r="AL115" s="7">
        <v>6982</v>
      </c>
      <c r="AM115" s="12">
        <v>44620</v>
      </c>
      <c r="AN115" s="7"/>
      <c r="AO115" s="7"/>
      <c r="AP115" s="7" t="s">
        <v>59</v>
      </c>
      <c r="AQ115" s="7"/>
      <c r="AR115" s="7" t="s">
        <v>636</v>
      </c>
      <c r="AS115" s="7" t="s">
        <v>62</v>
      </c>
      <c r="AT115" s="7" t="s">
        <v>637</v>
      </c>
      <c r="AU115" s="4" t="s">
        <v>638</v>
      </c>
      <c r="AV115" s="7" t="s">
        <v>187</v>
      </c>
    </row>
    <row r="116" spans="1:48">
      <c r="A116" s="7">
        <v>116</v>
      </c>
      <c r="B116" s="7">
        <v>49</v>
      </c>
      <c r="C116" s="7" t="s">
        <v>639</v>
      </c>
      <c r="D116" s="7" t="s">
        <v>640</v>
      </c>
      <c r="E116" s="7" t="s">
        <v>103</v>
      </c>
      <c r="F116" s="7" t="s">
        <v>641</v>
      </c>
      <c r="G116" s="7" t="s">
        <v>642</v>
      </c>
      <c r="H116" s="7" t="s">
        <v>215</v>
      </c>
      <c r="I116" s="2" t="s">
        <v>117</v>
      </c>
      <c r="J116" s="7" t="s">
        <v>151</v>
      </c>
      <c r="K116" s="7" t="s">
        <v>643</v>
      </c>
      <c r="L116" s="7" t="s">
        <v>644</v>
      </c>
      <c r="M116" s="7" t="s">
        <v>645</v>
      </c>
      <c r="N116" s="7" t="s">
        <v>646</v>
      </c>
      <c r="O116" s="7"/>
      <c r="P116" s="7"/>
      <c r="Q116" s="7"/>
      <c r="R116" s="7"/>
      <c r="S116" s="7">
        <v>0.56999999999999995</v>
      </c>
      <c r="T116" s="7"/>
      <c r="U116" s="7"/>
      <c r="V116" s="7" t="s">
        <v>120</v>
      </c>
      <c r="W116" s="7" t="s">
        <v>647</v>
      </c>
      <c r="X116" s="7" t="s">
        <v>648</v>
      </c>
      <c r="Y116" s="7" t="s">
        <v>56</v>
      </c>
      <c r="Z116" s="7" t="s">
        <v>649</v>
      </c>
      <c r="AA116" s="7" t="s">
        <v>79</v>
      </c>
      <c r="AB116" s="7" t="s">
        <v>79</v>
      </c>
      <c r="AC116" s="7">
        <v>-0.51</v>
      </c>
      <c r="AD116" s="7"/>
      <c r="AE116" s="7">
        <v>-0.51</v>
      </c>
      <c r="AF116" s="7">
        <v>2.5876E-2</v>
      </c>
      <c r="AG116" s="7"/>
      <c r="AH116" s="7">
        <f>-0.8253--0.1947</f>
        <v>-0.63060000000000005</v>
      </c>
      <c r="AI116" s="7"/>
      <c r="AJ116" s="7"/>
      <c r="AK116" s="7">
        <v>2.5876E-2</v>
      </c>
      <c r="AL116" s="7">
        <v>555</v>
      </c>
      <c r="AM116" s="12">
        <v>44620</v>
      </c>
      <c r="AN116" s="7"/>
      <c r="AO116" s="7"/>
      <c r="AP116" s="7"/>
      <c r="AQ116" s="7"/>
      <c r="AR116" s="7" t="s">
        <v>62</v>
      </c>
      <c r="AS116" s="7" t="s">
        <v>62</v>
      </c>
      <c r="AT116" s="7" t="s">
        <v>650</v>
      </c>
      <c r="AU116" s="7"/>
      <c r="AV116" s="7"/>
    </row>
    <row r="117" spans="1:48" ht="15.75" customHeight="1">
      <c r="A117" s="7">
        <v>117</v>
      </c>
      <c r="B117" s="7">
        <v>50</v>
      </c>
      <c r="C117" s="7" t="s">
        <v>651</v>
      </c>
      <c r="D117" s="7" t="s">
        <v>652</v>
      </c>
      <c r="E117" s="7" t="s">
        <v>103</v>
      </c>
      <c r="F117" s="7" t="s">
        <v>653</v>
      </c>
      <c r="G117" s="7" t="s">
        <v>88</v>
      </c>
      <c r="H117" s="7" t="s">
        <v>88</v>
      </c>
      <c r="I117" s="2" t="s">
        <v>117</v>
      </c>
      <c r="J117" s="7" t="s">
        <v>151</v>
      </c>
      <c r="K117" s="7" t="s">
        <v>168</v>
      </c>
      <c r="L117" s="7" t="s">
        <v>654</v>
      </c>
      <c r="M117" s="7" t="s">
        <v>655</v>
      </c>
      <c r="N117" s="7" t="s">
        <v>401</v>
      </c>
      <c r="O117" s="7"/>
      <c r="P117" s="7"/>
      <c r="Q117" s="7"/>
      <c r="R117" s="7"/>
      <c r="S117" s="7">
        <v>0.65</v>
      </c>
      <c r="T117" s="7"/>
      <c r="U117" s="7"/>
      <c r="V117" s="7" t="s">
        <v>120</v>
      </c>
      <c r="W117" s="7" t="s">
        <v>656</v>
      </c>
      <c r="X117" s="7">
        <v>-0.51500000000000001</v>
      </c>
      <c r="Y117" s="7" t="s">
        <v>56</v>
      </c>
      <c r="Z117" s="7" t="s">
        <v>103</v>
      </c>
      <c r="AA117" s="7" t="s">
        <v>103</v>
      </c>
      <c r="AB117" s="7" t="s">
        <v>103</v>
      </c>
      <c r="AC117" s="7" t="s">
        <v>103</v>
      </c>
      <c r="AD117" s="7"/>
      <c r="AE117" s="7">
        <v>-0.51500000000000001</v>
      </c>
      <c r="AF117" s="7" t="s">
        <v>103</v>
      </c>
      <c r="AG117" s="7"/>
      <c r="AH117" s="7" t="s">
        <v>103</v>
      </c>
      <c r="AI117" s="7"/>
      <c r="AJ117" s="7">
        <v>0.308</v>
      </c>
      <c r="AK117" s="7">
        <v>9.4864000000000004E-2</v>
      </c>
      <c r="AL117" s="7">
        <v>180</v>
      </c>
      <c r="AM117" s="12">
        <v>44620</v>
      </c>
      <c r="AN117" s="7"/>
      <c r="AO117" s="7"/>
      <c r="AP117" s="7"/>
      <c r="AQ117" s="7"/>
      <c r="AR117" s="7" t="s">
        <v>657</v>
      </c>
      <c r="AS117" s="7" t="s">
        <v>62</v>
      </c>
      <c r="AT117" s="7" t="s">
        <v>637</v>
      </c>
      <c r="AU117" s="7"/>
      <c r="AV117" s="7"/>
    </row>
    <row r="118" spans="1:4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row>
    <row r="119" spans="1:48"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row>
    <row r="120" spans="1:48"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row>
    <row r="121" spans="1:48"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row>
    <row r="122" spans="1:48"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row>
    <row r="123" spans="1:48"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row>
    <row r="124" spans="1:48"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row>
    <row r="125" spans="1:48"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row>
    <row r="126" spans="1:48"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row>
    <row r="127" spans="1:48"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row>
    <row r="128" spans="1:4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row>
    <row r="129" spans="1:48"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row>
    <row r="130" spans="1:48"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row>
    <row r="131" spans="1:48"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row>
    <row r="132" spans="1:48"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row>
    <row r="133" spans="1:48"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row>
    <row r="134" spans="1:48"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row>
    <row r="135" spans="1:48"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row>
    <row r="136" spans="1:48"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row>
    <row r="137" spans="1:48"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row>
    <row r="138" spans="1:4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row>
    <row r="139" spans="1:48"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row>
    <row r="140" spans="1:48"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row>
    <row r="141" spans="1:48"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row>
    <row r="142" spans="1:48"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row>
    <row r="143" spans="1:48"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row>
    <row r="144" spans="1:48"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row>
    <row r="145" spans="1:48"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row>
    <row r="146" spans="1:48"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row>
    <row r="147" spans="1:48"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row>
    <row r="148" spans="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row>
    <row r="149" spans="1:48"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row>
    <row r="150" spans="1:48"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row>
    <row r="151" spans="1:48"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row>
    <row r="152" spans="1:48"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row>
    <row r="153" spans="1:48"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row>
    <row r="154" spans="1:48"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row>
    <row r="155" spans="1:48"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row>
    <row r="156" spans="1:48"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row>
    <row r="157" spans="1:48"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row>
    <row r="158" spans="1:4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row>
    <row r="159" spans="1:48"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row>
    <row r="160" spans="1:48"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row>
    <row r="161" spans="1:48"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row>
    <row r="162" spans="1:48"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row>
    <row r="163" spans="1:48"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row>
    <row r="164" spans="1:48"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row>
    <row r="165" spans="1:48"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row>
    <row r="166" spans="1:48"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row>
    <row r="167" spans="1:48"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row>
    <row r="168" spans="1:4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row>
    <row r="169" spans="1:48"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row>
    <row r="170" spans="1:48"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row>
    <row r="171" spans="1:48"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row>
    <row r="172" spans="1:48"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row>
    <row r="173" spans="1:48"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row>
    <row r="174" spans="1:48"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row>
    <row r="175" spans="1:48"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row>
    <row r="176" spans="1:48"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row>
    <row r="177" spans="1:48"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row>
    <row r="178" spans="1:4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row>
    <row r="179" spans="1:48"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row>
    <row r="180" spans="1:48"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row>
    <row r="181" spans="1:48"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row>
    <row r="182" spans="1:48"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row>
    <row r="183" spans="1:48"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row>
    <row r="184" spans="1:48"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row>
    <row r="185" spans="1:48"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row>
    <row r="186" spans="1:48"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row>
    <row r="187" spans="1:48"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row>
    <row r="188" spans="1:4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row>
    <row r="189" spans="1:48"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row>
    <row r="190" spans="1:48"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row>
    <row r="191" spans="1:48"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row>
    <row r="192" spans="1:48"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row>
    <row r="193" spans="1:48"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row>
    <row r="194" spans="1:48"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row>
    <row r="195" spans="1:48"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row>
    <row r="196" spans="1:48"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row>
    <row r="197" spans="1:48"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row>
    <row r="198" spans="1:4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row>
    <row r="199" spans="1:48"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row>
    <row r="200" spans="1:48"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row>
    <row r="201" spans="1:48"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row>
    <row r="202" spans="1:48"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row>
    <row r="203" spans="1:48"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row>
    <row r="204" spans="1:48"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row>
    <row r="205" spans="1:48"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row>
    <row r="206" spans="1:48"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row>
    <row r="207" spans="1:48"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row>
    <row r="208" spans="1:4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row>
    <row r="209" spans="1:48"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row>
    <row r="210" spans="1:48"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row>
    <row r="211" spans="1:48"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row>
    <row r="212" spans="1:48"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row>
    <row r="213" spans="1:48"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row>
    <row r="214" spans="1:48"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row>
    <row r="215" spans="1:48"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row>
    <row r="216" spans="1:48"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row>
    <row r="217" spans="1:48"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row>
    <row r="218" spans="1:4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row>
    <row r="219" spans="1:48"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row>
    <row r="220" spans="1:48"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row>
    <row r="221" spans="1:48"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row>
    <row r="222" spans="1:48"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row>
    <row r="223" spans="1:48"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row>
    <row r="224" spans="1:48"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row>
    <row r="225" spans="1:48"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row>
    <row r="226" spans="1:48"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row>
    <row r="227" spans="1:48"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row>
    <row r="228" spans="1:4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row>
    <row r="229" spans="1:48"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row>
    <row r="230" spans="1:48"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row>
    <row r="231" spans="1:48"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row>
    <row r="232" spans="1:48"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row>
    <row r="233" spans="1:48"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row>
    <row r="234" spans="1:48"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row>
    <row r="235" spans="1:48"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row>
    <row r="236" spans="1:48"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row>
    <row r="237" spans="1:48"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row>
    <row r="238" spans="1:4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row>
    <row r="239" spans="1:48"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row>
    <row r="240" spans="1:48"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row>
    <row r="241" spans="1:48"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row>
    <row r="242" spans="1:48"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row>
    <row r="243" spans="1:48"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row>
    <row r="244" spans="1:48"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row>
    <row r="245" spans="1:48"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row>
    <row r="246" spans="1:48"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row>
    <row r="247" spans="1:48"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row>
    <row r="248" spans="1: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row>
    <row r="249" spans="1:48"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row>
    <row r="250" spans="1:48"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row>
    <row r="251" spans="1:48"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row>
    <row r="252" spans="1:48"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row>
    <row r="253" spans="1:48"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row>
    <row r="254" spans="1:48"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row>
    <row r="255" spans="1:48"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row>
    <row r="256" spans="1:48"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row>
    <row r="257" spans="1:48"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row>
    <row r="258" spans="1:4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row>
    <row r="259" spans="1:48"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row>
    <row r="260" spans="1:48"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row>
    <row r="261" spans="1:48"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row>
    <row r="262" spans="1:48"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row>
    <row r="263" spans="1:48"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row>
    <row r="264" spans="1:48"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row>
    <row r="265" spans="1:48"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row>
    <row r="266" spans="1:48"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row>
    <row r="267" spans="1:48"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row>
    <row r="268" spans="1:4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row>
    <row r="269" spans="1:48"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row>
    <row r="270" spans="1:48"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row>
    <row r="271" spans="1:48"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row>
    <row r="272" spans="1:48"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row>
    <row r="273" spans="1:48"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row>
    <row r="274" spans="1:48"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row>
    <row r="275" spans="1:48"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row>
    <row r="276" spans="1:48"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row>
    <row r="277" spans="1:48"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row>
    <row r="278" spans="1:4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row>
    <row r="279" spans="1:48"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row>
    <row r="280" spans="1:48"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row>
    <row r="281" spans="1:48"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row>
    <row r="282" spans="1:48"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row>
    <row r="283" spans="1:48"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row>
    <row r="284" spans="1:48"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row>
    <row r="285" spans="1:48"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row>
    <row r="286" spans="1:48"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row>
    <row r="287" spans="1:48"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row>
    <row r="288" spans="1:4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row>
    <row r="289" spans="1:48"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row>
    <row r="290" spans="1:48"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row>
    <row r="291" spans="1:48"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row>
    <row r="292" spans="1:48"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row>
    <row r="293" spans="1:48"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row>
    <row r="294" spans="1:48"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row>
    <row r="295" spans="1:48"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row>
    <row r="296" spans="1:48"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row>
    <row r="297" spans="1:48"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row>
    <row r="298" spans="1:4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row>
    <row r="299" spans="1:48"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row>
    <row r="300" spans="1:48"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row>
    <row r="301" spans="1:48"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row>
    <row r="302" spans="1:48"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row>
    <row r="303" spans="1:48"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row>
    <row r="304" spans="1:48"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row>
    <row r="305" spans="1:48"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row>
    <row r="306" spans="1:48"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row>
    <row r="307" spans="1:48"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row>
    <row r="308" spans="1:4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row>
    <row r="309" spans="1:48"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row>
    <row r="310" spans="1:48"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row>
    <row r="311" spans="1:48"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row>
    <row r="312" spans="1:48"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row>
    <row r="313" spans="1:48"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row>
    <row r="314" spans="1:48"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row>
    <row r="315" spans="1:48"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row>
    <row r="316" spans="1:48"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row>
    <row r="317" spans="1:48"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row>
    <row r="318" spans="1:4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row>
    <row r="319" spans="1:48"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row>
    <row r="320" spans="1:48"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row>
    <row r="321" spans="1:48"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row>
    <row r="322" spans="1:48"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row>
    <row r="323" spans="1:48"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row>
    <row r="324" spans="1:48"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row>
    <row r="325" spans="1:48"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row>
    <row r="326" spans="1:48"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row>
    <row r="327" spans="1:48"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row>
    <row r="328" spans="1:4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row>
    <row r="329" spans="1:48"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row>
    <row r="330" spans="1:48"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row>
    <row r="331" spans="1:48"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row>
    <row r="332" spans="1:48"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row>
    <row r="333" spans="1:48"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row>
    <row r="334" spans="1:48"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row>
    <row r="335" spans="1:48"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row>
    <row r="336" spans="1:48"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row>
    <row r="337" spans="1:48"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row>
    <row r="338" spans="1:4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row>
    <row r="339" spans="1:48"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row>
    <row r="340" spans="1:48"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row>
    <row r="341" spans="1:48"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row>
    <row r="342" spans="1:48"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row>
    <row r="343" spans="1:48"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row>
    <row r="344" spans="1:48"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row>
    <row r="345" spans="1:48"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row>
    <row r="346" spans="1:48"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row>
    <row r="347" spans="1:48"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row>
    <row r="348" spans="1: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row>
    <row r="349" spans="1:48"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row>
    <row r="350" spans="1:48"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row>
    <row r="351" spans="1:48"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row>
    <row r="352" spans="1:48"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row>
    <row r="353" spans="1:48"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row>
    <row r="354" spans="1:48"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row>
    <row r="355" spans="1:48"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row>
    <row r="356" spans="1:48"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row>
    <row r="357" spans="1:48"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row>
    <row r="358" spans="1:4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row>
    <row r="359" spans="1:48"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row>
    <row r="360" spans="1:48"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row>
    <row r="361" spans="1:48"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row>
    <row r="362" spans="1:48"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row>
    <row r="363" spans="1:48"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row>
    <row r="364" spans="1:48"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row>
    <row r="365" spans="1:48"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row>
    <row r="366" spans="1:48"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row>
    <row r="367" spans="1:48"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row>
    <row r="368" spans="1:4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row>
    <row r="369" spans="1:48"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row>
    <row r="370" spans="1:48"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row>
    <row r="371" spans="1:48"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row>
    <row r="372" spans="1:48"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row>
    <row r="373" spans="1:48"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row>
    <row r="374" spans="1:48"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row>
    <row r="375" spans="1:48"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row>
    <row r="376" spans="1:48"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row>
    <row r="377" spans="1:48"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row>
    <row r="378" spans="1:4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row>
    <row r="379" spans="1:48"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row>
    <row r="380" spans="1:48"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row>
    <row r="381" spans="1:48"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row>
    <row r="382" spans="1:48"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row>
    <row r="383" spans="1:48"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row>
    <row r="384" spans="1:48"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row>
    <row r="385" spans="1:48"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row>
    <row r="386" spans="1:48"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row>
    <row r="387" spans="1:48"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row>
    <row r="388" spans="1:4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row>
    <row r="389" spans="1:48"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row>
    <row r="390" spans="1:48"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row>
    <row r="391" spans="1:48"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row>
    <row r="392" spans="1:48"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row>
    <row r="393" spans="1:48"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row>
    <row r="394" spans="1:48"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row>
    <row r="395" spans="1:48"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row>
    <row r="396" spans="1:48"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row>
    <row r="397" spans="1:48"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row>
    <row r="398" spans="1:4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row>
    <row r="399" spans="1:48"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row>
    <row r="400" spans="1:48"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row>
    <row r="401" spans="1:48"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row>
    <row r="402" spans="1:48"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row>
    <row r="403" spans="1:48"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row>
    <row r="404" spans="1:48"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row>
    <row r="405" spans="1:48"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row>
    <row r="406" spans="1:48"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row>
    <row r="407" spans="1:48"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row>
    <row r="408" spans="1:4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row>
    <row r="409" spans="1:48"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row>
    <row r="410" spans="1:48"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row>
    <row r="411" spans="1:48"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row>
    <row r="412" spans="1:48"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row>
    <row r="413" spans="1:48"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row>
    <row r="414" spans="1:48"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row>
    <row r="415" spans="1:48"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row>
    <row r="416" spans="1:48"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row>
    <row r="417" spans="1:48"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row>
    <row r="418" spans="1:4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row>
    <row r="419" spans="1:48"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row>
    <row r="420" spans="1:48"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row>
    <row r="421" spans="1:48"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row>
    <row r="422" spans="1:48"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row>
    <row r="423" spans="1:48"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row>
    <row r="424" spans="1:48"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row>
    <row r="425" spans="1:48"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row>
    <row r="426" spans="1:48"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row>
    <row r="427" spans="1:48"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row>
    <row r="428" spans="1:4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row>
    <row r="429" spans="1:48"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row>
    <row r="430" spans="1:48"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row>
    <row r="431" spans="1:48"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row>
    <row r="432" spans="1:48"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row>
    <row r="433" spans="1:48"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row>
    <row r="434" spans="1:48"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row>
    <row r="435" spans="1:48"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row>
    <row r="436" spans="1:48"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row>
    <row r="437" spans="1:48"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row>
    <row r="438" spans="1:4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row>
    <row r="439" spans="1:48"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row>
    <row r="440" spans="1:48"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row>
    <row r="441" spans="1:48"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row>
    <row r="442" spans="1:48"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row>
    <row r="443" spans="1:48"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row>
    <row r="444" spans="1:48"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row>
    <row r="445" spans="1:48"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row>
    <row r="446" spans="1:48"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row>
    <row r="447" spans="1:48"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row>
    <row r="448" spans="1: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row>
    <row r="449" spans="1:48"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row>
    <row r="450" spans="1:48"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row>
    <row r="451" spans="1:48"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row>
    <row r="452" spans="1:48"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row>
    <row r="453" spans="1:48"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row>
    <row r="454" spans="1:48"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row>
    <row r="455" spans="1:48"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row>
    <row r="456" spans="1:48"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row>
    <row r="457" spans="1:48"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row>
    <row r="458" spans="1:4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row>
    <row r="459" spans="1:48"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row>
    <row r="460" spans="1:48"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row>
    <row r="461" spans="1:48"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row>
    <row r="462" spans="1:48"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row>
    <row r="463" spans="1:48"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row>
    <row r="464" spans="1:48"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row>
    <row r="465" spans="1:48"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row>
    <row r="466" spans="1:48"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row>
    <row r="467" spans="1:48"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row>
    <row r="468" spans="1:4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row>
    <row r="469" spans="1:48"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row>
    <row r="470" spans="1:48"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row>
    <row r="471" spans="1:48"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row>
    <row r="472" spans="1:48"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row>
    <row r="473" spans="1:48"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row>
    <row r="474" spans="1:48"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row>
    <row r="475" spans="1:48"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row>
    <row r="476" spans="1:48"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row>
    <row r="477" spans="1:48"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row>
    <row r="478" spans="1:4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row>
    <row r="479" spans="1:48"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row>
    <row r="480" spans="1:48"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row>
    <row r="481" spans="1:48"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row>
    <row r="482" spans="1:48"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row>
    <row r="483" spans="1:48"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row>
    <row r="484" spans="1:48"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row>
    <row r="485" spans="1:48"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row>
    <row r="486" spans="1:48"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row>
    <row r="487" spans="1:48"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row>
    <row r="488" spans="1:4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row>
    <row r="489" spans="1:48"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row>
    <row r="490" spans="1:48"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row>
    <row r="491" spans="1:48"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row>
    <row r="492" spans="1:48"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row>
    <row r="493" spans="1:48"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row>
    <row r="494" spans="1:48"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row>
    <row r="495" spans="1:48"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row>
    <row r="496" spans="1:48"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row>
    <row r="497" spans="1:48"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row>
    <row r="498" spans="1:4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row>
    <row r="499" spans="1:48"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row>
    <row r="500" spans="1:48"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row>
    <row r="501" spans="1:48"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row>
    <row r="502" spans="1:48"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row>
    <row r="503" spans="1:48"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row>
    <row r="504" spans="1:48"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row>
    <row r="505" spans="1:48"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row>
    <row r="506" spans="1:48"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row>
    <row r="507" spans="1:48"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row>
    <row r="508" spans="1:4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row>
    <row r="509" spans="1:48"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row>
    <row r="510" spans="1:48"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row>
    <row r="511" spans="1:48"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row>
    <row r="512" spans="1:48"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row>
    <row r="513" spans="1:48"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row>
    <row r="514" spans="1:48"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row>
    <row r="515" spans="1:48"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row>
    <row r="516" spans="1:48"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row>
    <row r="517" spans="1:48"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row>
    <row r="518" spans="1:4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row>
    <row r="519" spans="1:48"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row>
    <row r="520" spans="1:48"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row>
    <row r="521" spans="1:48"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row>
    <row r="522" spans="1:48"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row>
    <row r="523" spans="1:48"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row>
    <row r="524" spans="1:48"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row>
    <row r="525" spans="1:48"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row>
    <row r="526" spans="1:48"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row>
    <row r="527" spans="1:48"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row>
    <row r="528" spans="1:4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row>
    <row r="529" spans="1:48"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row>
    <row r="530" spans="1:48"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row>
    <row r="531" spans="1:48"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row>
    <row r="532" spans="1:48"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row>
    <row r="533" spans="1:48"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row>
    <row r="534" spans="1:48"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row>
    <row r="535" spans="1:48"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row>
    <row r="536" spans="1:48"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row>
    <row r="537" spans="1:48"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row>
    <row r="538" spans="1:4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row>
    <row r="539" spans="1:48"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row>
    <row r="540" spans="1:48"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row>
    <row r="541" spans="1:48"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row>
    <row r="542" spans="1:48"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row>
    <row r="543" spans="1:48"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row>
    <row r="544" spans="1:48"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row>
    <row r="545" spans="1:48"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row>
    <row r="546" spans="1:48"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row>
    <row r="547" spans="1:48"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row>
    <row r="548" spans="1: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row>
    <row r="549" spans="1:48"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row>
    <row r="550" spans="1:48"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row>
    <row r="551" spans="1:48"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row>
    <row r="552" spans="1:48"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row>
    <row r="553" spans="1:48"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row>
    <row r="554" spans="1:48"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row>
    <row r="555" spans="1:48"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row>
    <row r="556" spans="1:48"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row>
    <row r="557" spans="1:48"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row>
    <row r="558" spans="1:4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row>
    <row r="559" spans="1:48"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row>
    <row r="560" spans="1:48"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row>
    <row r="561" spans="1:48"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row>
    <row r="562" spans="1:48"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row>
    <row r="563" spans="1:48"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row>
    <row r="564" spans="1:48"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row>
    <row r="565" spans="1:48"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row>
    <row r="566" spans="1:48"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row>
    <row r="567" spans="1:48"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row>
    <row r="568" spans="1:4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row>
    <row r="569" spans="1:48"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row>
    <row r="570" spans="1:48"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row>
    <row r="571" spans="1:48"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row>
    <row r="572" spans="1:48"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row>
    <row r="573" spans="1:48"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row>
    <row r="574" spans="1:48"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row>
    <row r="575" spans="1:48"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row>
    <row r="576" spans="1:48"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row>
    <row r="577" spans="1:48"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row>
    <row r="578" spans="1:4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row>
    <row r="579" spans="1:48"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row>
    <row r="580" spans="1:48"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row>
    <row r="581" spans="1:48"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row>
    <row r="582" spans="1:48"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row>
    <row r="583" spans="1:48"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row>
    <row r="584" spans="1:48"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row>
    <row r="585" spans="1:48"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row>
    <row r="586" spans="1:48"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row>
    <row r="587" spans="1:48"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row>
    <row r="588" spans="1:4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row>
    <row r="589" spans="1:48"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row>
    <row r="590" spans="1:48"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row>
    <row r="591" spans="1:48"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row>
    <row r="592" spans="1:48"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row>
    <row r="593" spans="1:48"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row>
    <row r="594" spans="1:48"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row>
    <row r="595" spans="1:48"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row>
    <row r="596" spans="1:48"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row>
    <row r="597" spans="1:48"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row>
    <row r="598" spans="1:4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row>
    <row r="599" spans="1:48"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row>
    <row r="600" spans="1:48"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row>
    <row r="601" spans="1:48"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row>
    <row r="602" spans="1:48"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row>
    <row r="603" spans="1:48"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row>
    <row r="604" spans="1:48"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row>
    <row r="605" spans="1:48"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row>
    <row r="606" spans="1:48"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row>
    <row r="607" spans="1:48"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row>
    <row r="608" spans="1:4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row>
    <row r="609" spans="1:48"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row>
    <row r="610" spans="1:48"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row>
    <row r="611" spans="1:48"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row>
    <row r="612" spans="1:48"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row>
    <row r="613" spans="1:48"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row>
    <row r="614" spans="1:48"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row>
    <row r="615" spans="1:48"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row>
    <row r="616" spans="1:48"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row>
    <row r="617" spans="1:48"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row>
    <row r="618" spans="1:4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row>
    <row r="619" spans="1:48"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row>
    <row r="620" spans="1:48"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row>
    <row r="621" spans="1:48"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row>
    <row r="622" spans="1:48"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row>
    <row r="623" spans="1:48"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row>
    <row r="624" spans="1:48"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row>
    <row r="625" spans="1:48"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row>
    <row r="626" spans="1:48"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row>
    <row r="627" spans="1:48"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row>
    <row r="628" spans="1:4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row>
    <row r="629" spans="1:48"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row>
    <row r="630" spans="1:48"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row>
    <row r="631" spans="1:48"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row>
    <row r="632" spans="1:48"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row>
    <row r="633" spans="1:48"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row>
    <row r="634" spans="1:48"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row>
    <row r="635" spans="1:48"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row>
    <row r="636" spans="1:48"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row>
    <row r="637" spans="1:48"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row>
    <row r="638" spans="1:4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row>
    <row r="639" spans="1:48"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row>
    <row r="640" spans="1:48"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row>
    <row r="641" spans="1:48"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row>
    <row r="642" spans="1:48"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row>
    <row r="643" spans="1:48"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row>
    <row r="644" spans="1:48"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row>
    <row r="645" spans="1:48"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row>
    <row r="646" spans="1:48"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row>
    <row r="647" spans="1:48"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row>
    <row r="648" spans="1: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row>
    <row r="649" spans="1:48"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row>
    <row r="650" spans="1:48"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row>
    <row r="651" spans="1:48"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row>
    <row r="652" spans="1:48"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row>
    <row r="653" spans="1:48"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row>
    <row r="654" spans="1:48"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row>
    <row r="655" spans="1:48"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row>
    <row r="656" spans="1:48"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row>
    <row r="657" spans="1:48"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row>
    <row r="658" spans="1:4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row>
    <row r="659" spans="1:48"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row>
    <row r="660" spans="1:48"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row>
    <row r="661" spans="1:48"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row>
    <row r="662" spans="1:48"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row>
    <row r="663" spans="1:48"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row>
    <row r="664" spans="1:48"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row>
    <row r="665" spans="1:48"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row>
    <row r="666" spans="1:48"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row>
    <row r="667" spans="1:48"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row>
    <row r="668" spans="1:4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row>
    <row r="669" spans="1:48"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row>
    <row r="670" spans="1:48"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row>
    <row r="671" spans="1:48"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row>
    <row r="672" spans="1:48"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row>
    <row r="673" spans="1:48"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row>
    <row r="674" spans="1:48"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row>
    <row r="675" spans="1:48"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row>
    <row r="676" spans="1:48"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row>
    <row r="677" spans="1:48"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row>
    <row r="678" spans="1:4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row>
    <row r="679" spans="1:48"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row>
    <row r="680" spans="1:48"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row>
    <row r="681" spans="1:48"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row>
    <row r="682" spans="1:48"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row>
    <row r="683" spans="1:48"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row>
    <row r="684" spans="1:48"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row>
    <row r="685" spans="1:48"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row>
    <row r="686" spans="1:48"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row>
    <row r="687" spans="1:48"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row>
    <row r="688" spans="1:4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row>
    <row r="689" spans="1:48"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row>
    <row r="690" spans="1:48"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row>
    <row r="691" spans="1:48"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row>
    <row r="692" spans="1:48"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row>
    <row r="693" spans="1:48"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row>
    <row r="694" spans="1:48"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row>
    <row r="695" spans="1:48"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row>
    <row r="696" spans="1:48"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row>
    <row r="697" spans="1:48"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row>
    <row r="698" spans="1:4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row>
    <row r="699" spans="1:48"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row>
    <row r="700" spans="1:48"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row>
    <row r="701" spans="1:48"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row>
    <row r="702" spans="1:48"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row>
    <row r="703" spans="1:48"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row>
    <row r="704" spans="1:48"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row>
    <row r="705" spans="1:48"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row>
    <row r="706" spans="1:48"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row>
    <row r="707" spans="1:48"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row>
    <row r="708" spans="1:4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row>
    <row r="709" spans="1:48"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row>
    <row r="710" spans="1:48"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row>
    <row r="711" spans="1:48"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row>
    <row r="712" spans="1:48"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row>
    <row r="713" spans="1:48"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row>
    <row r="714" spans="1:48"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row>
    <row r="715" spans="1:48"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row>
    <row r="716" spans="1:48"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row>
    <row r="717" spans="1:48"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row>
    <row r="718" spans="1:4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row>
    <row r="719" spans="1:48"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row>
    <row r="720" spans="1:48"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row>
    <row r="721" spans="1:48"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row>
    <row r="722" spans="1:48"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row>
    <row r="723" spans="1:48"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row>
    <row r="724" spans="1:48"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row>
    <row r="725" spans="1:48"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row>
    <row r="726" spans="1:48"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row>
    <row r="727" spans="1:48"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row>
    <row r="728" spans="1:4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row>
    <row r="729" spans="1:48"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row>
    <row r="730" spans="1:48"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row>
    <row r="731" spans="1:48"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row>
    <row r="732" spans="1:48"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row>
    <row r="733" spans="1:48"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row>
    <row r="734" spans="1:48"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row>
    <row r="735" spans="1:48"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row>
    <row r="736" spans="1:48"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row>
    <row r="737" spans="1:48"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row>
    <row r="738" spans="1:4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row>
    <row r="739" spans="1:48"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row>
    <row r="740" spans="1:48"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row>
    <row r="741" spans="1:48"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row>
    <row r="742" spans="1:48"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row>
    <row r="743" spans="1:48"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row>
    <row r="744" spans="1:48"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row>
    <row r="745" spans="1:48"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row>
    <row r="746" spans="1:48"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row>
    <row r="747" spans="1:48"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row>
    <row r="748" spans="1: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row>
    <row r="749" spans="1:48"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row>
    <row r="750" spans="1:48"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row>
    <row r="751" spans="1:48"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row>
    <row r="752" spans="1:48"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row>
    <row r="753" spans="1:48"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row>
    <row r="754" spans="1:48"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row>
    <row r="755" spans="1:48"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row>
    <row r="756" spans="1:48"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row>
    <row r="757" spans="1:48"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row>
    <row r="758" spans="1:4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row>
    <row r="759" spans="1:48"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row>
    <row r="760" spans="1:48"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row>
    <row r="761" spans="1:48"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row>
    <row r="762" spans="1:48"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row>
    <row r="763" spans="1:48"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row>
    <row r="764" spans="1:48"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row>
    <row r="765" spans="1:48"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row>
    <row r="766" spans="1:48"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row>
    <row r="767" spans="1:48"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row>
    <row r="768" spans="1:4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row>
    <row r="769" spans="1:48"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row>
    <row r="770" spans="1:48"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row>
    <row r="771" spans="1:48"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row>
    <row r="772" spans="1:48"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row>
    <row r="773" spans="1:48"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row>
    <row r="774" spans="1:48"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row>
    <row r="775" spans="1:48"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row>
    <row r="776" spans="1:48"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row>
    <row r="777" spans="1:48"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row>
    <row r="778" spans="1:4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row>
    <row r="779" spans="1:48"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row>
    <row r="780" spans="1:48"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row>
    <row r="781" spans="1:48"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row>
    <row r="782" spans="1:48"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row>
    <row r="783" spans="1:48"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row>
    <row r="784" spans="1:48"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row>
    <row r="785" spans="1:48"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row>
    <row r="786" spans="1:48"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row>
    <row r="787" spans="1:48"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row>
    <row r="788" spans="1:4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row>
    <row r="789" spans="1:48"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row>
    <row r="790" spans="1:48"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row>
    <row r="791" spans="1:48"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row>
    <row r="792" spans="1:48"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row>
    <row r="793" spans="1:48"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row>
    <row r="794" spans="1:48"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row>
    <row r="795" spans="1:48"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row>
    <row r="796" spans="1:48"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row>
    <row r="797" spans="1:48"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row>
    <row r="798" spans="1:4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row>
    <row r="799" spans="1:48"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row>
    <row r="800" spans="1:48"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row>
    <row r="801" spans="1:48"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row>
    <row r="802" spans="1:48"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row>
    <row r="803" spans="1:48"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row>
    <row r="804" spans="1:48"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row>
    <row r="805" spans="1:48"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row>
    <row r="806" spans="1:48"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row>
    <row r="807" spans="1:48"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row>
    <row r="808" spans="1:4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row>
    <row r="809" spans="1:48"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row>
    <row r="810" spans="1:48"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row>
    <row r="811" spans="1:48"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row>
    <row r="812" spans="1:48"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row>
    <row r="813" spans="1:48"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row>
    <row r="814" spans="1:48"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row>
    <row r="815" spans="1:48"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row>
    <row r="816" spans="1:48"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row>
    <row r="817" spans="1:48"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row>
    <row r="818" spans="1:4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row>
    <row r="819" spans="1:48"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row>
    <row r="820" spans="1:48"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row>
    <row r="821" spans="1:48"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row>
    <row r="822" spans="1:48"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row>
    <row r="823" spans="1:48"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row>
    <row r="824" spans="1:48"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row>
    <row r="825" spans="1:48"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row>
    <row r="826" spans="1:48"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row>
    <row r="827" spans="1:48"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row>
    <row r="828" spans="1:4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row>
    <row r="829" spans="1:48"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row>
    <row r="830" spans="1:48"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row>
    <row r="831" spans="1:48"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row>
    <row r="832" spans="1:48"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row>
    <row r="833" spans="1:48"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row>
    <row r="834" spans="1:48"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row>
    <row r="835" spans="1:48"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row>
    <row r="836" spans="1:48"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row>
    <row r="837" spans="1:48"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row>
    <row r="838" spans="1:4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row>
    <row r="839" spans="1:48"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row>
    <row r="840" spans="1:48"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row>
    <row r="841" spans="1:48"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row>
    <row r="842" spans="1:48"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row>
    <row r="843" spans="1:48"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row>
    <row r="844" spans="1:48"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row>
    <row r="845" spans="1:48"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row>
    <row r="846" spans="1:48"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row>
    <row r="847" spans="1:48"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row>
    <row r="848" spans="1: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row>
    <row r="849" spans="1:48"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row>
    <row r="850" spans="1:48"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row>
    <row r="851" spans="1:48"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row>
    <row r="852" spans="1:48"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row>
    <row r="853" spans="1:48"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row>
    <row r="854" spans="1:48"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row>
    <row r="855" spans="1:48"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row>
    <row r="856" spans="1:48"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row>
    <row r="857" spans="1:48"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row>
    <row r="858" spans="1:4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row>
    <row r="859" spans="1:48"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row>
    <row r="860" spans="1:48"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row>
    <row r="861" spans="1:48"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row>
    <row r="862" spans="1:48"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row>
    <row r="863" spans="1:48"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row>
    <row r="864" spans="1:48"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row>
    <row r="865" spans="1:48"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row>
    <row r="866" spans="1:48"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row>
    <row r="867" spans="1:48"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row>
    <row r="868" spans="1:4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row>
    <row r="869" spans="1:48"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row>
    <row r="870" spans="1:48"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row>
    <row r="871" spans="1:48"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row>
    <row r="872" spans="1:48"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row>
    <row r="873" spans="1:48"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row>
    <row r="874" spans="1:48"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row>
    <row r="875" spans="1:48"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row>
    <row r="876" spans="1:48"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row>
    <row r="877" spans="1:48"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row>
    <row r="878" spans="1:4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row>
    <row r="879" spans="1:48"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row>
    <row r="880" spans="1:48"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row>
    <row r="881" spans="1:48"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row>
    <row r="882" spans="1:48"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row>
    <row r="883" spans="1:48"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row>
    <row r="884" spans="1:48"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row>
    <row r="885" spans="1:48"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row>
    <row r="886" spans="1:48"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row>
    <row r="887" spans="1:48"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row>
    <row r="888" spans="1:4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row>
    <row r="889" spans="1:48"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row>
    <row r="890" spans="1:48"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row>
    <row r="891" spans="1:48"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row>
    <row r="892" spans="1:48"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row>
    <row r="893" spans="1:48"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row>
    <row r="894" spans="1:48"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row>
    <row r="895" spans="1:48"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row>
    <row r="896" spans="1:48"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row>
    <row r="897" spans="1:48"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row>
    <row r="898" spans="1:4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row>
    <row r="899" spans="1:48"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row>
    <row r="900" spans="1:48"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row>
    <row r="901" spans="1:48"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row>
    <row r="902" spans="1:48"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row>
    <row r="903" spans="1:48"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row>
    <row r="904" spans="1:48"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row>
    <row r="905" spans="1:48"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row>
    <row r="906" spans="1:48"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row>
    <row r="907" spans="1:48"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row>
    <row r="908" spans="1:4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row>
    <row r="909" spans="1:48"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row>
    <row r="910" spans="1:48"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row>
    <row r="911" spans="1:48"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row>
    <row r="912" spans="1:48"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row>
    <row r="913" spans="1:48"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row>
    <row r="914" spans="1:48"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row>
    <row r="915" spans="1:48"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row>
    <row r="916" spans="1:48"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row>
    <row r="917" spans="1:48"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row>
    <row r="918" spans="1:4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row>
    <row r="919" spans="1:48"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row>
    <row r="920" spans="1:48"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row>
    <row r="921" spans="1:48"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row>
    <row r="922" spans="1:48"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row>
    <row r="923" spans="1:48"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row>
    <row r="924" spans="1:48"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row>
    <row r="925" spans="1:48"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row>
    <row r="926" spans="1:48"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row>
    <row r="927" spans="1:48"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row>
    <row r="928" spans="1:4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row>
    <row r="929" spans="1:48"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row>
    <row r="930" spans="1:48"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row>
    <row r="931" spans="1:48"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row>
    <row r="932" spans="1:48"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row>
    <row r="933" spans="1:48"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row>
    <row r="934" spans="1:48"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row>
    <row r="935" spans="1:48"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row>
    <row r="936" spans="1:48"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row>
    <row r="937" spans="1:48"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row>
    <row r="938" spans="1:4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row>
    <row r="939" spans="1:48"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row>
    <row r="940" spans="1:48"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row>
    <row r="941" spans="1:48"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row>
    <row r="942" spans="1:48"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row>
    <row r="943" spans="1:48"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row>
    <row r="944" spans="1:48"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row>
    <row r="945" spans="1:48"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row>
    <row r="946" spans="1:48"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row>
    <row r="947" spans="1:48"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row>
    <row r="948" spans="1: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row>
    <row r="949" spans="1:48"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row>
    <row r="950" spans="1:48"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row>
    <row r="951" spans="1:48"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row>
    <row r="952" spans="1:48"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row>
    <row r="953" spans="1:48"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row>
    <row r="954" spans="1:48"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row>
    <row r="955" spans="1:48"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row>
    <row r="956" spans="1:48"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row>
    <row r="957" spans="1:48"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row>
    <row r="958" spans="1:4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row>
    <row r="959" spans="1:48"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row>
    <row r="960" spans="1:48"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row>
    <row r="961" spans="1:48"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row>
    <row r="962" spans="1:48"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row>
    <row r="963" spans="1:48"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row>
    <row r="964" spans="1:48"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row>
    <row r="965" spans="1:48"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row>
    <row r="966" spans="1:48"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row>
    <row r="967" spans="1:48"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row>
    <row r="968" spans="1:4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row>
    <row r="969" spans="1:48"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row>
    <row r="970" spans="1:48"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row>
    <row r="971" spans="1:48"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row>
    <row r="972" spans="1:48"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row>
    <row r="973" spans="1:48"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row>
    <row r="974" spans="1:48"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row>
    <row r="975" spans="1:48"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row>
    <row r="976" spans="1:48"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row>
    <row r="977" spans="1:48"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row>
    <row r="978" spans="1:4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row>
    <row r="979" spans="1:48"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row>
    <row r="980" spans="1:48"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row>
    <row r="981" spans="1:48"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row>
    <row r="982" spans="1:48"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row>
    <row r="983" spans="1:48"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row>
    <row r="984" spans="1:48"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row>
    <row r="985" spans="1:48"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row>
    <row r="986" spans="1:48"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row>
    <row r="987" spans="1:48"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row>
    <row r="988" spans="1:4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row>
    <row r="989" spans="1:48"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row>
    <row r="990" spans="1:48"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row>
    <row r="991" spans="1:48"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row>
    <row r="992" spans="1:48"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row>
    <row r="993" spans="1:48"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row>
    <row r="994" spans="1:48"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row>
    <row r="995" spans="1:48"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row>
    <row r="996" spans="1:48"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row>
    <row r="997" spans="1:48"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row>
    <row r="998" spans="1:4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row>
    <row r="999" spans="1:48"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row>
    <row r="1000" spans="1:48"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row>
    <row r="1001" spans="1:48"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row>
    <row r="1002" spans="1:48"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row>
    <row r="1003" spans="1:48"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row>
    <row r="1004" spans="1:48"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row>
    <row r="1005" spans="1:48"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row>
    <row r="1006" spans="1:48"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row>
    <row r="1007" spans="1:48"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row>
    <row r="1008" spans="1:48"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row>
    <row r="1009" spans="1:48"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row>
    <row r="1010" spans="1:48"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row>
    <row r="1011" spans="1:48"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row>
    <row r="1012" spans="1:48"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row>
    <row r="1013" spans="1:48"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row>
    <row r="1014" spans="1:48"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row>
    <row r="1015" spans="1:48"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row>
    <row r="1016" spans="1:48"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row>
    <row r="1017" spans="1:48"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row>
    <row r="1018" spans="1:48"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row>
    <row r="1019" spans="1:48"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row>
    <row r="1020" spans="1:48"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row>
    <row r="1021" spans="1:48"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row>
    <row r="1022" spans="1:48"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row>
    <row r="1023" spans="1:48"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row>
    <row r="1024" spans="1:48"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row>
    <row r="1025" spans="1:48"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row>
    <row r="1026" spans="1:48" ht="15.7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row>
    <row r="1027" spans="1:48" ht="15.7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row>
    <row r="1028" spans="1:48" ht="15.7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row>
    <row r="1029" spans="1:48" ht="15.75" customHeight="1">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row>
    <row r="1030" spans="1:48" ht="15.75" customHeight="1">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row>
    <row r="1031" spans="1:48" ht="15.75" customHeight="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row>
    <row r="1032" spans="1:48" ht="15.75" customHeight="1">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row>
    <row r="1033" spans="1:48" ht="15.75" customHeight="1">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row>
    <row r="1034" spans="1:48" ht="15.75" customHeight="1">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row>
    <row r="1035" spans="1:48" ht="15.75" customHeight="1">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row>
    <row r="1036" spans="1:48" ht="15.75" customHeight="1">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row>
    <row r="1037" spans="1:48" ht="15.75" customHeight="1">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row>
    <row r="1038" spans="1:48" ht="15.75" customHeight="1">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row>
    <row r="1039" spans="1:48" ht="15.75" customHeight="1">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row>
    <row r="1040" spans="1:48" ht="15.75" customHeight="1">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row>
    <row r="1041" spans="1:48">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row>
    <row r="1042" spans="1:48" ht="15.75" customHeight="1">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2"/>
      <c r="AC1042" s="7"/>
      <c r="AD1042" s="7"/>
      <c r="AE1042" s="7"/>
      <c r="AF1042" s="7"/>
      <c r="AG1042" s="7"/>
      <c r="AH1042" s="7"/>
      <c r="AI1042" s="7"/>
      <c r="AJ1042" s="7"/>
      <c r="AK1042" s="7"/>
      <c r="AL1042" s="7"/>
      <c r="AM1042" s="7"/>
      <c r="AN1042" s="7"/>
      <c r="AO1042" s="7"/>
      <c r="AP1042" s="7"/>
      <c r="AQ1042" s="7"/>
      <c r="AR1042" s="7"/>
      <c r="AS1042" s="7"/>
      <c r="AT1042" s="7"/>
      <c r="AU1042" s="7"/>
      <c r="AV104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Kiran</dc:creator>
  <cp:lastModifiedBy>Lee, Kiran</cp:lastModifiedBy>
  <dcterms:created xsi:type="dcterms:W3CDTF">2022-05-23T15:37:36Z</dcterms:created>
  <dcterms:modified xsi:type="dcterms:W3CDTF">2022-06-14T14:52:57Z</dcterms:modified>
</cp:coreProperties>
</file>