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8f8e700731f8c4/Desktop/"/>
    </mc:Choice>
  </mc:AlternateContent>
  <xr:revisionPtr revIDLastSave="0" documentId="8_{58EF1C1F-0441-4D3E-A29B-951870D119A2}" xr6:coauthVersionLast="47" xr6:coauthVersionMax="47" xr10:uidLastSave="{00000000-0000-0000-0000-000000000000}"/>
  <bookViews>
    <workbookView xWindow="-108" yWindow="-108" windowWidth="23256" windowHeight="12456" activeTab="2" xr2:uid="{F124BAA1-35B5-0749-8ABE-E8A122E8E544}"/>
  </bookViews>
  <sheets>
    <sheet name="Ex 1 - NPV &amp; IRR" sheetId="4" r:id="rId1"/>
    <sheet name="Ex 2 - Assumptions" sheetId="2" r:id="rId2"/>
    <sheet name="Ex 2 - DC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6" i="4" l="1"/>
  <c r="R33" i="4"/>
  <c r="R24" i="4"/>
  <c r="N15" i="4"/>
  <c r="N23" i="4" s="1"/>
  <c r="N22" i="4"/>
  <c r="M23" i="4"/>
  <c r="M24" i="4" s="1"/>
  <c r="M25" i="4" s="1"/>
  <c r="M26" i="4" s="1"/>
  <c r="M27" i="4" s="1"/>
  <c r="M28" i="4" s="1"/>
  <c r="M29" i="4" s="1"/>
  <c r="M30" i="4" s="1"/>
  <c r="M31" i="4" s="1"/>
  <c r="M32" i="4" s="1"/>
  <c r="N14" i="4"/>
  <c r="E37" i="3"/>
  <c r="F39" i="3"/>
  <c r="G39" i="3"/>
  <c r="H39" i="3"/>
  <c r="I39" i="3"/>
  <c r="J39" i="3"/>
  <c r="K39" i="3"/>
  <c r="L39" i="3"/>
  <c r="M39" i="3"/>
  <c r="N39" i="3"/>
  <c r="E39" i="3"/>
  <c r="N26" i="4" l="1"/>
  <c r="N29" i="4"/>
  <c r="N24" i="4"/>
  <c r="N25" i="4" s="1"/>
  <c r="N31" i="4"/>
  <c r="N32" i="4" s="1"/>
  <c r="N30" i="4"/>
  <c r="N28" i="4"/>
  <c r="N27" i="4"/>
  <c r="R13" i="3"/>
  <c r="E44" i="3" l="1"/>
  <c r="R11" i="3"/>
  <c r="R10" i="3"/>
  <c r="E43" i="3"/>
  <c r="F37" i="3"/>
  <c r="G37" i="3"/>
  <c r="H37" i="3"/>
  <c r="I37" i="3"/>
  <c r="J37" i="3"/>
  <c r="K37" i="3"/>
  <c r="L37" i="3"/>
  <c r="M37" i="3"/>
  <c r="N37" i="3"/>
  <c r="N35" i="3"/>
  <c r="M35" i="3"/>
  <c r="L35" i="3"/>
  <c r="K35" i="3"/>
  <c r="J35" i="3"/>
  <c r="I35" i="3"/>
  <c r="H35" i="3"/>
  <c r="G35" i="3"/>
  <c r="F35" i="3"/>
  <c r="E35" i="3"/>
  <c r="F32" i="3"/>
  <c r="G32" i="3"/>
  <c r="H32" i="3"/>
  <c r="I32" i="3"/>
  <c r="J32" i="3"/>
  <c r="K32" i="3"/>
  <c r="L32" i="3"/>
  <c r="M32" i="3"/>
  <c r="N32" i="3"/>
  <c r="E32" i="3"/>
  <c r="F30" i="3"/>
  <c r="G30" i="3"/>
  <c r="H30" i="3"/>
  <c r="I30" i="3"/>
  <c r="J30" i="3"/>
  <c r="K30" i="3"/>
  <c r="L30" i="3"/>
  <c r="M30" i="3"/>
  <c r="N30" i="3"/>
  <c r="E30" i="3"/>
  <c r="F28" i="3"/>
  <c r="G28" i="3"/>
  <c r="H28" i="3"/>
  <c r="I28" i="3"/>
  <c r="J28" i="3"/>
  <c r="K28" i="3"/>
  <c r="L28" i="3"/>
  <c r="M28" i="3"/>
  <c r="N28" i="3"/>
  <c r="E28" i="3"/>
  <c r="F25" i="3"/>
  <c r="G25" i="3"/>
  <c r="H25" i="3"/>
  <c r="I25" i="3"/>
  <c r="J25" i="3"/>
  <c r="K25" i="3"/>
  <c r="L25" i="3"/>
  <c r="M25" i="3"/>
  <c r="N25" i="3"/>
  <c r="E25" i="3"/>
  <c r="F23" i="3"/>
  <c r="G23" i="3"/>
  <c r="H23" i="3"/>
  <c r="I23" i="3"/>
  <c r="J23" i="3"/>
  <c r="K23" i="3"/>
  <c r="L23" i="3"/>
  <c r="M23" i="3"/>
  <c r="N23" i="3"/>
  <c r="E23" i="3"/>
  <c r="F20" i="3"/>
  <c r="G20" i="3"/>
  <c r="H20" i="3"/>
  <c r="I20" i="3"/>
  <c r="J20" i="3"/>
  <c r="K20" i="3"/>
  <c r="L20" i="3"/>
  <c r="M20" i="3"/>
  <c r="N20" i="3"/>
  <c r="E20" i="3"/>
  <c r="F18" i="3"/>
  <c r="G18" i="3"/>
  <c r="H18" i="3"/>
  <c r="I18" i="3"/>
  <c r="J18" i="3"/>
  <c r="K18" i="3"/>
  <c r="L18" i="3"/>
  <c r="M18" i="3"/>
  <c r="N18" i="3"/>
  <c r="E18" i="3"/>
  <c r="G16" i="3"/>
  <c r="H16" i="3"/>
  <c r="I16" i="3" s="1"/>
  <c r="J16" i="3" s="1"/>
  <c r="K16" i="3" s="1"/>
  <c r="L16" i="3" s="1"/>
  <c r="M16" i="3" s="1"/>
  <c r="N16" i="3" s="1"/>
  <c r="F16" i="3"/>
  <c r="E16" i="3"/>
  <c r="G14" i="3"/>
  <c r="H14" i="3"/>
  <c r="I14" i="3" s="1"/>
  <c r="J14" i="3" s="1"/>
  <c r="K14" i="3" s="1"/>
  <c r="L14" i="3" s="1"/>
  <c r="M14" i="3" s="1"/>
  <c r="N14" i="3" s="1"/>
  <c r="F14" i="3"/>
  <c r="E14" i="3"/>
  <c r="C19" i="2"/>
  <c r="C16" i="2"/>
  <c r="C15" i="2"/>
  <c r="C14" i="2"/>
  <c r="E45" i="3" l="1"/>
</calcChain>
</file>

<file path=xl/sharedStrings.xml><?xml version="1.0" encoding="utf-8"?>
<sst xmlns="http://schemas.openxmlformats.org/spreadsheetml/2006/main" count="77" uniqueCount="66">
  <si>
    <t xml:space="preserve">Operationnal </t>
  </si>
  <si>
    <t>Ke</t>
  </si>
  <si>
    <t>WACC</t>
  </si>
  <si>
    <t>Kd</t>
  </si>
  <si>
    <t>%Eq</t>
  </si>
  <si>
    <t>%Debt</t>
  </si>
  <si>
    <t>Tax rate</t>
  </si>
  <si>
    <t>P&amp;L and Cash Flows</t>
  </si>
  <si>
    <t>Revenue</t>
  </si>
  <si>
    <t>EBITDA</t>
  </si>
  <si>
    <t>% Revenue</t>
  </si>
  <si>
    <t>D&amp;A</t>
  </si>
  <si>
    <t>EBIT</t>
  </si>
  <si>
    <t>Taxes</t>
  </si>
  <si>
    <t>Delta WCR</t>
  </si>
  <si>
    <t>CAPEX</t>
  </si>
  <si>
    <t>FCF</t>
  </si>
  <si>
    <t>Unlevered FCF</t>
  </si>
  <si>
    <t>Valuation</t>
  </si>
  <si>
    <t>EV</t>
  </si>
  <si>
    <t>Production</t>
  </si>
  <si>
    <t>Price</t>
  </si>
  <si>
    <t>Price growth rate</t>
  </si>
  <si>
    <t>Production Period</t>
  </si>
  <si>
    <t>Production growth</t>
  </si>
  <si>
    <t>Exit EBITDA Multiple</t>
  </si>
  <si>
    <t>EBITDA Multiple</t>
  </si>
  <si>
    <t>Production Year 1</t>
  </si>
  <si>
    <t>Price Year 1</t>
  </si>
  <si>
    <t xml:space="preserve">Price growth </t>
  </si>
  <si>
    <t>Discounted Unlevered FCF</t>
  </si>
  <si>
    <t>Terminal value</t>
  </si>
  <si>
    <t>% of Revenue</t>
  </si>
  <si>
    <t>Wacc</t>
  </si>
  <si>
    <t>Change in working capital in % revenue</t>
  </si>
  <si>
    <t>OPEX (excluding D&amp;A)</t>
  </si>
  <si>
    <t xml:space="preserve">Exercice 1 </t>
  </si>
  <si>
    <t>Operations</t>
  </si>
  <si>
    <t>D&amp;A in % of revenue</t>
  </si>
  <si>
    <t>OPEX (excluding D&amp;A) in % of revenue</t>
  </si>
  <si>
    <t xml:space="preserve">CAPEX per year </t>
  </si>
  <si>
    <t>Exit EBITDA multiple</t>
  </si>
  <si>
    <t>RATE</t>
  </si>
  <si>
    <t xml:space="preserve"> TERMINAL VALUE </t>
  </si>
  <si>
    <t>ANSWER:</t>
  </si>
  <si>
    <t>Investment Year</t>
  </si>
  <si>
    <t>Intial Capex</t>
  </si>
  <si>
    <t>WCR Increase</t>
  </si>
  <si>
    <t>Project Duration</t>
  </si>
  <si>
    <t>EBITDA Margin/Unit</t>
  </si>
  <si>
    <t>Machine Resale Value</t>
  </si>
  <si>
    <t>Units Produced/Year</t>
  </si>
  <si>
    <t>Depreciation Method</t>
  </si>
  <si>
    <t>Straight-line over 10 years</t>
  </si>
  <si>
    <t xml:space="preserve">Tax Rate </t>
  </si>
  <si>
    <t>Discount Rate(WACC)</t>
  </si>
  <si>
    <t>YEAR</t>
  </si>
  <si>
    <t>CASH FLOW(€M)</t>
  </si>
  <si>
    <t>(IN MILLIONS)</t>
  </si>
  <si>
    <t xml:space="preserve">Depreciation </t>
  </si>
  <si>
    <t>NPV @ 4%</t>
  </si>
  <si>
    <t>ANSWER 1</t>
  </si>
  <si>
    <t>ANSWER 2</t>
  </si>
  <si>
    <t>IRR(INTERVAL ESTIMATION METHOD)</t>
  </si>
  <si>
    <t>IRR</t>
  </si>
  <si>
    <t>NPV @ 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</si>
</sst>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;\(#,##0\);&quot;-&quot;"/>
    <numFmt numFmtId="165" formatCode="0.0%;\(0.0%\)"/>
    <numFmt numFmtId="166" formatCode="0%;\(0%\)"/>
    <numFmt numFmtId="167" formatCode="&quot;€ &quot;#,##0;&quot;€ &quot;\(#,##0\);&quot;-&quot;"/>
    <numFmt numFmtId="168" formatCode="0\x"/>
    <numFmt numFmtId="169" formatCode="#,##0\ &quot;€&quot;"/>
    <numFmt numFmtId="170" formatCode="[$€-2]\ #,##0.00;[Red]\-[$€-2]\ #,##0.00"/>
    <numFmt numFmtId="171" formatCode="[$€-2]\ #,##0;[Red]\-[$€-2]\ #,##0"/>
    <numFmt numFmtId="172" formatCode="_-[$€-2]\ * #,##0.00_-;\-[$€-2]\ * #,##0.00_-;_-[$€-2]\ * &quot;-&quot;??_-;_-@_-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</font>
    <font>
      <b/>
      <sz val="14"/>
      <color rgb="FFFFFFFF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</font>
    <font>
      <b/>
      <sz val="14"/>
      <color indexed="24"/>
      <name val="Calibri"/>
      <family val="2"/>
    </font>
    <font>
      <sz val="14"/>
      <color indexed="12"/>
      <name val="Calibri"/>
      <family val="2"/>
    </font>
    <font>
      <b/>
      <sz val="14"/>
      <color rgb="FF002060"/>
      <name val="Calibri"/>
      <family val="2"/>
    </font>
    <font>
      <b/>
      <sz val="14"/>
      <color theme="1"/>
      <name val="Calibri"/>
      <family val="2"/>
    </font>
    <font>
      <b/>
      <sz val="14"/>
      <color rgb="FF335A8F"/>
      <name val="Calibri"/>
      <family val="2"/>
    </font>
    <font>
      <i/>
      <sz val="14"/>
      <color theme="5"/>
      <name val="Calibri"/>
      <family val="2"/>
    </font>
    <font>
      <b/>
      <i/>
      <sz val="14"/>
      <color theme="5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rgb="FF000000"/>
      <name val="Calibri"/>
      <family val="2"/>
    </font>
    <font>
      <b/>
      <i/>
      <u/>
      <sz val="14"/>
      <color theme="5"/>
      <name val="Calibri"/>
      <family val="2"/>
    </font>
    <font>
      <u/>
      <sz val="14"/>
      <color rgb="FF000000"/>
      <name val="Calibri"/>
      <family val="2"/>
    </font>
    <font>
      <i/>
      <sz val="14"/>
      <color indexed="12"/>
      <name val="Calibri"/>
      <family val="2"/>
    </font>
    <font>
      <i/>
      <sz val="14"/>
      <color theme="1"/>
      <name val="Calibri"/>
      <family val="2"/>
    </font>
    <font>
      <i/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3DBFF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9"/>
      </right>
      <top/>
      <bottom style="thin">
        <color rgb="FF002060"/>
      </bottom>
      <diagonal/>
    </border>
    <border>
      <left style="thick">
        <color indexed="9"/>
      </left>
      <right style="thick">
        <color indexed="9"/>
      </right>
      <top/>
      <bottom style="thin">
        <color rgb="FF00206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4" borderId="0" xfId="0" applyFont="1" applyFill="1"/>
    <xf numFmtId="0" fontId="3" fillId="0" borderId="0" xfId="0" applyFont="1"/>
    <xf numFmtId="0" fontId="2" fillId="0" borderId="0" xfId="0" applyFont="1" applyAlignment="1">
      <alignment horizontal="right"/>
    </xf>
    <xf numFmtId="0" fontId="3" fillId="4" borderId="0" xfId="0" applyFont="1" applyFill="1" applyAlignment="1">
      <alignment horizontal="left"/>
    </xf>
    <xf numFmtId="171" fontId="3" fillId="4" borderId="0" xfId="0" applyNumberFormat="1" applyFont="1" applyFill="1" applyAlignment="1">
      <alignment horizontal="left"/>
    </xf>
    <xf numFmtId="170" fontId="3" fillId="4" borderId="0" xfId="0" applyNumberFormat="1" applyFont="1" applyFill="1" applyAlignment="1">
      <alignment horizontal="left"/>
    </xf>
    <xf numFmtId="9" fontId="3" fillId="4" borderId="0" xfId="0" applyNumberFormat="1" applyFont="1" applyFill="1" applyAlignment="1">
      <alignment horizontal="left"/>
    </xf>
    <xf numFmtId="172" fontId="2" fillId="0" borderId="0" xfId="0" applyNumberFormat="1" applyFont="1"/>
    <xf numFmtId="0" fontId="2" fillId="4" borderId="0" xfId="0" applyFont="1" applyFill="1"/>
    <xf numFmtId="0" fontId="3" fillId="4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171" fontId="3" fillId="4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9" fontId="3" fillId="4" borderId="0" xfId="0" applyNumberFormat="1" applyFont="1" applyFill="1"/>
    <xf numFmtId="170" fontId="3" fillId="4" borderId="0" xfId="0" applyNumberFormat="1" applyFont="1" applyFill="1" applyAlignment="1">
      <alignment horizontal="right"/>
    </xf>
    <xf numFmtId="172" fontId="3" fillId="4" borderId="0" xfId="0" applyNumberFormat="1" applyFont="1" applyFill="1"/>
    <xf numFmtId="0" fontId="4" fillId="5" borderId="0" xfId="0" applyFont="1" applyFill="1"/>
    <xf numFmtId="10" fontId="4" fillId="5" borderId="0" xfId="0" applyNumberFormat="1" applyFont="1" applyFill="1"/>
    <xf numFmtId="9" fontId="2" fillId="0" borderId="0" xfId="1" applyFont="1"/>
    <xf numFmtId="9" fontId="2" fillId="0" borderId="0" xfId="0" applyNumberFormat="1" applyFont="1"/>
    <xf numFmtId="0" fontId="5" fillId="2" borderId="0" xfId="0" applyFont="1" applyFill="1"/>
    <xf numFmtId="0" fontId="6" fillId="2" borderId="0" xfId="0" applyFont="1" applyFill="1" applyAlignment="1">
      <alignment horizontal="centerContinuous" vertical="center" wrapText="1"/>
    </xf>
    <xf numFmtId="0" fontId="6" fillId="3" borderId="0" xfId="0" applyFont="1" applyFill="1" applyAlignment="1">
      <alignment horizontal="centerContinuous" vertical="center" wrapText="1"/>
    </xf>
    <xf numFmtId="0" fontId="7" fillId="3" borderId="0" xfId="0" applyFont="1" applyFill="1"/>
    <xf numFmtId="0" fontId="8" fillId="3" borderId="0" xfId="0" applyFont="1" applyFill="1"/>
    <xf numFmtId="0" fontId="9" fillId="2" borderId="0" xfId="0" applyFont="1" applyFill="1" applyAlignment="1">
      <alignment horizontal="centerContinuous" vertical="center"/>
    </xf>
    <xf numFmtId="0" fontId="6" fillId="3" borderId="1" xfId="0" applyFont="1" applyFill="1" applyBorder="1" applyAlignment="1">
      <alignment horizontal="centerContinuous" vertical="center" wrapText="1"/>
    </xf>
    <xf numFmtId="9" fontId="5" fillId="2" borderId="0" xfId="1" applyFont="1" applyFill="1"/>
    <xf numFmtId="9" fontId="5" fillId="2" borderId="0" xfId="0" applyNumberFormat="1" applyFont="1" applyFill="1"/>
    <xf numFmtId="0" fontId="5" fillId="2" borderId="2" xfId="0" applyFont="1" applyFill="1" applyBorder="1"/>
    <xf numFmtId="9" fontId="5" fillId="2" borderId="2" xfId="1" applyFont="1" applyFill="1" applyBorder="1"/>
    <xf numFmtId="9" fontId="5" fillId="2" borderId="0" xfId="1" applyFont="1" applyFill="1" applyBorder="1"/>
    <xf numFmtId="168" fontId="5" fillId="2" borderId="0" xfId="0" applyNumberFormat="1" applyFont="1" applyFill="1"/>
    <xf numFmtId="3" fontId="5" fillId="2" borderId="0" xfId="0" applyNumberFormat="1" applyFont="1" applyFill="1"/>
    <xf numFmtId="169" fontId="5" fillId="2" borderId="0" xfId="0" applyNumberFormat="1" applyFont="1" applyFill="1"/>
    <xf numFmtId="0" fontId="6" fillId="2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5" fillId="0" borderId="0" xfId="0" applyFont="1"/>
    <xf numFmtId="0" fontId="10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1" fillId="2" borderId="5" xfId="0" applyFont="1" applyFill="1" applyBorder="1" applyAlignment="1">
      <alignment horizontal="centerContinuous" vertical="center"/>
    </xf>
    <xf numFmtId="0" fontId="11" fillId="2" borderId="6" xfId="0" applyFont="1" applyFill="1" applyBorder="1" applyAlignment="1">
      <alignment horizontal="centerContinuous" vertical="center"/>
    </xf>
    <xf numFmtId="37" fontId="5" fillId="2" borderId="0" xfId="0" applyNumberFormat="1" applyFont="1" applyFill="1"/>
    <xf numFmtId="37" fontId="11" fillId="2" borderId="5" xfId="0" applyNumberFormat="1" applyFont="1" applyFill="1" applyBorder="1" applyAlignment="1">
      <alignment horizontal="centerContinuous" vertical="center"/>
    </xf>
    <xf numFmtId="37" fontId="11" fillId="2" borderId="6" xfId="0" applyNumberFormat="1" applyFont="1" applyFill="1" applyBorder="1" applyAlignment="1">
      <alignment horizontal="centerContinuous" vertical="center"/>
    </xf>
    <xf numFmtId="0" fontId="12" fillId="2" borderId="2" xfId="0" applyFont="1" applyFill="1" applyBorder="1"/>
    <xf numFmtId="3" fontId="5" fillId="2" borderId="2" xfId="0" applyNumberFormat="1" applyFont="1" applyFill="1" applyBorder="1"/>
    <xf numFmtId="0" fontId="13" fillId="2" borderId="0" xfId="0" applyFont="1" applyFill="1" applyAlignment="1">
      <alignment horizontal="center" vertical="center"/>
    </xf>
    <xf numFmtId="37" fontId="9" fillId="2" borderId="0" xfId="0" applyNumberFormat="1" applyFont="1" applyFill="1" applyAlignment="1">
      <alignment horizontal="center" vertical="center"/>
    </xf>
    <xf numFmtId="37" fontId="9" fillId="2" borderId="0" xfId="0" applyNumberFormat="1" applyFont="1" applyFill="1" applyAlignment="1">
      <alignment vertical="center"/>
    </xf>
    <xf numFmtId="0" fontId="12" fillId="4" borderId="0" xfId="0" applyFont="1" applyFill="1"/>
    <xf numFmtId="0" fontId="14" fillId="2" borderId="0" xfId="0" applyFont="1" applyFill="1"/>
    <xf numFmtId="0" fontId="15" fillId="2" borderId="0" xfId="0" applyFont="1" applyFill="1" applyAlignment="1">
      <alignment horizontal="center" vertical="center"/>
    </xf>
    <xf numFmtId="9" fontId="14" fillId="2" borderId="0" xfId="1" applyFont="1" applyFill="1" applyAlignment="1"/>
    <xf numFmtId="1" fontId="5" fillId="2" borderId="0" xfId="0" applyNumberFormat="1" applyFont="1" applyFill="1"/>
    <xf numFmtId="9" fontId="15" fillId="2" borderId="0" xfId="1" applyFont="1" applyFill="1" applyAlignment="1">
      <alignment vertical="center"/>
    </xf>
    <xf numFmtId="0" fontId="12" fillId="2" borderId="0" xfId="0" applyFont="1" applyFill="1"/>
    <xf numFmtId="164" fontId="16" fillId="2" borderId="2" xfId="0" applyNumberFormat="1" applyFont="1" applyFill="1" applyBorder="1" applyAlignment="1">
      <alignment horizontal="center" vertical="center"/>
    </xf>
    <xf numFmtId="37" fontId="5" fillId="2" borderId="2" xfId="0" applyNumberFormat="1" applyFont="1" applyFill="1" applyBorder="1" applyAlignment="1">
      <alignment vertical="center"/>
    </xf>
    <xf numFmtId="164" fontId="16" fillId="2" borderId="0" xfId="0" applyNumberFormat="1" applyFont="1" applyFill="1" applyAlignment="1">
      <alignment horizontal="center" vertical="center"/>
    </xf>
    <xf numFmtId="37" fontId="5" fillId="2" borderId="0" xfId="0" applyNumberFormat="1" applyFont="1" applyFill="1" applyAlignment="1">
      <alignment vertical="center"/>
    </xf>
    <xf numFmtId="37" fontId="17" fillId="2" borderId="0" xfId="0" applyNumberFormat="1" applyFont="1" applyFill="1" applyAlignment="1">
      <alignment vertical="center"/>
    </xf>
    <xf numFmtId="164" fontId="18" fillId="2" borderId="0" xfId="0" applyNumberFormat="1" applyFont="1" applyFill="1" applyAlignment="1">
      <alignment horizontal="center" vertical="center"/>
    </xf>
    <xf numFmtId="0" fontId="15" fillId="2" borderId="0" xfId="0" applyFont="1" applyFill="1"/>
    <xf numFmtId="164" fontId="19" fillId="2" borderId="0" xfId="0" applyNumberFormat="1" applyFont="1" applyFill="1" applyAlignment="1">
      <alignment horizontal="center" vertical="center"/>
    </xf>
    <xf numFmtId="9" fontId="14" fillId="2" borderId="0" xfId="1" applyFont="1" applyFill="1" applyAlignment="1">
      <alignment vertical="center"/>
    </xf>
    <xf numFmtId="37" fontId="12" fillId="2" borderId="0" xfId="0" applyNumberFormat="1" applyFont="1" applyFill="1" applyAlignment="1">
      <alignment vertical="center"/>
    </xf>
    <xf numFmtId="37" fontId="16" fillId="2" borderId="0" xfId="0" applyNumberFormat="1" applyFont="1" applyFill="1" applyAlignment="1">
      <alignment vertical="center"/>
    </xf>
    <xf numFmtId="0" fontId="12" fillId="2" borderId="4" xfId="0" applyFont="1" applyFill="1" applyBorder="1"/>
    <xf numFmtId="37" fontId="12" fillId="2" borderId="3" xfId="0" applyNumberFormat="1" applyFont="1" applyFill="1" applyBorder="1" applyAlignment="1">
      <alignment vertical="center"/>
    </xf>
    <xf numFmtId="164" fontId="17" fillId="2" borderId="0" xfId="0" applyNumberFormat="1" applyFont="1" applyFill="1" applyAlignment="1">
      <alignment horizontal="center" vertical="center"/>
    </xf>
    <xf numFmtId="165" fontId="14" fillId="2" borderId="0" xfId="0" applyNumberFormat="1" applyFont="1" applyFill="1"/>
    <xf numFmtId="166" fontId="14" fillId="2" borderId="0" xfId="0" applyNumberFormat="1" applyFont="1" applyFill="1" applyAlignment="1">
      <alignment horizontal="center" vertical="center"/>
    </xf>
    <xf numFmtId="164" fontId="20" fillId="2" borderId="0" xfId="0" applyNumberFormat="1" applyFont="1" applyFill="1" applyAlignment="1">
      <alignment horizontal="center" vertical="center"/>
    </xf>
    <xf numFmtId="165" fontId="21" fillId="2" borderId="0" xfId="0" applyNumberFormat="1" applyFont="1" applyFill="1" applyAlignment="1">
      <alignment horizontal="center" vertical="center"/>
    </xf>
    <xf numFmtId="9" fontId="5" fillId="2" borderId="0" xfId="1" applyFont="1" applyFill="1" applyAlignment="1">
      <alignment vertical="center"/>
    </xf>
    <xf numFmtId="167" fontId="21" fillId="2" borderId="0" xfId="0" applyNumberFormat="1" applyFont="1" applyFill="1" applyAlignment="1">
      <alignment horizontal="center" vertical="center"/>
    </xf>
    <xf numFmtId="0" fontId="13" fillId="2" borderId="0" xfId="0" applyFont="1" applyFill="1"/>
    <xf numFmtId="37" fontId="16" fillId="2" borderId="0" xfId="0" applyNumberFormat="1" applyFont="1" applyFill="1" applyAlignment="1">
      <alignment horizontal="center" vertical="center"/>
    </xf>
    <xf numFmtId="37" fontId="22" fillId="2" borderId="0" xfId="0" applyNumberFormat="1" applyFont="1" applyFill="1" applyAlignment="1">
      <alignment vertical="center"/>
    </xf>
    <xf numFmtId="37" fontId="23" fillId="2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37" fontId="12" fillId="3" borderId="0" xfId="0" applyNumberFormat="1" applyFont="1" applyFill="1" applyAlignment="1">
      <alignment vertical="center" wrapText="1"/>
    </xf>
    <xf numFmtId="37" fontId="12" fillId="2" borderId="0" xfId="0" applyNumberFormat="1" applyFont="1" applyFill="1" applyAlignment="1">
      <alignment vertical="center" wrapText="1"/>
    </xf>
    <xf numFmtId="0" fontId="5" fillId="2" borderId="0" xfId="0" applyFont="1" applyFill="1" applyAlignment="1">
      <alignment horizontal="left"/>
    </xf>
    <xf numFmtId="0" fontId="12" fillId="4" borderId="2" xfId="0" applyFont="1" applyFill="1" applyBorder="1"/>
    <xf numFmtId="37" fontId="12" fillId="4" borderId="2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809398</xdr:colOff>
      <xdr:row>2</xdr:row>
      <xdr:rowOff>68707</xdr:rowOff>
    </xdr:from>
    <xdr:to>
      <xdr:col>10</xdr:col>
      <xdr:colOff>805699</xdr:colOff>
      <xdr:row>19</xdr:row>
      <xdr:rowOff>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CD8C990-1868-56B8-9490-E8DAC97759FB}"/>
            </a:ext>
          </a:extLst>
        </xdr:cNvPr>
        <xdr:cNvSpPr txBox="1"/>
      </xdr:nvSpPr>
      <xdr:spPr>
        <a:xfrm>
          <a:off x="809398" y="478384"/>
          <a:ext cx="9022860" cy="3413551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fr-FR" b="1"/>
            <a:t> project </a:t>
          </a:r>
          <a:r>
            <a:rPr lang="fr-FR" sz="1100" b="1">
              <a:solidFill>
                <a:schemeClr val="dk1"/>
              </a:solidFill>
              <a:latin typeface="+mn-lt"/>
              <a:ea typeface="+mn-ea"/>
              <a:cs typeface="+mn-cs"/>
            </a:rPr>
            <a:t>has</a:t>
          </a:r>
          <a:r>
            <a:rPr lang="fr-FR" b="1"/>
            <a:t> the following characteristics:</a:t>
          </a:r>
        </a:p>
        <a:p>
          <a:endParaRPr lang="fr-FR" b="1"/>
        </a:p>
        <a:p>
          <a:r>
            <a:rPr lang="fr-FR" b="0"/>
            <a:t>Haïbee Motors want to launch a new 10-year project.</a:t>
          </a:r>
        </a:p>
        <a:p>
          <a:pPr marL="342900" lvl="0" indent="-342900">
            <a:lnSpc>
              <a:spcPct val="115000"/>
            </a:lnSpc>
            <a:buFont typeface="Wingdings" pitchFamily="2" charset="2"/>
            <a:buChar char=""/>
          </a:pPr>
          <a:r>
            <a:rPr lang="en-US" sz="1100" kern="100">
              <a:effectLst/>
              <a:latin typeface="Aptos" panose="020B0004020202020204" pitchFamily="34" charset="0"/>
              <a:ea typeface="Aptos" panose="020B0004020202020204" pitchFamily="34" charset="0"/>
              <a:cs typeface="Times New Roman" panose="02020603050405020304" pitchFamily="18" charset="0"/>
            </a:rPr>
            <a:t>In 2023, the company will acquire a machine for €950M, depreciated on a straight-line basis over 10 years.</a:t>
          </a:r>
          <a:endParaRPr lang="fr-FR" sz="1100" kern="100">
            <a:effectLst/>
            <a:latin typeface="Aptos" panose="020B0004020202020204" pitchFamily="34" charset="0"/>
            <a:ea typeface="Aptos" panose="020B000402020202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15000"/>
            </a:lnSpc>
            <a:buFont typeface="Wingdings" pitchFamily="2" charset="2"/>
            <a:buChar char=""/>
          </a:pPr>
          <a:r>
            <a:rPr lang="en-US" sz="1100" kern="100">
              <a:effectLst/>
              <a:latin typeface="Aptos" panose="020B0004020202020204" pitchFamily="34" charset="0"/>
              <a:ea typeface="Aptos" panose="020B0004020202020204" pitchFamily="34" charset="0"/>
              <a:cs typeface="Times New Roman" panose="02020603050405020304" pitchFamily="18" charset="0"/>
            </a:rPr>
            <a:t>In 2023, the working capital requirement (WCR) will increase by €400M due to higher sales enabled by this investment. This amount will remain constant throughout the project's life and will be fully recovered at the end of the project.</a:t>
          </a:r>
          <a:endParaRPr lang="fr-FR" sz="1100" kern="100">
            <a:effectLst/>
            <a:latin typeface="Aptos" panose="020B0004020202020204" pitchFamily="34" charset="0"/>
            <a:ea typeface="Aptos" panose="020B000402020202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15000"/>
            </a:lnSpc>
            <a:buFont typeface="Wingdings" pitchFamily="2" charset="2"/>
            <a:buChar char=""/>
          </a:pPr>
          <a:r>
            <a:rPr lang="fr-FR" sz="1100" kern="100">
              <a:effectLst/>
              <a:latin typeface="Aptos" panose="020B0004020202020204" pitchFamily="34" charset="0"/>
              <a:ea typeface="Aptos" panose="020B0004020202020204" pitchFamily="34" charset="0"/>
              <a:cs typeface="Times New Roman" panose="02020603050405020304" pitchFamily="18" charset="0"/>
            </a:rPr>
            <a:t>Production will start in 2024.</a:t>
          </a:r>
        </a:p>
        <a:p>
          <a:pPr marL="342900" lvl="0" indent="-342900">
            <a:lnSpc>
              <a:spcPct val="115000"/>
            </a:lnSpc>
            <a:buFont typeface="Wingdings" pitchFamily="2" charset="2"/>
            <a:buChar char=""/>
          </a:pPr>
          <a:r>
            <a:rPr lang="en-US" sz="1100" kern="100">
              <a:effectLst/>
              <a:latin typeface="Aptos" panose="020B0004020202020204" pitchFamily="34" charset="0"/>
              <a:ea typeface="Aptos" panose="020B0004020202020204" pitchFamily="34" charset="0"/>
              <a:cs typeface="Times New Roman" panose="02020603050405020304" pitchFamily="18" charset="0"/>
            </a:rPr>
            <a:t>Production level: 11,500 units per year, constant over the project's lifespan.</a:t>
          </a:r>
          <a:endParaRPr lang="fr-FR" sz="1100" kern="100">
            <a:effectLst/>
            <a:latin typeface="Aptos" panose="020B0004020202020204" pitchFamily="34" charset="0"/>
            <a:ea typeface="Aptos" panose="020B000402020202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15000"/>
            </a:lnSpc>
            <a:buFont typeface="Wingdings" pitchFamily="2" charset="2"/>
            <a:buChar char=""/>
          </a:pPr>
          <a:r>
            <a:rPr lang="en-US" sz="1100" kern="100">
              <a:effectLst/>
              <a:latin typeface="Aptos" panose="020B0004020202020204" pitchFamily="34" charset="0"/>
              <a:ea typeface="Aptos" panose="020B0004020202020204" pitchFamily="34" charset="0"/>
              <a:cs typeface="Times New Roman" panose="02020603050405020304" pitchFamily="18" charset="0"/>
            </a:rPr>
            <a:t>EBITDA margin: €0.02M per unit produced.</a:t>
          </a:r>
          <a:endParaRPr lang="fr-FR" sz="1100" kern="100">
            <a:effectLst/>
            <a:latin typeface="Aptos" panose="020B0004020202020204" pitchFamily="34" charset="0"/>
            <a:ea typeface="Aptos" panose="020B000402020202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15000"/>
            </a:lnSpc>
            <a:buFont typeface="Wingdings" pitchFamily="2" charset="2"/>
            <a:buChar char=""/>
          </a:pPr>
          <a:r>
            <a:rPr lang="en-US" sz="1100" kern="100">
              <a:effectLst/>
              <a:latin typeface="Aptos" panose="020B0004020202020204" pitchFamily="34" charset="0"/>
              <a:ea typeface="Aptos" panose="020B0004020202020204" pitchFamily="34" charset="0"/>
              <a:cs typeface="Times New Roman" panose="02020603050405020304" pitchFamily="18" charset="0"/>
            </a:rPr>
            <a:t>Resale value of the machine: €300M at the end of the 10th year.</a:t>
          </a:r>
          <a:endParaRPr lang="fr-FR" sz="1100" kern="100">
            <a:effectLst/>
            <a:latin typeface="Aptos" panose="020B0004020202020204" pitchFamily="34" charset="0"/>
            <a:ea typeface="Aptos" panose="020B000402020202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15000"/>
            </a:lnSpc>
            <a:buFont typeface="Wingdings" pitchFamily="2" charset="2"/>
            <a:buChar char=""/>
          </a:pPr>
          <a:r>
            <a:rPr lang="fr-FR" sz="1100" kern="100">
              <a:effectLst/>
              <a:latin typeface="Aptos" panose="020B0004020202020204" pitchFamily="34" charset="0"/>
              <a:ea typeface="Aptos" panose="020B0004020202020204" pitchFamily="34" charset="0"/>
              <a:cs typeface="Times New Roman" panose="02020603050405020304" pitchFamily="18" charset="0"/>
            </a:rPr>
            <a:t>Tax rate (on profits and capital gains): 50%.</a:t>
          </a:r>
        </a:p>
        <a:p>
          <a:pPr marL="342900" lvl="0" indent="-342900">
            <a:lnSpc>
              <a:spcPct val="115000"/>
            </a:lnSpc>
            <a:buFont typeface="Wingdings" pitchFamily="2" charset="2"/>
            <a:buChar char=""/>
          </a:pPr>
          <a:r>
            <a:rPr lang="fr-FR" sz="1100" kern="100">
              <a:effectLst/>
              <a:latin typeface="Aptos" panose="020B0004020202020204" pitchFamily="34" charset="0"/>
              <a:ea typeface="Aptos" panose="020B0004020202020204" pitchFamily="34" charset="0"/>
              <a:cs typeface="Times New Roman" panose="02020603050405020304" pitchFamily="18" charset="0"/>
            </a:rPr>
            <a:t>WACC / Discount rate (R): 4%</a:t>
          </a:r>
        </a:p>
        <a:p>
          <a:pPr marL="342900" lvl="0" indent="-342900">
            <a:lnSpc>
              <a:spcPct val="115000"/>
            </a:lnSpc>
            <a:buFont typeface="Wingdings" pitchFamily="2" charset="2"/>
            <a:buChar char=""/>
          </a:pPr>
          <a:endParaRPr lang="fr-FR" sz="1100" b="0" kern="100">
            <a:effectLst/>
            <a:latin typeface="Aptos" panose="020B0004020202020204" pitchFamily="34" charset="0"/>
            <a:ea typeface="Aptos" panose="020B000402020202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15000"/>
            </a:lnSpc>
            <a:buFont typeface="Wingdings" pitchFamily="2" charset="2"/>
            <a:buChar char=""/>
          </a:pPr>
          <a:r>
            <a:rPr lang="fr-FR" sz="1100" b="1">
              <a:solidFill>
                <a:schemeClr val="dk1"/>
              </a:solidFill>
              <a:latin typeface="+mn-lt"/>
              <a:ea typeface="+mn-ea"/>
              <a:cs typeface="+mn-cs"/>
            </a:rPr>
            <a:t>Tasks: (10 points)</a:t>
          </a:r>
        </a:p>
        <a:p>
          <a:pPr marL="342900" lvl="0" indent="-342900">
            <a:lnSpc>
              <a:spcPct val="115000"/>
            </a:lnSpc>
            <a:buFont typeface="Wingdings" pitchFamily="2" charset="2"/>
            <a:buChar char=""/>
          </a:pPr>
          <a:r>
            <a:rPr lang="fr-FR"/>
            <a:t>1 - Calculate the NPV of the project with</a:t>
          </a:r>
          <a:r>
            <a:rPr lang="fr-FR" baseline="0"/>
            <a:t> R = 4%</a:t>
          </a:r>
          <a:endParaRPr lang="fr-FR"/>
        </a:p>
        <a:p>
          <a:pPr marL="342900" lvl="0" indent="-342900">
            <a:lnSpc>
              <a:spcPct val="115000"/>
            </a:lnSpc>
            <a:buFont typeface="Wingdings" pitchFamily="2" charset="2"/>
            <a:buChar char=""/>
          </a:pPr>
          <a:r>
            <a:rPr lang="fr-FR"/>
            <a:t>2- Determine the</a:t>
          </a:r>
          <a:r>
            <a:rPr lang="fr-FR" baseline="0"/>
            <a:t> </a:t>
          </a:r>
          <a:r>
            <a:rPr lang="fr-FR"/>
            <a:t>IRR of the project using the interval estimation method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897283</xdr:colOff>
      <xdr:row>3</xdr:row>
      <xdr:rowOff>165653</xdr:rowOff>
    </xdr:from>
    <xdr:to>
      <xdr:col>8</xdr:col>
      <xdr:colOff>96631</xdr:colOff>
      <xdr:row>6</xdr:row>
      <xdr:rowOff>110435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71C8D21-FF0A-4964-8AC3-2E2F80654314}"/>
            </a:ext>
          </a:extLst>
        </xdr:cNvPr>
        <xdr:cNvSpPr txBox="1"/>
      </xdr:nvSpPr>
      <xdr:spPr>
        <a:xfrm>
          <a:off x="897283" y="786849"/>
          <a:ext cx="7771848" cy="565977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/>
            <a:t>Here is the financial information we have on the company Haibee Motors.</a:t>
          </a:r>
          <a:br>
            <a:rPr lang="fr-FR"/>
          </a:br>
          <a:r>
            <a:rPr lang="fr-FR"/>
            <a:t>Based on this information, you are required to value the company using the DCF method.</a:t>
          </a:r>
          <a:r>
            <a:rPr lang="fr-FR" baseline="0"/>
            <a:t> </a:t>
          </a:r>
          <a:endParaRPr lang="fr-FR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18B5-2D06-264C-82DF-6346A1F2C71D}">
  <dimension ref="H2:R228"/>
  <sheetViews>
    <sheetView showGridLines="0" topLeftCell="C1" zoomScale="66" workbookViewId="0">
      <selection activeCell="I32" sqref="I32"/>
    </sheetView>
  </sheetViews>
  <sheetFormatPr defaultColWidth="11.19921875" defaultRowHeight="15.9" customHeight="1" x14ac:dyDescent="0.35"/>
  <cols>
    <col min="1" max="7" width="11.19921875" style="1"/>
    <col min="8" max="8" width="21.59765625" style="1" bestFit="1" customWidth="1"/>
    <col min="9" max="9" width="13.19921875" style="1" bestFit="1" customWidth="1"/>
    <col min="10" max="12" width="11.19921875" style="1"/>
    <col min="13" max="13" width="28.09765625" style="1" customWidth="1"/>
    <col min="14" max="14" width="24.59765625" style="5" customWidth="1"/>
    <col min="15" max="15" width="11.19921875" style="1"/>
    <col min="16" max="16" width="16.3984375" style="1" customWidth="1"/>
    <col min="17" max="17" width="18.5" style="1" customWidth="1"/>
    <col min="18" max="18" width="22.8984375" style="1" customWidth="1"/>
    <col min="19" max="19" width="16.69921875" style="1" customWidth="1"/>
    <col min="20" max="20" width="16.5" style="1" customWidth="1"/>
    <col min="21" max="21" width="18.8984375" style="1" customWidth="1"/>
    <col min="22" max="16384" width="11.19921875" style="1"/>
  </cols>
  <sheetData>
    <row r="2" spans="13:17" s="1" customFormat="1" ht="15.9" customHeight="1" x14ac:dyDescent="0.35">
      <c r="M2" s="4" t="s">
        <v>44</v>
      </c>
      <c r="N2" s="5"/>
    </row>
    <row r="3" spans="13:17" s="1" customFormat="1" ht="15.9" customHeight="1" x14ac:dyDescent="0.35">
      <c r="N3" s="5" t="s">
        <v>58</v>
      </c>
      <c r="O3" s="5"/>
    </row>
    <row r="4" spans="13:17" s="1" customFormat="1" ht="15.9" customHeight="1" x14ac:dyDescent="0.35">
      <c r="M4" s="1" t="s">
        <v>45</v>
      </c>
      <c r="N4" s="6">
        <v>2023</v>
      </c>
    </row>
    <row r="5" spans="13:17" s="1" customFormat="1" ht="15.9" customHeight="1" x14ac:dyDescent="0.35">
      <c r="M5" s="1" t="s">
        <v>46</v>
      </c>
      <c r="N5" s="7">
        <v>950</v>
      </c>
    </row>
    <row r="6" spans="13:17" s="1" customFormat="1" ht="15.9" customHeight="1" x14ac:dyDescent="0.35">
      <c r="M6" s="1" t="s">
        <v>47</v>
      </c>
      <c r="N6" s="7">
        <v>400</v>
      </c>
    </row>
    <row r="7" spans="13:17" s="1" customFormat="1" ht="15.9" customHeight="1" x14ac:dyDescent="0.35">
      <c r="M7" s="1" t="s">
        <v>48</v>
      </c>
      <c r="N7" s="6">
        <v>10</v>
      </c>
    </row>
    <row r="8" spans="13:17" s="1" customFormat="1" ht="15.9" customHeight="1" x14ac:dyDescent="0.35">
      <c r="M8" s="1" t="s">
        <v>51</v>
      </c>
      <c r="N8" s="6">
        <v>11500</v>
      </c>
    </row>
    <row r="9" spans="13:17" s="1" customFormat="1" ht="15.9" customHeight="1" x14ac:dyDescent="0.35">
      <c r="M9" s="1" t="s">
        <v>49</v>
      </c>
      <c r="N9" s="8">
        <v>0.02</v>
      </c>
    </row>
    <row r="10" spans="13:17" s="1" customFormat="1" ht="15.9" customHeight="1" x14ac:dyDescent="0.35">
      <c r="M10" s="1" t="s">
        <v>50</v>
      </c>
      <c r="N10" s="7">
        <v>300</v>
      </c>
    </row>
    <row r="11" spans="13:17" s="1" customFormat="1" ht="15.9" customHeight="1" x14ac:dyDescent="0.35">
      <c r="M11" s="1" t="s">
        <v>52</v>
      </c>
      <c r="N11" s="6" t="s">
        <v>53</v>
      </c>
    </row>
    <row r="12" spans="13:17" s="1" customFormat="1" ht="15.9" customHeight="1" x14ac:dyDescent="0.35">
      <c r="M12" s="1" t="s">
        <v>54</v>
      </c>
      <c r="N12" s="9">
        <v>0.5</v>
      </c>
      <c r="Q12" s="10"/>
    </row>
    <row r="13" spans="13:17" s="1" customFormat="1" ht="15.9" customHeight="1" x14ac:dyDescent="0.35">
      <c r="M13" s="1" t="s">
        <v>55</v>
      </c>
      <c r="N13" s="9">
        <v>0.04</v>
      </c>
    </row>
    <row r="14" spans="13:17" s="1" customFormat="1" ht="15.9" customHeight="1" x14ac:dyDescent="0.35">
      <c r="M14" s="1" t="s">
        <v>9</v>
      </c>
      <c r="N14" s="8">
        <f>N8*N9</f>
        <v>230</v>
      </c>
    </row>
    <row r="15" spans="13:17" s="1" customFormat="1" ht="15.9" customHeight="1" x14ac:dyDescent="0.35">
      <c r="M15" s="1" t="s">
        <v>59</v>
      </c>
      <c r="N15" s="7">
        <f>N5/N7</f>
        <v>95</v>
      </c>
    </row>
    <row r="16" spans="13:17" s="1" customFormat="1" ht="15.9" customHeight="1" x14ac:dyDescent="0.35">
      <c r="N16" s="5"/>
    </row>
    <row r="17" spans="13:18" s="1" customFormat="1" ht="15.9" customHeight="1" x14ac:dyDescent="0.35">
      <c r="N17" s="5"/>
    </row>
    <row r="18" spans="13:18" s="1" customFormat="1" ht="15.9" customHeight="1" x14ac:dyDescent="0.35">
      <c r="N18" s="5"/>
    </row>
    <row r="19" spans="13:18" s="1" customFormat="1" ht="15.9" customHeight="1" x14ac:dyDescent="0.35">
      <c r="N19" s="5"/>
      <c r="Q19" s="3" t="s">
        <v>61</v>
      </c>
      <c r="R19" s="11"/>
    </row>
    <row r="20" spans="13:18" s="1" customFormat="1" ht="15.9" customHeight="1" x14ac:dyDescent="0.35">
      <c r="M20" s="1" t="s">
        <v>56</v>
      </c>
      <c r="N20" s="12" t="s">
        <v>57</v>
      </c>
      <c r="P20" s="5"/>
      <c r="Q20" s="11"/>
      <c r="R20" s="11"/>
    </row>
    <row r="21" spans="13:18" s="1" customFormat="1" ht="15.9" customHeight="1" x14ac:dyDescent="0.35">
      <c r="N21" s="12"/>
      <c r="P21" s="5"/>
      <c r="Q21" s="11"/>
      <c r="R21" s="11"/>
    </row>
    <row r="22" spans="13:18" s="1" customFormat="1" ht="15.9" customHeight="1" x14ac:dyDescent="0.35">
      <c r="M22" s="13">
        <v>2023</v>
      </c>
      <c r="N22" s="14">
        <f>-(N5+N6)</f>
        <v>-1350</v>
      </c>
      <c r="P22" s="15"/>
      <c r="Q22" s="3" t="s">
        <v>42</v>
      </c>
      <c r="R22" s="16">
        <v>0.04</v>
      </c>
    </row>
    <row r="23" spans="13:18" s="1" customFormat="1" ht="15.9" customHeight="1" x14ac:dyDescent="0.35">
      <c r="M23" s="13">
        <f>M22+1</f>
        <v>2024</v>
      </c>
      <c r="N23" s="17">
        <f>($N14-$N15)-($N14-$N15)*(1-$N12)+$N15</f>
        <v>162.5</v>
      </c>
      <c r="P23" s="15"/>
      <c r="Q23" s="3"/>
      <c r="R23" s="3"/>
    </row>
    <row r="24" spans="13:18" s="1" customFormat="1" ht="15.9" customHeight="1" x14ac:dyDescent="0.35">
      <c r="M24" s="13">
        <f t="shared" ref="M24:M31" si="0">M23+1</f>
        <v>2025</v>
      </c>
      <c r="N24" s="17">
        <f>N23</f>
        <v>162.5</v>
      </c>
      <c r="P24" s="15"/>
      <c r="Q24" s="3" t="s">
        <v>60</v>
      </c>
      <c r="R24" s="18">
        <f>NPV(R22,N23:N32)+N22</f>
        <v>339.58085699938124</v>
      </c>
    </row>
    <row r="25" spans="13:18" s="1" customFormat="1" ht="15.9" customHeight="1" x14ac:dyDescent="0.35">
      <c r="M25" s="13">
        <f t="shared" si="0"/>
        <v>2026</v>
      </c>
      <c r="N25" s="17">
        <f>N24</f>
        <v>162.5</v>
      </c>
      <c r="Q25" s="11"/>
      <c r="R25" s="11"/>
    </row>
    <row r="26" spans="13:18" s="1" customFormat="1" ht="15.9" customHeight="1" x14ac:dyDescent="0.35">
      <c r="M26" s="13">
        <f t="shared" si="0"/>
        <v>2027</v>
      </c>
      <c r="N26" s="17">
        <f>N23</f>
        <v>162.5</v>
      </c>
      <c r="Q26" s="11"/>
      <c r="R26" s="11"/>
    </row>
    <row r="27" spans="13:18" s="1" customFormat="1" ht="15.9" customHeight="1" x14ac:dyDescent="0.35">
      <c r="M27" s="13">
        <f t="shared" si="0"/>
        <v>2028</v>
      </c>
      <c r="N27" s="17">
        <f>N23</f>
        <v>162.5</v>
      </c>
      <c r="Q27" s="11"/>
      <c r="R27" s="11"/>
    </row>
    <row r="28" spans="13:18" s="1" customFormat="1" ht="15.9" customHeight="1" x14ac:dyDescent="0.35">
      <c r="M28" s="13">
        <f t="shared" si="0"/>
        <v>2029</v>
      </c>
      <c r="N28" s="17">
        <f>N23</f>
        <v>162.5</v>
      </c>
      <c r="Q28" s="3" t="s">
        <v>62</v>
      </c>
      <c r="R28" s="11"/>
    </row>
    <row r="29" spans="13:18" s="1" customFormat="1" ht="15.9" customHeight="1" x14ac:dyDescent="0.35">
      <c r="M29" s="13">
        <f t="shared" si="0"/>
        <v>2030</v>
      </c>
      <c r="N29" s="17">
        <f>N23</f>
        <v>162.5</v>
      </c>
      <c r="Q29" s="11"/>
      <c r="R29" s="11"/>
    </row>
    <row r="30" spans="13:18" s="1" customFormat="1" ht="15.9" customHeight="1" x14ac:dyDescent="0.35">
      <c r="M30" s="13">
        <f t="shared" si="0"/>
        <v>2031</v>
      </c>
      <c r="N30" s="17">
        <f>N23</f>
        <v>162.5</v>
      </c>
      <c r="Q30" s="11"/>
      <c r="R30" s="11"/>
    </row>
    <row r="31" spans="13:18" s="1" customFormat="1" ht="15.9" customHeight="1" x14ac:dyDescent="0.35">
      <c r="M31" s="13">
        <f t="shared" si="0"/>
        <v>2032</v>
      </c>
      <c r="N31" s="17">
        <f>N23</f>
        <v>162.5</v>
      </c>
      <c r="Q31" s="3" t="s">
        <v>42</v>
      </c>
      <c r="R31" s="16">
        <v>0.08</v>
      </c>
    </row>
    <row r="32" spans="13:18" s="1" customFormat="1" ht="15.9" customHeight="1" x14ac:dyDescent="0.35">
      <c r="M32" s="13">
        <f>M31+1</f>
        <v>2033</v>
      </c>
      <c r="N32" s="17">
        <f>N31+N6+(N10-(N10*(1-N12)))</f>
        <v>712.5</v>
      </c>
      <c r="Q32" s="11"/>
      <c r="R32" s="11"/>
    </row>
    <row r="33" spans="14:18" s="1" customFormat="1" ht="15.9" customHeight="1" x14ac:dyDescent="0.35">
      <c r="N33" s="5"/>
      <c r="P33" s="10"/>
      <c r="Q33" s="18" t="s">
        <v>65</v>
      </c>
      <c r="R33" s="18">
        <f>NPV(R31,N23:N32)+N22</f>
        <v>-4.8553542254392141</v>
      </c>
    </row>
    <row r="34" spans="14:18" s="1" customFormat="1" ht="15.9" customHeight="1" x14ac:dyDescent="0.35">
      <c r="N34" s="5"/>
    </row>
    <row r="35" spans="14:18" s="1" customFormat="1" ht="15.9" customHeight="1" x14ac:dyDescent="0.35">
      <c r="N35" s="5"/>
      <c r="Q35" s="4" t="s">
        <v>63</v>
      </c>
    </row>
    <row r="36" spans="14:18" s="1" customFormat="1" ht="15.9" customHeight="1" x14ac:dyDescent="0.35">
      <c r="N36" s="5"/>
      <c r="Q36" s="19" t="s">
        <v>64</v>
      </c>
      <c r="R36" s="20">
        <f>R22+(R24/(R24-R33)*(R31-R22))</f>
        <v>7.9436138934617415E-2</v>
      </c>
    </row>
    <row r="174" spans="16:16" s="1" customFormat="1" ht="15.9" customHeight="1" x14ac:dyDescent="0.35">
      <c r="P174" s="5"/>
    </row>
    <row r="175" spans="16:16" s="1" customFormat="1" ht="15.9" customHeight="1" x14ac:dyDescent="0.35">
      <c r="P175" s="5"/>
    </row>
    <row r="176" spans="16:16" s="1" customFormat="1" ht="15.9" customHeight="1" x14ac:dyDescent="0.35">
      <c r="P176" s="5"/>
    </row>
    <row r="177" spans="8:16" s="1" customFormat="1" ht="15.9" customHeight="1" x14ac:dyDescent="0.35">
      <c r="P177" s="5"/>
    </row>
    <row r="178" spans="8:16" s="1" customFormat="1" ht="15.9" customHeight="1" x14ac:dyDescent="0.35">
      <c r="P178" s="5"/>
    </row>
    <row r="179" spans="8:16" s="1" customFormat="1" ht="15.9" customHeight="1" x14ac:dyDescent="0.35">
      <c r="P179" s="5"/>
    </row>
    <row r="180" spans="8:16" s="1" customFormat="1" ht="15.9" customHeight="1" x14ac:dyDescent="0.35">
      <c r="P180" s="5"/>
    </row>
    <row r="181" spans="8:16" s="1" customFormat="1" ht="15.9" customHeight="1" x14ac:dyDescent="0.35">
      <c r="P181" s="5"/>
    </row>
    <row r="182" spans="8:16" s="1" customFormat="1" ht="15.9" customHeight="1" x14ac:dyDescent="0.35">
      <c r="P182" s="5"/>
    </row>
    <row r="183" spans="8:16" s="1" customFormat="1" ht="15.9" customHeight="1" x14ac:dyDescent="0.35">
      <c r="P183" s="5"/>
    </row>
    <row r="184" spans="8:16" s="1" customFormat="1" ht="15.9" customHeight="1" x14ac:dyDescent="0.35">
      <c r="K184" s="21"/>
      <c r="P184" s="5"/>
    </row>
    <row r="185" spans="8:16" s="1" customFormat="1" ht="15.9" customHeight="1" x14ac:dyDescent="0.35">
      <c r="K185" s="22"/>
      <c r="P185" s="5"/>
    </row>
    <row r="186" spans="8:16" s="1" customFormat="1" ht="15.9" customHeight="1" x14ac:dyDescent="0.35">
      <c r="I186" s="21"/>
      <c r="P186" s="5"/>
    </row>
    <row r="187" spans="8:16" s="1" customFormat="1" ht="15.9" customHeight="1" x14ac:dyDescent="0.35">
      <c r="H187" s="2"/>
      <c r="J187" s="21"/>
      <c r="P187" s="5"/>
    </row>
    <row r="188" spans="8:16" s="1" customFormat="1" ht="15.9" customHeight="1" x14ac:dyDescent="0.35"/>
    <row r="189" spans="8:16" s="1" customFormat="1" ht="15.9" customHeight="1" x14ac:dyDescent="0.35"/>
    <row r="190" spans="8:16" s="1" customFormat="1" ht="15.9" customHeight="1" x14ac:dyDescent="0.35"/>
    <row r="191" spans="8:16" s="1" customFormat="1" ht="15.9" customHeight="1" x14ac:dyDescent="0.35"/>
    <row r="192" spans="8:16" s="1" customFormat="1" ht="15.9" customHeight="1" x14ac:dyDescent="0.35"/>
    <row r="193" s="1" customFormat="1" ht="15.9" customHeight="1" x14ac:dyDescent="0.35"/>
    <row r="194" s="1" customFormat="1" ht="15.9" customHeight="1" x14ac:dyDescent="0.35"/>
    <row r="195" s="1" customFormat="1" ht="15.9" customHeight="1" x14ac:dyDescent="0.35"/>
    <row r="196" s="1" customFormat="1" ht="15.9" customHeight="1" x14ac:dyDescent="0.35"/>
    <row r="197" s="1" customFormat="1" ht="15.9" customHeight="1" x14ac:dyDescent="0.35"/>
    <row r="198" s="1" customFormat="1" ht="15.9" customHeight="1" x14ac:dyDescent="0.35"/>
    <row r="199" s="1" customFormat="1" ht="15.9" customHeight="1" x14ac:dyDescent="0.35"/>
    <row r="200" s="1" customFormat="1" ht="15.9" customHeight="1" x14ac:dyDescent="0.35"/>
    <row r="201" s="1" customFormat="1" ht="15.9" customHeight="1" x14ac:dyDescent="0.35"/>
    <row r="202" s="1" customFormat="1" ht="15.9" customHeight="1" x14ac:dyDescent="0.35"/>
    <row r="203" s="1" customFormat="1" ht="15.9" customHeight="1" x14ac:dyDescent="0.35"/>
    <row r="204" s="1" customFormat="1" ht="15.9" customHeight="1" x14ac:dyDescent="0.35"/>
    <row r="205" s="1" customFormat="1" ht="15.9" customHeight="1" x14ac:dyDescent="0.35"/>
    <row r="206" s="1" customFormat="1" ht="15.9" customHeight="1" x14ac:dyDescent="0.35"/>
    <row r="207" s="1" customFormat="1" ht="15.9" customHeight="1" x14ac:dyDescent="0.35"/>
    <row r="208" s="1" customFormat="1" ht="15.9" customHeight="1" x14ac:dyDescent="0.35"/>
    <row r="209" spans="16:16" s="1" customFormat="1" ht="15.9" customHeight="1" x14ac:dyDescent="0.35"/>
    <row r="210" spans="16:16" s="1" customFormat="1" ht="15.9" customHeight="1" x14ac:dyDescent="0.35"/>
    <row r="211" spans="16:16" s="1" customFormat="1" ht="15.9" customHeight="1" x14ac:dyDescent="0.35"/>
    <row r="212" spans="16:16" s="1" customFormat="1" ht="15.9" customHeight="1" x14ac:dyDescent="0.35"/>
    <row r="213" spans="16:16" s="1" customFormat="1" ht="15.9" customHeight="1" x14ac:dyDescent="0.35"/>
    <row r="214" spans="16:16" s="1" customFormat="1" ht="15.9" customHeight="1" x14ac:dyDescent="0.35"/>
    <row r="215" spans="16:16" s="1" customFormat="1" ht="15.9" customHeight="1" x14ac:dyDescent="0.35">
      <c r="P215" s="5"/>
    </row>
    <row r="216" spans="16:16" s="1" customFormat="1" ht="15.9" customHeight="1" x14ac:dyDescent="0.35">
      <c r="P216" s="5"/>
    </row>
    <row r="217" spans="16:16" s="1" customFormat="1" ht="15.9" customHeight="1" x14ac:dyDescent="0.35">
      <c r="P217" s="5"/>
    </row>
    <row r="218" spans="16:16" s="1" customFormat="1" ht="15.9" customHeight="1" x14ac:dyDescent="0.35">
      <c r="P218" s="5"/>
    </row>
    <row r="219" spans="16:16" s="1" customFormat="1" ht="15.9" customHeight="1" x14ac:dyDescent="0.35">
      <c r="P219" s="5"/>
    </row>
    <row r="220" spans="16:16" s="1" customFormat="1" ht="15.9" customHeight="1" x14ac:dyDescent="0.35">
      <c r="P220" s="5"/>
    </row>
    <row r="221" spans="16:16" s="1" customFormat="1" ht="15.9" customHeight="1" x14ac:dyDescent="0.35">
      <c r="P221" s="5"/>
    </row>
    <row r="222" spans="16:16" s="1" customFormat="1" ht="15.9" customHeight="1" x14ac:dyDescent="0.35">
      <c r="P222" s="5"/>
    </row>
    <row r="223" spans="16:16" s="1" customFormat="1" ht="15.9" customHeight="1" x14ac:dyDescent="0.35">
      <c r="P223" s="5"/>
    </row>
    <row r="224" spans="16:16" s="1" customFormat="1" ht="15.9" customHeight="1" x14ac:dyDescent="0.35">
      <c r="P224" s="5"/>
    </row>
    <row r="225" spans="16:16" s="1" customFormat="1" ht="15.9" customHeight="1" x14ac:dyDescent="0.35">
      <c r="P225" s="5"/>
    </row>
    <row r="226" spans="16:16" s="1" customFormat="1" ht="15.9" customHeight="1" x14ac:dyDescent="0.35">
      <c r="P226" s="5"/>
    </row>
    <row r="227" spans="16:16" s="1" customFormat="1" ht="15.9" customHeight="1" x14ac:dyDescent="0.35">
      <c r="P227" s="5"/>
    </row>
    <row r="228" spans="16:16" s="1" customFormat="1" ht="15.9" customHeight="1" x14ac:dyDescent="0.35">
      <c r="P228" s="5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84E5-0CE4-4949-9A94-0C5A6890B547}">
  <dimension ref="A2:L37"/>
  <sheetViews>
    <sheetView topLeftCell="A21" zoomScale="92" workbookViewId="0">
      <selection activeCell="A21" sqref="A1:XFD1048576"/>
    </sheetView>
  </sheetViews>
  <sheetFormatPr defaultColWidth="10.8984375" defaultRowHeight="18" x14ac:dyDescent="0.35"/>
  <cols>
    <col min="1" max="1" width="12.5" style="23" bestFit="1" customWidth="1"/>
    <col min="2" max="2" width="35.09765625" style="23" bestFit="1" customWidth="1"/>
    <col min="3" max="3" width="12.8984375" style="23" bestFit="1" customWidth="1"/>
    <col min="4" max="16384" width="10.8984375" style="23"/>
  </cols>
  <sheetData>
    <row r="2" spans="1:12" x14ac:dyDescent="0.35">
      <c r="B2" s="24"/>
      <c r="C2" s="24"/>
      <c r="D2" s="24"/>
    </row>
    <row r="3" spans="1:12" ht="15.9" customHeight="1" x14ac:dyDescent="0.35">
      <c r="A3" s="25" t="s">
        <v>36</v>
      </c>
    </row>
    <row r="4" spans="1:12" ht="15.9" customHeight="1" x14ac:dyDescent="0.35">
      <c r="A4" s="24"/>
    </row>
    <row r="5" spans="1:12" ht="15.9" customHeight="1" x14ac:dyDescent="0.35">
      <c r="A5" s="24"/>
    </row>
    <row r="6" spans="1:12" ht="15.9" customHeight="1" x14ac:dyDescent="0.35">
      <c r="A6" s="24"/>
    </row>
    <row r="7" spans="1:12" ht="15.9" customHeight="1" x14ac:dyDescent="0.35">
      <c r="A7" s="24"/>
    </row>
    <row r="8" spans="1:12" ht="15.9" customHeight="1" x14ac:dyDescent="0.35">
      <c r="A8" s="24"/>
    </row>
    <row r="9" spans="1:12" ht="15.9" customHeight="1" x14ac:dyDescent="0.35">
      <c r="A9" s="24"/>
    </row>
    <row r="11" spans="1:12" x14ac:dyDescent="0.35">
      <c r="A11" s="26" t="s">
        <v>18</v>
      </c>
      <c r="B11" s="27"/>
      <c r="C11" s="27"/>
      <c r="D11" s="27"/>
    </row>
    <row r="12" spans="1:12" ht="18.600000000000001" thickBot="1" x14ac:dyDescent="0.4">
      <c r="C12" s="28"/>
      <c r="D12" s="28"/>
      <c r="E12" s="28"/>
      <c r="I12" s="28"/>
      <c r="K12" s="28"/>
      <c r="L12" s="28"/>
    </row>
    <row r="13" spans="1:12" ht="19.2" thickTop="1" thickBot="1" x14ac:dyDescent="0.4">
      <c r="B13" s="29" t="s">
        <v>2</v>
      </c>
      <c r="C13" s="29"/>
      <c r="D13" s="29"/>
    </row>
    <row r="14" spans="1:12" ht="18.600000000000001" thickTop="1" x14ac:dyDescent="0.35">
      <c r="B14" s="23" t="s">
        <v>1</v>
      </c>
      <c r="C14" s="30">
        <f>15%</f>
        <v>0.15</v>
      </c>
    </row>
    <row r="15" spans="1:12" x14ac:dyDescent="0.35">
      <c r="B15" s="23" t="s">
        <v>3</v>
      </c>
      <c r="C15" s="30">
        <f>8%</f>
        <v>0.08</v>
      </c>
    </row>
    <row r="16" spans="1:12" x14ac:dyDescent="0.35">
      <c r="B16" s="23" t="s">
        <v>4</v>
      </c>
      <c r="C16" s="30">
        <f>2/3</f>
        <v>0.66666666666666663</v>
      </c>
    </row>
    <row r="17" spans="1:5" x14ac:dyDescent="0.35">
      <c r="B17" s="23" t="s">
        <v>5</v>
      </c>
      <c r="C17" s="30">
        <v>0.33333333333333298</v>
      </c>
    </row>
    <row r="18" spans="1:5" x14ac:dyDescent="0.35">
      <c r="B18" s="23" t="s">
        <v>6</v>
      </c>
      <c r="C18" s="31">
        <v>0.25</v>
      </c>
    </row>
    <row r="19" spans="1:5" x14ac:dyDescent="0.35">
      <c r="B19" s="32" t="s">
        <v>33</v>
      </c>
      <c r="C19" s="33">
        <f>C16*C14+(C17*C15)*(1-C18)</f>
        <v>0.11999999999999997</v>
      </c>
      <c r="D19" s="32"/>
    </row>
    <row r="20" spans="1:5" ht="18.600000000000001" thickBot="1" x14ac:dyDescent="0.4">
      <c r="C20" s="34"/>
    </row>
    <row r="21" spans="1:5" ht="19.2" thickTop="1" thickBot="1" x14ac:dyDescent="0.4">
      <c r="B21" s="29" t="s">
        <v>26</v>
      </c>
      <c r="C21" s="29"/>
      <c r="D21" s="29"/>
    </row>
    <row r="22" spans="1:5" ht="18.600000000000001" thickTop="1" x14ac:dyDescent="0.35">
      <c r="B22" s="23" t="s">
        <v>25</v>
      </c>
      <c r="C22" s="35">
        <v>12</v>
      </c>
    </row>
    <row r="23" spans="1:5" x14ac:dyDescent="0.35">
      <c r="D23" s="35"/>
    </row>
    <row r="25" spans="1:5" x14ac:dyDescent="0.35">
      <c r="A25" s="26" t="s">
        <v>37</v>
      </c>
      <c r="B25" s="27"/>
      <c r="C25" s="27"/>
      <c r="D25" s="27"/>
    </row>
    <row r="26" spans="1:5" x14ac:dyDescent="0.35">
      <c r="B26" s="23" t="s">
        <v>27</v>
      </c>
      <c r="C26" s="36">
        <v>370000</v>
      </c>
    </row>
    <row r="27" spans="1:5" x14ac:dyDescent="0.35">
      <c r="B27" s="23" t="s">
        <v>24</v>
      </c>
      <c r="C27" s="31">
        <v>0.05</v>
      </c>
    </row>
    <row r="28" spans="1:5" x14ac:dyDescent="0.35">
      <c r="B28" s="23" t="s">
        <v>28</v>
      </c>
      <c r="C28" s="37">
        <v>1500</v>
      </c>
    </row>
    <row r="29" spans="1:5" x14ac:dyDescent="0.35">
      <c r="B29" s="23" t="s">
        <v>29</v>
      </c>
      <c r="C29" s="31">
        <v>0.02</v>
      </c>
      <c r="E29" s="36"/>
    </row>
    <row r="30" spans="1:5" ht="18.600000000000001" thickBot="1" x14ac:dyDescent="0.4"/>
    <row r="31" spans="1:5" ht="19.2" thickTop="1" thickBot="1" x14ac:dyDescent="0.4">
      <c r="B31" s="29" t="s">
        <v>0</v>
      </c>
      <c r="C31" s="29"/>
      <c r="D31" s="29"/>
    </row>
    <row r="32" spans="1:5" ht="18.600000000000001" thickTop="1" x14ac:dyDescent="0.35">
      <c r="B32" s="23" t="s">
        <v>39</v>
      </c>
      <c r="C32" s="31">
        <v>0.35</v>
      </c>
    </row>
    <row r="33" spans="2:5" x14ac:dyDescent="0.35">
      <c r="B33" s="23" t="s">
        <v>38</v>
      </c>
      <c r="C33" s="31">
        <v>0.1</v>
      </c>
    </row>
    <row r="34" spans="2:5" x14ac:dyDescent="0.35">
      <c r="B34" s="23" t="s">
        <v>6</v>
      </c>
      <c r="C34" s="31">
        <v>0.3</v>
      </c>
    </row>
    <row r="35" spans="2:5" x14ac:dyDescent="0.35">
      <c r="B35" s="23" t="s">
        <v>40</v>
      </c>
      <c r="C35" s="36">
        <v>30000000</v>
      </c>
    </row>
    <row r="36" spans="2:5" x14ac:dyDescent="0.35">
      <c r="B36" s="23" t="s">
        <v>34</v>
      </c>
      <c r="C36" s="31">
        <v>0.05</v>
      </c>
      <c r="E36" s="30"/>
    </row>
    <row r="37" spans="2:5" x14ac:dyDescent="0.35">
      <c r="E37" s="3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ADA3-FD5B-534E-972E-9E687B1B0996}">
  <dimension ref="A4:S83"/>
  <sheetViews>
    <sheetView tabSelected="1" topLeftCell="A10" zoomScale="69" zoomScaleNormal="400" workbookViewId="0">
      <selection activeCell="N18" sqref="N18"/>
    </sheetView>
  </sheetViews>
  <sheetFormatPr defaultColWidth="10.8984375" defaultRowHeight="18" x14ac:dyDescent="0.35"/>
  <cols>
    <col min="1" max="1" width="10.8984375" style="23"/>
    <col min="2" max="2" width="0.8984375" style="23" customWidth="1"/>
    <col min="3" max="3" width="22.8984375" style="23" bestFit="1" customWidth="1"/>
    <col min="4" max="4" width="1.3984375" style="23" customWidth="1"/>
    <col min="5" max="5" width="17.3984375" style="23" bestFit="1" customWidth="1"/>
    <col min="6" max="13" width="12.3984375" style="23" customWidth="1"/>
    <col min="14" max="14" width="18.59765625" style="23" customWidth="1"/>
    <col min="15" max="15" width="10.8984375" style="23"/>
    <col min="16" max="17" width="13.59765625" style="23" bestFit="1" customWidth="1"/>
    <col min="18" max="18" width="15.296875" style="23" bestFit="1" customWidth="1"/>
    <col min="19" max="16384" width="10.8984375" style="23"/>
  </cols>
  <sheetData>
    <row r="4" spans="1:19" x14ac:dyDescent="0.35">
      <c r="A4" s="25" t="s">
        <v>36</v>
      </c>
    </row>
    <row r="6" spans="1:19" ht="15.9" customHeight="1" x14ac:dyDescent="0.35">
      <c r="B6" s="38"/>
      <c r="C6" s="39"/>
      <c r="D6" s="38"/>
      <c r="E6" s="40" t="s">
        <v>7</v>
      </c>
      <c r="F6" s="40"/>
      <c r="G6" s="40"/>
      <c r="H6" s="40"/>
      <c r="I6" s="40"/>
      <c r="J6" s="40"/>
      <c r="K6" s="40"/>
      <c r="L6" s="40"/>
      <c r="M6" s="40"/>
      <c r="N6" s="40"/>
      <c r="P6" s="25" t="s">
        <v>31</v>
      </c>
      <c r="Q6" s="25"/>
      <c r="R6" s="25"/>
      <c r="S6" s="25"/>
    </row>
    <row r="7" spans="1:19" ht="6" customHeight="1" x14ac:dyDescent="0.35">
      <c r="P7" s="25"/>
      <c r="Q7" s="25"/>
      <c r="R7" s="25"/>
      <c r="S7" s="25"/>
    </row>
    <row r="8" spans="1:19" ht="30" customHeight="1" x14ac:dyDescent="0.35">
      <c r="B8" s="41"/>
      <c r="C8" s="39"/>
      <c r="D8" s="24"/>
      <c r="E8" s="40" t="s">
        <v>23</v>
      </c>
      <c r="F8" s="40"/>
      <c r="G8" s="40"/>
      <c r="H8" s="40"/>
      <c r="I8" s="40"/>
      <c r="J8" s="40"/>
      <c r="K8" s="40"/>
      <c r="L8" s="40"/>
      <c r="M8" s="40"/>
      <c r="N8" s="40"/>
    </row>
    <row r="9" spans="1:19" x14ac:dyDescent="0.35">
      <c r="D9" s="42"/>
      <c r="E9" s="43"/>
      <c r="F9" s="43"/>
      <c r="G9" s="43"/>
      <c r="H9" s="43"/>
      <c r="I9" s="43"/>
      <c r="J9" s="43"/>
      <c r="K9" s="43"/>
      <c r="L9" s="43"/>
      <c r="M9" s="43"/>
      <c r="N9" s="43"/>
      <c r="P9" s="23" t="s">
        <v>41</v>
      </c>
      <c r="R9" s="23">
        <v>12</v>
      </c>
    </row>
    <row r="10" spans="1:19" x14ac:dyDescent="0.35">
      <c r="D10" s="42"/>
      <c r="E10" s="44">
        <v>2024</v>
      </c>
      <c r="F10" s="45">
        <v>2025</v>
      </c>
      <c r="G10" s="44">
        <v>2026</v>
      </c>
      <c r="H10" s="45">
        <v>2027</v>
      </c>
      <c r="I10" s="44">
        <v>2028</v>
      </c>
      <c r="J10" s="45">
        <v>2029</v>
      </c>
      <c r="K10" s="44">
        <v>2030</v>
      </c>
      <c r="L10" s="45">
        <v>2031</v>
      </c>
      <c r="M10" s="44">
        <v>2032</v>
      </c>
      <c r="N10" s="45">
        <v>2033</v>
      </c>
      <c r="P10" s="23" t="s">
        <v>9</v>
      </c>
      <c r="Q10" s="46"/>
      <c r="R10" s="46">
        <f>N23</f>
        <v>668823581.68441904</v>
      </c>
    </row>
    <row r="11" spans="1:19" x14ac:dyDescent="0.35">
      <c r="D11" s="28"/>
      <c r="E11" s="47">
        <v>1</v>
      </c>
      <c r="F11" s="48">
        <v>2</v>
      </c>
      <c r="G11" s="48">
        <v>3</v>
      </c>
      <c r="H11" s="48">
        <v>4</v>
      </c>
      <c r="I11" s="48">
        <v>5</v>
      </c>
      <c r="J11" s="48">
        <v>6</v>
      </c>
      <c r="K11" s="48">
        <v>7</v>
      </c>
      <c r="L11" s="48">
        <v>8</v>
      </c>
      <c r="M11" s="48">
        <v>9</v>
      </c>
      <c r="N11" s="48">
        <v>10</v>
      </c>
      <c r="P11" s="49" t="s">
        <v>31</v>
      </c>
      <c r="Q11" s="50"/>
      <c r="R11" s="49">
        <f>R10*R9</f>
        <v>8025882980.213028</v>
      </c>
      <c r="S11" s="49"/>
    </row>
    <row r="12" spans="1:19" x14ac:dyDescent="0.35"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</row>
    <row r="13" spans="1:19" x14ac:dyDescent="0.35">
      <c r="D13" s="51"/>
      <c r="E13" s="53"/>
      <c r="F13" s="53"/>
      <c r="G13" s="53"/>
      <c r="H13" s="53"/>
      <c r="I13" s="53"/>
      <c r="J13" s="53"/>
      <c r="K13" s="53"/>
      <c r="L13" s="53"/>
      <c r="M13" s="53"/>
      <c r="N13" s="53"/>
      <c r="P13" s="54" t="s">
        <v>43</v>
      </c>
      <c r="Q13" s="54"/>
      <c r="R13" s="54">
        <f>R11/(1+12%)^10</f>
        <v>2584119519.6373696</v>
      </c>
    </row>
    <row r="14" spans="1:19" x14ac:dyDescent="0.35">
      <c r="C14" s="23" t="s">
        <v>20</v>
      </c>
      <c r="D14" s="51"/>
      <c r="E14" s="46">
        <f>'Ex 2 - Assumptions'!C26</f>
        <v>370000</v>
      </c>
      <c r="F14" s="46">
        <f>E14*(1+F15)</f>
        <v>388500</v>
      </c>
      <c r="G14" s="46">
        <f t="shared" ref="G14:N14" si="0">F14*(1+G15)</f>
        <v>407925</v>
      </c>
      <c r="H14" s="46">
        <f t="shared" si="0"/>
        <v>428321.25</v>
      </c>
      <c r="I14" s="46">
        <f t="shared" si="0"/>
        <v>449737.3125</v>
      </c>
      <c r="J14" s="46">
        <f t="shared" si="0"/>
        <v>472224.17812500003</v>
      </c>
      <c r="K14" s="46">
        <f t="shared" si="0"/>
        <v>495835.38703125005</v>
      </c>
      <c r="L14" s="46">
        <f t="shared" si="0"/>
        <v>520627.15638281259</v>
      </c>
      <c r="M14" s="46">
        <f t="shared" si="0"/>
        <v>546658.51420195319</v>
      </c>
      <c r="N14" s="46">
        <f t="shared" si="0"/>
        <v>573991.43991205085</v>
      </c>
    </row>
    <row r="15" spans="1:19" s="55" customFormat="1" x14ac:dyDescent="0.35">
      <c r="C15" s="55" t="s">
        <v>24</v>
      </c>
      <c r="D15" s="56"/>
      <c r="E15" s="57">
        <v>0.05</v>
      </c>
      <c r="F15" s="57">
        <v>0.05</v>
      </c>
      <c r="G15" s="57">
        <v>0.05</v>
      </c>
      <c r="H15" s="57">
        <v>0.05</v>
      </c>
      <c r="I15" s="57">
        <v>0.05</v>
      </c>
      <c r="J15" s="57">
        <v>0.05</v>
      </c>
      <c r="K15" s="57">
        <v>0.05</v>
      </c>
      <c r="L15" s="57">
        <v>0.05</v>
      </c>
      <c r="M15" s="57">
        <v>0.05</v>
      </c>
      <c r="N15" s="57">
        <v>0.05</v>
      </c>
    </row>
    <row r="16" spans="1:19" x14ac:dyDescent="0.35">
      <c r="C16" s="23" t="s">
        <v>21</v>
      </c>
      <c r="D16" s="51"/>
      <c r="E16" s="58">
        <f>'Ex 2 - Assumptions'!C28</f>
        <v>1500</v>
      </c>
      <c r="F16" s="58">
        <f>E16*(1+F17)</f>
        <v>1530</v>
      </c>
      <c r="G16" s="58">
        <f t="shared" ref="G16:N16" si="1">F16*(1+G17)</f>
        <v>1560.6000000000001</v>
      </c>
      <c r="H16" s="58">
        <f t="shared" si="1"/>
        <v>1591.8120000000001</v>
      </c>
      <c r="I16" s="58">
        <f t="shared" si="1"/>
        <v>1623.6482400000002</v>
      </c>
      <c r="J16" s="58">
        <f t="shared" si="1"/>
        <v>1656.1212048000002</v>
      </c>
      <c r="K16" s="58">
        <f t="shared" si="1"/>
        <v>1689.2436288960002</v>
      </c>
      <c r="L16" s="58">
        <f t="shared" si="1"/>
        <v>1723.0285014739202</v>
      </c>
      <c r="M16" s="58">
        <f t="shared" si="1"/>
        <v>1757.4890715033987</v>
      </c>
      <c r="N16" s="58">
        <f t="shared" si="1"/>
        <v>1792.6388529334668</v>
      </c>
    </row>
    <row r="17" spans="2:14" s="55" customFormat="1" x14ac:dyDescent="0.35">
      <c r="C17" s="55" t="s">
        <v>22</v>
      </c>
      <c r="D17" s="56"/>
      <c r="E17" s="59">
        <v>0.02</v>
      </c>
      <c r="F17" s="59">
        <v>0.02</v>
      </c>
      <c r="G17" s="59">
        <v>0.02</v>
      </c>
      <c r="H17" s="59">
        <v>0.02</v>
      </c>
      <c r="I17" s="59">
        <v>0.02</v>
      </c>
      <c r="J17" s="59">
        <v>0.02</v>
      </c>
      <c r="K17" s="59">
        <v>0.02</v>
      </c>
      <c r="L17" s="59">
        <v>0.02</v>
      </c>
      <c r="M17" s="59">
        <v>0.02</v>
      </c>
      <c r="N17" s="59">
        <v>0.02</v>
      </c>
    </row>
    <row r="18" spans="2:14" x14ac:dyDescent="0.35">
      <c r="B18" s="60"/>
      <c r="C18" s="32" t="s">
        <v>8</v>
      </c>
      <c r="D18" s="61"/>
      <c r="E18" s="62">
        <f>E14*E16</f>
        <v>555000000</v>
      </c>
      <c r="F18" s="62">
        <f t="shared" ref="F18:N18" si="2">F14*F16</f>
        <v>594405000</v>
      </c>
      <c r="G18" s="62">
        <f t="shared" si="2"/>
        <v>636607755</v>
      </c>
      <c r="H18" s="62">
        <f t="shared" si="2"/>
        <v>681806905.60500002</v>
      </c>
      <c r="I18" s="62">
        <f t="shared" si="2"/>
        <v>730215195.90295506</v>
      </c>
      <c r="J18" s="62">
        <f t="shared" si="2"/>
        <v>782060474.81206501</v>
      </c>
      <c r="K18" s="62">
        <f t="shared" si="2"/>
        <v>837586768.52372158</v>
      </c>
      <c r="L18" s="62">
        <f t="shared" si="2"/>
        <v>897055429.08890593</v>
      </c>
      <c r="M18" s="62">
        <f t="shared" si="2"/>
        <v>960746364.55421817</v>
      </c>
      <c r="N18" s="62">
        <f t="shared" si="2"/>
        <v>1028959356.4375677</v>
      </c>
    </row>
    <row r="19" spans="2:14" x14ac:dyDescent="0.35">
      <c r="B19" s="60"/>
      <c r="D19" s="63"/>
      <c r="E19" s="64"/>
      <c r="F19" s="64"/>
      <c r="G19" s="64"/>
      <c r="H19" s="64"/>
      <c r="I19" s="64"/>
      <c r="J19" s="64"/>
      <c r="K19" s="64"/>
      <c r="L19" s="64"/>
      <c r="M19" s="64"/>
      <c r="N19" s="65"/>
    </row>
    <row r="20" spans="2:14" x14ac:dyDescent="0.35">
      <c r="B20" s="60"/>
      <c r="C20" s="23" t="s">
        <v>35</v>
      </c>
      <c r="D20" s="66"/>
      <c r="E20" s="64">
        <f>E18*E21</f>
        <v>194250000</v>
      </c>
      <c r="F20" s="64">
        <f t="shared" ref="F20:N20" si="3">F18*F21</f>
        <v>208041750</v>
      </c>
      <c r="G20" s="64">
        <f t="shared" si="3"/>
        <v>222812714.25</v>
      </c>
      <c r="H20" s="64">
        <f t="shared" si="3"/>
        <v>238632416.96175</v>
      </c>
      <c r="I20" s="64">
        <f t="shared" si="3"/>
        <v>255575318.56603426</v>
      </c>
      <c r="J20" s="64">
        <f t="shared" si="3"/>
        <v>273721166.18422276</v>
      </c>
      <c r="K20" s="64">
        <f t="shared" si="3"/>
        <v>293155368.98330253</v>
      </c>
      <c r="L20" s="64">
        <f t="shared" si="3"/>
        <v>313969400.18111706</v>
      </c>
      <c r="M20" s="64">
        <f t="shared" si="3"/>
        <v>336261227.59397632</v>
      </c>
      <c r="N20" s="64">
        <f t="shared" si="3"/>
        <v>360135774.75314867</v>
      </c>
    </row>
    <row r="21" spans="2:14" s="55" customFormat="1" x14ac:dyDescent="0.35">
      <c r="B21" s="67"/>
      <c r="C21" s="55" t="s">
        <v>32</v>
      </c>
      <c r="D21" s="68"/>
      <c r="E21" s="69">
        <v>0.35</v>
      </c>
      <c r="F21" s="69">
        <v>0.35</v>
      </c>
      <c r="G21" s="69">
        <v>0.35</v>
      </c>
      <c r="H21" s="69">
        <v>0.35</v>
      </c>
      <c r="I21" s="69">
        <v>0.35</v>
      </c>
      <c r="J21" s="69">
        <v>0.35</v>
      </c>
      <c r="K21" s="69">
        <v>0.35</v>
      </c>
      <c r="L21" s="69">
        <v>0.35</v>
      </c>
      <c r="M21" s="69">
        <v>0.35</v>
      </c>
      <c r="N21" s="69">
        <v>0.35</v>
      </c>
    </row>
    <row r="22" spans="2:14" x14ac:dyDescent="0.35">
      <c r="B22" s="60"/>
      <c r="D22" s="66"/>
      <c r="E22" s="70"/>
      <c r="F22" s="70"/>
      <c r="G22" s="70"/>
      <c r="H22" s="70"/>
      <c r="I22" s="70"/>
      <c r="J22" s="70"/>
      <c r="K22" s="70"/>
      <c r="L22" s="70"/>
      <c r="M22" s="70"/>
      <c r="N22" s="71"/>
    </row>
    <row r="23" spans="2:14" x14ac:dyDescent="0.35">
      <c r="B23" s="60"/>
      <c r="C23" s="72" t="s">
        <v>9</v>
      </c>
      <c r="D23" s="63"/>
      <c r="E23" s="73">
        <f>E18-E20</f>
        <v>360750000</v>
      </c>
      <c r="F23" s="73">
        <f t="shared" ref="F23:N23" si="4">F18-F20</f>
        <v>386363250</v>
      </c>
      <c r="G23" s="73">
        <f t="shared" si="4"/>
        <v>413795040.75</v>
      </c>
      <c r="H23" s="73">
        <f t="shared" si="4"/>
        <v>443174488.64324999</v>
      </c>
      <c r="I23" s="73">
        <f t="shared" si="4"/>
        <v>474639877.3369208</v>
      </c>
      <c r="J23" s="73">
        <f t="shared" si="4"/>
        <v>508339308.62784225</v>
      </c>
      <c r="K23" s="73">
        <f t="shared" si="4"/>
        <v>544431399.5404191</v>
      </c>
      <c r="L23" s="73">
        <f t="shared" si="4"/>
        <v>583086028.90778887</v>
      </c>
      <c r="M23" s="73">
        <f t="shared" si="4"/>
        <v>624485136.96024179</v>
      </c>
      <c r="N23" s="73">
        <f t="shared" si="4"/>
        <v>668823581.68441904</v>
      </c>
    </row>
    <row r="24" spans="2:14" x14ac:dyDescent="0.35">
      <c r="B24" s="60"/>
      <c r="D24" s="66"/>
      <c r="E24" s="70"/>
      <c r="F24" s="70"/>
      <c r="G24" s="70"/>
      <c r="H24" s="70"/>
      <c r="I24" s="70"/>
      <c r="J24" s="70"/>
      <c r="K24" s="70"/>
      <c r="L24" s="70"/>
      <c r="M24" s="70"/>
      <c r="N24" s="71"/>
    </row>
    <row r="25" spans="2:14" x14ac:dyDescent="0.35">
      <c r="C25" s="23" t="s">
        <v>11</v>
      </c>
      <c r="D25" s="74"/>
      <c r="E25" s="64">
        <f>E18*E26</f>
        <v>55500000</v>
      </c>
      <c r="F25" s="64">
        <f t="shared" ref="F25:N25" si="5">F18*F26</f>
        <v>59440500</v>
      </c>
      <c r="G25" s="64">
        <f t="shared" si="5"/>
        <v>63660775.5</v>
      </c>
      <c r="H25" s="64">
        <f t="shared" si="5"/>
        <v>68180690.560500011</v>
      </c>
      <c r="I25" s="64">
        <f t="shared" si="5"/>
        <v>73021519.590295509</v>
      </c>
      <c r="J25" s="64">
        <f t="shared" si="5"/>
        <v>78206047.481206506</v>
      </c>
      <c r="K25" s="64">
        <f t="shared" si="5"/>
        <v>83758676.852372169</v>
      </c>
      <c r="L25" s="64">
        <f t="shared" si="5"/>
        <v>89705542.908890605</v>
      </c>
      <c r="M25" s="64">
        <f t="shared" si="5"/>
        <v>96074636.45542182</v>
      </c>
      <c r="N25" s="64">
        <f t="shared" si="5"/>
        <v>102895935.64375678</v>
      </c>
    </row>
    <row r="26" spans="2:14" s="55" customFormat="1" x14ac:dyDescent="0.35">
      <c r="B26" s="75"/>
      <c r="C26" s="75" t="s">
        <v>10</v>
      </c>
      <c r="D26" s="76"/>
      <c r="E26" s="69">
        <v>0.1</v>
      </c>
      <c r="F26" s="69">
        <v>0.1</v>
      </c>
      <c r="G26" s="69">
        <v>0.1</v>
      </c>
      <c r="H26" s="69">
        <v>0.1</v>
      </c>
      <c r="I26" s="69">
        <v>0.1</v>
      </c>
      <c r="J26" s="69">
        <v>0.1</v>
      </c>
      <c r="K26" s="69">
        <v>0.1</v>
      </c>
      <c r="L26" s="69">
        <v>0.1</v>
      </c>
      <c r="M26" s="69">
        <v>0.1</v>
      </c>
      <c r="N26" s="69">
        <v>0.1</v>
      </c>
    </row>
    <row r="27" spans="2:14" x14ac:dyDescent="0.35">
      <c r="D27" s="77"/>
      <c r="E27" s="64"/>
      <c r="F27" s="64"/>
      <c r="G27" s="64"/>
      <c r="H27" s="64"/>
      <c r="I27" s="64"/>
      <c r="J27" s="64"/>
      <c r="K27" s="64"/>
      <c r="L27" s="64"/>
      <c r="M27" s="64"/>
      <c r="N27" s="65"/>
    </row>
    <row r="28" spans="2:14" x14ac:dyDescent="0.35">
      <c r="C28" s="23" t="s">
        <v>12</v>
      </c>
      <c r="D28" s="63"/>
      <c r="E28" s="73">
        <f>E23-E25</f>
        <v>305250000</v>
      </c>
      <c r="F28" s="73">
        <f t="shared" ref="F28:N28" si="6">F23-F25</f>
        <v>326922750</v>
      </c>
      <c r="G28" s="73">
        <f t="shared" si="6"/>
        <v>350134265.25</v>
      </c>
      <c r="H28" s="73">
        <f t="shared" si="6"/>
        <v>374993798.08274996</v>
      </c>
      <c r="I28" s="73">
        <f t="shared" si="6"/>
        <v>401618357.7466253</v>
      </c>
      <c r="J28" s="73">
        <f t="shared" si="6"/>
        <v>430133261.14663577</v>
      </c>
      <c r="K28" s="73">
        <f t="shared" si="6"/>
        <v>460672722.68804693</v>
      </c>
      <c r="L28" s="73">
        <f t="shared" si="6"/>
        <v>493380485.99889827</v>
      </c>
      <c r="M28" s="73">
        <f t="shared" si="6"/>
        <v>528410500.50481999</v>
      </c>
      <c r="N28" s="73">
        <f t="shared" si="6"/>
        <v>565927646.04066229</v>
      </c>
    </row>
    <row r="29" spans="2:14" x14ac:dyDescent="0.35">
      <c r="D29" s="77"/>
      <c r="E29" s="64"/>
      <c r="F29" s="64"/>
      <c r="G29" s="64"/>
      <c r="H29" s="64"/>
      <c r="I29" s="64"/>
      <c r="J29" s="64"/>
      <c r="K29" s="64"/>
      <c r="L29" s="64"/>
      <c r="M29" s="64"/>
      <c r="N29" s="65"/>
    </row>
    <row r="30" spans="2:14" x14ac:dyDescent="0.35">
      <c r="C30" s="23" t="s">
        <v>13</v>
      </c>
      <c r="D30" s="78"/>
      <c r="E30" s="64">
        <f>E28*E31</f>
        <v>91575000</v>
      </c>
      <c r="F30" s="64">
        <f t="shared" ref="F30:N30" si="7">F28*F31</f>
        <v>98076825</v>
      </c>
      <c r="G30" s="64">
        <f t="shared" si="7"/>
        <v>105040279.575</v>
      </c>
      <c r="H30" s="64">
        <f t="shared" si="7"/>
        <v>112498139.42482498</v>
      </c>
      <c r="I30" s="64">
        <f t="shared" si="7"/>
        <v>120485507.32398759</v>
      </c>
      <c r="J30" s="64">
        <f t="shared" si="7"/>
        <v>129039978.34399073</v>
      </c>
      <c r="K30" s="64">
        <f t="shared" si="7"/>
        <v>138201816.80641407</v>
      </c>
      <c r="L30" s="64">
        <f t="shared" si="7"/>
        <v>148014145.79966947</v>
      </c>
      <c r="M30" s="64">
        <f t="shared" si="7"/>
        <v>158523150.15144598</v>
      </c>
      <c r="N30" s="64">
        <f t="shared" si="7"/>
        <v>169778293.81219867</v>
      </c>
    </row>
    <row r="31" spans="2:14" x14ac:dyDescent="0.35">
      <c r="D31" s="77"/>
      <c r="E31" s="79">
        <v>0.3</v>
      </c>
      <c r="F31" s="79">
        <v>0.3</v>
      </c>
      <c r="G31" s="79">
        <v>0.3</v>
      </c>
      <c r="H31" s="79">
        <v>0.3</v>
      </c>
      <c r="I31" s="79">
        <v>0.3</v>
      </c>
      <c r="J31" s="79">
        <v>0.3</v>
      </c>
      <c r="K31" s="79">
        <v>0.3</v>
      </c>
      <c r="L31" s="79">
        <v>0.3</v>
      </c>
      <c r="M31" s="79">
        <v>0.3</v>
      </c>
      <c r="N31" s="79">
        <v>0.3</v>
      </c>
    </row>
    <row r="32" spans="2:14" ht="19.2" customHeight="1" x14ac:dyDescent="0.35">
      <c r="C32" s="23" t="s">
        <v>14</v>
      </c>
      <c r="D32" s="80"/>
      <c r="E32" s="64">
        <f>E18*E33</f>
        <v>27750000</v>
      </c>
      <c r="F32" s="64">
        <f t="shared" ref="F32:N32" si="8">F18*F33</f>
        <v>29720250</v>
      </c>
      <c r="G32" s="64">
        <f t="shared" si="8"/>
        <v>31830387.75</v>
      </c>
      <c r="H32" s="64">
        <f t="shared" si="8"/>
        <v>34090345.280250005</v>
      </c>
      <c r="I32" s="64">
        <f t="shared" si="8"/>
        <v>36510759.795147754</v>
      </c>
      <c r="J32" s="64">
        <f t="shared" si="8"/>
        <v>39103023.740603253</v>
      </c>
      <c r="K32" s="64">
        <f t="shared" si="8"/>
        <v>41879338.426186085</v>
      </c>
      <c r="L32" s="64">
        <f t="shared" si="8"/>
        <v>44852771.454445302</v>
      </c>
      <c r="M32" s="64">
        <f t="shared" si="8"/>
        <v>48037318.22771091</v>
      </c>
      <c r="N32" s="64">
        <f t="shared" si="8"/>
        <v>51447967.821878389</v>
      </c>
    </row>
    <row r="33" spans="2:14" ht="15" customHeight="1" x14ac:dyDescent="0.35">
      <c r="C33" s="75" t="s">
        <v>10</v>
      </c>
      <c r="D33" s="80"/>
      <c r="E33" s="79">
        <v>0.05</v>
      </c>
      <c r="F33" s="79">
        <v>0.05</v>
      </c>
      <c r="G33" s="79">
        <v>0.05</v>
      </c>
      <c r="H33" s="79">
        <v>0.05</v>
      </c>
      <c r="I33" s="79">
        <v>0.05</v>
      </c>
      <c r="J33" s="79">
        <v>0.05</v>
      </c>
      <c r="K33" s="79">
        <v>0.05</v>
      </c>
      <c r="L33" s="79">
        <v>0.05</v>
      </c>
      <c r="M33" s="79">
        <v>0.05</v>
      </c>
      <c r="N33" s="79">
        <v>0.05</v>
      </c>
    </row>
    <row r="34" spans="2:14" x14ac:dyDescent="0.35">
      <c r="B34" s="60"/>
      <c r="D34" s="77"/>
      <c r="E34" s="64"/>
      <c r="F34" s="64"/>
      <c r="G34" s="64"/>
      <c r="H34" s="64"/>
      <c r="I34" s="64"/>
      <c r="J34" s="64"/>
      <c r="K34" s="64"/>
      <c r="L34" s="64"/>
      <c r="M34" s="64"/>
      <c r="N34" s="65"/>
    </row>
    <row r="35" spans="2:14" x14ac:dyDescent="0.35">
      <c r="B35" s="81"/>
      <c r="C35" s="23" t="s">
        <v>15</v>
      </c>
      <c r="D35" s="74"/>
      <c r="E35" s="46">
        <f>'Ex 2 - Assumptions'!C35</f>
        <v>30000000</v>
      </c>
      <c r="F35" s="46">
        <f t="shared" ref="F35:N35" si="9">E35</f>
        <v>30000000</v>
      </c>
      <c r="G35" s="46">
        <f t="shared" si="9"/>
        <v>30000000</v>
      </c>
      <c r="H35" s="46">
        <f t="shared" si="9"/>
        <v>30000000</v>
      </c>
      <c r="I35" s="46">
        <f t="shared" si="9"/>
        <v>30000000</v>
      </c>
      <c r="J35" s="46">
        <f t="shared" si="9"/>
        <v>30000000</v>
      </c>
      <c r="K35" s="46">
        <f t="shared" si="9"/>
        <v>30000000</v>
      </c>
      <c r="L35" s="46">
        <f t="shared" si="9"/>
        <v>30000000</v>
      </c>
      <c r="M35" s="46">
        <f t="shared" si="9"/>
        <v>30000000</v>
      </c>
      <c r="N35" s="46">
        <f t="shared" si="9"/>
        <v>30000000</v>
      </c>
    </row>
    <row r="36" spans="2:14" x14ac:dyDescent="0.35">
      <c r="C36" s="55"/>
      <c r="D36" s="77"/>
      <c r="E36" s="64"/>
      <c r="F36" s="64"/>
      <c r="G36" s="64"/>
      <c r="H36" s="64"/>
      <c r="I36" s="64"/>
      <c r="J36" s="64"/>
      <c r="K36" s="64"/>
      <c r="L36" s="64"/>
      <c r="M36" s="64"/>
      <c r="N36" s="65"/>
    </row>
    <row r="37" spans="2:14" x14ac:dyDescent="0.35">
      <c r="C37" s="72" t="s">
        <v>16</v>
      </c>
      <c r="D37" s="82"/>
      <c r="E37" s="73">
        <f>E23-E30-E32-E35</f>
        <v>211425000</v>
      </c>
      <c r="F37" s="73">
        <f t="shared" ref="F37:N37" si="10">F23-F30-F32-F35</f>
        <v>228566175</v>
      </c>
      <c r="G37" s="73">
        <f t="shared" si="10"/>
        <v>246924373.42500001</v>
      </c>
      <c r="H37" s="73">
        <f t="shared" si="10"/>
        <v>266586003.93817502</v>
      </c>
      <c r="I37" s="73">
        <f t="shared" si="10"/>
        <v>287643610.21778542</v>
      </c>
      <c r="J37" s="73">
        <f t="shared" si="10"/>
        <v>310196306.54324824</v>
      </c>
      <c r="K37" s="73">
        <f t="shared" si="10"/>
        <v>334350244.30781895</v>
      </c>
      <c r="L37" s="73">
        <f t="shared" si="10"/>
        <v>360219111.65367407</v>
      </c>
      <c r="M37" s="73">
        <f t="shared" si="10"/>
        <v>387924668.58108491</v>
      </c>
      <c r="N37" s="73">
        <f t="shared" si="10"/>
        <v>417597320.05034202</v>
      </c>
    </row>
    <row r="38" spans="2:14" x14ac:dyDescent="0.35">
      <c r="E38" s="83"/>
      <c r="F38" s="46"/>
      <c r="G38" s="46"/>
      <c r="H38" s="46"/>
      <c r="I38" s="46"/>
      <c r="J38" s="46"/>
      <c r="K38" s="46"/>
      <c r="L38" s="46"/>
      <c r="M38" s="46"/>
      <c r="N38" s="46"/>
    </row>
    <row r="39" spans="2:14" x14ac:dyDescent="0.35">
      <c r="C39" s="72" t="s">
        <v>17</v>
      </c>
      <c r="D39" s="84"/>
      <c r="E39" s="73">
        <f>E37/(1+E40)^E11</f>
        <v>188772321.4285714</v>
      </c>
      <c r="F39" s="73">
        <f t="shared" ref="F39:N39" si="11">F37/(1+F40)^F11</f>
        <v>182211555.32525507</v>
      </c>
      <c r="G39" s="73">
        <f t="shared" si="11"/>
        <v>175755891.70761773</v>
      </c>
      <c r="H39" s="73">
        <f t="shared" si="11"/>
        <v>169420224.95241174</v>
      </c>
      <c r="I39" s="73">
        <f t="shared" si="11"/>
        <v>163216709.31342432</v>
      </c>
      <c r="J39" s="73">
        <f t="shared" si="11"/>
        <v>157155102.56906971</v>
      </c>
      <c r="K39" s="73">
        <f t="shared" si="11"/>
        <v>151243070.66034052</v>
      </c>
      <c r="L39" s="73">
        <f t="shared" si="11"/>
        <v>145486457.59454668</v>
      </c>
      <c r="M39" s="73">
        <f t="shared" si="11"/>
        <v>139889524.42799601</v>
      </c>
      <c r="N39" s="73">
        <f t="shared" si="11"/>
        <v>134455160.72820938</v>
      </c>
    </row>
    <row r="40" spans="2:14" x14ac:dyDescent="0.35">
      <c r="C40" s="23" t="s">
        <v>2</v>
      </c>
      <c r="E40" s="30">
        <v>0.12</v>
      </c>
      <c r="F40" s="30">
        <v>0.12</v>
      </c>
      <c r="G40" s="30">
        <v>0.12</v>
      </c>
      <c r="H40" s="30">
        <v>0.12</v>
      </c>
      <c r="I40" s="30">
        <v>0.12</v>
      </c>
      <c r="J40" s="30">
        <v>0.12</v>
      </c>
      <c r="K40" s="30">
        <v>0.12</v>
      </c>
      <c r="L40" s="30">
        <v>0.12</v>
      </c>
      <c r="M40" s="30">
        <v>0.12</v>
      </c>
      <c r="N40" s="30">
        <v>0.12</v>
      </c>
    </row>
    <row r="41" spans="2:14" x14ac:dyDescent="0.35">
      <c r="E41" s="46"/>
      <c r="F41" s="46"/>
      <c r="G41" s="46"/>
      <c r="H41" s="46"/>
      <c r="I41" s="46"/>
      <c r="J41" s="46"/>
      <c r="K41" s="46"/>
      <c r="L41" s="46"/>
      <c r="M41" s="46"/>
      <c r="N41" s="46"/>
    </row>
    <row r="42" spans="2:14" x14ac:dyDescent="0.35">
      <c r="C42" s="85" t="s">
        <v>18</v>
      </c>
      <c r="D42" s="24"/>
      <c r="E42" s="86"/>
      <c r="F42" s="87"/>
      <c r="G42" s="46"/>
      <c r="H42" s="46"/>
      <c r="I42" s="46"/>
      <c r="J42" s="46"/>
      <c r="K42" s="46"/>
      <c r="L42" s="46"/>
      <c r="M42" s="46"/>
      <c r="N42" s="46"/>
    </row>
    <row r="43" spans="2:14" x14ac:dyDescent="0.35">
      <c r="C43" s="88" t="s">
        <v>30</v>
      </c>
      <c r="E43" s="46">
        <f>SUM(E39:N39)</f>
        <v>1607606018.7074423</v>
      </c>
    </row>
    <row r="44" spans="2:14" x14ac:dyDescent="0.35">
      <c r="C44" s="23" t="s">
        <v>31</v>
      </c>
      <c r="D44" s="60"/>
      <c r="E44" s="36">
        <f>R13</f>
        <v>2584119519.6373696</v>
      </c>
    </row>
    <row r="45" spans="2:14" x14ac:dyDescent="0.35">
      <c r="B45" s="54"/>
      <c r="C45" s="89" t="s">
        <v>19</v>
      </c>
      <c r="D45" s="89"/>
      <c r="E45" s="90">
        <f>E43+E44</f>
        <v>4191725538.3448119</v>
      </c>
    </row>
    <row r="47" spans="2:14" x14ac:dyDescent="0.35">
      <c r="C47" s="60"/>
      <c r="D47" s="60"/>
    </row>
    <row r="81" spans="7:12" x14ac:dyDescent="0.35">
      <c r="L81" s="31"/>
    </row>
    <row r="82" spans="7:12" x14ac:dyDescent="0.35">
      <c r="G82" s="34"/>
      <c r="L82" s="31"/>
    </row>
    <row r="83" spans="7:12" x14ac:dyDescent="0.35">
      <c r="G83" s="34"/>
      <c r="L83" s="31"/>
    </row>
  </sheetData>
  <mergeCells count="2">
    <mergeCell ref="E8:N8"/>
    <mergeCell ref="E6:N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348EC72C2DE8468DB726F70C1E2B72" ma:contentTypeVersion="18" ma:contentTypeDescription="Crée un document." ma:contentTypeScope="" ma:versionID="782a90c77b0bdb625a68bf9a4930ae9a">
  <xsd:schema xmlns:xsd="http://www.w3.org/2001/XMLSchema" xmlns:xs="http://www.w3.org/2001/XMLSchema" xmlns:p="http://schemas.microsoft.com/office/2006/metadata/properties" xmlns:ns1="http://schemas.microsoft.com/sharepoint/v3" xmlns:ns2="5d8e64d1-aac3-4ead-a9d6-e3af869b2641" xmlns:ns3="215fb824-6a58-48a9-8ac0-c6a19b611494" targetNamespace="http://schemas.microsoft.com/office/2006/metadata/properties" ma:root="true" ma:fieldsID="320a4a584cdd92d20cbe4d31ab17a840" ns1:_="" ns2:_="" ns3:_="">
    <xsd:import namespace="http://schemas.microsoft.com/sharepoint/v3"/>
    <xsd:import namespace="5d8e64d1-aac3-4ead-a9d6-e3af869b2641"/>
    <xsd:import namespace="215fb824-6a58-48a9-8ac0-c6a19b6114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e64d1-aac3-4ead-a9d6-e3af869b26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fb824-6a58-48a9-8ac0-c6a19b61149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3641ef8-809d-4105-b78a-a2a39f15f80e}" ma:internalName="TaxCatchAll" ma:showField="CatchAllData" ma:web="215fb824-6a58-48a9-8ac0-c6a19b6114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215fb824-6a58-48a9-8ac0-c6a19b611494" xsi:nil="true"/>
    <lcf76f155ced4ddcb4097134ff3c332f xmlns="5d8e64d1-aac3-4ead-a9d6-e3af869b264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BD0002-8E8B-4654-A074-973549AF61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d8e64d1-aac3-4ead-a9d6-e3af869b2641"/>
    <ds:schemaRef ds:uri="215fb824-6a58-48a9-8ac0-c6a19b6114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41775-BE8D-42D5-9E94-2B5FBEECEFC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215fb824-6a58-48a9-8ac0-c6a19b611494"/>
    <ds:schemaRef ds:uri="5d8e64d1-aac3-4ead-a9d6-e3af869b2641"/>
  </ds:schemaRefs>
</ds:datastoreItem>
</file>

<file path=customXml/itemProps3.xml><?xml version="1.0" encoding="utf-8"?>
<ds:datastoreItem xmlns:ds="http://schemas.openxmlformats.org/officeDocument/2006/customXml" ds:itemID="{DBEC6B36-FE70-46C2-A255-1E5E7C36B7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 1 - NPV &amp; IRR</vt:lpstr>
      <vt:lpstr>Ex 2 - Assumptions</vt:lpstr>
      <vt:lpstr>Ex 2 - 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 RAJ</dc:creator>
  <cp:lastModifiedBy>kiran sajith</cp:lastModifiedBy>
  <dcterms:created xsi:type="dcterms:W3CDTF">2023-10-16T07:21:36Z</dcterms:created>
  <dcterms:modified xsi:type="dcterms:W3CDTF">2025-07-26T14:34:21Z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0x0101003A348EC72C2DE8468DB726F70C1E2B72</vt:lpwstr>
  </property>
  <property fmtid="{D5CDD505-2E9C-101B-9397-08002B2CF9AE}" pid="3" name="MediaServiceImageTags">
    <vt:lpwstr/>
  </property>
</Properties>
</file>