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1080" yWindow="600" windowWidth="25600" windowHeight="13860" tabRatio="500" activeTab="3"/>
  </bookViews>
  <sheets>
    <sheet name="ธัญญะบุรี " sheetId="9" r:id="rId1"/>
    <sheet name="The Copperate " sheetId="10" r:id="rId2"/>
    <sheet name="starmaker" sheetId="8" r:id="rId3"/>
    <sheet name="กลุ่มโรงเรียน  (4)" sheetId="14" r:id="rId4"/>
    <sheet name="กลุ่มโรงเรียน  (3)" sheetId="12" r:id="rId5"/>
    <sheet name="กลุ่มโรงเรียน  (2)" sheetId="11" r:id="rId6"/>
    <sheet name="กลุ่มโรงเรียน " sheetId="6" r:id="rId7"/>
    <sheet name="Sheet2" sheetId="13" r:id="rId8"/>
  </sheets>
  <definedNames>
    <definedName name="_xlnm._FilterDatabase" localSheetId="2" hidden="1">starmaker!$A$1:$P$10</definedName>
    <definedName name="_xlnm._FilterDatabase" localSheetId="1" hidden="1">'The Copperate '!$A$1:$P$3</definedName>
    <definedName name="_xlnm._FilterDatabase" localSheetId="6" hidden="1">'กลุ่มโรงเรียน '!$A$1:$N$58</definedName>
    <definedName name="_xlnm._FilterDatabase" localSheetId="5" hidden="1">'กลุ่มโรงเรียน  (2)'!$A$1:$N$43</definedName>
    <definedName name="_xlnm._FilterDatabase" localSheetId="4" hidden="1">'กลุ่มโรงเรียน  (3)'!$A$1:$N$49</definedName>
    <definedName name="_xlnm._FilterDatabase" localSheetId="3" hidden="1">'กลุ่มโรงเรียน  (4)'!$A$1:$P$45</definedName>
    <definedName name="_xlnm._FilterDatabase" localSheetId="0" hidden="1">'ธัญญะบุรี '!$A$1:$P$17</definedName>
    <definedName name="_xlnm.Print_Titles" localSheetId="2">starmaker!$1:$1</definedName>
    <definedName name="_xlnm.Print_Titles" localSheetId="1">'The Copperate '!$1:$1</definedName>
    <definedName name="_xlnm.Print_Titles" localSheetId="6">'กลุ่มโรงเรียน '!$1:$1</definedName>
    <definedName name="_xlnm.Print_Titles" localSheetId="5">'กลุ่มโรงเรียน  (2)'!$1:$1</definedName>
    <definedName name="_xlnm.Print_Titles" localSheetId="4">'กลุ่มโรงเรียน  (3)'!$1:$1</definedName>
    <definedName name="_xlnm.Print_Titles" localSheetId="3">'กลุ่มโรงเรียน  (4)'!$1:$1</definedName>
    <definedName name="_xlnm.Print_Titles" localSheetId="0">'ธัญญะบุรี 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14" l="1"/>
  <c r="N50" i="14"/>
  <c r="AD35" i="12"/>
  <c r="AE35" i="12"/>
  <c r="AD36" i="12"/>
  <c r="AE36" i="12"/>
  <c r="AB37" i="12"/>
  <c r="AC37" i="12"/>
  <c r="AD37" i="12"/>
  <c r="AE37" i="12"/>
  <c r="AB38" i="12"/>
  <c r="AC38" i="12"/>
  <c r="AD38" i="12"/>
  <c r="AE38" i="12"/>
  <c r="AB39" i="12"/>
  <c r="AC39" i="12"/>
  <c r="AD39" i="12"/>
  <c r="AE39" i="12"/>
  <c r="AB40" i="12"/>
  <c r="AC40" i="12"/>
  <c r="AD40" i="12"/>
  <c r="AE40" i="12"/>
  <c r="AB41" i="12"/>
  <c r="AC41" i="12"/>
  <c r="AD41" i="12"/>
  <c r="AE41" i="12"/>
  <c r="AE42" i="12"/>
  <c r="AB43" i="12"/>
  <c r="AC43" i="12"/>
  <c r="AD43" i="12"/>
  <c r="AE43" i="12"/>
  <c r="AE44" i="12"/>
  <c r="AE45" i="12"/>
  <c r="AE46" i="12"/>
  <c r="AE47" i="12"/>
  <c r="AE48" i="12"/>
  <c r="AB34" i="12"/>
  <c r="AD34" i="12"/>
  <c r="AE34" i="12"/>
  <c r="AD33" i="12"/>
  <c r="AE33" i="12"/>
  <c r="AB10" i="12"/>
  <c r="AC10" i="12"/>
  <c r="AD10" i="12"/>
  <c r="AE10" i="12"/>
  <c r="AB11" i="12"/>
  <c r="AC11" i="12"/>
  <c r="AD11" i="12"/>
  <c r="AE11" i="12"/>
  <c r="AB12" i="12"/>
  <c r="AC12" i="12"/>
  <c r="AD12" i="12"/>
  <c r="AE12" i="12"/>
  <c r="AB13" i="12"/>
  <c r="AC13" i="12"/>
  <c r="AD13" i="12"/>
  <c r="AE13" i="12"/>
  <c r="AD14" i="12"/>
  <c r="AE14" i="12"/>
  <c r="AB15" i="12"/>
  <c r="AC15" i="12"/>
  <c r="AD15" i="12"/>
  <c r="AE15" i="12"/>
  <c r="AB16" i="12"/>
  <c r="AC16" i="12"/>
  <c r="AD16" i="12"/>
  <c r="AE16" i="12"/>
  <c r="AB17" i="12"/>
  <c r="AC17" i="12"/>
  <c r="AD17" i="12"/>
  <c r="AE17" i="12"/>
  <c r="AB18" i="12"/>
  <c r="AC18" i="12"/>
  <c r="AD18" i="12"/>
  <c r="AE18" i="12"/>
  <c r="AB19" i="12"/>
  <c r="AC19" i="12"/>
  <c r="AD19" i="12"/>
  <c r="AE19" i="12"/>
  <c r="AB20" i="12"/>
  <c r="AC20" i="12"/>
  <c r="AD20" i="12"/>
  <c r="AE20" i="12"/>
  <c r="AB21" i="12"/>
  <c r="AC21" i="12"/>
  <c r="AD21" i="12"/>
  <c r="AE21" i="12"/>
  <c r="AB22" i="12"/>
  <c r="AC22" i="12"/>
  <c r="AD22" i="12"/>
  <c r="AE22" i="12"/>
  <c r="AB23" i="12"/>
  <c r="AD23" i="12"/>
  <c r="AE23" i="12"/>
  <c r="AD24" i="12"/>
  <c r="AE24" i="12"/>
  <c r="AB25" i="12"/>
  <c r="AC25" i="12"/>
  <c r="AD25" i="12"/>
  <c r="AE25" i="12"/>
  <c r="AB26" i="12"/>
  <c r="AC26" i="12"/>
  <c r="AD26" i="12"/>
  <c r="AE26" i="12"/>
  <c r="AB27" i="12"/>
  <c r="AC27" i="12"/>
  <c r="AD27" i="12"/>
  <c r="AE27" i="12"/>
  <c r="AB28" i="12"/>
  <c r="AC28" i="12"/>
  <c r="AD28" i="12"/>
  <c r="AE28" i="12"/>
  <c r="AB29" i="12"/>
  <c r="AC29" i="12"/>
  <c r="AD29" i="12"/>
  <c r="AE29" i="12"/>
  <c r="AB30" i="12"/>
  <c r="AC30" i="12"/>
  <c r="AD30" i="12"/>
  <c r="AE30" i="12"/>
  <c r="AB31" i="12"/>
  <c r="AC31" i="12"/>
  <c r="AD31" i="12"/>
  <c r="AE31" i="12"/>
  <c r="AB32" i="12"/>
  <c r="AC32" i="12"/>
  <c r="AD32" i="12"/>
  <c r="AE32" i="12"/>
  <c r="AB9" i="12"/>
  <c r="AC9" i="12"/>
  <c r="AD9" i="12"/>
  <c r="AE9" i="12"/>
  <c r="AB8" i="12"/>
  <c r="AC8" i="12"/>
  <c r="AD8" i="12"/>
  <c r="AE8" i="12"/>
  <c r="AE7" i="12"/>
  <c r="AD6" i="12"/>
  <c r="AE6" i="12"/>
  <c r="AD5" i="12"/>
  <c r="AE5" i="12"/>
  <c r="AB4" i="12"/>
  <c r="AC4" i="12"/>
  <c r="AD4" i="12"/>
  <c r="AE4" i="12"/>
  <c r="AB2" i="12"/>
  <c r="AC2" i="12"/>
  <c r="AD2" i="12"/>
  <c r="AE2" i="12"/>
  <c r="AC7" i="12"/>
  <c r="AD3" i="12"/>
  <c r="AE3" i="12"/>
  <c r="AC45" i="12"/>
  <c r="AC44" i="12"/>
  <c r="AC47" i="12"/>
  <c r="AC49" i="12"/>
  <c r="AC46" i="12"/>
  <c r="AC48" i="12"/>
  <c r="AC42" i="12"/>
  <c r="AB36" i="12"/>
  <c r="AB35" i="12"/>
  <c r="AB33" i="12"/>
  <c r="AB24" i="12"/>
  <c r="AB14" i="12"/>
  <c r="AB6" i="12"/>
  <c r="AB5" i="12"/>
  <c r="AB3" i="12"/>
  <c r="AB50" i="12"/>
  <c r="AB41" i="11"/>
  <c r="AC41" i="11"/>
  <c r="AD41" i="11"/>
  <c r="AE41" i="11"/>
  <c r="AD39" i="11"/>
  <c r="AE39" i="11"/>
  <c r="AD40" i="11"/>
  <c r="AE40" i="11"/>
  <c r="AD42" i="11"/>
  <c r="AE42" i="11"/>
  <c r="AB43" i="11"/>
  <c r="AC43" i="11"/>
  <c r="AD43" i="11"/>
  <c r="AE43" i="11"/>
  <c r="AB2" i="11"/>
  <c r="AC2" i="11"/>
  <c r="AD2" i="11"/>
  <c r="AE2" i="11"/>
  <c r="AB3" i="11"/>
  <c r="AC3" i="11"/>
  <c r="AD3" i="11"/>
  <c r="AE3" i="11"/>
  <c r="AB4" i="11"/>
  <c r="AC4" i="11"/>
  <c r="AD4" i="11"/>
  <c r="AE4" i="11"/>
  <c r="AB5" i="11"/>
  <c r="AC5" i="11"/>
  <c r="AD5" i="11"/>
  <c r="AE5" i="11"/>
  <c r="AB6" i="11"/>
  <c r="AC6" i="11"/>
  <c r="AD6" i="11"/>
  <c r="AE6" i="11"/>
  <c r="AB7" i="11"/>
  <c r="AC7" i="11"/>
  <c r="AD7" i="11"/>
  <c r="AE7" i="11"/>
  <c r="AD8" i="11"/>
  <c r="AE8" i="11"/>
  <c r="AD9" i="11"/>
  <c r="AE9" i="11"/>
  <c r="AB10" i="11"/>
  <c r="AC10" i="11"/>
  <c r="AD10" i="11"/>
  <c r="AE10" i="11"/>
  <c r="AB11" i="11"/>
  <c r="AD11" i="11"/>
  <c r="AE11" i="11"/>
  <c r="AD12" i="11"/>
  <c r="AE12" i="11"/>
  <c r="AB13" i="11"/>
  <c r="AC13" i="11"/>
  <c r="AD13" i="11"/>
  <c r="AE13" i="11"/>
  <c r="AB14" i="11"/>
  <c r="AC14" i="11"/>
  <c r="AD14" i="11"/>
  <c r="AE14" i="11"/>
  <c r="AB15" i="11"/>
  <c r="AC15" i="11"/>
  <c r="AD15" i="11"/>
  <c r="AE15" i="11"/>
  <c r="AB16" i="11"/>
  <c r="AC16" i="11"/>
  <c r="AD16" i="11"/>
  <c r="AE16" i="11"/>
  <c r="AB17" i="11"/>
  <c r="AC17" i="11"/>
  <c r="AD17" i="11"/>
  <c r="AE17" i="11"/>
  <c r="AB18" i="11"/>
  <c r="AC18" i="11"/>
  <c r="AD18" i="11"/>
  <c r="AE18" i="11"/>
  <c r="AB19" i="11"/>
  <c r="AC19" i="11"/>
  <c r="AD19" i="11"/>
  <c r="AE19" i="11"/>
  <c r="AB20" i="11"/>
  <c r="AC20" i="11"/>
  <c r="AD20" i="11"/>
  <c r="AE20" i="11"/>
  <c r="AB21" i="11"/>
  <c r="AC21" i="11"/>
  <c r="AD21" i="11"/>
  <c r="AE21" i="11"/>
  <c r="AD22" i="11"/>
  <c r="AE22" i="11"/>
  <c r="AB23" i="11"/>
  <c r="AD23" i="11"/>
  <c r="AE23" i="11"/>
  <c r="AB24" i="11"/>
  <c r="AC24" i="11"/>
  <c r="AD24" i="11"/>
  <c r="AE24" i="11"/>
  <c r="AB25" i="11"/>
  <c r="AC25" i="11"/>
  <c r="AD25" i="11"/>
  <c r="AE25" i="11"/>
  <c r="AB26" i="11"/>
  <c r="AC26" i="11"/>
  <c r="AD26" i="11"/>
  <c r="AE26" i="11"/>
  <c r="AB27" i="11"/>
  <c r="AC27" i="11"/>
  <c r="AD27" i="11"/>
  <c r="AE27" i="11"/>
  <c r="AB28" i="11"/>
  <c r="AC28" i="11"/>
  <c r="AD28" i="11"/>
  <c r="AE28" i="11"/>
  <c r="AB29" i="11"/>
  <c r="AC29" i="11"/>
  <c r="AD29" i="11"/>
  <c r="AE29" i="11"/>
  <c r="AB30" i="11"/>
  <c r="AC30" i="11"/>
  <c r="AD30" i="11"/>
  <c r="AE30" i="11"/>
  <c r="AB31" i="11"/>
  <c r="AC31" i="11"/>
  <c r="AD31" i="11"/>
  <c r="AE31" i="11"/>
  <c r="AD32" i="11"/>
  <c r="AE32" i="11"/>
  <c r="AB33" i="11"/>
  <c r="AC33" i="11"/>
  <c r="AD33" i="11"/>
  <c r="AE33" i="11"/>
  <c r="AB34" i="11"/>
  <c r="AC34" i="11"/>
  <c r="AD34" i="11"/>
  <c r="AE34" i="11"/>
  <c r="AB35" i="11"/>
  <c r="AC35" i="11"/>
  <c r="AD35" i="11"/>
  <c r="AE35" i="11"/>
  <c r="AB36" i="11"/>
  <c r="AC36" i="11"/>
  <c r="AD36" i="11"/>
  <c r="AE36" i="11"/>
  <c r="AB37" i="11"/>
  <c r="AC37" i="11"/>
  <c r="AD37" i="11"/>
  <c r="AE37" i="11"/>
  <c r="AB38" i="11"/>
  <c r="AC38" i="11"/>
  <c r="AD38" i="11"/>
  <c r="AE38" i="11"/>
  <c r="AB51" i="12"/>
  <c r="AB52" i="12"/>
  <c r="AB54" i="12"/>
  <c r="AB53" i="12"/>
  <c r="AB55" i="12"/>
  <c r="AB56" i="12"/>
  <c r="AB57" i="12"/>
  <c r="AB59" i="12"/>
  <c r="AD50" i="12"/>
  <c r="AC23" i="12"/>
  <c r="AC34" i="12"/>
  <c r="AD44" i="11"/>
  <c r="CA2" i="8"/>
  <c r="CA3" i="8"/>
  <c r="CA4" i="8"/>
  <c r="CA5" i="8"/>
  <c r="CA6" i="8"/>
  <c r="CA7" i="8"/>
  <c r="CA8" i="8"/>
  <c r="CA9" i="8"/>
  <c r="CA10" i="8"/>
  <c r="AC23" i="11"/>
  <c r="AB32" i="11"/>
  <c r="AB8" i="11"/>
  <c r="AB9" i="11"/>
  <c r="AB42" i="11"/>
  <c r="AB39" i="11"/>
  <c r="AB40" i="11"/>
  <c r="AB22" i="11"/>
  <c r="AB12" i="11"/>
  <c r="AB44" i="11"/>
  <c r="AB45" i="11"/>
  <c r="AB46" i="11"/>
  <c r="AB48" i="11"/>
  <c r="AB47" i="11"/>
  <c r="AB49" i="11"/>
  <c r="AB50" i="11"/>
  <c r="AB51" i="11"/>
  <c r="AB53" i="11"/>
  <c r="AC11" i="11"/>
  <c r="AB58" i="6"/>
  <c r="AC58" i="6"/>
  <c r="AB56" i="6"/>
  <c r="AB57" i="6"/>
  <c r="AC56" i="6"/>
  <c r="AB55" i="6"/>
  <c r="AC55" i="6"/>
  <c r="AB49" i="6"/>
  <c r="AC49" i="6"/>
  <c r="AB50" i="6"/>
  <c r="AC50" i="6"/>
  <c r="AB51" i="6"/>
  <c r="AC51" i="6"/>
  <c r="AB52" i="6"/>
  <c r="AC52" i="6"/>
  <c r="AB53" i="6"/>
  <c r="AC53" i="6"/>
  <c r="AB54" i="6"/>
  <c r="AC54" i="6"/>
  <c r="AB48" i="6"/>
  <c r="AC48" i="6"/>
  <c r="AB47" i="6"/>
  <c r="AC47" i="6"/>
  <c r="AB45" i="6"/>
  <c r="AB46" i="6"/>
  <c r="AC45" i="6"/>
  <c r="AB41" i="6"/>
  <c r="AC41" i="6"/>
  <c r="AB42" i="6"/>
  <c r="AC42" i="6"/>
  <c r="AB43" i="6"/>
  <c r="AC43" i="6"/>
  <c r="AB44" i="6"/>
  <c r="AC44" i="6"/>
  <c r="AB40" i="6"/>
  <c r="AC40" i="6"/>
  <c r="AB38" i="6"/>
  <c r="AB39" i="6"/>
  <c r="AC38" i="6"/>
  <c r="AB36" i="6"/>
  <c r="AC36" i="6"/>
  <c r="AB37" i="6"/>
  <c r="AC37" i="6"/>
  <c r="AB33" i="6"/>
  <c r="AC33" i="6"/>
  <c r="AB34" i="6"/>
  <c r="AC34" i="6"/>
  <c r="AB35" i="6"/>
  <c r="AC35" i="6"/>
  <c r="AB32" i="6"/>
  <c r="AC32" i="6"/>
  <c r="AB30" i="6"/>
  <c r="AB31" i="6"/>
  <c r="AC30" i="6"/>
  <c r="AB27" i="6"/>
  <c r="AC27" i="6"/>
  <c r="AB28" i="6"/>
  <c r="AC28" i="6"/>
  <c r="AB29" i="6"/>
  <c r="AC29" i="6"/>
  <c r="AB26" i="6"/>
  <c r="AC26" i="6"/>
  <c r="AB23" i="6"/>
  <c r="AC23" i="6"/>
  <c r="AB22" i="6"/>
  <c r="AC22" i="6"/>
  <c r="AB24" i="6"/>
  <c r="AB25" i="6"/>
  <c r="AC24" i="6"/>
  <c r="AB20" i="6"/>
  <c r="AB21" i="6"/>
  <c r="AC20" i="6"/>
  <c r="AB16" i="6"/>
  <c r="AC16" i="6"/>
  <c r="AB15" i="6"/>
  <c r="AC15" i="6"/>
  <c r="AB13" i="6"/>
  <c r="AC13" i="6"/>
  <c r="AB14" i="6"/>
  <c r="AC14" i="6"/>
  <c r="AB6" i="6"/>
  <c r="AC6" i="6"/>
  <c r="AB7" i="6"/>
  <c r="AC7" i="6"/>
  <c r="AB8" i="6"/>
  <c r="AC8" i="6"/>
  <c r="AB9" i="6"/>
  <c r="AC9" i="6"/>
  <c r="AB10" i="6"/>
  <c r="AC10" i="6"/>
  <c r="AB11" i="6"/>
  <c r="AC11" i="6"/>
  <c r="AB12" i="6"/>
  <c r="AC12" i="6"/>
  <c r="AB5" i="6"/>
  <c r="AC5" i="6"/>
  <c r="AB3" i="6"/>
  <c r="AC3" i="6"/>
  <c r="AB2" i="6"/>
  <c r="AC2" i="6"/>
  <c r="AB17" i="6"/>
  <c r="AB18" i="6"/>
  <c r="AC17" i="6"/>
  <c r="AB4" i="6"/>
  <c r="AC4" i="6"/>
  <c r="AB60" i="6"/>
  <c r="AB61" i="6"/>
  <c r="AB63" i="6"/>
  <c r="AB62" i="6"/>
  <c r="AB64" i="6"/>
  <c r="AB65" i="6"/>
  <c r="AB19" i="6"/>
  <c r="AB59" i="6"/>
  <c r="AB66" i="6"/>
  <c r="AB68" i="6"/>
</calcChain>
</file>

<file path=xl/sharedStrings.xml><?xml version="1.0" encoding="utf-8"?>
<sst xmlns="http://schemas.openxmlformats.org/spreadsheetml/2006/main" count="2330" uniqueCount="762">
  <si>
    <t>รหัสลูกค้า</t>
  </si>
  <si>
    <t>ที่อยู่</t>
  </si>
  <si>
    <t>หมายเลขเครื่อง</t>
  </si>
  <si>
    <t>ลำดับ</t>
  </si>
  <si>
    <t>รหัสเซลล์</t>
  </si>
  <si>
    <t>ชื่อลูกค้า</t>
  </si>
  <si>
    <t>เบอร์โทรสาร</t>
  </si>
  <si>
    <t>รุ่น</t>
  </si>
  <si>
    <t>เริ่ม</t>
  </si>
  <si>
    <t>ส.ค.</t>
  </si>
  <si>
    <t>ก.ย.</t>
  </si>
  <si>
    <t>ต.ค.</t>
  </si>
  <si>
    <t>พ.ย.</t>
  </si>
  <si>
    <t>ธ.ค.</t>
  </si>
  <si>
    <t>ม.ค</t>
  </si>
  <si>
    <t>ก.พ.</t>
  </si>
  <si>
    <t>มี.ค</t>
  </si>
  <si>
    <t>เม.ย.</t>
  </si>
  <si>
    <t>พ.ค.</t>
  </si>
  <si>
    <t>มิ.ย.</t>
  </si>
  <si>
    <t>ก.ค.</t>
  </si>
  <si>
    <t>1</t>
  </si>
  <si>
    <t>30/12/58</t>
  </si>
  <si>
    <t>2</t>
  </si>
  <si>
    <t>Xerox M455DF</t>
  </si>
  <si>
    <t>3</t>
  </si>
  <si>
    <t>SCX-5637FR</t>
  </si>
  <si>
    <t>4</t>
  </si>
  <si>
    <t>5</t>
  </si>
  <si>
    <t>23/12/58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</si>
  <si>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</si>
  <si>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</si>
  <si>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</si>
  <si>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</si>
  <si>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</si>
  <si>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</si>
  <si>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</si>
  <si>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</si>
  <si>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</si>
  <si>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</si>
  <si>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</si>
  <si>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</si>
  <si>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</si>
  <si>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</si>
  <si>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</si>
  <si>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</si>
  <si>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</si>
  <si>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</si>
  <si>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</si>
  <si>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</si>
  <si>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</si>
  <si>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</si>
  <si>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</si>
  <si>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</si>
  <si>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Z35HB1CB100022Z</t>
  </si>
  <si>
    <t>30</t>
  </si>
  <si>
    <t>31</t>
  </si>
  <si>
    <t>32</t>
  </si>
  <si>
    <t>22/12/58</t>
  </si>
  <si>
    <t>33</t>
  </si>
  <si>
    <t>34</t>
  </si>
  <si>
    <t>35</t>
  </si>
  <si>
    <t>SCX-6322DN</t>
  </si>
  <si>
    <t>36</t>
  </si>
  <si>
    <t>24/12/58</t>
  </si>
  <si>
    <t>37</t>
  </si>
  <si>
    <t>38</t>
  </si>
  <si>
    <t>40</t>
  </si>
  <si>
    <t>41</t>
  </si>
  <si>
    <t>42</t>
  </si>
  <si>
    <t>43</t>
  </si>
  <si>
    <t>44</t>
  </si>
  <si>
    <t>SL-M4070FR</t>
  </si>
  <si>
    <t>45</t>
  </si>
  <si>
    <t>46</t>
  </si>
  <si>
    <t>Z5XJBJDCA0001JJ</t>
  </si>
  <si>
    <t>048</t>
  </si>
  <si>
    <t>Z35HB1CZ500014M</t>
  </si>
  <si>
    <t>โรงเรียนภาษาอังกฤษอามิตร</t>
  </si>
  <si>
    <t>11R1310</t>
  </si>
  <si>
    <t>เดอะมอลล์บางแค ชั้น 2 ถนนเพชรเกษม กรุงเทพฯ</t>
  </si>
  <si>
    <t>Z5XJBJIC70005FE</t>
  </si>
  <si>
    <t>Z5XJBJDCB0002AV</t>
  </si>
  <si>
    <t>ตึกสยามทาวเวอร์ ชั้น 7 หน้าลิฟท์</t>
  </si>
  <si>
    <t>Z5XJBJIC70000WB</t>
  </si>
  <si>
    <t>เปลี่ยนเครื่อง 10/6/56  มิเตอร์เริ่ม 12</t>
  </si>
  <si>
    <t>บริษัท ไอเทค จำกัด</t>
  </si>
  <si>
    <t>11R1504</t>
  </si>
  <si>
    <t>สำนักงานใหญ่ อาคารไอเทค ถนนราชดำริ</t>
  </si>
  <si>
    <t>Z35HB1CZA00008D</t>
  </si>
  <si>
    <t>มีการเปลี่ยนเมมบอร์ด 23/12/56 หมายเลขเครื่อง Z35HB1CZA00008D  มิเตอร์เริ่ม 4493  เปลี่ยนเมมบอร์ด วันที่ 22/7/58 มิเตอร์เริ่ม 397,050</t>
  </si>
  <si>
    <t>โรงเรียนภาษาต่างประเทศอินลิงกัว พระราม 2</t>
  </si>
  <si>
    <t>11R1254</t>
  </si>
  <si>
    <t>เซ็นทรัลพลาซ่า พระราม 2 ชั้น 3 ED-4,ZONE JUNCTONX ถนนพระราม 2</t>
  </si>
  <si>
    <t>Z5XJBJED30003M</t>
  </si>
  <si>
    <t>เปลี่ยนเครื่อง 17/7/56 มิเตอร์ เริ่ม 0</t>
  </si>
  <si>
    <t>โรงเรียนภาษาต่างประเทศอินลิงกัว บางนา</t>
  </si>
  <si>
    <t>11R1280</t>
  </si>
  <si>
    <t>1093 เซ็นทรัลบางนา ชั้น 21 ถนนบางนา-ตราด แขวงบางนา เขตบางนา กรุงเทพฯ10260</t>
  </si>
  <si>
    <t>MX364DN</t>
  </si>
  <si>
    <t>350K71F</t>
  </si>
  <si>
    <t>Z5XJBJED30000EW</t>
  </si>
  <si>
    <t>เปลี่ยนเครื่อง 9/10/57  มิเตอร์เริ่ม 56,766</t>
  </si>
  <si>
    <t>โรงเรียนภาษาต่างประเทศอินลิงกัว ปิ่นเกล้า</t>
  </si>
  <si>
    <t>11R1279</t>
  </si>
  <si>
    <t>7/129 อาคารสนง.เซ็นทรัลปื่นเกล้า ชั้น 5 ถ.บรมราชชนนี แขวงอรุณอัมรินทร์ เขตบางกอกน้อย กทม.</t>
  </si>
  <si>
    <t>Z5XJBJDC50003B</t>
  </si>
  <si>
    <t>เปลี่ยนเครื่อง 19/9/56 มิเตอร์เริ่ม 10,085</t>
  </si>
  <si>
    <t>โรงเรียนภาษาต่างประเทศอินลิงกัว บางกะปิ</t>
  </si>
  <si>
    <t>11R1281</t>
  </si>
  <si>
    <t>อาคารสนง.เดอะมอลล์บางกะปิ ชั้น 9 ถ.ลาดพร้สว แขวงคลองจั่น เขตบางกะปิ</t>
  </si>
  <si>
    <t>Z5XJBJAC70003A</t>
  </si>
  <si>
    <t>เปลี่ยนเครื่อง 2/10/56</t>
  </si>
  <si>
    <t>โรงเรียนภาษาต่างประเทศอินลิงกัว บางแค</t>
  </si>
  <si>
    <t>11R1336</t>
  </si>
  <si>
    <t>275 หมู่ 1 เดอะมอลล์บางแค ชั้น 3 Education Zone ถนนเพชรเกษม บางแค</t>
  </si>
  <si>
    <t>Z5XJBJDCB0002A</t>
  </si>
  <si>
    <t>เปลี่ยนเครื่อง  14/10/56</t>
  </si>
  <si>
    <t>โรงเรียนภาษาต่างประเทศอินลิงกัว เอสเพอร์นาส</t>
  </si>
  <si>
    <t>11R1419</t>
  </si>
  <si>
    <t>เอสเพอร์นาส พลาซ่า ชั้น 4 ถนนรัชดาภิเษก</t>
  </si>
  <si>
    <t>Z5XJBJED30002B</t>
  </si>
  <si>
    <t>เปลี่ยนเครื่อง 6/8/56 มิเตอร์เริ่ม 0</t>
  </si>
  <si>
    <t>โรงเรียนภาษาต่างประเทศอินลิงกัว เมเจอร์รัชโยธิน</t>
  </si>
  <si>
    <t>11R1460</t>
  </si>
  <si>
    <t xml:space="preserve">ห้องเลขที่ B309 เมเจอร์ อเวนิว รัชโยธิน </t>
  </si>
  <si>
    <t>Z5XJBJIC70002WJ</t>
  </si>
  <si>
    <t>เปลี่ยนเครื่อง 27/11/56</t>
  </si>
  <si>
    <t>โรงเรียนภาษาต่างประเทศอินลิงกัว แจ้งวัฒนะ</t>
  </si>
  <si>
    <t>11R1474</t>
  </si>
  <si>
    <t>เซ็นทรัล แจ้งวัฒนะ ชั้น 7 ถนนแจ้งวัฒนะ อ.ปากเกร็ด จ.นนทบุรี</t>
  </si>
  <si>
    <t>เปลี่ยนเครื่อง 19/6/57 มิเตอร์เริ่ม 53174</t>
  </si>
  <si>
    <t>โรงเรียนภาษาต่างประเทศอินลิงกัว สาขาพาราไดส์พาร์ค</t>
  </si>
  <si>
    <t>11R1523</t>
  </si>
  <si>
    <t>เสรีเซ็นเตอร์ ชั้น4 Education</t>
  </si>
  <si>
    <t>Z5XJBJIC700027</t>
  </si>
  <si>
    <t>เปลี่ยนเครื่อง 26/11/56</t>
  </si>
  <si>
    <t>Z5XJBJDCB00016</t>
  </si>
  <si>
    <t>โรงเรียนภาษาต่างประเทศอินลิงกัว สาขาแฟชั่นไอส์แลนด์</t>
  </si>
  <si>
    <t>11R1548</t>
  </si>
  <si>
    <t>ศูนย์การค้าแฟชั่นไอส์แลนด์  ชั้น B EDUCATION ZONE</t>
  </si>
  <si>
    <t>Z5XJBJED300028</t>
  </si>
  <si>
    <t>เปลี่ยนเครื่อง 16/7/56 มิเตอร์เริ่ม 0</t>
  </si>
  <si>
    <t>โรงเรียนภาษาต่างประเทศอินลิงกัว สาขาเซ็นทรัลพระราม 3</t>
  </si>
  <si>
    <t>11R1551</t>
  </si>
  <si>
    <t>ศูนย์การค้าเซ็นทรัลพระราม 3 ชั้น 6 Education Zone</t>
  </si>
  <si>
    <t>Z5XJBJED30002K</t>
  </si>
  <si>
    <t>เปลี่ยนเครื่อง 17/7/56 มิเตอร์ เริ่ม 0   เปลี่ยนเมมบอร์ด พ.ย. 58 มิเตอร์เริ่ม 69,365</t>
  </si>
  <si>
    <t>โรงเรียนภาษาต่างประเทศอินลิงกัว สาขาเซ็นทรัล รัตนาธิเบศน์</t>
  </si>
  <si>
    <t>11R1547</t>
  </si>
  <si>
    <t>ศูนย์การค้าเซ็นทรัลรัตนาธิเบศน์ ชั้น 3 Education Zone (ใกล้ศูนย์อาหาร)</t>
  </si>
  <si>
    <t>Z5XJBJED30002L</t>
  </si>
  <si>
    <t>เปลี่ยนเครื่อง 30/7/56 มิเตอร์เริ่ม 0</t>
  </si>
  <si>
    <t>โรงเรียนภาษาต่างประเทศอินลิงกัว สาขาสยามพารากอน</t>
  </si>
  <si>
    <t>11R1550</t>
  </si>
  <si>
    <t>ศูนย์การค้าสยามพารากอน ชั้น 4 Education Zone</t>
  </si>
  <si>
    <t>Z5XJBJED30003H</t>
  </si>
  <si>
    <t>โรงเรียนภาษาต่างประเทศอินลิงกัว สาขาซีคอนบางแค</t>
  </si>
  <si>
    <t>11R1581</t>
  </si>
  <si>
    <t>ห้องเลขที่ 3543 ชั้น 3 607 ถ.เพชรเกษม แขวงบางหว้า เขภาษีเจริญ กรุงเทพฯ</t>
  </si>
  <si>
    <t>Z5XJBJIC70005T</t>
  </si>
  <si>
    <t xml:space="preserve">เปลี่ยนเครื่อง มิเตอร์ เริ่มต้น 110,144   มิเตอร์ 24/8/58 116014 </t>
  </si>
  <si>
    <t>Z5XJBJDCB0000WK</t>
  </si>
  <si>
    <t>เปลี่ยนเครื่อง 16/6/57</t>
  </si>
  <si>
    <t>105</t>
  </si>
  <si>
    <t>โรงเรียนสตาร์เมคเกอร์ สาขารัชโยธิน</t>
  </si>
  <si>
    <t>11R1461</t>
  </si>
  <si>
    <t>ห้องเลขที่ B308 เมเจอร์ อเวนิว รัชโยธิน ถนนรัชดาภิเษก</t>
  </si>
  <si>
    <t>350K6DH</t>
  </si>
  <si>
    <t>57-12-0073</t>
  </si>
  <si>
    <t>58-01-0057</t>
  </si>
  <si>
    <t>58-02-0010</t>
  </si>
  <si>
    <t>58-03-0033</t>
  </si>
  <si>
    <t>16/3/58</t>
  </si>
  <si>
    <t>เปลี่ยนเครื่อง 12/11/56</t>
  </si>
  <si>
    <t>106</t>
  </si>
  <si>
    <t>โรงเรียนสตาร์เมคเกอร์ เซ็นทรัลซิตี้ทาวเวอน์ สาขาบางนา</t>
  </si>
  <si>
    <t>11R1471</t>
  </si>
  <si>
    <t>ศูนย์การค้าเซ็นทรัลบางนา ชั้น 21</t>
  </si>
  <si>
    <t>21/3/57</t>
  </si>
  <si>
    <t>ZDFJBJFD90000GV</t>
  </si>
  <si>
    <t>58-04-0162</t>
  </si>
  <si>
    <t>58-05-0051</t>
  </si>
  <si>
    <t>58-06-0033</t>
  </si>
  <si>
    <t>58-07-0153</t>
  </si>
  <si>
    <t>58-09-0120</t>
  </si>
  <si>
    <t>58-08-0066</t>
  </si>
  <si>
    <t>58-12-0037</t>
  </si>
  <si>
    <t>58-11-0160</t>
  </si>
  <si>
    <t>58-10-0054</t>
  </si>
  <si>
    <t>3505R03</t>
  </si>
  <si>
    <t>57-12-0067</t>
  </si>
  <si>
    <t>58-01-0058</t>
  </si>
  <si>
    <t>58-02-0002</t>
  </si>
  <si>
    <t>58-04-0106</t>
  </si>
  <si>
    <t>58-03-0032</t>
  </si>
  <si>
    <t>58-05-0040</t>
  </si>
  <si>
    <t>58-06-0034</t>
  </si>
  <si>
    <t>58-07-0083</t>
  </si>
  <si>
    <t>58-09-0144</t>
  </si>
  <si>
    <t>58-08-0080</t>
  </si>
  <si>
    <t>58-12-0038</t>
  </si>
  <si>
    <t>58-11-0159</t>
  </si>
  <si>
    <t>58-10-0024</t>
  </si>
  <si>
    <t xml:space="preserve">เปลี่ยนเครื่อง 26/3/57 </t>
  </si>
  <si>
    <t>โรงเรียนสตาร์เมคเกอร์ สาขาพารากอน</t>
  </si>
  <si>
    <t>11R1487</t>
  </si>
  <si>
    <t>ศูนย์การค้าพารากอน ชั้น 4</t>
  </si>
  <si>
    <t>350K6DV</t>
  </si>
  <si>
    <t>57-12-0036</t>
  </si>
  <si>
    <t>58-01-0025</t>
  </si>
  <si>
    <t>58-02-0014</t>
  </si>
  <si>
    <t>58-04-0042</t>
  </si>
  <si>
    <t>58-03-0031</t>
  </si>
  <si>
    <t>58-05-0039</t>
  </si>
  <si>
    <t>58-06-0031</t>
  </si>
  <si>
    <t>58-07-0019</t>
  </si>
  <si>
    <t>58-09-0038</t>
  </si>
  <si>
    <t>58-08-0041</t>
  </si>
  <si>
    <t>58-12-0040</t>
  </si>
  <si>
    <t>58-11-0102</t>
  </si>
  <si>
    <t>58-10-0025</t>
  </si>
  <si>
    <t>โรงเรียนสตาร์เมคเกอร์ สาขาแจ้งวัฒนะ</t>
  </si>
  <si>
    <t>11R1508</t>
  </si>
  <si>
    <t>เซ็นทรัลแจ้งวัฒนะ ห้อง 725 ชั้น 7</t>
  </si>
  <si>
    <t>58-09-0164</t>
  </si>
  <si>
    <t>เปลี่ยนเครื่อง 22/11/56</t>
  </si>
  <si>
    <t>Z5XJBJDCB00015</t>
  </si>
  <si>
    <t>58-12-0041</t>
  </si>
  <si>
    <t>58-11-0165</t>
  </si>
  <si>
    <t>58-10-0005</t>
  </si>
  <si>
    <t>เปลี่ยนเครื่อง 8/9/58 มิเตอร์เริ่ม 115,990</t>
  </si>
  <si>
    <t>โรงเรียนสตาร์เมคเกอร์ สาขาเดอะมอลล์งามวงศ์วาน</t>
  </si>
  <si>
    <t>11R1546</t>
  </si>
  <si>
    <t>ศูนย์การค้าเดอะมอลล์งามวงศ์วาน ชั้น 10 ตรงข้าม โรงเรียนสยามกลการ</t>
  </si>
  <si>
    <t>350K710</t>
  </si>
  <si>
    <t>57-12-0037</t>
  </si>
  <si>
    <t>58-01-0059</t>
  </si>
  <si>
    <t>58-02-0019</t>
  </si>
  <si>
    <t>58-04-0041</t>
  </si>
  <si>
    <t>58-03-0052</t>
  </si>
  <si>
    <t>58-05-0085</t>
  </si>
  <si>
    <t>58-06-0149</t>
  </si>
  <si>
    <t>58-07-0154</t>
  </si>
  <si>
    <t>58-09-0031</t>
  </si>
  <si>
    <t>58-08-0067</t>
  </si>
  <si>
    <t>58-12-0039</t>
  </si>
  <si>
    <t>58-11-0103</t>
  </si>
  <si>
    <t>58-10-0055</t>
  </si>
  <si>
    <t>ECC (THAILAND) สาขาแจ้งวัฒนะ</t>
  </si>
  <si>
    <t>11R1477</t>
  </si>
  <si>
    <t>เซ็นทรัล แจ้งวัฒนะ ชั้น 7 ห้องเลขที่ 711 ถนนแจ้งวัฒนะ</t>
  </si>
  <si>
    <t>Z5XJBJIC70003VE</t>
  </si>
  <si>
    <t>เปลี่ยนเครื่อง 18/12/56  มิเตอร์เริ่ม 51748</t>
  </si>
  <si>
    <t>ECC (THAILAND) สาขาศรีนครินทร์</t>
  </si>
  <si>
    <t>11R1478</t>
  </si>
  <si>
    <t>โลตัสศรีนครินทร์ ห้องเลขที่ 304 ถนนศรีนครินทร์</t>
  </si>
  <si>
    <t>Z5XJBJED30001M</t>
  </si>
  <si>
    <t>เปลี่ยนเครื่อง 11/6/56 มิเตอร์เริ่ม 0  เปลี่ยนเมมบอร์ด 20/10/58 มิเตอร์เริ่ม 92,542</t>
  </si>
  <si>
    <t>ECC (THAILAND) สาขาบิ๊กซีลาดพร้าว</t>
  </si>
  <si>
    <t>11R1517</t>
  </si>
  <si>
    <t>บิ๊กซี ลาดพร้าว ชั้น 2</t>
  </si>
  <si>
    <t>Z5XJBJED30003E</t>
  </si>
  <si>
    <t>เปลี่ยนเครื่อง 19/7/56 มิเตอร์เริ่ม 0</t>
  </si>
  <si>
    <t>ECC (THAILAND) สาขาเดอะมอลล์บางแค</t>
  </si>
  <si>
    <t>11R1532</t>
  </si>
  <si>
    <t>ศูนย์การค้าเดอะมอลล์บางแค ชั้น 2 โซนด้านหน้าตรงข้ามแบล็คแคนย่อน</t>
  </si>
  <si>
    <t>Z5XJBJDCB00026</t>
  </si>
  <si>
    <t xml:space="preserve">เปลี่ยนเครื่อง 14/10/56  มิเตอร์เริ่ม 0 , มีการเปลี่ยนเมมบอร์ด  เดือน 2/57 </t>
  </si>
  <si>
    <t>ECC (THAILAND) สาขาเซ็นทรัลซิตี้บางนา</t>
  </si>
  <si>
    <t>11R1535</t>
  </si>
  <si>
    <t>ศูนย์การค้าเซ็นทรัลซิตี้บางนา ชั้น G หลัง Mc Donald</t>
  </si>
  <si>
    <t>Z5XJBJAC700010Z</t>
  </si>
  <si>
    <t>ECC (THAILAND) สาขาเซ็นทรัลปิ่นเกล้า</t>
  </si>
  <si>
    <t>11R1534</t>
  </si>
  <si>
    <t>ศูนย์การค้าเซ็นทรัลปิ่นเกล้า ชั้น 4 อาคาร A</t>
  </si>
  <si>
    <t>ECC (THAILAND) สาขาเซ็นทรัลพระราม 2</t>
  </si>
  <si>
    <t>11R1543</t>
  </si>
  <si>
    <t>ศูนย์การค้าเซ็นทรัลพระราม 2 ชั้น 3 โซนการศึกษา</t>
  </si>
  <si>
    <t>Z5XJBJAD200008A</t>
  </si>
  <si>
    <t>เปลี่ยนเมมบอร์ด 4/2/58   จำนวน 8131</t>
  </si>
  <si>
    <t>Z5XJBJED30001JF</t>
  </si>
  <si>
    <t>Z35HB1CB900128B</t>
  </si>
  <si>
    <t>ตอนยกเครื่องกลับ มิเตอร์ดูไม่ได้</t>
  </si>
  <si>
    <t>ECC (THAILAND) สาขาเซ็นทรัลพลาซ่ารัชดา พระราม 3</t>
  </si>
  <si>
    <t>11R1542</t>
  </si>
  <si>
    <t>ศูนย์การค้าเซ็นทรัลพลาซ่า พระราม 3 ชั้น 6 ติดลิฟท์แก้ว</t>
  </si>
  <si>
    <t>Z5XJBJIC70003Y</t>
  </si>
  <si>
    <t>เปลี่ยนเครื่อง 28/11/56</t>
  </si>
  <si>
    <t>ECC (THAILAND) สาขาฟิวเจอร์ปาร์ครังสิต</t>
  </si>
  <si>
    <t>11R1531</t>
  </si>
  <si>
    <t>ศูนย์การค้าฟิวเจอร์พาร์ครังสิต ชั้นลอยของชั้น 3 โซนแคมปัส 1</t>
  </si>
  <si>
    <t>Z5XJBJDC50001A</t>
  </si>
  <si>
    <t>เปลี่ยนเครื่อง 11/11/56</t>
  </si>
  <si>
    <t>ECC (THAILAND) สาขาเดอะมอลล์งามวงศ์วาน</t>
  </si>
  <si>
    <t>11R1545</t>
  </si>
  <si>
    <t>ศูนย์การค้าเดอะมอลล์งามวงศ์วาน ชั้น 4 ติดลานจอดรถ</t>
  </si>
  <si>
    <t>Z5XJBJADZ0001D</t>
  </si>
  <si>
    <t>เปลี่ยนเมมบอร์ด 22/10/57 มิเตอร์เริ่ม 24</t>
  </si>
  <si>
    <t>ECC (THAILAND) สาขาปากน้ำ</t>
  </si>
  <si>
    <t>11R1540</t>
  </si>
  <si>
    <t>ปากน้ำ สมุทรปราการ ติดกับ 7-ELEVEN ก่อนถึงวัดกลาง</t>
  </si>
  <si>
    <t>Z5XJBJIC70001Z</t>
  </si>
  <si>
    <t>เปลี่ยนเครื่อง 2/12/56</t>
  </si>
  <si>
    <t>ECC (THAILAND) สาขาเดอะมอลล์รามคำแหง</t>
  </si>
  <si>
    <t>11R1538</t>
  </si>
  <si>
    <t>ศูนย์การค้าเดอะมอลล์รามคำแหง ชั้น 3 ติดลานจอดรถ</t>
  </si>
  <si>
    <t>เปลี่ยนเครื่อง 9/12/56 ใบยืม LO56039</t>
  </si>
  <si>
    <t>ECC (THAILAND) สาขาเซ็นทรัลรัตนาธิเบศน์</t>
  </si>
  <si>
    <t>11R1530</t>
  </si>
  <si>
    <t>ศูนย์การค้าเซ็นทรัล รัตนาธิเบศน์ ชั้น 3 โซน EDUCATION</t>
  </si>
  <si>
    <t>Z5XJBJED30003C</t>
  </si>
  <si>
    <t>ECC (THAILAND) สาขาโลตัสปิ่นเกล้า</t>
  </si>
  <si>
    <t>11R1541</t>
  </si>
  <si>
    <t>ศูนย์การค้าโลตัสปิ่นเกล้า ชั้น 4</t>
  </si>
  <si>
    <t>Z5XJBJDC50004VE</t>
  </si>
  <si>
    <t>เปลี่ยนเครื่อง 11/12/56 เริ่ม 0  เปลี่ยนเมมบอร์ด 20/7/58</t>
  </si>
  <si>
    <t>ECC (THAILAND) สาขาโลตัสสุขาภิบาล 1</t>
  </si>
  <si>
    <t>11R1537</t>
  </si>
  <si>
    <t>โลตัสสุขาภิบาล 1 ชั้น 2 หน้าฟูดท์เซ็นเตอร์</t>
  </si>
  <si>
    <t>Z5XJBJIC70001K</t>
  </si>
  <si>
    <t>ECC (THAILAND) สาขาเดอะมอลล์ท่าพระ</t>
  </si>
  <si>
    <t>11R1533</t>
  </si>
  <si>
    <t>ศูนย์การค้าเดอะมอลล์ท่าพระ ชั้น 3</t>
  </si>
  <si>
    <t>Z5XJBJDC50001VB</t>
  </si>
  <si>
    <t>เปลี่ยนเครื่อง 19/9/56 มิเตอร์เริ่ม 10,085  มิเตอร์เริ่ม 23,112</t>
  </si>
  <si>
    <t>ECC (THAILAND) สาขาเดอะมอลล์บางกะปิ</t>
  </si>
  <si>
    <t>11R1539</t>
  </si>
  <si>
    <t>ศูนย์การค้าเดอะมอลล์บางกะปิ ชั้น 4 ติดสวนน้ำ</t>
  </si>
  <si>
    <t>Z5XJBJIC700023D</t>
  </si>
  <si>
    <t>เปลี่ยนเครื่อง 24/10/56</t>
  </si>
  <si>
    <t>ECC (THAILAND) สาขาแฟชั่นไอส์แลนด์</t>
  </si>
  <si>
    <t>11R1544</t>
  </si>
  <si>
    <t>ศูนย์การค้าแฟชั่นไอส์แลนด์ ชั้น B EDUCATION ZONE</t>
  </si>
  <si>
    <t>Z5XJBJDC500057P</t>
  </si>
  <si>
    <t>เปลี่ยนเมมบอร์ด  มิเตอร์เริ่ม 1597</t>
  </si>
  <si>
    <t>ECC (THAILAND) สาขาสยามพารากอน</t>
  </si>
  <si>
    <t>11R1569</t>
  </si>
  <si>
    <t>ศูนย์การค้าสยามพารากอน ถนนพระราม 1 ห้อง 4A10</t>
  </si>
  <si>
    <t>Z5XJBJED300020K</t>
  </si>
  <si>
    <t>เปลี่ยนเครื่อง 2/8/56  มิเตอร์เริ่ม 0</t>
  </si>
  <si>
    <t>ECC (THAILAND) สาขาซีคอนบางแค</t>
  </si>
  <si>
    <t>11R1576</t>
  </si>
  <si>
    <t>ศูนย์การค้าซีคอนบางแค</t>
  </si>
  <si>
    <t>Z5XJBJICZ0000WB</t>
  </si>
  <si>
    <t>เปลี่ยนเมมบอร์ด ธ.ค. มิเตอร์เริ่ม 0</t>
  </si>
  <si>
    <t>Tutor House (สาขาปิ่นเกล้า)</t>
  </si>
  <si>
    <t>11R1514</t>
  </si>
  <si>
    <t>เซ็นทรัลปิ่นเกล้า อาคาร A ชั้น 5</t>
  </si>
  <si>
    <t>Z5XJBJDCA0002G</t>
  </si>
  <si>
    <t>Z5XJBJAD20001GB</t>
  </si>
  <si>
    <t>เปลี่ยนเครื่อง 14/9/58 มิเตอร์เริ่ม  55,211</t>
  </si>
  <si>
    <t>Tutor House (สาขาโลตัสศรีนครินทร์)</t>
  </si>
  <si>
    <t>11R1515</t>
  </si>
  <si>
    <t>โลตัสศรีนครินทร์ ชั้น 3 โซน  Education</t>
  </si>
  <si>
    <t>Z5XJBJDCA00040X</t>
  </si>
  <si>
    <t>ส่งเครื่องแล้ว 29/11/56  มิเตอร์เริ่ม 7</t>
  </si>
  <si>
    <t>Tutor House (สาขาบางแค)</t>
  </si>
  <si>
    <t>11R1559</t>
  </si>
  <si>
    <t>275 หมู่ 1 ถนนเพชรเกษม</t>
  </si>
  <si>
    <t>Z5XJBJAD20000EY</t>
  </si>
  <si>
    <t>Tutor House (สาขาประชาอุทิศ)</t>
  </si>
  <si>
    <t>11R1562</t>
  </si>
  <si>
    <t>ถนนประชาอุทิศ</t>
  </si>
  <si>
    <t>Z5XJBJDC500020</t>
  </si>
  <si>
    <t>เปลี่ยนเครื่อง 4/12/56</t>
  </si>
  <si>
    <t>โรงเรียนอบรมคอมพิวเตอร์นักบริหาร</t>
  </si>
  <si>
    <t>11R1272</t>
  </si>
  <si>
    <t>อาคารลิเบอร์ตี้ ชั้น 20</t>
  </si>
  <si>
    <t>Z5XJBJBCA0003Y</t>
  </si>
  <si>
    <t>เปลี่ยนเครื่อง 23/4/56  มิเตอร์เริ่ม 0 เดือน ส.ค.56 เปลี่ยนเมมบอร์ด มิเตอร์ดูไม่ได้</t>
  </si>
  <si>
    <t>147</t>
  </si>
  <si>
    <t>บริษัท เดอะ คอร์เปอเรท เวิลด์ จำกัด</t>
  </si>
  <si>
    <t>11R1270</t>
  </si>
  <si>
    <t>323 อาคารยูไนเต็ดเซ็นเตอร์ ชั้น 41 ถนนสีลม แขวงสีลม เขตบางรัก กทม. 10500</t>
  </si>
  <si>
    <t>0-2631-0330-2</t>
  </si>
  <si>
    <t>57-12-0028</t>
  </si>
  <si>
    <t>58-01-0108</t>
  </si>
  <si>
    <t>58-02-0074</t>
  </si>
  <si>
    <t>58-04-0095</t>
  </si>
  <si>
    <t>58-03-0111</t>
  </si>
  <si>
    <t>58-05-0089</t>
  </si>
  <si>
    <t>58-06-0037</t>
  </si>
  <si>
    <t>58-07-0030</t>
  </si>
  <si>
    <t>58-09-0040</t>
  </si>
  <si>
    <t>58-08-0058</t>
  </si>
  <si>
    <t>58-12-0129</t>
  </si>
  <si>
    <t>58-11-0106</t>
  </si>
  <si>
    <t>58-10-0052</t>
  </si>
  <si>
    <t>148</t>
  </si>
  <si>
    <t>8W37B1BQ600081D</t>
  </si>
  <si>
    <t>57-12-0029</t>
  </si>
  <si>
    <t>58-01-0109</t>
  </si>
  <si>
    <t>58-02-0075</t>
  </si>
  <si>
    <t>58-04-0096</t>
  </si>
  <si>
    <t>58-03-0112</t>
  </si>
  <si>
    <t>58-05-0090</t>
  </si>
  <si>
    <t>58-06-0038</t>
  </si>
  <si>
    <t>58-07-0031</t>
  </si>
  <si>
    <t>58-09-0041</t>
  </si>
  <si>
    <t>58-08-0059</t>
  </si>
  <si>
    <t>58-12-0130</t>
  </si>
  <si>
    <t>58-11-0107</t>
  </si>
  <si>
    <t>58-10-0053</t>
  </si>
  <si>
    <t>มิเตอร์กระโดดเดือน มีนาคม จึงไม่เก็บเงินลูกค้า  เดือน ธ.ค. มิเตอร์กระโดด  ส.ค.56 มิเตอร์ กระโดด  19/8/57 มิเตอร์กระโดด</t>
  </si>
  <si>
    <t>EDUWORLD สาขาเซ็นทรัลปิ่นเกล้า</t>
  </si>
  <si>
    <t>11R1552</t>
  </si>
  <si>
    <t>Z5XJBJIC70001W</t>
  </si>
  <si>
    <t>EDUWORLD สาขาจามจุรี สแควร์</t>
  </si>
  <si>
    <t>11R1553</t>
  </si>
  <si>
    <t>ศูนย์การค้าจามจุรีสแควร์ ชั้น 3</t>
  </si>
  <si>
    <t>Z5XJBJDCB00017</t>
  </si>
  <si>
    <t>เปลี่ยนเครื่อง 9/8/56</t>
  </si>
  <si>
    <t>NEW EDUCATION WORLD สาขาจามจุรี สแควร์</t>
  </si>
  <si>
    <t>11R1563</t>
  </si>
  <si>
    <t>ศูนย์การค้าจามจุรีสแควร์ ชั้น 3 (ห้องเลขที่ 305-306)</t>
  </si>
  <si>
    <t>SCX-6345N</t>
  </si>
  <si>
    <t>Z35HB1CZ500018T</t>
  </si>
  <si>
    <t>เปลี่ยนเครื่อง 27/3/57</t>
  </si>
  <si>
    <t>NEW EDUCATION WORLD สาขาเสรีเซ็นเตอร์</t>
  </si>
  <si>
    <t>11R1590</t>
  </si>
  <si>
    <t>4A 15-17 ห้องที่ 61 เสรีเซ็นเตอร์ ถ.ศรีนครินทร์ แขวงบางบอน เขตประเวศ</t>
  </si>
  <si>
    <t>Z5XJBJAD20000E</t>
  </si>
  <si>
    <t>ส่งเครื่อง  11/6/56  มิเตอร์เริ่ม 0  เปลี่ยนเมมบอร์ด เดือน 2/58</t>
  </si>
  <si>
    <t>NEW EDUCATION WORLD สาขาลาดกระบัง</t>
  </si>
  <si>
    <t>11R1588</t>
  </si>
  <si>
    <t>สถาบันพระจอมเกล้าเจ้าคุณทหารลาดกระบัง อ.พระเทพฯ ห้อง บี203 ชั้น2 ซ.ฉลองกรุง</t>
  </si>
  <si>
    <t>Z5XJBJAD20000B</t>
  </si>
  <si>
    <t>ส่งเครื่อง 6/6/56  มิเตอร์เริ่ม 0</t>
  </si>
  <si>
    <t>000</t>
  </si>
  <si>
    <t>162</t>
  </si>
  <si>
    <t xml:space="preserve">มหวิทยาลัยเทคโนโลยีธัญบุรี </t>
  </si>
  <si>
    <t>11R1502</t>
  </si>
  <si>
    <t>39 หมู่ 1 ถนนรังสิต-นครนายก ตำบลคลอง 6  (อาคารวิทยะ)</t>
  </si>
  <si>
    <t>ZTZ-004678</t>
  </si>
  <si>
    <t>เปิดแล้ว</t>
  </si>
  <si>
    <t>58-01-0164</t>
  </si>
  <si>
    <t>58-02-0091</t>
  </si>
  <si>
    <t>58-04-0147</t>
  </si>
  <si>
    <t>58-03-0165</t>
  </si>
  <si>
    <t>58-05-0156</t>
  </si>
  <si>
    <t>58-06-0083</t>
  </si>
  <si>
    <t>58-07-0136</t>
  </si>
  <si>
    <t>58-09-0130</t>
  </si>
  <si>
    <t>58-08-0128</t>
  </si>
  <si>
    <t>58-12-0138</t>
  </si>
  <si>
    <t>58-11-0150</t>
  </si>
  <si>
    <t>58-10-0139</t>
  </si>
  <si>
    <t>163</t>
  </si>
  <si>
    <t>ZTZ-004634</t>
  </si>
  <si>
    <t>58-01-0165</t>
  </si>
  <si>
    <t>58-02-0090</t>
  </si>
  <si>
    <t>58-04-0146</t>
  </si>
  <si>
    <t>58-03-0164</t>
  </si>
  <si>
    <t>58-05-0155</t>
  </si>
  <si>
    <t>58-06-0082</t>
  </si>
  <si>
    <t>58-07-0137</t>
  </si>
  <si>
    <t>58-09-0129</t>
  </si>
  <si>
    <t>58-08-0129</t>
  </si>
  <si>
    <t>58-12-0137</t>
  </si>
  <si>
    <t>58-11-0149</t>
  </si>
  <si>
    <t>58-10-0140</t>
  </si>
  <si>
    <t>164</t>
  </si>
  <si>
    <t>39 หมู่ 1 ถนนรังสิต-นครนายก ตำบลคลอง 6  (อาคาร ICT)</t>
  </si>
  <si>
    <t>ZTZ-004665</t>
  </si>
  <si>
    <t>58-04-0164</t>
  </si>
  <si>
    <t>58-05-0159</t>
  </si>
  <si>
    <t>58-06-0078</t>
  </si>
  <si>
    <t>58-07-0138</t>
  </si>
  <si>
    <t>58-09-0126</t>
  </si>
  <si>
    <t>58-08-0125</t>
  </si>
  <si>
    <t>58-12-0140</t>
  </si>
  <si>
    <t>58-11-0148</t>
  </si>
  <si>
    <t>58-10-0149</t>
  </si>
  <si>
    <t>165</t>
  </si>
  <si>
    <t>39 หมู่ 1 ถนนรังสิต-นครนายก ตำบลคลอง 6 (ICT ชั้น 1)</t>
  </si>
  <si>
    <t>0-2549-4990-2</t>
  </si>
  <si>
    <t>Z35HBJZDA00030J</t>
  </si>
  <si>
    <t>ไม่ได้จด</t>
  </si>
  <si>
    <t>58-01-0161</t>
  </si>
  <si>
    <t>58-02-0095</t>
  </si>
  <si>
    <t>58-04-0145</t>
  </si>
  <si>
    <t>58-03-0162</t>
  </si>
  <si>
    <t>58-05-0157</t>
  </si>
  <si>
    <t>58-06-0079</t>
  </si>
  <si>
    <t>58-07-0139</t>
  </si>
  <si>
    <t>58-09-0128</t>
  </si>
  <si>
    <t>58-08-0124</t>
  </si>
  <si>
    <t>58-12-0142</t>
  </si>
  <si>
    <t>58-11-00147</t>
  </si>
  <si>
    <t>58-10-0147</t>
  </si>
  <si>
    <t>166</t>
  </si>
  <si>
    <t>39 หมู่ 1 ถนนรังสิต-นครนายก ตำบลคลอง 6( ตึกฝึกอบรม)</t>
  </si>
  <si>
    <t>58-01-0162</t>
  </si>
  <si>
    <t>58-02-0088</t>
  </si>
  <si>
    <t>58-04-0148</t>
  </si>
  <si>
    <t>58-03-0161</t>
  </si>
  <si>
    <t>58-05-0153</t>
  </si>
  <si>
    <t>58-06-0084</t>
  </si>
  <si>
    <t>58-07-0140</t>
  </si>
  <si>
    <t>58-09-0125</t>
  </si>
  <si>
    <t>58-08-0133</t>
  </si>
  <si>
    <t>58-12-0139</t>
  </si>
  <si>
    <t>58-11-0145</t>
  </si>
  <si>
    <t>58-10-0141</t>
  </si>
  <si>
    <t>167</t>
  </si>
  <si>
    <t>39 หมู่ 1 ถนนรังสิต-นครนายก ตำบลคลอง 6( ICT ชั้น 2)</t>
  </si>
  <si>
    <t>Z35HBJZDA00003GX</t>
  </si>
  <si>
    <t>58-01-0158</t>
  </si>
  <si>
    <t>58-02-0092</t>
  </si>
  <si>
    <t>58-04-0149</t>
  </si>
  <si>
    <t>58-03-0163</t>
  </si>
  <si>
    <t>58-05-0158</t>
  </si>
  <si>
    <t>58-06-0077</t>
  </si>
  <si>
    <t>58-07-0133</t>
  </si>
  <si>
    <t>58-09-0127</t>
  </si>
  <si>
    <t>58-08-0130</t>
  </si>
  <si>
    <t>58-12-0141</t>
  </si>
  <si>
    <t>58-11-0146</t>
  </si>
  <si>
    <t>58-10-0148</t>
  </si>
  <si>
    <t>168</t>
  </si>
  <si>
    <t>39 หมู่ 1 ถนนรังสิต-นครนายก ตำบลคลอง 6(อาคารอธิการเก่าชั้น4)</t>
  </si>
  <si>
    <t>Z35HBJZDA00032D</t>
  </si>
  <si>
    <t>58-01-0159</t>
  </si>
  <si>
    <t>ไปแล้วไม่อยู่</t>
  </si>
  <si>
    <t>ไม่มี</t>
  </si>
  <si>
    <t>58-03-0160</t>
  </si>
  <si>
    <t>58-05-0151</t>
  </si>
  <si>
    <t>58-06-0080</t>
  </si>
  <si>
    <t>58-07-0134</t>
  </si>
  <si>
    <t>58-09-0123</t>
  </si>
  <si>
    <t>58-08-0122</t>
  </si>
  <si>
    <t>58-12-0136</t>
  </si>
  <si>
    <t>58-11-0152</t>
  </si>
  <si>
    <t>58-10-0143</t>
  </si>
  <si>
    <t>169</t>
  </si>
  <si>
    <t>39 หมู่ 1 ถนนรังสิต-นครนายก ตำบลคลอง 6(อาคารอธิการใหม่ชั้น1ประชาสัมพันธ์</t>
  </si>
  <si>
    <t>Z35HB1CB900021W</t>
  </si>
  <si>
    <t>58-01-0163</t>
  </si>
  <si>
    <t>58-02-0094</t>
  </si>
  <si>
    <t>58-04-0144</t>
  </si>
  <si>
    <t>58-03-0157</t>
  </si>
  <si>
    <t>58-05-0148</t>
  </si>
  <si>
    <t>58-06-0073</t>
  </si>
  <si>
    <t>58-07-0142</t>
  </si>
  <si>
    <t>58-09-0134</t>
  </si>
  <si>
    <t>58-08-0131</t>
  </si>
  <si>
    <t>58-12-0133</t>
  </si>
  <si>
    <t>58-11-0141</t>
  </si>
  <si>
    <t>58-10-0144</t>
  </si>
  <si>
    <t>น่าจะเปลี่ยนเครื่อง</t>
  </si>
  <si>
    <t>170</t>
  </si>
  <si>
    <t>39 หมู่ 1 ถนนรังสิต-นครนายก ตำบลคลอง 6(อาคารอธิการเก่าชั้น3)</t>
  </si>
  <si>
    <t>Z35HB1DZ100002N</t>
  </si>
  <si>
    <t>58-01-0157</t>
  </si>
  <si>
    <t>58-02-0087</t>
  </si>
  <si>
    <t>58-04-0150</t>
  </si>
  <si>
    <t>58-03-0159</t>
  </si>
  <si>
    <t>58-05-0154</t>
  </si>
  <si>
    <t>58-06-0081</t>
  </si>
  <si>
    <t>58-07-0144</t>
  </si>
  <si>
    <t>58-09-0131</t>
  </si>
  <si>
    <t>58-08-0123</t>
  </si>
  <si>
    <t>58-12-0143</t>
  </si>
  <si>
    <t>58-11-0151</t>
  </si>
  <si>
    <t>58-10-0142</t>
  </si>
  <si>
    <t>171</t>
  </si>
  <si>
    <t>39 หมู่ 1 ถนนรังสิต-นครนายก ตำบลคลอง 6(อาคารอธิการใหม่ชั้น 4ห้องสภา</t>
  </si>
  <si>
    <t>Z35HB1CB900077D</t>
  </si>
  <si>
    <t>58-01-0160</t>
  </si>
  <si>
    <t>58-02-0089</t>
  </si>
  <si>
    <t>58-04-0151</t>
  </si>
  <si>
    <t>58-03-0166</t>
  </si>
  <si>
    <t>58-05-0150</t>
  </si>
  <si>
    <t>58-06-0076</t>
  </si>
  <si>
    <t>58-07-0143</t>
  </si>
  <si>
    <t>58-09-0124</t>
  </si>
  <si>
    <t>58-08-0126</t>
  </si>
  <si>
    <t>58-12-0135</t>
  </si>
  <si>
    <t>58-11-0142</t>
  </si>
  <si>
    <t>58-10-0145</t>
  </si>
  <si>
    <t>172</t>
  </si>
  <si>
    <t>39 หมู่ 1 ถนนรังสิต-นครนายก ตำบลคลอง 6(อาคารอธิการใหม่ชั้น 1 ประชาสัมพัน</t>
  </si>
  <si>
    <t>TOSHIBA</t>
  </si>
  <si>
    <t>CAA910416</t>
  </si>
  <si>
    <t>58-01-0156</t>
  </si>
  <si>
    <t>58-02-0093</t>
  </si>
  <si>
    <t>58-04-0143</t>
  </si>
  <si>
    <t>58-03-0158</t>
  </si>
  <si>
    <t>58-05-0152</t>
  </si>
  <si>
    <t>58-06-0074</t>
  </si>
  <si>
    <t>58-07-0141</t>
  </si>
  <si>
    <t>58-09-0133</t>
  </si>
  <si>
    <t>58-08-0132</t>
  </si>
  <si>
    <t>58-12-0132</t>
  </si>
  <si>
    <t>58-11-0143</t>
  </si>
  <si>
    <t>173</t>
  </si>
  <si>
    <t>39 หมู่ 1 ถนนรังสิต-นครนายก ตำบลคลอง 6(อาคารอธิการใหม่ชั้น 1)</t>
  </si>
  <si>
    <t>Xerox 2220TH</t>
  </si>
  <si>
    <t>A4 = 4508</t>
  </si>
  <si>
    <t>58-04-0152</t>
  </si>
  <si>
    <t>A4 = 14202</t>
  </si>
  <si>
    <t>A4 = 22427</t>
  </si>
  <si>
    <t>58-05-0149</t>
  </si>
  <si>
    <t>58-06-0075</t>
  </si>
  <si>
    <t>A4 = 28209</t>
  </si>
  <si>
    <t>58-07-0135</t>
  </si>
  <si>
    <t>A4 = 32546</t>
  </si>
  <si>
    <t>A4 = 38894</t>
  </si>
  <si>
    <t>A4 = 45677</t>
  </si>
  <si>
    <t>58-09-0132</t>
  </si>
  <si>
    <t>58-08-0127</t>
  </si>
  <si>
    <t>A4 = 49857</t>
  </si>
  <si>
    <t>A4 = 54679</t>
  </si>
  <si>
    <t>58-12-0144</t>
  </si>
  <si>
    <t>58-11-0144</t>
  </si>
  <si>
    <t>58-10-0146</t>
  </si>
  <si>
    <t>A3 = 52</t>
  </si>
  <si>
    <t>A3 = 243</t>
  </si>
  <si>
    <t>A3 = 253</t>
  </si>
  <si>
    <t>A3 = 258</t>
  </si>
  <si>
    <t>A3 = 282</t>
  </si>
  <si>
    <t>A3 = 284</t>
  </si>
  <si>
    <t>A3 = 285</t>
  </si>
  <si>
    <t>A3 = 288</t>
  </si>
  <si>
    <t>174</t>
  </si>
  <si>
    <t>อาคารสถาบันวิจัยและพัฒนา</t>
  </si>
  <si>
    <t xml:space="preserve"> รุ่นไหน?</t>
  </si>
  <si>
    <t>58-12-0134</t>
  </si>
  <si>
    <t>58-11-0153</t>
  </si>
  <si>
    <t>ตั้งเครื่อง 21/10/58</t>
  </si>
  <si>
    <t>175</t>
  </si>
  <si>
    <t>กองประชาสัมพันธ์มหาวิทยาลัยเทคโนโลยีธัญบุรี</t>
  </si>
  <si>
    <t>ไม่เก็บลูกค้า</t>
  </si>
  <si>
    <t>25/9/58</t>
  </si>
  <si>
    <t>176</t>
  </si>
  <si>
    <t>สำนักวิทยบริการและเทคโนโลยี</t>
  </si>
  <si>
    <t>2 เครื่อง เครื่องละ 4600  ทุกวันที่ 15-20 ของเดือนถัดไป</t>
  </si>
  <si>
    <t>Column1</t>
  </si>
  <si>
    <t>รุ่น2</t>
  </si>
  <si>
    <t>Aug-55</t>
  </si>
  <si>
    <t>Sep-55</t>
  </si>
  <si>
    <t>Oct-55</t>
  </si>
  <si>
    <t>Nov-55</t>
  </si>
  <si>
    <t>Dec-55</t>
  </si>
  <si>
    <t>Jan-56</t>
  </si>
  <si>
    <t>Feb-56</t>
  </si>
  <si>
    <t>Mar-56</t>
  </si>
  <si>
    <t>Apr-56</t>
  </si>
  <si>
    <t>May-56</t>
  </si>
  <si>
    <t>Jun-56</t>
  </si>
  <si>
    <t>Jul-56</t>
  </si>
  <si>
    <t>Aug-56</t>
  </si>
  <si>
    <t>Sep-56</t>
  </si>
  <si>
    <t>Oct-56</t>
  </si>
  <si>
    <t>Nov-56</t>
  </si>
  <si>
    <t>Dec-56</t>
  </si>
  <si>
    <t>Jan-57</t>
  </si>
  <si>
    <t>Feb-57</t>
  </si>
  <si>
    <t>Mar-57</t>
  </si>
  <si>
    <t>Apr-57</t>
  </si>
  <si>
    <t>May-57</t>
  </si>
  <si>
    <t>Jun-57</t>
  </si>
  <si>
    <t>Jul-57</t>
  </si>
  <si>
    <t>Aug-57</t>
  </si>
  <si>
    <t>Sep-57</t>
  </si>
  <si>
    <t>Oct-57</t>
  </si>
  <si>
    <t>Nov-57</t>
  </si>
  <si>
    <t>Dec-57</t>
  </si>
  <si>
    <t>Jan-58</t>
  </si>
  <si>
    <t>Column3</t>
  </si>
  <si>
    <t>Column4</t>
  </si>
  <si>
    <t>Feb-58</t>
  </si>
  <si>
    <t>Mar-58</t>
  </si>
  <si>
    <t>Column5</t>
  </si>
  <si>
    <t>Apr-58</t>
  </si>
  <si>
    <t>Column6</t>
  </si>
  <si>
    <t>Column7</t>
  </si>
  <si>
    <t>May-58</t>
  </si>
  <si>
    <t>Jun-58</t>
  </si>
  <si>
    <t>Column8</t>
  </si>
  <si>
    <t>Column9</t>
  </si>
  <si>
    <t>Jul-58</t>
  </si>
  <si>
    <t>Column10</t>
  </si>
  <si>
    <t>Aug-58</t>
  </si>
  <si>
    <t>Sep-58</t>
  </si>
  <si>
    <t>Oct-58</t>
  </si>
  <si>
    <t>Column11</t>
  </si>
  <si>
    <t>Column12</t>
  </si>
  <si>
    <t>Nov-58</t>
  </si>
  <si>
    <t>Dec-58</t>
  </si>
  <si>
    <t>Column13</t>
  </si>
  <si>
    <t>Column14</t>
  </si>
  <si>
    <t>Column15</t>
  </si>
  <si>
    <t>Column16</t>
  </si>
  <si>
    <t>SCX-6545 N</t>
  </si>
  <si>
    <t>ยี่ห้อ</t>
  </si>
  <si>
    <t>Samsung</t>
  </si>
  <si>
    <t xml:space="preserve">Fuji Xerox </t>
  </si>
  <si>
    <t>Lexmark</t>
  </si>
  <si>
    <t>E-161</t>
  </si>
  <si>
    <t xml:space="preserve"> E-160</t>
  </si>
  <si>
    <t xml:space="preserve">จำนวน </t>
  </si>
  <si>
    <t>ปริมาณการใชบ้ทั้งปี</t>
  </si>
  <si>
    <t>กระดาษเสีย</t>
  </si>
  <si>
    <t>คงเหลือ</t>
  </si>
  <si>
    <t>17.1</t>
  </si>
  <si>
    <t>25.1</t>
  </si>
  <si>
    <t>39</t>
  </si>
  <si>
    <t>5000*3*2</t>
  </si>
  <si>
    <t>เป็นเงิน</t>
  </si>
  <si>
    <t>ค่าบริการ</t>
  </si>
  <si>
    <t>เครื่องที่ยกเลิกรpooling</t>
  </si>
  <si>
    <t>ปริมาณการใช้รวม</t>
  </si>
  <si>
    <t>ปริมาณการใช้งานคำนวนที่ 5000</t>
  </si>
  <si>
    <t>5000*7*1</t>
  </si>
  <si>
    <t>5000*8*2</t>
  </si>
  <si>
    <t>38.1</t>
  </si>
  <si>
    <t>45.1</t>
  </si>
  <si>
    <t>46*5000*12</t>
  </si>
  <si>
    <t>รวม</t>
  </si>
  <si>
    <t>เฉลี่ยการใช้งานต่อเดือน</t>
  </si>
  <si>
    <t>ปริมาณการใช้ต่อเดือน</t>
  </si>
  <si>
    <t>47</t>
  </si>
  <si>
    <t>48</t>
  </si>
  <si>
    <t>Chaipako</t>
  </si>
  <si>
    <t>K2200</t>
  </si>
  <si>
    <t>K3300</t>
  </si>
  <si>
    <t>SL-M4070</t>
  </si>
  <si>
    <t>Inlingua รังสิต</t>
  </si>
  <si>
    <t>ระยะเวลา/เดือน</t>
  </si>
  <si>
    <t>SL-M 4070</t>
  </si>
  <si>
    <t>K 3300</t>
  </si>
  <si>
    <t>K 2200</t>
  </si>
  <si>
    <t>จำนวน</t>
  </si>
  <si>
    <t xml:space="preserve">เงื่อนไข </t>
  </si>
  <si>
    <t>240,000 แผ่น/ 5 ปี</t>
  </si>
  <si>
    <t>480,000 แผ่น/ 5 ปี</t>
  </si>
  <si>
    <t xml:space="preserve">4 ปี </t>
  </si>
  <si>
    <t>ค่าเช่าเครื่อง 1000 บาท</t>
  </si>
  <si>
    <t>ส่วนเกิน 0.35</t>
  </si>
  <si>
    <t>0.38 บาท/แผ่น</t>
  </si>
  <si>
    <t>โรงเรียนภาษาอังกฤษอามิตร อาคารสยาม ทาวเวอร์</t>
  </si>
  <si>
    <t>โรงเรียนภาษาอังกฤษอามิตร บางแค</t>
  </si>
  <si>
    <t>โรงเรียนภาษาต่างประเทศอินลิงกัว เอสเพอร์นาส รัชดา</t>
  </si>
  <si>
    <t>โรงเรียนอบรมคอมพิวเตอร์นักบริหาร อาคาร ลิเบอร์ตี้ สีลม</t>
  </si>
  <si>
    <t>โรงเรียนภาษาต่างประเทศอินลิงกัว บางนา ชั้น 21</t>
  </si>
  <si>
    <t>โรงเรียนภาษาต่างประเทศอินลิงกัว บางนา ชั้น 14</t>
  </si>
  <si>
    <t>บริษัท ไอเทค จำกัด สำนักงานใหญ่ประตูนำ้</t>
  </si>
  <si>
    <t>ECC Chaipako  เดอมอลล์ บางแค</t>
  </si>
  <si>
    <t xml:space="preserve">เบอร์โทรศัพท์ </t>
  </si>
  <si>
    <t xml:space="preserve">ผู้จัดการสาขา/ เจ้าหน้าที่ผู้รับผิดชอบ </t>
  </si>
  <si>
    <t xml:space="preserve">วันที่ดำเนินการติดตั้ง </t>
  </si>
  <si>
    <t>เลขที่การ์ด</t>
  </si>
  <si>
    <t>สำนักงานใหญ่ อาคารไอเทค ถนนราชดำริ เลขที่ 9</t>
  </si>
  <si>
    <t xml:space="preserve">Dadi Nusery Early Leaning Center </t>
  </si>
  <si>
    <t>เครื่อง</t>
  </si>
  <si>
    <t>วันที่ดำเนินการ แนะนำการใช้งาน</t>
  </si>
  <si>
    <t>หมายเหตุ</t>
  </si>
  <si>
    <t>E-mail</t>
  </si>
  <si>
    <t>Samsung Model</t>
  </si>
  <si>
    <t>1094 เซ็นทรัลบางนา ชั้น 14 ถนนบางนา-ตราด แขวงบางนา เขตบางนา กรุงเทพฯ10260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</si>
</sst>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charset val="222"/>
    </font>
    <font>
      <sz val="14"/>
      <name val="Angsana New"/>
      <family val="1"/>
    </font>
    <font>
      <b/>
      <sz val="14"/>
      <name val="Angsana New"/>
      <family val="1"/>
    </font>
    <font>
      <sz val="14"/>
      <color rgb="FFFF0000"/>
      <name val="Angsana New"/>
      <family val="1"/>
    </font>
    <font>
      <sz val="14"/>
      <color theme="1"/>
      <name val="Angsana New"/>
      <family val="1"/>
    </font>
    <font>
      <sz val="13"/>
      <name val="Angsana New"/>
      <family val="1"/>
    </font>
    <font>
      <sz val="12"/>
      <name val="Angsana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 val="singleAccounting"/>
      <sz val="14"/>
      <name val="Angsana New"/>
    </font>
    <font>
      <sz val="14"/>
      <color theme="0"/>
      <name val="Angsana New"/>
    </font>
    <font>
      <u val="singleAccounting"/>
      <sz val="14"/>
      <color rgb="FFFF0000"/>
      <name val="Angsana New"/>
    </font>
    <font>
      <sz val="10"/>
      <name val="Angsana New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C1A8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rgb="FF66006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03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54">
    <xf numFmtId="0" fontId="0" fillId="0" borderId="0" xfId="0"/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3" fillId="0" borderId="0" xfId="1" applyFont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49" fontId="4" fillId="2" borderId="5" xfId="1" applyNumberFormat="1" applyFont="1" applyFill="1" applyBorder="1" applyAlignment="1">
      <alignment horizontal="center"/>
    </xf>
    <xf numFmtId="49" fontId="4" fillId="2" borderId="2" xfId="1" applyNumberFormat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7" fontId="4" fillId="0" borderId="1" xfId="1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49" fontId="3" fillId="0" borderId="5" xfId="1" applyNumberFormat="1" applyFont="1" applyBorder="1" applyAlignment="1">
      <alignment horizontal="center"/>
    </xf>
    <xf numFmtId="0" fontId="3" fillId="3" borderId="5" xfId="1" applyFont="1" applyFill="1" applyBorder="1"/>
    <xf numFmtId="0" fontId="3" fillId="3" borderId="5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2" xfId="1" applyFont="1" applyFill="1" applyBorder="1"/>
    <xf numFmtId="0" fontId="3" fillId="0" borderId="5" xfId="1" applyFont="1" applyBorder="1" applyAlignment="1">
      <alignment horizontal="center"/>
    </xf>
    <xf numFmtId="0" fontId="3" fillId="0" borderId="5" xfId="1" applyFont="1" applyBorder="1"/>
    <xf numFmtId="0" fontId="3" fillId="0" borderId="2" xfId="1" applyFont="1" applyBorder="1" applyAlignment="1">
      <alignment horizontal="center"/>
    </xf>
    <xf numFmtId="0" fontId="3" fillId="0" borderId="2" xfId="1" applyFont="1" applyBorder="1"/>
    <xf numFmtId="0" fontId="3" fillId="3" borderId="0" xfId="1" applyFont="1" applyFill="1" applyBorder="1"/>
    <xf numFmtId="0" fontId="3" fillId="4" borderId="5" xfId="1" applyFont="1" applyFill="1" applyBorder="1" applyAlignment="1">
      <alignment horizontal="center"/>
    </xf>
    <xf numFmtId="49" fontId="3" fillId="4" borderId="5" xfId="1" applyNumberFormat="1" applyFont="1" applyFill="1" applyBorder="1" applyAlignment="1">
      <alignment horizontal="center"/>
    </xf>
    <xf numFmtId="0" fontId="3" fillId="4" borderId="5" xfId="1" applyFont="1" applyFill="1" applyBorder="1"/>
    <xf numFmtId="0" fontId="3" fillId="4" borderId="0" xfId="1" applyFont="1" applyFill="1" applyBorder="1"/>
    <xf numFmtId="0" fontId="3" fillId="4" borderId="0" xfId="1" applyFont="1" applyFill="1"/>
    <xf numFmtId="49" fontId="3" fillId="3" borderId="5" xfId="1" applyNumberFormat="1" applyFont="1" applyFill="1" applyBorder="1" applyAlignment="1">
      <alignment horizontal="center"/>
    </xf>
    <xf numFmtId="0" fontId="3" fillId="3" borderId="0" xfId="1" applyFont="1" applyFill="1"/>
    <xf numFmtId="0" fontId="6" fillId="3" borderId="0" xfId="1" applyFont="1" applyFill="1" applyBorder="1"/>
    <xf numFmtId="0" fontId="5" fillId="3" borderId="0" xfId="1" applyFont="1" applyFill="1"/>
    <xf numFmtId="49" fontId="3" fillId="0" borderId="1" xfId="1" applyNumberFormat="1" applyFont="1" applyBorder="1" applyAlignment="1">
      <alignment horizontal="center"/>
    </xf>
    <xf numFmtId="0" fontId="3" fillId="0" borderId="1" xfId="1" applyFont="1" applyBorder="1"/>
    <xf numFmtId="0" fontId="3" fillId="0" borderId="8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 applyAlignment="1">
      <alignment horizontal="right"/>
    </xf>
    <xf numFmtId="0" fontId="8" fillId="0" borderId="1" xfId="1" applyFont="1" applyBorder="1"/>
    <xf numFmtId="0" fontId="3" fillId="3" borderId="5" xfId="1" applyFont="1" applyFill="1" applyBorder="1" applyAlignment="1">
      <alignment horizontal="right"/>
    </xf>
    <xf numFmtId="0" fontId="8" fillId="0" borderId="5" xfId="1" applyFont="1" applyBorder="1"/>
    <xf numFmtId="0" fontId="7" fillId="0" borderId="5" xfId="1" applyFont="1" applyBorder="1"/>
    <xf numFmtId="0" fontId="3" fillId="0" borderId="5" xfId="1" applyFont="1" applyFill="1" applyBorder="1"/>
    <xf numFmtId="0" fontId="3" fillId="0" borderId="5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49" fontId="3" fillId="0" borderId="0" xfId="1" applyNumberFormat="1" applyFont="1" applyAlignment="1"/>
    <xf numFmtId="0" fontId="4" fillId="2" borderId="6" xfId="1" applyFont="1" applyFill="1" applyBorder="1" applyAlignment="1">
      <alignment horizontal="center"/>
    </xf>
    <xf numFmtId="49" fontId="4" fillId="2" borderId="3" xfId="1" applyNumberFormat="1" applyFont="1" applyFill="1" applyBorder="1" applyAlignment="1">
      <alignment horizontal="center"/>
    </xf>
    <xf numFmtId="49" fontId="3" fillId="0" borderId="4" xfId="1" applyNumberFormat="1" applyFont="1" applyBorder="1" applyAlignment="1">
      <alignment horizontal="center"/>
    </xf>
    <xf numFmtId="49" fontId="4" fillId="0" borderId="2" xfId="1" applyNumberFormat="1" applyFont="1" applyBorder="1" applyAlignment="1"/>
    <xf numFmtId="49" fontId="3" fillId="3" borderId="2" xfId="1" applyNumberFormat="1" applyFont="1" applyFill="1" applyBorder="1" applyAlignment="1"/>
    <xf numFmtId="49" fontId="3" fillId="0" borderId="2" xfId="1" applyNumberFormat="1" applyFont="1" applyBorder="1" applyAlignment="1"/>
    <xf numFmtId="49" fontId="3" fillId="4" borderId="2" xfId="1" applyNumberFormat="1" applyFont="1" applyFill="1" applyBorder="1" applyAlignment="1"/>
    <xf numFmtId="0" fontId="3" fillId="6" borderId="5" xfId="0" applyFont="1" applyFill="1" applyBorder="1"/>
    <xf numFmtId="49" fontId="3" fillId="0" borderId="1" xfId="1" applyNumberFormat="1" applyFont="1" applyFill="1" applyBorder="1" applyAlignment="1">
      <alignment horizontal="center"/>
    </xf>
    <xf numFmtId="0" fontId="3" fillId="0" borderId="1" xfId="1" applyFont="1" applyFill="1" applyBorder="1"/>
    <xf numFmtId="0" fontId="3" fillId="6" borderId="1" xfId="1" applyFont="1" applyFill="1" applyBorder="1"/>
    <xf numFmtId="0" fontId="3" fillId="0" borderId="0" xfId="1" applyFont="1" applyAlignment="1">
      <alignment horizontal="center" vertical="center"/>
    </xf>
    <xf numFmtId="17" fontId="4" fillId="0" borderId="9" xfId="1" applyNumberFormat="1" applyFont="1" applyFill="1" applyBorder="1" applyAlignment="1">
      <alignment horizontal="center"/>
    </xf>
    <xf numFmtId="0" fontId="3" fillId="6" borderId="5" xfId="1" applyFont="1" applyFill="1" applyBorder="1"/>
    <xf numFmtId="43" fontId="3" fillId="0" borderId="0" xfId="1" applyNumberFormat="1" applyFont="1"/>
    <xf numFmtId="43" fontId="12" fillId="0" borderId="0" xfId="60" applyFont="1"/>
    <xf numFmtId="49" fontId="3" fillId="0" borderId="4" xfId="1" applyNumberFormat="1" applyFont="1" applyFill="1" applyBorder="1" applyAlignment="1">
      <alignment horizontal="center"/>
    </xf>
    <xf numFmtId="0" fontId="7" fillId="0" borderId="1" xfId="1" applyFont="1" applyFill="1" applyBorder="1"/>
    <xf numFmtId="0" fontId="3" fillId="0" borderId="5" xfId="0" applyFont="1" applyFill="1" applyBorder="1"/>
    <xf numFmtId="0" fontId="3" fillId="0" borderId="0" xfId="1" applyFont="1" applyFill="1"/>
    <xf numFmtId="0" fontId="3" fillId="0" borderId="8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right"/>
    </xf>
    <xf numFmtId="43" fontId="3" fillId="0" borderId="0" xfId="1" applyNumberFormat="1" applyFont="1" applyFill="1"/>
    <xf numFmtId="43" fontId="12" fillId="0" borderId="0" xfId="1" applyNumberFormat="1" applyFont="1" applyFill="1"/>
    <xf numFmtId="0" fontId="5" fillId="0" borderId="0" xfId="1" applyFont="1"/>
    <xf numFmtId="43" fontId="5" fillId="0" borderId="0" xfId="1" applyNumberFormat="1" applyFont="1"/>
    <xf numFmtId="0" fontId="5" fillId="0" borderId="0" xfId="1" applyFont="1" applyFill="1"/>
    <xf numFmtId="43" fontId="5" fillId="0" borderId="0" xfId="60" applyFont="1" applyFill="1"/>
    <xf numFmtId="43" fontId="3" fillId="0" borderId="6" xfId="60" applyFont="1" applyFill="1" applyBorder="1"/>
    <xf numFmtId="43" fontId="3" fillId="0" borderId="5" xfId="60" applyFont="1" applyFill="1" applyBorder="1"/>
    <xf numFmtId="43" fontId="3" fillId="0" borderId="1" xfId="60" applyFont="1" applyFill="1" applyBorder="1"/>
    <xf numFmtId="49" fontId="13" fillId="7" borderId="4" xfId="1" applyNumberFormat="1" applyFont="1" applyFill="1" applyBorder="1" applyAlignment="1">
      <alignment horizontal="center"/>
    </xf>
    <xf numFmtId="43" fontId="13" fillId="7" borderId="5" xfId="60" applyFont="1" applyFill="1" applyBorder="1"/>
    <xf numFmtId="0" fontId="13" fillId="4" borderId="5" xfId="1" applyFont="1" applyFill="1" applyBorder="1" applyAlignment="1">
      <alignment horizontal="center"/>
    </xf>
    <xf numFmtId="0" fontId="13" fillId="4" borderId="0" xfId="1" applyFont="1" applyFill="1"/>
    <xf numFmtId="49" fontId="13" fillId="4" borderId="5" xfId="1" applyNumberFormat="1" applyFont="1" applyFill="1" applyBorder="1" applyAlignment="1">
      <alignment horizontal="center"/>
    </xf>
    <xf numFmtId="0" fontId="13" fillId="7" borderId="5" xfId="1" applyFont="1" applyFill="1" applyBorder="1" applyAlignment="1">
      <alignment horizontal="center"/>
    </xf>
    <xf numFmtId="0" fontId="13" fillId="7" borderId="5" xfId="1" applyFont="1" applyFill="1" applyBorder="1"/>
    <xf numFmtId="0" fontId="13" fillId="8" borderId="5" xfId="0" applyFont="1" applyFill="1" applyBorder="1"/>
    <xf numFmtId="0" fontId="13" fillId="7" borderId="2" xfId="1" applyFont="1" applyFill="1" applyBorder="1" applyAlignment="1">
      <alignment horizontal="center"/>
    </xf>
    <xf numFmtId="0" fontId="13" fillId="7" borderId="0" xfId="1" applyFont="1" applyFill="1" applyBorder="1"/>
    <xf numFmtId="0" fontId="13" fillId="7" borderId="0" xfId="1" applyFont="1" applyFill="1"/>
    <xf numFmtId="49" fontId="13" fillId="7" borderId="5" xfId="1" applyNumberFormat="1" applyFont="1" applyFill="1" applyBorder="1" applyAlignment="1">
      <alignment horizontal="center"/>
    </xf>
    <xf numFmtId="49" fontId="13" fillId="7" borderId="1" xfId="1" applyNumberFormat="1" applyFont="1" applyFill="1" applyBorder="1" applyAlignment="1">
      <alignment horizontal="center"/>
    </xf>
    <xf numFmtId="0" fontId="13" fillId="7" borderId="1" xfId="1" applyFont="1" applyFill="1" applyBorder="1"/>
    <xf numFmtId="0" fontId="13" fillId="7" borderId="1" xfId="1" applyFont="1" applyFill="1" applyBorder="1" applyAlignment="1">
      <alignment horizontal="center"/>
    </xf>
    <xf numFmtId="0" fontId="13" fillId="7" borderId="8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60" applyFont="1" applyFill="1"/>
    <xf numFmtId="43" fontId="14" fillId="0" borderId="0" xfId="60" applyFont="1" applyFill="1"/>
    <xf numFmtId="17" fontId="4" fillId="0" borderId="0" xfId="1" applyNumberFormat="1" applyFont="1" applyFill="1" applyBorder="1" applyAlignment="1">
      <alignment horizontal="center"/>
    </xf>
    <xf numFmtId="43" fontId="3" fillId="0" borderId="0" xfId="60" applyFont="1" applyFill="1" applyBorder="1"/>
    <xf numFmtId="43" fontId="13" fillId="7" borderId="0" xfId="60" applyFont="1" applyFill="1" applyBorder="1"/>
    <xf numFmtId="0" fontId="3" fillId="0" borderId="0" xfId="1" applyFont="1" applyAlignment="1">
      <alignment horizontal="center"/>
    </xf>
    <xf numFmtId="43" fontId="12" fillId="0" borderId="0" xfId="60" applyFont="1" applyFill="1"/>
    <xf numFmtId="164" fontId="3" fillId="0" borderId="0" xfId="60" applyNumberFormat="1" applyFont="1" applyFill="1"/>
    <xf numFmtId="164" fontId="5" fillId="0" borderId="0" xfId="60" applyNumberFormat="1" applyFont="1" applyFill="1"/>
    <xf numFmtId="164" fontId="12" fillId="0" borderId="0" xfId="60" applyNumberFormat="1" applyFont="1" applyFill="1"/>
    <xf numFmtId="164" fontId="14" fillId="0" borderId="0" xfId="60" applyNumberFormat="1" applyFont="1" applyFill="1"/>
    <xf numFmtId="0" fontId="4" fillId="0" borderId="5" xfId="1" applyFont="1" applyFill="1" applyBorder="1" applyAlignment="1">
      <alignment horizontal="center"/>
    </xf>
    <xf numFmtId="49" fontId="4" fillId="0" borderId="5" xfId="1" applyNumberFormat="1" applyFont="1" applyFill="1" applyBorder="1" applyAlignment="1">
      <alignment horizontal="center"/>
    </xf>
    <xf numFmtId="49" fontId="4" fillId="0" borderId="2" xfId="1" applyNumberFormat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49" fontId="3" fillId="0" borderId="5" xfId="1" applyNumberFormat="1" applyFont="1" applyFill="1" applyBorder="1" applyAlignment="1">
      <alignment horizontal="center"/>
    </xf>
    <xf numFmtId="0" fontId="3" fillId="0" borderId="0" xfId="1" applyFont="1" applyFill="1" applyBorder="1"/>
    <xf numFmtId="0" fontId="13" fillId="0" borderId="5" xfId="1" applyFont="1" applyFill="1" applyBorder="1" applyAlignment="1">
      <alignment horizontal="center"/>
    </xf>
    <xf numFmtId="49" fontId="13" fillId="0" borderId="5" xfId="1" applyNumberFormat="1" applyFont="1" applyFill="1" applyBorder="1" applyAlignment="1">
      <alignment horizontal="center"/>
    </xf>
    <xf numFmtId="0" fontId="13" fillId="0" borderId="5" xfId="1" applyFont="1" applyFill="1" applyBorder="1"/>
    <xf numFmtId="0" fontId="13" fillId="0" borderId="0" xfId="1" applyFont="1" applyFill="1" applyBorder="1"/>
    <xf numFmtId="0" fontId="13" fillId="0" borderId="0" xfId="1" applyFont="1" applyFill="1"/>
    <xf numFmtId="0" fontId="6" fillId="0" borderId="0" xfId="1" applyFont="1" applyFill="1" applyBorder="1"/>
    <xf numFmtId="0" fontId="3" fillId="0" borderId="0" xfId="1" applyFont="1" applyFill="1" applyAlignment="1">
      <alignment horizontal="center"/>
    </xf>
    <xf numFmtId="49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left" vertical="center"/>
    </xf>
    <xf numFmtId="43" fontId="5" fillId="0" borderId="0" xfId="1" applyNumberFormat="1" applyFont="1" applyFill="1"/>
    <xf numFmtId="0" fontId="3" fillId="0" borderId="0" xfId="1" applyFont="1" applyFill="1" applyAlignment="1">
      <alignment horizontal="center" vertical="center"/>
    </xf>
    <xf numFmtId="0" fontId="5" fillId="0" borderId="5" xfId="1" applyFont="1" applyFill="1" applyBorder="1"/>
    <xf numFmtId="0" fontId="8" fillId="0" borderId="5" xfId="1" applyFont="1" applyFill="1" applyBorder="1"/>
    <xf numFmtId="17" fontId="15" fillId="0" borderId="1" xfId="1" applyNumberFormat="1" applyFont="1" applyBorder="1" applyAlignment="1">
      <alignment horizontal="center" wrapText="1"/>
    </xf>
    <xf numFmtId="49" fontId="15" fillId="2" borderId="3" xfId="1" applyNumberFormat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5" fillId="2" borderId="6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0" fontId="15" fillId="2" borderId="7" xfId="1" applyFont="1" applyFill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17" fontId="15" fillId="0" borderId="1" xfId="1" applyNumberFormat="1" applyFont="1" applyBorder="1" applyAlignment="1">
      <alignment horizontal="center"/>
    </xf>
    <xf numFmtId="49" fontId="15" fillId="0" borderId="4" xfId="1" applyNumberFormat="1" applyFont="1" applyBorder="1" applyAlignment="1">
      <alignment horizontal="center"/>
    </xf>
    <xf numFmtId="0" fontId="15" fillId="4" borderId="5" xfId="1" applyFont="1" applyFill="1" applyBorder="1"/>
    <xf numFmtId="0" fontId="15" fillId="4" borderId="5" xfId="1" applyFont="1" applyFill="1" applyBorder="1" applyAlignment="1">
      <alignment horizontal="center"/>
    </xf>
    <xf numFmtId="0" fontId="15" fillId="5" borderId="5" xfId="1" applyFont="1" applyFill="1" applyBorder="1"/>
    <xf numFmtId="0" fontId="15" fillId="3" borderId="5" xfId="1" applyFont="1" applyFill="1" applyBorder="1" applyAlignment="1">
      <alignment horizontal="center"/>
    </xf>
    <xf numFmtId="0" fontId="15" fillId="4" borderId="2" xfId="1" applyFont="1" applyFill="1" applyBorder="1" applyAlignment="1">
      <alignment horizontal="center"/>
    </xf>
    <xf numFmtId="0" fontId="15" fillId="4" borderId="2" xfId="1" applyFont="1" applyFill="1" applyBorder="1"/>
    <xf numFmtId="1" fontId="15" fillId="3" borderId="5" xfId="1" applyNumberFormat="1" applyFont="1" applyFill="1" applyBorder="1"/>
    <xf numFmtId="0" fontId="15" fillId="0" borderId="5" xfId="1" applyFont="1" applyBorder="1"/>
    <xf numFmtId="0" fontId="15" fillId="3" borderId="5" xfId="1" applyFont="1" applyFill="1" applyBorder="1"/>
    <xf numFmtId="0" fontId="15" fillId="6" borderId="5" xfId="0" applyFont="1" applyFill="1" applyBorder="1"/>
    <xf numFmtId="0" fontId="15" fillId="3" borderId="2" xfId="1" applyFont="1" applyFill="1" applyBorder="1" applyAlignment="1">
      <alignment horizontal="center"/>
    </xf>
    <xf numFmtId="0" fontId="15" fillId="3" borderId="2" xfId="1" applyFont="1" applyFill="1" applyBorder="1"/>
    <xf numFmtId="0" fontId="15" fillId="3" borderId="0" xfId="1" applyFont="1" applyFill="1" applyBorder="1"/>
    <xf numFmtId="0" fontId="15" fillId="0" borderId="2" xfId="1" applyFont="1" applyBorder="1"/>
    <xf numFmtId="0" fontId="15" fillId="0" borderId="0" xfId="1" applyFont="1" applyBorder="1"/>
    <xf numFmtId="49" fontId="3" fillId="0" borderId="2" xfId="1" applyNumberFormat="1" applyFont="1" applyFill="1" applyBorder="1" applyAlignment="1">
      <alignment horizontal="center"/>
    </xf>
    <xf numFmtId="49" fontId="13" fillId="0" borderId="2" xfId="1" applyNumberFormat="1" applyFont="1" applyFill="1" applyBorder="1" applyAlignment="1">
      <alignment horizontal="center"/>
    </xf>
    <xf numFmtId="49" fontId="3" fillId="0" borderId="8" xfId="1" applyNumberFormat="1" applyFont="1" applyFill="1" applyBorder="1" applyAlignment="1">
      <alignment horizontal="center"/>
    </xf>
    <xf numFmtId="49" fontId="3" fillId="0" borderId="9" xfId="1" applyNumberFormat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49" fontId="4" fillId="0" borderId="7" xfId="1" applyNumberFormat="1" applyFont="1" applyFill="1" applyBorder="1" applyAlignment="1">
      <alignment horizontal="center"/>
    </xf>
    <xf numFmtId="17" fontId="4" fillId="0" borderId="6" xfId="1" applyNumberFormat="1" applyFont="1" applyFill="1" applyBorder="1" applyAlignment="1">
      <alignment horizontal="center"/>
    </xf>
    <xf numFmtId="164" fontId="4" fillId="0" borderId="13" xfId="60" applyNumberFormat="1" applyFont="1" applyFill="1" applyBorder="1" applyAlignment="1">
      <alignment horizontal="center"/>
    </xf>
    <xf numFmtId="164" fontId="3" fillId="0" borderId="2" xfId="60" applyNumberFormat="1" applyFont="1" applyFill="1" applyBorder="1"/>
    <xf numFmtId="49" fontId="3" fillId="0" borderId="11" xfId="1" applyNumberFormat="1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8" xfId="60" applyNumberFormat="1" applyFont="1" applyFill="1" applyBorder="1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 vertical="center"/>
    </xf>
    <xf numFmtId="1" fontId="4" fillId="0" borderId="6" xfId="1" applyNumberFormat="1" applyFont="1" applyFill="1" applyBorder="1" applyAlignment="1">
      <alignment horizontal="center"/>
    </xf>
    <xf numFmtId="1" fontId="3" fillId="0" borderId="6" xfId="1" applyNumberFormat="1" applyFont="1" applyBorder="1"/>
    <xf numFmtId="1" fontId="3" fillId="0" borderId="5" xfId="1" applyNumberFormat="1" applyFont="1" applyBorder="1"/>
    <xf numFmtId="1" fontId="3" fillId="0" borderId="1" xfId="1" applyNumberFormat="1" applyFont="1" applyBorder="1"/>
    <xf numFmtId="1" fontId="12" fillId="0" borderId="0" xfId="60" applyNumberFormat="1" applyFont="1" applyFill="1"/>
    <xf numFmtId="1" fontId="3" fillId="0" borderId="0" xfId="60" applyNumberFormat="1" applyFont="1" applyFill="1"/>
    <xf numFmtId="1" fontId="5" fillId="0" borderId="0" xfId="60" applyNumberFormat="1" applyFont="1" applyFill="1"/>
    <xf numFmtId="1" fontId="14" fillId="0" borderId="0" xfId="60" applyNumberFormat="1" applyFont="1" applyFill="1"/>
    <xf numFmtId="164" fontId="3" fillId="0" borderId="2" xfId="60" applyNumberFormat="1" applyFont="1" applyBorder="1"/>
    <xf numFmtId="17" fontId="3" fillId="0" borderId="5" xfId="1" applyNumberFormat="1" applyFont="1" applyFill="1" applyBorder="1" applyAlignment="1">
      <alignment horizontal="center"/>
    </xf>
    <xf numFmtId="164" fontId="3" fillId="0" borderId="5" xfId="60" applyNumberFormat="1" applyFont="1" applyFill="1" applyBorder="1"/>
    <xf numFmtId="164" fontId="3" fillId="0" borderId="6" xfId="60" applyNumberFormat="1" applyFont="1" applyFill="1" applyBorder="1"/>
    <xf numFmtId="1" fontId="3" fillId="3" borderId="2" xfId="1" applyNumberFormat="1" applyFont="1" applyFill="1" applyBorder="1"/>
    <xf numFmtId="49" fontId="3" fillId="9" borderId="1" xfId="1" applyNumberFormat="1" applyFont="1" applyFill="1" applyBorder="1" applyAlignment="1">
      <alignment horizontal="center"/>
    </xf>
    <xf numFmtId="0" fontId="3" fillId="9" borderId="5" xfId="1" applyFont="1" applyFill="1" applyBorder="1"/>
    <xf numFmtId="0" fontId="3" fillId="9" borderId="5" xfId="1" applyFont="1" applyFill="1" applyBorder="1" applyAlignment="1">
      <alignment horizontal="center"/>
    </xf>
    <xf numFmtId="0" fontId="3" fillId="9" borderId="5" xfId="0" applyFont="1" applyFill="1" applyBorder="1"/>
    <xf numFmtId="164" fontId="3" fillId="9" borderId="2" xfId="60" applyNumberFormat="1" applyFont="1" applyFill="1" applyBorder="1"/>
    <xf numFmtId="164" fontId="3" fillId="9" borderId="5" xfId="60" applyNumberFormat="1" applyFont="1" applyFill="1" applyBorder="1"/>
    <xf numFmtId="1" fontId="3" fillId="0" borderId="5" xfId="1" applyNumberFormat="1" applyFont="1" applyFill="1" applyBorder="1"/>
    <xf numFmtId="49" fontId="3" fillId="0" borderId="0" xfId="1" applyNumberFormat="1" applyFont="1" applyFill="1" applyBorder="1" applyAlignment="1">
      <alignment horizontal="center"/>
    </xf>
    <xf numFmtId="43" fontId="12" fillId="0" borderId="0" xfId="60" applyFont="1" applyFill="1" applyBorder="1"/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9" fontId="3" fillId="10" borderId="1" xfId="1" applyNumberFormat="1" applyFont="1" applyFill="1" applyBorder="1" applyAlignment="1">
      <alignment horizontal="center"/>
    </xf>
    <xf numFmtId="0" fontId="3" fillId="10" borderId="1" xfId="1" applyFont="1" applyFill="1" applyBorder="1"/>
    <xf numFmtId="0" fontId="3" fillId="10" borderId="1" xfId="1" applyFont="1" applyFill="1" applyBorder="1" applyAlignment="1">
      <alignment horizontal="center"/>
    </xf>
    <xf numFmtId="0" fontId="3" fillId="10" borderId="1" xfId="1" applyFont="1" applyFill="1" applyBorder="1" applyAlignment="1">
      <alignment wrapText="1"/>
    </xf>
    <xf numFmtId="17" fontId="3" fillId="10" borderId="1" xfId="1" applyNumberFormat="1" applyFont="1" applyFill="1" applyBorder="1" applyAlignment="1">
      <alignment horizontal="center"/>
    </xf>
    <xf numFmtId="164" fontId="3" fillId="10" borderId="8" xfId="60" applyNumberFormat="1" applyFont="1" applyFill="1" applyBorder="1" applyAlignment="1">
      <alignment horizontal="center"/>
    </xf>
    <xf numFmtId="1" fontId="3" fillId="10" borderId="5" xfId="1" applyNumberFormat="1" applyFont="1" applyFill="1" applyBorder="1"/>
    <xf numFmtId="1" fontId="3" fillId="9" borderId="5" xfId="1" applyNumberFormat="1" applyFont="1" applyFill="1" applyBorder="1"/>
    <xf numFmtId="1" fontId="4" fillId="0" borderId="0" xfId="1" applyNumberFormat="1" applyFont="1" applyFill="1" applyBorder="1" applyAlignment="1">
      <alignment horizontal="center"/>
    </xf>
    <xf numFmtId="1" fontId="3" fillId="0" borderId="0" xfId="1" applyNumberFormat="1" applyFont="1" applyBorder="1"/>
    <xf numFmtId="1" fontId="3" fillId="0" borderId="0" xfId="1" applyNumberFormat="1" applyFont="1" applyFill="1" applyBorder="1"/>
    <xf numFmtId="1" fontId="3" fillId="0" borderId="0" xfId="60" applyNumberFormat="1" applyFont="1" applyFill="1" applyAlignment="1">
      <alignment wrapText="1"/>
    </xf>
    <xf numFmtId="49" fontId="3" fillId="9" borderId="5" xfId="1" applyNumberFormat="1" applyFont="1" applyFill="1" applyBorder="1" applyAlignment="1">
      <alignment horizontal="center"/>
    </xf>
    <xf numFmtId="49" fontId="3" fillId="10" borderId="5" xfId="1" applyNumberFormat="1" applyFont="1" applyFill="1" applyBorder="1" applyAlignment="1">
      <alignment horizontal="center"/>
    </xf>
    <xf numFmtId="17" fontId="3" fillId="0" borderId="5" xfId="1" applyNumberFormat="1" applyFont="1" applyBorder="1"/>
    <xf numFmtId="17" fontId="3" fillId="9" borderId="5" xfId="1" applyNumberFormat="1" applyFont="1" applyFill="1" applyBorder="1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5" xfId="1" applyFont="1" applyFill="1" applyBorder="1" applyAlignment="1">
      <alignment horizontal="center" vertical="center"/>
    </xf>
    <xf numFmtId="49" fontId="4" fillId="0" borderId="5" xfId="1" applyNumberFormat="1" applyFont="1" applyFill="1" applyBorder="1" applyAlignment="1">
      <alignment horizontal="center" vertical="center"/>
    </xf>
    <xf numFmtId="49" fontId="4" fillId="0" borderId="2" xfId="1" applyNumberFormat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wrapText="1"/>
    </xf>
    <xf numFmtId="17" fontId="4" fillId="0" borderId="5" xfId="1" applyNumberFormat="1" applyFont="1" applyFill="1" applyBorder="1" applyAlignment="1">
      <alignment horizontal="center" vertical="center"/>
    </xf>
    <xf numFmtId="17" fontId="4" fillId="0" borderId="6" xfId="1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17" fontId="4" fillId="0" borderId="5" xfId="1" applyNumberFormat="1" applyFont="1" applyFill="1" applyBorder="1" applyAlignment="1">
      <alignment horizontal="center" vertical="center" wrapText="1"/>
    </xf>
    <xf numFmtId="17" fontId="13" fillId="0" borderId="0" xfId="1" applyNumberFormat="1" applyFont="1" applyFill="1" applyBorder="1" applyAlignment="1">
      <alignment horizontal="center"/>
    </xf>
    <xf numFmtId="17" fontId="3" fillId="0" borderId="0" xfId="1" applyNumberFormat="1" applyFont="1" applyBorder="1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3" fillId="0" borderId="12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17" fontId="13" fillId="10" borderId="1" xfId="1" applyNumberFormat="1" applyFont="1" applyFill="1" applyBorder="1" applyAlignment="1">
      <alignment horizontal="center"/>
    </xf>
    <xf numFmtId="17" fontId="3" fillId="10" borderId="1" xfId="1" applyNumberFormat="1" applyFont="1" applyFill="1" applyBorder="1"/>
    <xf numFmtId="17" fontId="3" fillId="0" borderId="0" xfId="1" applyNumberFormat="1" applyFont="1" applyFill="1" applyBorder="1"/>
    <xf numFmtId="49" fontId="3" fillId="0" borderId="15" xfId="1" applyNumberFormat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49" fontId="3" fillId="0" borderId="18" xfId="1" applyNumberFormat="1" applyFont="1" applyFill="1" applyBorder="1" applyAlignment="1">
      <alignment horizontal="center"/>
    </xf>
    <xf numFmtId="0" fontId="3" fillId="0" borderId="19" xfId="1" applyFont="1" applyFill="1" applyBorder="1"/>
    <xf numFmtId="0" fontId="3" fillId="0" borderId="20" xfId="1" applyFont="1" applyFill="1" applyBorder="1" applyAlignment="1">
      <alignment horizontal="center"/>
    </xf>
    <xf numFmtId="49" fontId="3" fillId="9" borderId="18" xfId="1" applyNumberFormat="1" applyFont="1" applyFill="1" applyBorder="1" applyAlignment="1">
      <alignment horizontal="center"/>
    </xf>
    <xf numFmtId="49" fontId="3" fillId="10" borderId="18" xfId="1" applyNumberFormat="1" applyFont="1" applyFill="1" applyBorder="1" applyAlignment="1">
      <alignment horizontal="center"/>
    </xf>
    <xf numFmtId="0" fontId="3" fillId="0" borderId="21" xfId="1" applyFont="1" applyFill="1" applyBorder="1"/>
    <xf numFmtId="0" fontId="3" fillId="0" borderId="22" xfId="1" applyFont="1" applyFill="1" applyBorder="1" applyAlignment="1">
      <alignment horizontal="center"/>
    </xf>
    <xf numFmtId="0" fontId="3" fillId="0" borderId="23" xfId="1" applyFont="1" applyFill="1" applyBorder="1" applyAlignment="1">
      <alignment horizontal="center"/>
    </xf>
    <xf numFmtId="0" fontId="3" fillId="0" borderId="16" xfId="1" applyFont="1" applyBorder="1" applyAlignment="1">
      <alignment horizontal="center"/>
    </xf>
  </cellXfs>
  <cellStyles count="103">
    <cellStyle name="Comma" xfId="6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  <cellStyle name="Normal 2" xfId="1"/>
  </cellStyles>
  <dxfs count="6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4" formatCode="_-* #,##0_-;\-* #,##0_-;_-* &quot;-&quot;??_-;_-@_-"/>
      <fill>
        <patternFill patternType="none"/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/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fill>
        <patternFill patternType="none"/>
      </fill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fill>
        <patternFill patternType="none"/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4" formatCode="_-* #,##0_-;\-* #,##0_-;_-* &quot;-&quot;??_-;_-@_-"/>
      <fill>
        <patternFill patternType="none"/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4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fill>
        <patternFill patternType="none"/>
      </fill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fill>
        <patternFill patternType="none"/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4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rgb="FF000000"/>
          <bgColor rgb="FFFFFFFF"/>
        </patternFill>
      </fill>
      <alignment horizont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/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fill>
        <patternFill patternType="none"/>
      </fill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fill>
        <patternFill patternType="none"/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Angsana New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423" displayName="Table13423" ref="D1:CD17" totalsRowShown="0" headerRowDxfId="689" dataDxfId="688" tableBorderDxfId="687" headerRowCellStyle="Normal 2" dataCellStyle="Normal 2">
  <autoFilter ref="D1:CD17"/>
  <tableColumns count="79">
    <tableColumn id="1" name="ลำดับ" dataDxfId="686" totalsRowDxfId="685" dataCellStyle="Normal 2"/>
    <tableColumn id="2" name="ชื่อลูกค้า" dataDxfId="684" totalsRowDxfId="683" dataCellStyle="Normal 2"/>
    <tableColumn id="3" name="รหัสลูกค้า" dataDxfId="682" totalsRowDxfId="681" dataCellStyle="Normal 2"/>
    <tableColumn id="4" name="ที่อยู่" dataDxfId="680" totalsRowDxfId="679" dataCellStyle="Normal 2"/>
    <tableColumn id="5" name="Column1" dataDxfId="678" totalsRowDxfId="677" dataCellStyle="Normal 2"/>
    <tableColumn id="6" name="เบอร์โทรสาร" dataDxfId="676" totalsRowDxfId="675" dataCellStyle="Normal 2"/>
    <tableColumn id="78" name="ยี่ห้อ" dataDxfId="674" totalsRowDxfId="673" dataCellStyle="Normal 2"/>
    <tableColumn id="79" name="จำนวน " dataDxfId="672" totalsRowDxfId="671" dataCellStyle="Normal 2"/>
    <tableColumn id="7" name="รุ่น" dataDxfId="670" totalsRowDxfId="669" dataCellStyle="Normal 2"/>
    <tableColumn id="8" name="รุ่น2" dataDxfId="668" totalsRowDxfId="667" dataCellStyle="Normal 2"/>
    <tableColumn id="9" name="หมายเลขเครื่อง" dataDxfId="666" totalsRowDxfId="665" dataCellStyle="Normal 2"/>
    <tableColumn id="10" name="เริ่ม" dataDxfId="664" totalsRowDxfId="663" dataCellStyle="Normal 2"/>
    <tableColumn id="11" name="ส.ค." dataDxfId="662" totalsRowDxfId="661" dataCellStyle="Normal 2"/>
    <tableColumn id="12" name="ก.ย." dataDxfId="660" totalsRowDxfId="659" dataCellStyle="Normal 2"/>
    <tableColumn id="13" name="ต.ค." dataDxfId="658" totalsRowDxfId="657" dataCellStyle="Normal 2"/>
    <tableColumn id="14" name="พ.ย." dataDxfId="656" totalsRowDxfId="655" dataCellStyle="Normal 2"/>
    <tableColumn id="15" name="ธ.ค." dataDxfId="654" totalsRowDxfId="653" dataCellStyle="Normal 2"/>
    <tableColumn id="16" name="ม.ค" dataDxfId="652" totalsRowDxfId="651" dataCellStyle="Normal 2"/>
    <tableColumn id="17" name="ก.พ." dataDxfId="650" totalsRowDxfId="649" dataCellStyle="Normal 2"/>
    <tableColumn id="18" name="มี.ค" dataDxfId="648" totalsRowDxfId="647" dataCellStyle="Normal 2"/>
    <tableColumn id="19" name="เม.ย." dataDxfId="646" totalsRowDxfId="645" dataCellStyle="Normal 2"/>
    <tableColumn id="20" name="พ.ค." dataDxfId="644" totalsRowDxfId="643" dataCellStyle="Normal 2"/>
    <tableColumn id="21" name="มิ.ย." dataDxfId="642" totalsRowDxfId="641" dataCellStyle="Normal 2"/>
    <tableColumn id="22" name="ก.ค." dataDxfId="640" totalsRowDxfId="639" dataCellStyle="Normal 2"/>
    <tableColumn id="23" name="Aug-55" dataDxfId="638" totalsRowDxfId="637" dataCellStyle="Normal 2"/>
    <tableColumn id="24" name="Sep-55" dataDxfId="636" totalsRowDxfId="635" dataCellStyle="Normal 2"/>
    <tableColumn id="25" name="Oct-55" dataDxfId="634" totalsRowDxfId="633" dataCellStyle="Normal 2"/>
    <tableColumn id="26" name="Nov-55" dataDxfId="632" totalsRowDxfId="631" dataCellStyle="Normal 2"/>
    <tableColumn id="27" name="Dec-55" dataDxfId="630" totalsRowDxfId="629" dataCellStyle="Normal 2"/>
    <tableColumn id="28" name="Jan-56" dataDxfId="628" totalsRowDxfId="627" dataCellStyle="Normal 2"/>
    <tableColumn id="29" name="Feb-56" dataDxfId="626" totalsRowDxfId="625" dataCellStyle="Normal 2"/>
    <tableColumn id="30" name="Mar-56" dataDxfId="624" totalsRowDxfId="623" dataCellStyle="Normal 2"/>
    <tableColumn id="31" name="Apr-56" dataDxfId="622" totalsRowDxfId="621" dataCellStyle="Normal 2"/>
    <tableColumn id="32" name="May-56" dataDxfId="620" totalsRowDxfId="619" dataCellStyle="Normal 2"/>
    <tableColumn id="33" name="Jun-56" dataDxfId="618" totalsRowDxfId="617" dataCellStyle="Normal 2"/>
    <tableColumn id="34" name="Jul-56" dataDxfId="616" totalsRowDxfId="615" dataCellStyle="Normal 2"/>
    <tableColumn id="35" name="Aug-56" dataDxfId="614" totalsRowDxfId="613" dataCellStyle="Normal 2"/>
    <tableColumn id="36" name="Sep-56" dataDxfId="612" totalsRowDxfId="611" dataCellStyle="Normal 2"/>
    <tableColumn id="37" name="Oct-56" dataDxfId="610" totalsRowDxfId="609" dataCellStyle="Normal 2"/>
    <tableColumn id="38" name="Nov-56" dataDxfId="608" totalsRowDxfId="607" dataCellStyle="Normal 2"/>
    <tableColumn id="39" name="Dec-56" dataDxfId="606" totalsRowDxfId="605" dataCellStyle="Normal 2"/>
    <tableColumn id="40" name="Jan-57" dataDxfId="604" totalsRowDxfId="603" dataCellStyle="Normal 2"/>
    <tableColumn id="41" name="Feb-57" dataDxfId="602" totalsRowDxfId="601" dataCellStyle="Normal 2"/>
    <tableColumn id="42" name="Mar-57" dataDxfId="600" totalsRowDxfId="599" dataCellStyle="Normal 2"/>
    <tableColumn id="43" name="Apr-57" dataDxfId="598" totalsRowDxfId="597" dataCellStyle="Normal 2"/>
    <tableColumn id="44" name="May-57" dataDxfId="596" totalsRowDxfId="595" dataCellStyle="Normal 2"/>
    <tableColumn id="45" name="Jun-57" dataDxfId="594" totalsRowDxfId="593" dataCellStyle="Normal 2"/>
    <tableColumn id="46" name="Jul-57" dataDxfId="592" totalsRowDxfId="591" dataCellStyle="Normal 2"/>
    <tableColumn id="47" name="Aug-57" dataDxfId="590" totalsRowDxfId="589" dataCellStyle="Normal 2"/>
    <tableColumn id="48" name="Sep-57" dataDxfId="588" totalsRowDxfId="587" dataCellStyle="Normal 2"/>
    <tableColumn id="49" name="Oct-57" dataDxfId="586" totalsRowDxfId="585" dataCellStyle="Normal 2"/>
    <tableColumn id="50" name="Nov-57" dataDxfId="584" totalsRowDxfId="583" dataCellStyle="Normal 2"/>
    <tableColumn id="51" name="Dec-57" dataDxfId="582" totalsRowDxfId="581" dataCellStyle="Normal 2"/>
    <tableColumn id="52" name="Jan-58" dataDxfId="580" totalsRowDxfId="579" dataCellStyle="Normal 2"/>
    <tableColumn id="53" name="Column3" dataDxfId="578" totalsRowDxfId="577" dataCellStyle="Normal 2"/>
    <tableColumn id="54" name="Column4" dataDxfId="576" totalsRowDxfId="575" dataCellStyle="Normal 2"/>
    <tableColumn id="55" name="Feb-58" dataDxfId="574" totalsRowDxfId="573" dataCellStyle="Normal 2"/>
    <tableColumn id="56" name="Mar-58" dataDxfId="572" totalsRowDxfId="571" dataCellStyle="Normal 2"/>
    <tableColumn id="57" name="Column5" dataDxfId="570" totalsRowDxfId="569" dataCellStyle="Normal 2"/>
    <tableColumn id="58" name="Apr-58" dataDxfId="568" totalsRowDxfId="567" dataCellStyle="Normal 2"/>
    <tableColumn id="59" name="Column6" dataDxfId="566" totalsRowDxfId="565" dataCellStyle="Normal 2"/>
    <tableColumn id="60" name="Column7" dataDxfId="564" totalsRowDxfId="563" dataCellStyle="Normal 2"/>
    <tableColumn id="61" name="May-58" dataDxfId="562" totalsRowDxfId="561" dataCellStyle="Normal 2"/>
    <tableColumn id="62" name="Jun-58" dataDxfId="560" totalsRowDxfId="559" dataCellStyle="Normal 2"/>
    <tableColumn id="63" name="Column8" dataDxfId="558" totalsRowDxfId="557" dataCellStyle="Normal 2"/>
    <tableColumn id="64" name="Column9" dataDxfId="556" totalsRowDxfId="555" dataCellStyle="Normal 2"/>
    <tableColumn id="65" name="Jul-58" dataDxfId="554" totalsRowDxfId="553" dataCellStyle="Normal 2"/>
    <tableColumn id="66" name="Column10" dataDxfId="552" totalsRowDxfId="551" dataCellStyle="Normal 2"/>
    <tableColumn id="67" name="Aug-58" dataDxfId="550" totalsRowDxfId="549" dataCellStyle="Normal 2"/>
    <tableColumn id="68" name="Sep-58" dataDxfId="548" totalsRowDxfId="547" dataCellStyle="Normal 2"/>
    <tableColumn id="69" name="Oct-58" dataDxfId="546" totalsRowDxfId="545" dataCellStyle="Normal 2"/>
    <tableColumn id="70" name="Column11" dataDxfId="544" totalsRowDxfId="543" dataCellStyle="Normal 2"/>
    <tableColumn id="71" name="Column12" dataDxfId="542" totalsRowDxfId="541" dataCellStyle="Normal 2"/>
    <tableColumn id="72" name="Nov-58" dataDxfId="540" totalsRowDxfId="539" dataCellStyle="Normal 2"/>
    <tableColumn id="73" name="Dec-58" dataDxfId="538" totalsRowDxfId="537" dataCellStyle="Normal 2"/>
    <tableColumn id="74" name="Column13" dataDxfId="536" totalsRowDxfId="535" dataCellStyle="Normal 2"/>
    <tableColumn id="75" name="Column14" dataDxfId="534" totalsRowDxfId="533" dataCellStyle="Normal 2"/>
    <tableColumn id="76" name="Column15" dataDxfId="532" totalsRowDxfId="531" dataCellStyle="Normal 2"/>
    <tableColumn id="77" name="Column16" dataDxfId="530" totalsRowDxfId="529" data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13424" displayName="Table13424" ref="D1:CD3" totalsRowShown="0" headerRowDxfId="528" dataDxfId="527" tableBorderDxfId="526" headerRowCellStyle="Normal 2" dataCellStyle="Normal 2">
  <autoFilter ref="D1:CD3"/>
  <tableColumns count="79">
    <tableColumn id="1" name="ลำดับ" dataDxfId="525" totalsRowDxfId="524" dataCellStyle="Normal 2"/>
    <tableColumn id="2" name="ชื่อลูกค้า" dataDxfId="523" totalsRowDxfId="522" dataCellStyle="Normal 2"/>
    <tableColumn id="3" name="รหัสลูกค้า" dataDxfId="521" totalsRowDxfId="520" dataCellStyle="Normal 2"/>
    <tableColumn id="4" name="ที่อยู่" dataDxfId="519" totalsRowDxfId="518" dataCellStyle="Normal 2"/>
    <tableColumn id="5" name="Column1" dataDxfId="517" totalsRowDxfId="516" dataCellStyle="Normal 2"/>
    <tableColumn id="6" name="เบอร์โทรสาร" dataDxfId="515" totalsRowDxfId="514" dataCellStyle="Normal 2"/>
    <tableColumn id="78" name="ยี่ห้อ" dataDxfId="513" totalsRowDxfId="512" dataCellStyle="Normal 2"/>
    <tableColumn id="79" name="จำนวน " dataDxfId="511" totalsRowDxfId="510" dataCellStyle="Normal 2"/>
    <tableColumn id="7" name="รุ่น" dataDxfId="509" totalsRowDxfId="508" dataCellStyle="Normal 2"/>
    <tableColumn id="8" name="รุ่น2" dataDxfId="507" totalsRowDxfId="506" dataCellStyle="Normal 2"/>
    <tableColumn id="9" name="หมายเลขเครื่อง" dataDxfId="505" totalsRowDxfId="504" dataCellStyle="Normal 2"/>
    <tableColumn id="10" name="เริ่ม" dataDxfId="503" totalsRowDxfId="502" dataCellStyle="Normal 2"/>
    <tableColumn id="11" name="ส.ค." dataDxfId="501" totalsRowDxfId="500" dataCellStyle="Normal 2"/>
    <tableColumn id="12" name="ก.ย." dataDxfId="499" totalsRowDxfId="498" dataCellStyle="Normal 2"/>
    <tableColumn id="13" name="ต.ค." dataDxfId="497" totalsRowDxfId="496" dataCellStyle="Normal 2"/>
    <tableColumn id="14" name="พ.ย." dataDxfId="495" totalsRowDxfId="494" dataCellStyle="Normal 2"/>
    <tableColumn id="15" name="ธ.ค." dataDxfId="493" totalsRowDxfId="492" dataCellStyle="Normal 2"/>
    <tableColumn id="16" name="ม.ค" dataDxfId="491" totalsRowDxfId="490" dataCellStyle="Normal 2"/>
    <tableColumn id="17" name="ก.พ." dataDxfId="489" totalsRowDxfId="488" dataCellStyle="Normal 2"/>
    <tableColumn id="18" name="มี.ค" dataDxfId="487" totalsRowDxfId="486" dataCellStyle="Normal 2"/>
    <tableColumn id="19" name="เม.ย." dataDxfId="485" totalsRowDxfId="484" dataCellStyle="Normal 2"/>
    <tableColumn id="20" name="พ.ค." dataDxfId="483" totalsRowDxfId="482" dataCellStyle="Normal 2"/>
    <tableColumn id="21" name="มิ.ย." dataDxfId="481" totalsRowDxfId="480" dataCellStyle="Normal 2"/>
    <tableColumn id="22" name="ก.ค." dataDxfId="479" totalsRowDxfId="478" dataCellStyle="Normal 2"/>
    <tableColumn id="23" name="Aug-55" dataDxfId="477" totalsRowDxfId="476" dataCellStyle="Normal 2"/>
    <tableColumn id="24" name="Sep-55" dataDxfId="475" totalsRowDxfId="474" dataCellStyle="Normal 2"/>
    <tableColumn id="25" name="Oct-55" dataDxfId="473" totalsRowDxfId="472" dataCellStyle="Normal 2"/>
    <tableColumn id="26" name="Nov-55" dataDxfId="471" totalsRowDxfId="470" dataCellStyle="Normal 2"/>
    <tableColumn id="27" name="Dec-55" dataDxfId="469" totalsRowDxfId="468" dataCellStyle="Normal 2"/>
    <tableColumn id="28" name="Jan-56" dataDxfId="467" totalsRowDxfId="466" dataCellStyle="Normal 2"/>
    <tableColumn id="29" name="Feb-56" dataDxfId="465" totalsRowDxfId="464" dataCellStyle="Normal 2"/>
    <tableColumn id="30" name="Mar-56" dataDxfId="463" totalsRowDxfId="462" dataCellStyle="Normal 2"/>
    <tableColumn id="31" name="Apr-56" dataDxfId="461" totalsRowDxfId="460" dataCellStyle="Normal 2"/>
    <tableColumn id="32" name="May-56" dataDxfId="459" totalsRowDxfId="458" dataCellStyle="Normal 2"/>
    <tableColumn id="33" name="Jun-56" dataDxfId="457" totalsRowDxfId="456" dataCellStyle="Normal 2"/>
    <tableColumn id="34" name="Jul-56" dataDxfId="455" totalsRowDxfId="454" dataCellStyle="Normal 2"/>
    <tableColumn id="35" name="Aug-56" dataDxfId="453" totalsRowDxfId="452" dataCellStyle="Normal 2"/>
    <tableColumn id="36" name="Sep-56" dataDxfId="451" totalsRowDxfId="450" dataCellStyle="Normal 2"/>
    <tableColumn id="37" name="Oct-56" dataDxfId="449" totalsRowDxfId="448" dataCellStyle="Normal 2"/>
    <tableColumn id="38" name="Nov-56" dataDxfId="447" totalsRowDxfId="446" dataCellStyle="Normal 2"/>
    <tableColumn id="39" name="Dec-56" dataDxfId="445" totalsRowDxfId="444" dataCellStyle="Normal 2"/>
    <tableColumn id="40" name="Jan-57" dataDxfId="443" totalsRowDxfId="442" dataCellStyle="Normal 2"/>
    <tableColumn id="41" name="Feb-57" dataDxfId="441" totalsRowDxfId="440" dataCellStyle="Normal 2"/>
    <tableColumn id="42" name="Mar-57" dataDxfId="439" totalsRowDxfId="438" dataCellStyle="Normal 2"/>
    <tableColumn id="43" name="Apr-57" dataDxfId="437" totalsRowDxfId="436" dataCellStyle="Normal 2"/>
    <tableColumn id="44" name="May-57" dataDxfId="435" totalsRowDxfId="434" dataCellStyle="Normal 2"/>
    <tableColumn id="45" name="Jun-57" dataDxfId="433" totalsRowDxfId="432" dataCellStyle="Normal 2"/>
    <tableColumn id="46" name="Jul-57" dataDxfId="431" totalsRowDxfId="430" dataCellStyle="Normal 2"/>
    <tableColumn id="47" name="Aug-57" dataDxfId="429" totalsRowDxfId="428" dataCellStyle="Normal 2"/>
    <tableColumn id="48" name="Sep-57" dataDxfId="427" totalsRowDxfId="426" dataCellStyle="Normal 2"/>
    <tableColumn id="49" name="Oct-57" dataDxfId="425" totalsRowDxfId="424" dataCellStyle="Normal 2"/>
    <tableColumn id="50" name="Nov-57" dataDxfId="423" totalsRowDxfId="422" dataCellStyle="Normal 2"/>
    <tableColumn id="51" name="Dec-57" dataDxfId="421" totalsRowDxfId="420" dataCellStyle="Normal 2"/>
    <tableColumn id="52" name="Jan-58" dataDxfId="419" totalsRowDxfId="418" dataCellStyle="Normal 2"/>
    <tableColumn id="53" name="Column3" dataDxfId="417" totalsRowDxfId="416" dataCellStyle="Normal 2"/>
    <tableColumn id="54" name="Column4" dataDxfId="415" totalsRowDxfId="414" dataCellStyle="Normal 2"/>
    <tableColumn id="55" name="Feb-58" dataDxfId="413" totalsRowDxfId="412" dataCellStyle="Normal 2"/>
    <tableColumn id="56" name="Mar-58" dataDxfId="411" totalsRowDxfId="410" dataCellStyle="Normal 2"/>
    <tableColumn id="57" name="Column5" dataDxfId="409" totalsRowDxfId="408" dataCellStyle="Normal 2"/>
    <tableColumn id="58" name="Apr-58" dataDxfId="407" totalsRowDxfId="406" dataCellStyle="Normal 2"/>
    <tableColumn id="59" name="Column6" dataDxfId="405" totalsRowDxfId="404" dataCellStyle="Normal 2"/>
    <tableColumn id="60" name="Column7" dataDxfId="403" totalsRowDxfId="402" dataCellStyle="Normal 2"/>
    <tableColumn id="61" name="May-58" dataDxfId="401" totalsRowDxfId="400" dataCellStyle="Normal 2"/>
    <tableColumn id="62" name="Jun-58" dataDxfId="399" totalsRowDxfId="398" dataCellStyle="Normal 2"/>
    <tableColumn id="63" name="Column8" dataDxfId="397" totalsRowDxfId="396" dataCellStyle="Normal 2"/>
    <tableColumn id="64" name="Column9" dataDxfId="395" totalsRowDxfId="394" dataCellStyle="Normal 2"/>
    <tableColumn id="65" name="Jul-58" dataDxfId="393" totalsRowDxfId="392" dataCellStyle="Normal 2"/>
    <tableColumn id="66" name="Column10" dataDxfId="391" totalsRowDxfId="390" dataCellStyle="Normal 2"/>
    <tableColumn id="67" name="Aug-58" dataDxfId="389" totalsRowDxfId="388" dataCellStyle="Normal 2"/>
    <tableColumn id="68" name="Sep-58" dataDxfId="387" totalsRowDxfId="386" dataCellStyle="Normal 2"/>
    <tableColumn id="69" name="Oct-58" dataDxfId="385" totalsRowDxfId="384" dataCellStyle="Normal 2"/>
    <tableColumn id="70" name="Column11" dataDxfId="383" totalsRowDxfId="382" dataCellStyle="Normal 2"/>
    <tableColumn id="71" name="Column12" dataDxfId="381" totalsRowDxfId="380" dataCellStyle="Normal 2"/>
    <tableColumn id="72" name="Nov-58" dataDxfId="379" totalsRowDxfId="378" dataCellStyle="Normal 2"/>
    <tableColumn id="73" name="Dec-58" dataDxfId="377" totalsRowDxfId="376" dataCellStyle="Normal 2"/>
    <tableColumn id="74" name="Column13" dataDxfId="375" totalsRowDxfId="374" dataCellStyle="Normal 2"/>
    <tableColumn id="75" name="Column14" dataDxfId="373" totalsRowDxfId="372" dataCellStyle="Normal 2"/>
    <tableColumn id="76" name="Column15" dataDxfId="371" totalsRowDxfId="370" dataCellStyle="Normal 2"/>
    <tableColumn id="77" name="Column16" dataDxfId="369" totalsRowDxfId="368" dataCellStyle="Normal 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342" displayName="Table1342" ref="D1:CE10" totalsRowShown="0" headerRowDxfId="367" dataDxfId="366" tableBorderDxfId="365" headerRowCellStyle="Normal 2" dataCellStyle="Normal 2">
  <autoFilter ref="D1:CE10"/>
  <tableColumns count="80">
    <tableColumn id="1" name="ลำดับ" dataDxfId="364" totalsRowDxfId="363" dataCellStyle="Normal 2"/>
    <tableColumn id="2" name="ชื่อลูกค้า" dataDxfId="362" totalsRowDxfId="361" dataCellStyle="Normal 2"/>
    <tableColumn id="3" name="รหัสลูกค้า" dataDxfId="360" totalsRowDxfId="359" dataCellStyle="Normal 2"/>
    <tableColumn id="4" name="ที่อยู่" dataDxfId="358" totalsRowDxfId="357" dataCellStyle="Normal 2"/>
    <tableColumn id="5" name="Column1" dataDxfId="356" totalsRowDxfId="355" dataCellStyle="Normal 2"/>
    <tableColumn id="6" name="เบอร์โทรสาร" dataDxfId="354" totalsRowDxfId="353" dataCellStyle="Normal 2"/>
    <tableColumn id="78" name="ยี่ห้อ" dataDxfId="352" totalsRowDxfId="351" dataCellStyle="Normal 2"/>
    <tableColumn id="79" name="จำนวน " dataDxfId="350" totalsRowDxfId="349" dataCellStyle="Normal 2"/>
    <tableColumn id="7" name="รุ่น" dataDxfId="348" totalsRowDxfId="347" dataCellStyle="Normal 2"/>
    <tableColumn id="8" name="รุ่น2" dataDxfId="346" totalsRowDxfId="345" dataCellStyle="Normal 2"/>
    <tableColumn id="9" name="หมายเลขเครื่อง" dataDxfId="344" totalsRowDxfId="343" dataCellStyle="Normal 2"/>
    <tableColumn id="10" name="เริ่ม" dataDxfId="342" totalsRowDxfId="341" dataCellStyle="Normal 2"/>
    <tableColumn id="11" name="ส.ค." dataDxfId="340" totalsRowDxfId="339" dataCellStyle="Normal 2"/>
    <tableColumn id="12" name="ก.ย." dataDxfId="338" totalsRowDxfId="337" dataCellStyle="Normal 2"/>
    <tableColumn id="13" name="ต.ค." dataDxfId="336" totalsRowDxfId="335" dataCellStyle="Normal 2"/>
    <tableColumn id="14" name="พ.ย." dataDxfId="334" totalsRowDxfId="333" dataCellStyle="Normal 2"/>
    <tableColumn id="15" name="ธ.ค." dataDxfId="332" totalsRowDxfId="331" dataCellStyle="Normal 2"/>
    <tableColumn id="16" name="ม.ค" dataDxfId="330" totalsRowDxfId="329" dataCellStyle="Normal 2"/>
    <tableColumn id="17" name="ก.พ." dataDxfId="328" totalsRowDxfId="327" dataCellStyle="Normal 2"/>
    <tableColumn id="18" name="มี.ค" dataDxfId="326" totalsRowDxfId="325" dataCellStyle="Normal 2"/>
    <tableColumn id="19" name="เม.ย." dataDxfId="324" totalsRowDxfId="323" dataCellStyle="Normal 2"/>
    <tableColumn id="20" name="พ.ค." dataDxfId="322" totalsRowDxfId="321" dataCellStyle="Normal 2"/>
    <tableColumn id="21" name="มิ.ย." dataDxfId="320" totalsRowDxfId="319" dataCellStyle="Normal 2"/>
    <tableColumn id="22" name="ก.ค." dataDxfId="318" totalsRowDxfId="317" dataCellStyle="Normal 2"/>
    <tableColumn id="23" name="Aug-55" dataDxfId="316" totalsRowDxfId="315" dataCellStyle="Normal 2"/>
    <tableColumn id="24" name="Sep-55" dataDxfId="314" totalsRowDxfId="313" dataCellStyle="Normal 2"/>
    <tableColumn id="25" name="Oct-55" dataDxfId="312" totalsRowDxfId="311" dataCellStyle="Normal 2"/>
    <tableColumn id="26" name="Nov-55" dataDxfId="310" totalsRowDxfId="309" dataCellStyle="Normal 2"/>
    <tableColumn id="27" name="Dec-55" dataDxfId="308" totalsRowDxfId="307" dataCellStyle="Normal 2"/>
    <tableColumn id="28" name="Jan-56" dataDxfId="306" totalsRowDxfId="305" dataCellStyle="Normal 2"/>
    <tableColumn id="29" name="Feb-56" dataDxfId="304" totalsRowDxfId="303" dataCellStyle="Normal 2"/>
    <tableColumn id="30" name="Mar-56" dataDxfId="302" totalsRowDxfId="301" dataCellStyle="Normal 2"/>
    <tableColumn id="31" name="Apr-56" dataDxfId="300" totalsRowDxfId="299" dataCellStyle="Normal 2"/>
    <tableColumn id="32" name="May-56" dataDxfId="298" totalsRowDxfId="297" dataCellStyle="Normal 2"/>
    <tableColumn id="33" name="Jun-56" dataDxfId="296" totalsRowDxfId="295" dataCellStyle="Normal 2"/>
    <tableColumn id="34" name="Jul-56" dataDxfId="294" totalsRowDxfId="293" dataCellStyle="Normal 2"/>
    <tableColumn id="35" name="Aug-56" dataDxfId="292" totalsRowDxfId="291" dataCellStyle="Normal 2"/>
    <tableColumn id="36" name="Sep-56" dataDxfId="290" totalsRowDxfId="289" dataCellStyle="Normal 2"/>
    <tableColumn id="37" name="Oct-56" dataDxfId="288" totalsRowDxfId="287" dataCellStyle="Normal 2"/>
    <tableColumn id="38" name="Nov-56" dataDxfId="286" totalsRowDxfId="285" dataCellStyle="Normal 2"/>
    <tableColumn id="39" name="Dec-56" dataDxfId="284" totalsRowDxfId="283" dataCellStyle="Normal 2"/>
    <tableColumn id="40" name="Jan-57" dataDxfId="282" totalsRowDxfId="281" dataCellStyle="Normal 2"/>
    <tableColumn id="41" name="Feb-57" dataDxfId="280" totalsRowDxfId="279" dataCellStyle="Normal 2"/>
    <tableColumn id="42" name="Mar-57" dataDxfId="278" totalsRowDxfId="277" dataCellStyle="Normal 2"/>
    <tableColumn id="43" name="Apr-57" dataDxfId="276" totalsRowDxfId="275" dataCellStyle="Normal 2"/>
    <tableColumn id="44" name="May-57" dataDxfId="274" totalsRowDxfId="273" dataCellStyle="Normal 2"/>
    <tableColumn id="45" name="Jun-57" dataDxfId="272" totalsRowDxfId="271" dataCellStyle="Normal 2"/>
    <tableColumn id="46" name="Jul-57" dataDxfId="270" totalsRowDxfId="269" dataCellStyle="Normal 2"/>
    <tableColumn id="47" name="Aug-57" dataDxfId="268" totalsRowDxfId="267" dataCellStyle="Normal 2"/>
    <tableColumn id="48" name="Sep-57" dataDxfId="266" totalsRowDxfId="265" dataCellStyle="Normal 2"/>
    <tableColumn id="49" name="Oct-57" dataDxfId="264" totalsRowDxfId="263" dataCellStyle="Normal 2"/>
    <tableColumn id="50" name="Nov-57" dataDxfId="262" totalsRowDxfId="261" dataCellStyle="Normal 2"/>
    <tableColumn id="51" name="Dec-57" dataDxfId="260" totalsRowDxfId="259" dataCellStyle="Normal 2"/>
    <tableColumn id="52" name="Jan-58" dataDxfId="258" totalsRowDxfId="257" dataCellStyle="Normal 2"/>
    <tableColumn id="53" name="Column3" dataDxfId="256" totalsRowDxfId="255" dataCellStyle="Normal 2"/>
    <tableColumn id="54" name="Column4" dataDxfId="254" totalsRowDxfId="253" dataCellStyle="Normal 2"/>
    <tableColumn id="55" name="Feb-58" dataDxfId="252" totalsRowDxfId="251" dataCellStyle="Normal 2"/>
    <tableColumn id="56" name="Mar-58" dataDxfId="250" totalsRowDxfId="249" dataCellStyle="Normal 2"/>
    <tableColumn id="57" name="Column5" dataDxfId="248" totalsRowDxfId="247" dataCellStyle="Normal 2"/>
    <tableColumn id="58" name="Apr-58" dataDxfId="246" totalsRowDxfId="245" dataCellStyle="Normal 2"/>
    <tableColumn id="59" name="Column6" dataDxfId="244" totalsRowDxfId="243" dataCellStyle="Normal 2"/>
    <tableColumn id="60" name="Column7" dataDxfId="242" totalsRowDxfId="241" dataCellStyle="Normal 2"/>
    <tableColumn id="61" name="May-58" dataDxfId="240" totalsRowDxfId="239" dataCellStyle="Normal 2"/>
    <tableColumn id="62" name="Jun-58" dataDxfId="238" totalsRowDxfId="237" dataCellStyle="Normal 2"/>
    <tableColumn id="63" name="Column8" dataDxfId="236" totalsRowDxfId="235" dataCellStyle="Normal 2"/>
    <tableColumn id="64" name="Column9" dataDxfId="234" totalsRowDxfId="233" dataCellStyle="Normal 2"/>
    <tableColumn id="65" name="Jul-58" dataDxfId="232" totalsRowDxfId="231" dataCellStyle="Normal 2"/>
    <tableColumn id="66" name="Column10" dataDxfId="230" totalsRowDxfId="229" dataCellStyle="Normal 2"/>
    <tableColumn id="67" name="Aug-58" dataDxfId="228" totalsRowDxfId="227" dataCellStyle="Normal 2"/>
    <tableColumn id="68" name="Sep-58" dataDxfId="226" totalsRowDxfId="225" dataCellStyle="Normal 2"/>
    <tableColumn id="69" name="Oct-58" dataDxfId="224" totalsRowDxfId="223" dataCellStyle="Normal 2"/>
    <tableColumn id="70" name="Column11" dataDxfId="222" totalsRowDxfId="221" dataCellStyle="Normal 2"/>
    <tableColumn id="71" name="Column12" dataDxfId="220" totalsRowDxfId="219" dataCellStyle="Normal 2"/>
    <tableColumn id="72" name="Nov-58" dataDxfId="218" totalsRowDxfId="217" dataCellStyle="Normal 2"/>
    <tableColumn id="73" name="Dec-58" dataDxfId="216" totalsRowDxfId="215" dataCellStyle="Normal 2"/>
    <tableColumn id="80" name="ปริมาณการใช้ต่อเดือน" dataDxfId="214" totalsRowDxfId="213">
      <calculatedColumnFormula>(Table1342[[#This Row],[Dec-58]]-Table1342[[#This Row],[Sep-58]])/3</calculatedColumnFormula>
    </tableColumn>
    <tableColumn id="74" name="Column13" dataDxfId="212" totalsRowDxfId="211" dataCellStyle="Normal 2"/>
    <tableColumn id="75" name="Column14" dataDxfId="210" totalsRowDxfId="209" dataCellStyle="Normal 2"/>
    <tableColumn id="76" name="Column15" dataDxfId="208" totalsRowDxfId="207" dataCellStyle="Normal 2"/>
    <tableColumn id="77" name="Column16" dataDxfId="206" totalsRowDxfId="205" dataCellStyle="Normal 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Table135678" displayName="Table135678" ref="D1:S47" totalsRowShown="0" headerRowDxfId="204" dataDxfId="202" headerRowBorderDxfId="203" tableBorderDxfId="201" totalsRowBorderDxfId="200" headerRowCellStyle="Normal 2" dataCellStyle="Normal 2">
  <autoFilter ref="D1:S47"/>
  <tableColumns count="16">
    <tableColumn id="1" name="ลำดับ" dataDxfId="199" totalsRowDxfId="198" dataCellStyle="Normal 2"/>
    <tableColumn id="2" name="ชื่อลูกค้า" dataDxfId="197" totalsRowDxfId="196" dataCellStyle="Normal 2"/>
    <tableColumn id="3" name="รหัสลูกค้า" dataDxfId="195" totalsRowDxfId="194" dataCellStyle="Normal 2"/>
    <tableColumn id="16" name="เลขที่การ์ด" dataDxfId="193" totalsRowDxfId="192" dataCellStyle="Normal 2"/>
    <tableColumn id="4" name="ที่อยู่" dataDxfId="191" totalsRowDxfId="190" dataCellStyle="Normal 2"/>
    <tableColumn id="8" name="ผู้จัดการสาขา/ เจ้าหน้าที่ผู้รับผิดชอบ " dataDxfId="189" totalsRowDxfId="188" dataCellStyle="Normal 2"/>
    <tableColumn id="5" name="เบอร์โทรศัพท์ " dataDxfId="187" totalsRowDxfId="186" dataCellStyle="Normal 2"/>
    <tableColumn id="6" name="เบอร์โทรสาร" dataDxfId="185" totalsRowDxfId="184" dataCellStyle="Normal 2"/>
    <tableColumn id="18" name="E-mail" dataDxfId="183" totalsRowDxfId="182" dataCellStyle="Normal 2"/>
    <tableColumn id="78" name="ยี่ห้อ" dataDxfId="181" totalsRowDxfId="180" dataCellStyle="Normal 2"/>
    <tableColumn id="79" name="จำนวน " dataDxfId="179" totalsRowDxfId="178" dataCellStyle="Normal 2"/>
    <tableColumn id="7" name="รุ่น" dataDxfId="177" totalsRowDxfId="176" dataCellStyle="Normal 2"/>
    <tableColumn id="9" name="หมายเลขเครื่อง" dataDxfId="175" totalsRowDxfId="174" dataCellStyle="Normal 2"/>
    <tableColumn id="13" name="วันที่ดำเนินการติดตั้ง " dataDxfId="173" totalsRowDxfId="172"/>
    <tableColumn id="52" name="วันที่ดำเนินการ แนะนำการใช้งาน" dataDxfId="171" totalsRowDxfId="170" dataCellStyle="Normal 2"/>
    <tableColumn id="17" name="หมายเหตุ" dataDxfId="169" totalsRowDxfId="168" dataCellStyle="Normal 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Table13567" displayName="Table13567" ref="D1:AD49" totalsRowShown="0" headerRowDxfId="167" dataDxfId="165" headerRowBorderDxfId="166" tableBorderDxfId="164" totalsRowBorderDxfId="163" headerRowCellStyle="Normal 2" dataCellStyle="Normal 2">
  <autoFilter ref="D1:AD49"/>
  <sortState ref="D2:AD50">
    <sortCondition descending="1" ref="AD1:AD50"/>
  </sortState>
  <tableColumns count="27">
    <tableColumn id="1" name="ลำดับ" dataDxfId="162" totalsRowDxfId="161" dataCellStyle="Normal 2"/>
    <tableColumn id="2" name="ชื่อลูกค้า" dataDxfId="160" totalsRowDxfId="159" dataCellStyle="Normal 2"/>
    <tableColumn id="3" name="รหัสลูกค้า" dataDxfId="158" totalsRowDxfId="157" dataCellStyle="Normal 2"/>
    <tableColumn id="4" name="ที่อยู่" dataDxfId="156" totalsRowDxfId="155" dataCellStyle="Normal 2"/>
    <tableColumn id="5" name="Column1" dataDxfId="154" totalsRowDxfId="153" dataCellStyle="Normal 2"/>
    <tableColumn id="6" name="เบอร์โทรสาร" dataDxfId="152" totalsRowDxfId="151" dataCellStyle="Normal 2"/>
    <tableColumn id="78" name="ยี่ห้อ" dataDxfId="150" totalsRowDxfId="149" dataCellStyle="Normal 2"/>
    <tableColumn id="79" name="จำนวน " dataDxfId="148" totalsRowDxfId="147" dataCellStyle="Normal 2"/>
    <tableColumn id="7" name="รุ่น" dataDxfId="146" totalsRowDxfId="145" dataCellStyle="Normal 2"/>
    <tableColumn id="8" name="รุ่น2" dataDxfId="144" totalsRowDxfId="143" dataCellStyle="Normal 2"/>
    <tableColumn id="9" name="หมายเลขเครื่อง" dataDxfId="142" totalsRowDxfId="141" dataCellStyle="Normal 2"/>
    <tableColumn id="13" name="Dec-57" dataDxfId="140" totalsRowDxfId="139"/>
    <tableColumn id="52" name="Jan-58" dataDxfId="138" totalsRowDxfId="137" dataCellStyle="Normal 2"/>
    <tableColumn id="55" name="Feb-58" dataDxfId="136" totalsRowDxfId="135" dataCellStyle="Normal 2"/>
    <tableColumn id="56" name="Mar-58" dataDxfId="134" totalsRowDxfId="133" dataCellStyle="Normal 2"/>
    <tableColumn id="58" name="Apr-58" dataDxfId="132" totalsRowDxfId="131" dataCellStyle="Normal 2"/>
    <tableColumn id="61" name="May-58" dataDxfId="130" totalsRowDxfId="129" dataCellStyle="Normal 2"/>
    <tableColumn id="62" name="Jun-58" dataDxfId="128" totalsRowDxfId="127" dataCellStyle="Normal 2"/>
    <tableColumn id="65" name="Jul-58" dataDxfId="126" totalsRowDxfId="125" dataCellStyle="Normal 2"/>
    <tableColumn id="67" name="Aug-58" dataDxfId="124" totalsRowDxfId="123" dataCellStyle="Normal 2"/>
    <tableColumn id="68" name="Sep-58" dataDxfId="122" totalsRowDxfId="121" dataCellStyle="Normal 2"/>
    <tableColumn id="69" name="Oct-58" dataDxfId="120" totalsRowDxfId="119" dataCellStyle="Normal 2"/>
    <tableColumn id="72" name="Nov-58" dataDxfId="118" totalsRowDxfId="117" dataCellStyle="Normal 2"/>
    <tableColumn id="73" name="Dec-58" dataDxfId="116" totalsRowDxfId="115" dataCellStyle="Normal 2"/>
    <tableColumn id="10" name="ปริมาณการใชบ้ทั้งปี" dataDxfId="114" totalsRowDxfId="113" dataCellStyle="Normal 2"/>
    <tableColumn id="11" name="รวม" dataDxfId="112" totalsRowDxfId="111" dataCellStyle="Normal 2"/>
    <tableColumn id="12" name="เฉลี่ยการใช้งานต่อเดือน" dataDxfId="110" totalsRowDxfId="109" dataCellStyle="Comm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Table1356" displayName="Table1356" ref="D1:AD43" totalsRowShown="0" headerRowDxfId="108" dataDxfId="106" headerRowBorderDxfId="107" tableBorderDxfId="105" totalsRowBorderDxfId="104" headerRowCellStyle="Normal 2" dataCellStyle="Normal 2">
  <autoFilter ref="D1:AD43"/>
  <sortState ref="D2:AD47">
    <sortCondition ref="AD1:AD47"/>
  </sortState>
  <tableColumns count="27">
    <tableColumn id="1" name="ลำดับ" dataDxfId="103" totalsRowDxfId="102" dataCellStyle="Normal 2"/>
    <tableColumn id="2" name="ชื่อลูกค้า" dataDxfId="101" totalsRowDxfId="100" dataCellStyle="Normal 2"/>
    <tableColumn id="3" name="รหัสลูกค้า" dataDxfId="99" totalsRowDxfId="98" dataCellStyle="Normal 2"/>
    <tableColumn id="4" name="ที่อยู่" dataDxfId="97" totalsRowDxfId="96" dataCellStyle="Normal 2"/>
    <tableColumn id="5" name="Column1" dataDxfId="95" totalsRowDxfId="94" dataCellStyle="Normal 2"/>
    <tableColumn id="6" name="เบอร์โทรสาร" dataDxfId="93" totalsRowDxfId="92" dataCellStyle="Normal 2"/>
    <tableColumn id="78" name="ยี่ห้อ" dataDxfId="91" totalsRowDxfId="90" dataCellStyle="Normal 2"/>
    <tableColumn id="79" name="จำนวน " dataDxfId="89" totalsRowDxfId="88" dataCellStyle="Normal 2"/>
    <tableColumn id="7" name="รุ่น" dataDxfId="87" totalsRowDxfId="86" dataCellStyle="Normal 2"/>
    <tableColumn id="8" name="รุ่น2" dataDxfId="85" totalsRowDxfId="84" dataCellStyle="Normal 2"/>
    <tableColumn id="9" name="หมายเลขเครื่อง" dataDxfId="83" totalsRowDxfId="82" dataCellStyle="Normal 2"/>
    <tableColumn id="13" name="Dec-57" dataDxfId="81" totalsRowDxfId="80"/>
    <tableColumn id="52" name="Jan-58" dataDxfId="79" totalsRowDxfId="78" dataCellStyle="Normal 2"/>
    <tableColumn id="55" name="Feb-58" dataDxfId="77" totalsRowDxfId="76" dataCellStyle="Normal 2"/>
    <tableColumn id="56" name="Mar-58" dataDxfId="75" totalsRowDxfId="74" dataCellStyle="Normal 2"/>
    <tableColumn id="58" name="Apr-58" dataDxfId="73" totalsRowDxfId="72" dataCellStyle="Normal 2"/>
    <tableColumn id="61" name="May-58" dataDxfId="71" totalsRowDxfId="70" dataCellStyle="Normal 2"/>
    <tableColumn id="62" name="Jun-58" dataDxfId="69" totalsRowDxfId="68" dataCellStyle="Normal 2"/>
    <tableColumn id="65" name="Jul-58" dataDxfId="67" totalsRowDxfId="66" dataCellStyle="Normal 2"/>
    <tableColumn id="67" name="Aug-58" dataDxfId="65" totalsRowDxfId="64" dataCellStyle="Normal 2"/>
    <tableColumn id="68" name="Sep-58" dataDxfId="63" totalsRowDxfId="62" dataCellStyle="Normal 2"/>
    <tableColumn id="69" name="Oct-58" dataDxfId="61" totalsRowDxfId="60" dataCellStyle="Normal 2"/>
    <tableColumn id="72" name="Nov-58" dataDxfId="59" totalsRowDxfId="58" dataCellStyle="Normal 2"/>
    <tableColumn id="73" name="Dec-58" dataDxfId="57" totalsRowDxfId="56" dataCellStyle="Normal 2"/>
    <tableColumn id="10" name="ปริมาณการใชบ้ทั้งปี" dataDxfId="55" totalsRowDxfId="54" dataCellStyle="Normal 2"/>
    <tableColumn id="11" name="รวม" dataDxfId="53" totalsRowDxfId="52" dataCellStyle="Normal 2"/>
    <tableColumn id="12" name="เฉลี่ยการใช้งานต่อเดือน" dataDxfId="51" totalsRowDxfId="50" dataCellStyle="Comma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4" name="Table135" displayName="Table135" ref="D1:AA58" totalsRowShown="0" headerRowDxfId="49" dataDxfId="48" tableBorderDxfId="47" headerRowCellStyle="Normal 2" dataCellStyle="Normal 2">
  <autoFilter ref="D1:AA58"/>
  <tableColumns count="24">
    <tableColumn id="1" name="ลำดับ" dataDxfId="46" totalsRowDxfId="45" dataCellStyle="Normal 2"/>
    <tableColumn id="2" name="ชื่อลูกค้า" dataDxfId="44" totalsRowDxfId="43" dataCellStyle="Normal 2"/>
    <tableColumn id="3" name="รหัสลูกค้า" dataDxfId="42" totalsRowDxfId="41" dataCellStyle="Normal 2"/>
    <tableColumn id="4" name="ที่อยู่" dataDxfId="40" totalsRowDxfId="39" dataCellStyle="Normal 2"/>
    <tableColumn id="5" name="Column1" dataDxfId="38" totalsRowDxfId="37" dataCellStyle="Normal 2"/>
    <tableColumn id="6" name="เบอร์โทรสาร" dataDxfId="36" totalsRowDxfId="35" dataCellStyle="Normal 2"/>
    <tableColumn id="78" name="ยี่ห้อ" dataDxfId="34" totalsRowDxfId="33" dataCellStyle="Normal 2"/>
    <tableColumn id="79" name="จำนวน " dataDxfId="32" totalsRowDxfId="31" dataCellStyle="Normal 2"/>
    <tableColumn id="7" name="รุ่น" dataDxfId="30" totalsRowDxfId="29" dataCellStyle="Normal 2"/>
    <tableColumn id="8" name="รุ่น2" dataDxfId="28" totalsRowDxfId="27" dataCellStyle="Normal 2"/>
    <tableColumn id="9" name="หมายเลขเครื่อง" dataDxfId="26" totalsRowDxfId="25" dataCellStyle="Normal 2"/>
    <tableColumn id="13" name="Dec-57" totalsRowDxfId="24"/>
    <tableColumn id="52" name="Jan-58" dataDxfId="23" totalsRowDxfId="22" dataCellStyle="Normal 2"/>
    <tableColumn id="55" name="Feb-58" dataDxfId="21" totalsRowDxfId="20" dataCellStyle="Normal 2"/>
    <tableColumn id="56" name="Mar-58" dataDxfId="19" totalsRowDxfId="18" dataCellStyle="Normal 2"/>
    <tableColumn id="58" name="Apr-58" dataDxfId="17" totalsRowDxfId="16" dataCellStyle="Normal 2"/>
    <tableColumn id="61" name="May-58" dataDxfId="15" totalsRowDxfId="14" dataCellStyle="Normal 2"/>
    <tableColumn id="62" name="Jun-58" dataDxfId="13" totalsRowDxfId="12" dataCellStyle="Normal 2"/>
    <tableColumn id="65" name="Jul-58" dataDxfId="11" totalsRowDxfId="10" dataCellStyle="Normal 2"/>
    <tableColumn id="67" name="Aug-58" dataDxfId="9" totalsRowDxfId="8" dataCellStyle="Normal 2"/>
    <tableColumn id="68" name="Sep-58" dataDxfId="7" totalsRowDxfId="6" dataCellStyle="Normal 2"/>
    <tableColumn id="69" name="Oct-58" dataDxfId="5" totalsRowDxfId="4" dataCellStyle="Normal 2"/>
    <tableColumn id="72" name="Nov-58" dataDxfId="3" totalsRowDxfId="2" dataCellStyle="Normal 2"/>
    <tableColumn id="73" name="Dec-58" dataDxfId="1" totalsRow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7"/>
  <sheetViews>
    <sheetView zoomScale="200" zoomScaleNormal="200" zoomScalePageLayoutView="200" workbookViewId="0">
      <pane ySplit="1" topLeftCell="A2" activePane="bottomLeft" state="frozen"/>
      <selection pane="bottomLeft" activeCell="E4" sqref="E4:E13"/>
    </sheetView>
  </sheetViews>
  <sheetFormatPr baseColWidth="10" defaultColWidth="8.83203125" defaultRowHeight="17" x14ac:dyDescent="0"/>
  <cols>
    <col min="1" max="1" width="5.5" style="106" hidden="1" customWidth="1"/>
    <col min="2" max="2" width="6" style="2" hidden="1" customWidth="1"/>
    <col min="3" max="3" width="6.83203125" style="2" hidden="1" customWidth="1"/>
    <col min="4" max="4" width="7.33203125" style="2" customWidth="1"/>
    <col min="5" max="5" width="42.1640625" style="3" customWidth="1"/>
    <col min="6" max="6" width="10" style="106" customWidth="1"/>
    <col min="7" max="7" width="62.6640625" style="3" customWidth="1"/>
    <col min="8" max="8" width="14" style="3" hidden="1" customWidth="1"/>
    <col min="9" max="9" width="12.5" style="3" hidden="1" customWidth="1"/>
    <col min="10" max="11" width="12.5" style="3" customWidth="1"/>
    <col min="12" max="12" width="15.33203125" style="106" customWidth="1"/>
    <col min="13" max="13" width="11.5" style="106" hidden="1" customWidth="1"/>
    <col min="14" max="14" width="16.83203125" style="106" customWidth="1"/>
    <col min="15" max="15" width="10" style="106" hidden="1" customWidth="1"/>
    <col min="16" max="16" width="12.33203125" style="106" hidden="1" customWidth="1"/>
    <col min="17" max="17" width="12.6640625" style="106" hidden="1" customWidth="1"/>
    <col min="18" max="18" width="12.5" style="106" hidden="1" customWidth="1"/>
    <col min="19" max="19" width="12" style="3" hidden="1" customWidth="1"/>
    <col min="20" max="28" width="13" style="3" hidden="1" customWidth="1"/>
    <col min="29" max="40" width="12.6640625" style="3" hidden="1" customWidth="1"/>
    <col min="41" max="41" width="11.6640625" style="3" hidden="1" customWidth="1"/>
    <col min="42" max="42" width="12.1640625" style="3" hidden="1" customWidth="1"/>
    <col min="43" max="43" width="12.6640625" style="3" hidden="1" customWidth="1"/>
    <col min="44" max="44" width="13.33203125" style="3" hidden="1" customWidth="1"/>
    <col min="45" max="57" width="12.83203125" style="3" hidden="1" customWidth="1"/>
    <col min="58" max="58" width="10" style="3" hidden="1" customWidth="1"/>
    <col min="59" max="59" width="10.83203125" style="3" hidden="1" customWidth="1"/>
    <col min="60" max="60" width="11.6640625" style="3" hidden="1" customWidth="1"/>
    <col min="61" max="61" width="13.1640625" style="3" hidden="1" customWidth="1"/>
    <col min="62" max="71" width="10.83203125" style="3" hidden="1" customWidth="1"/>
    <col min="72" max="74" width="10.83203125" style="3" customWidth="1"/>
    <col min="75" max="76" width="10.83203125" style="3" hidden="1" customWidth="1"/>
    <col min="77" max="79" width="10.83203125" style="3" customWidth="1"/>
    <col min="80" max="81" width="10.83203125" style="3" hidden="1" customWidth="1"/>
    <col min="82" max="82" width="10.5" style="50" customWidth="1"/>
    <col min="83" max="16384" width="8.83203125" style="3"/>
  </cols>
  <sheetData>
    <row r="1" spans="1:83" s="18" customFormat="1">
      <c r="A1" s="6" t="s">
        <v>3</v>
      </c>
      <c r="B1" s="7" t="s">
        <v>4</v>
      </c>
      <c r="C1" s="8"/>
      <c r="D1" s="52" t="s">
        <v>3</v>
      </c>
      <c r="E1" s="9" t="s">
        <v>5</v>
      </c>
      <c r="F1" s="51" t="s">
        <v>0</v>
      </c>
      <c r="G1" s="51" t="s">
        <v>1</v>
      </c>
      <c r="H1" s="51" t="s">
        <v>638</v>
      </c>
      <c r="I1" s="10" t="s">
        <v>6</v>
      </c>
      <c r="J1" s="10" t="s">
        <v>696</v>
      </c>
      <c r="K1" s="10" t="s">
        <v>702</v>
      </c>
      <c r="L1" s="10" t="s">
        <v>7</v>
      </c>
      <c r="M1" s="10" t="s">
        <v>639</v>
      </c>
      <c r="N1" s="51" t="s">
        <v>2</v>
      </c>
      <c r="O1" s="11" t="s">
        <v>8</v>
      </c>
      <c r="P1" s="12" t="s">
        <v>9</v>
      </c>
      <c r="Q1" s="13" t="s">
        <v>10</v>
      </c>
      <c r="R1" s="13" t="s">
        <v>11</v>
      </c>
      <c r="S1" s="14" t="s">
        <v>12</v>
      </c>
      <c r="T1" s="13" t="s">
        <v>13</v>
      </c>
      <c r="U1" s="13" t="s">
        <v>14</v>
      </c>
      <c r="V1" s="13" t="s">
        <v>15</v>
      </c>
      <c r="W1" s="13" t="s">
        <v>16</v>
      </c>
      <c r="X1" s="15" t="s">
        <v>17</v>
      </c>
      <c r="Y1" s="15" t="s">
        <v>18</v>
      </c>
      <c r="Z1" s="15" t="s">
        <v>19</v>
      </c>
      <c r="AA1" s="15" t="s">
        <v>20</v>
      </c>
      <c r="AB1" s="16" t="s">
        <v>640</v>
      </c>
      <c r="AC1" s="16" t="s">
        <v>641</v>
      </c>
      <c r="AD1" s="16" t="s">
        <v>642</v>
      </c>
      <c r="AE1" s="16" t="s">
        <v>643</v>
      </c>
      <c r="AF1" s="16" t="s">
        <v>644</v>
      </c>
      <c r="AG1" s="16" t="s">
        <v>645</v>
      </c>
      <c r="AH1" s="16" t="s">
        <v>646</v>
      </c>
      <c r="AI1" s="16" t="s">
        <v>647</v>
      </c>
      <c r="AJ1" s="16" t="s">
        <v>648</v>
      </c>
      <c r="AK1" s="16" t="s">
        <v>649</v>
      </c>
      <c r="AL1" s="16" t="s">
        <v>650</v>
      </c>
      <c r="AM1" s="16" t="s">
        <v>651</v>
      </c>
      <c r="AN1" s="16" t="s">
        <v>652</v>
      </c>
      <c r="AO1" s="16" t="s">
        <v>653</v>
      </c>
      <c r="AP1" s="16" t="s">
        <v>654</v>
      </c>
      <c r="AQ1" s="16" t="s">
        <v>655</v>
      </c>
      <c r="AR1" s="16" t="s">
        <v>656</v>
      </c>
      <c r="AS1" s="16" t="s">
        <v>657</v>
      </c>
      <c r="AT1" s="16" t="s">
        <v>658</v>
      </c>
      <c r="AU1" s="16" t="s">
        <v>659</v>
      </c>
      <c r="AV1" s="16" t="s">
        <v>660</v>
      </c>
      <c r="AW1" s="16" t="s">
        <v>661</v>
      </c>
      <c r="AX1" s="16" t="s">
        <v>662</v>
      </c>
      <c r="AY1" s="16" t="s">
        <v>663</v>
      </c>
      <c r="AZ1" s="16" t="s">
        <v>664</v>
      </c>
      <c r="BA1" s="16" t="s">
        <v>665</v>
      </c>
      <c r="BB1" s="16" t="s">
        <v>666</v>
      </c>
      <c r="BC1" s="16" t="s">
        <v>667</v>
      </c>
      <c r="BD1" s="16" t="s">
        <v>668</v>
      </c>
      <c r="BE1" s="16" t="s">
        <v>669</v>
      </c>
      <c r="BF1" s="16" t="s">
        <v>670</v>
      </c>
      <c r="BG1" s="16" t="s">
        <v>671</v>
      </c>
      <c r="BH1" s="16" t="s">
        <v>672</v>
      </c>
      <c r="BI1" s="16" t="s">
        <v>673</v>
      </c>
      <c r="BJ1" s="16" t="s">
        <v>674</v>
      </c>
      <c r="BK1" s="16" t="s">
        <v>675</v>
      </c>
      <c r="BL1" s="16" t="s">
        <v>676</v>
      </c>
      <c r="BM1" s="16" t="s">
        <v>677</v>
      </c>
      <c r="BN1" s="16" t="s">
        <v>678</v>
      </c>
      <c r="BO1" s="16" t="s">
        <v>679</v>
      </c>
      <c r="BP1" s="16" t="s">
        <v>680</v>
      </c>
      <c r="BQ1" s="16" t="s">
        <v>681</v>
      </c>
      <c r="BR1" s="16" t="s">
        <v>682</v>
      </c>
      <c r="BS1" s="16" t="s">
        <v>683</v>
      </c>
      <c r="BT1" s="16" t="s">
        <v>684</v>
      </c>
      <c r="BU1" s="16" t="s">
        <v>685</v>
      </c>
      <c r="BV1" s="16" t="s">
        <v>686</v>
      </c>
      <c r="BW1" s="16" t="s">
        <v>687</v>
      </c>
      <c r="BX1" s="16" t="s">
        <v>688</v>
      </c>
      <c r="BY1" s="16" t="s">
        <v>689</v>
      </c>
      <c r="BZ1" s="16" t="s">
        <v>690</v>
      </c>
      <c r="CA1" s="16" t="s">
        <v>691</v>
      </c>
      <c r="CB1" s="16" t="s">
        <v>692</v>
      </c>
      <c r="CC1" s="16" t="s">
        <v>693</v>
      </c>
      <c r="CD1" s="54" t="s">
        <v>694</v>
      </c>
      <c r="CE1" s="17"/>
    </row>
    <row r="2" spans="1:83">
      <c r="A2" s="24"/>
      <c r="B2" s="19"/>
      <c r="C2" s="19"/>
      <c r="D2" s="53" t="s">
        <v>430</v>
      </c>
      <c r="E2" s="25" t="s">
        <v>431</v>
      </c>
      <c r="F2" s="24" t="s">
        <v>432</v>
      </c>
      <c r="G2" s="25" t="s">
        <v>433</v>
      </c>
      <c r="H2" s="25"/>
      <c r="I2" s="25"/>
      <c r="J2" s="58" t="s">
        <v>698</v>
      </c>
      <c r="K2" s="21">
        <v>1</v>
      </c>
      <c r="L2" s="24" t="s">
        <v>24</v>
      </c>
      <c r="M2" s="24"/>
      <c r="N2" s="24" t="s">
        <v>434</v>
      </c>
      <c r="O2" s="24"/>
      <c r="P2" s="24"/>
      <c r="Q2" s="24"/>
      <c r="R2" s="24"/>
      <c r="S2" s="27"/>
      <c r="T2" s="25"/>
      <c r="U2" s="25"/>
      <c r="V2" s="27"/>
      <c r="W2" s="25"/>
      <c r="X2" s="25"/>
      <c r="Y2" s="25"/>
      <c r="Z2" s="25"/>
      <c r="AA2" s="25"/>
      <c r="AB2" s="25"/>
      <c r="AC2" s="25"/>
      <c r="AD2" s="24"/>
      <c r="AE2" s="24"/>
      <c r="AF2" s="24"/>
      <c r="AG2" s="24"/>
      <c r="AH2" s="42"/>
      <c r="AI2" s="42"/>
      <c r="AJ2" s="42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>
        <v>5497</v>
      </c>
      <c r="BA2" s="24">
        <v>8800</v>
      </c>
      <c r="BB2" s="24">
        <v>12135</v>
      </c>
      <c r="BC2" s="24"/>
      <c r="BD2" s="24" t="s">
        <v>435</v>
      </c>
      <c r="BE2" s="24">
        <v>26502</v>
      </c>
      <c r="BF2" s="24"/>
      <c r="BG2" s="24" t="s">
        <v>436</v>
      </c>
      <c r="BH2" s="24">
        <v>30001</v>
      </c>
      <c r="BI2" s="24">
        <v>35448</v>
      </c>
      <c r="BJ2" s="24" t="s">
        <v>437</v>
      </c>
      <c r="BK2" s="24">
        <v>36508</v>
      </c>
      <c r="BL2" s="24" t="s">
        <v>438</v>
      </c>
      <c r="BM2" s="24" t="s">
        <v>439</v>
      </c>
      <c r="BN2" s="24">
        <v>42539</v>
      </c>
      <c r="BO2" s="24">
        <v>45853</v>
      </c>
      <c r="BP2" s="24" t="s">
        <v>440</v>
      </c>
      <c r="BQ2" s="24" t="s">
        <v>441</v>
      </c>
      <c r="BR2" s="24">
        <v>48608</v>
      </c>
      <c r="BS2" s="24" t="s">
        <v>442</v>
      </c>
      <c r="BT2" s="24">
        <v>50451</v>
      </c>
      <c r="BU2" s="24">
        <v>55452</v>
      </c>
      <c r="BV2" s="24">
        <v>57369</v>
      </c>
      <c r="BW2" s="24" t="s">
        <v>443</v>
      </c>
      <c r="BX2" s="24" t="s">
        <v>444</v>
      </c>
      <c r="BY2" s="24">
        <v>64397</v>
      </c>
      <c r="BZ2" s="24">
        <v>66739</v>
      </c>
      <c r="CA2" s="24" t="s">
        <v>445</v>
      </c>
      <c r="CB2" s="24" t="s">
        <v>446</v>
      </c>
      <c r="CC2" s="24" t="s">
        <v>447</v>
      </c>
      <c r="CD2" s="56" t="s">
        <v>22</v>
      </c>
    </row>
    <row r="3" spans="1:83">
      <c r="A3" s="24"/>
      <c r="B3" s="19"/>
      <c r="C3" s="19"/>
      <c r="D3" s="53" t="s">
        <v>448</v>
      </c>
      <c r="E3" s="25" t="s">
        <v>431</v>
      </c>
      <c r="F3" s="24" t="s">
        <v>432</v>
      </c>
      <c r="G3" s="25" t="s">
        <v>433</v>
      </c>
      <c r="H3" s="25"/>
      <c r="I3" s="25"/>
      <c r="J3" s="58" t="s">
        <v>698</v>
      </c>
      <c r="K3" s="21">
        <v>1</v>
      </c>
      <c r="L3" s="24" t="s">
        <v>24</v>
      </c>
      <c r="M3" s="24"/>
      <c r="N3" s="24" t="s">
        <v>449</v>
      </c>
      <c r="O3" s="24"/>
      <c r="P3" s="24"/>
      <c r="Q3" s="24"/>
      <c r="R3" s="24"/>
      <c r="S3" s="27"/>
      <c r="T3" s="25"/>
      <c r="U3" s="25"/>
      <c r="V3" s="27"/>
      <c r="W3" s="25"/>
      <c r="X3" s="25"/>
      <c r="Y3" s="25"/>
      <c r="Z3" s="25"/>
      <c r="AA3" s="25"/>
      <c r="AB3" s="25"/>
      <c r="AC3" s="25"/>
      <c r="AD3" s="24"/>
      <c r="AE3" s="24"/>
      <c r="AF3" s="24"/>
      <c r="AG3" s="24"/>
      <c r="AH3" s="42"/>
      <c r="AI3" s="42"/>
      <c r="AJ3" s="42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>
        <v>12913</v>
      </c>
      <c r="BA3" s="24">
        <v>23280</v>
      </c>
      <c r="BB3" s="24">
        <v>32630</v>
      </c>
      <c r="BC3" s="24"/>
      <c r="BD3" s="24" t="s">
        <v>435</v>
      </c>
      <c r="BE3" s="24">
        <v>55428</v>
      </c>
      <c r="BF3" s="24"/>
      <c r="BG3" s="24" t="s">
        <v>450</v>
      </c>
      <c r="BH3" s="24">
        <v>61809</v>
      </c>
      <c r="BI3" s="24">
        <v>71620</v>
      </c>
      <c r="BJ3" s="24" t="s">
        <v>451</v>
      </c>
      <c r="BK3" s="24">
        <v>78152</v>
      </c>
      <c r="BL3" s="24" t="s">
        <v>452</v>
      </c>
      <c r="BM3" s="24" t="s">
        <v>453</v>
      </c>
      <c r="BN3" s="24">
        <v>88984</v>
      </c>
      <c r="BO3" s="24">
        <v>90044</v>
      </c>
      <c r="BP3" s="24" t="s">
        <v>454</v>
      </c>
      <c r="BQ3" s="24" t="s">
        <v>455</v>
      </c>
      <c r="BR3" s="24">
        <v>95378</v>
      </c>
      <c r="BS3" s="24" t="s">
        <v>456</v>
      </c>
      <c r="BT3" s="24">
        <v>102476</v>
      </c>
      <c r="BU3" s="24">
        <v>113556</v>
      </c>
      <c r="BV3" s="24">
        <v>121261</v>
      </c>
      <c r="BW3" s="24" t="s">
        <v>457</v>
      </c>
      <c r="BX3" s="24" t="s">
        <v>458</v>
      </c>
      <c r="BY3" s="24">
        <v>136166</v>
      </c>
      <c r="BZ3" s="24">
        <v>144222</v>
      </c>
      <c r="CA3" s="24" t="s">
        <v>459</v>
      </c>
      <c r="CB3" s="24" t="s">
        <v>460</v>
      </c>
      <c r="CC3" s="24" t="s">
        <v>461</v>
      </c>
      <c r="CD3" s="56" t="s">
        <v>22</v>
      </c>
    </row>
    <row r="4" spans="1:83">
      <c r="A4" s="24"/>
      <c r="B4" s="19"/>
      <c r="C4" s="19"/>
      <c r="D4" s="53" t="s">
        <v>462</v>
      </c>
      <c r="E4" s="25" t="s">
        <v>431</v>
      </c>
      <c r="F4" s="24" t="s">
        <v>432</v>
      </c>
      <c r="G4" s="25" t="s">
        <v>463</v>
      </c>
      <c r="H4" s="25"/>
      <c r="I4" s="25"/>
      <c r="J4" s="58" t="s">
        <v>698</v>
      </c>
      <c r="K4" s="21">
        <v>1</v>
      </c>
      <c r="L4" s="24" t="s">
        <v>24</v>
      </c>
      <c r="M4" s="24"/>
      <c r="N4" s="24" t="s">
        <v>464</v>
      </c>
      <c r="O4" s="24"/>
      <c r="P4" s="24"/>
      <c r="Q4" s="24"/>
      <c r="R4" s="24"/>
      <c r="S4" s="27"/>
      <c r="T4" s="25"/>
      <c r="U4" s="25"/>
      <c r="V4" s="27"/>
      <c r="W4" s="25"/>
      <c r="X4" s="25"/>
      <c r="Y4" s="25"/>
      <c r="Z4" s="25"/>
      <c r="AA4" s="25"/>
      <c r="AB4" s="25"/>
      <c r="AC4" s="25"/>
      <c r="AD4" s="24"/>
      <c r="AE4" s="24"/>
      <c r="AF4" s="24"/>
      <c r="AG4" s="24"/>
      <c r="AH4" s="42"/>
      <c r="AI4" s="42"/>
      <c r="AJ4" s="42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>
        <v>35637</v>
      </c>
      <c r="BL4" s="24" t="s">
        <v>465</v>
      </c>
      <c r="BM4" s="24"/>
      <c r="BN4" s="24">
        <v>36744</v>
      </c>
      <c r="BO4" s="24">
        <v>36863</v>
      </c>
      <c r="BP4" s="24" t="s">
        <v>466</v>
      </c>
      <c r="BQ4" s="24" t="s">
        <v>467</v>
      </c>
      <c r="BR4" s="24">
        <v>36908</v>
      </c>
      <c r="BS4" s="24" t="s">
        <v>468</v>
      </c>
      <c r="BT4" s="24">
        <v>37123</v>
      </c>
      <c r="BU4" s="24">
        <v>37611</v>
      </c>
      <c r="BV4" s="24">
        <v>37959</v>
      </c>
      <c r="BW4" s="24" t="s">
        <v>469</v>
      </c>
      <c r="BX4" s="24" t="s">
        <v>470</v>
      </c>
      <c r="BY4" s="24">
        <v>38829</v>
      </c>
      <c r="BZ4" s="24">
        <v>39906</v>
      </c>
      <c r="CA4" s="24" t="s">
        <v>471</v>
      </c>
      <c r="CB4" s="24" t="s">
        <v>472</v>
      </c>
      <c r="CC4" s="24" t="s">
        <v>473</v>
      </c>
      <c r="CD4" s="56" t="s">
        <v>22</v>
      </c>
    </row>
    <row r="5" spans="1:83">
      <c r="A5" s="24">
        <v>255</v>
      </c>
      <c r="B5" s="19" t="s">
        <v>429</v>
      </c>
      <c r="C5" s="19"/>
      <c r="D5" s="53" t="s">
        <v>474</v>
      </c>
      <c r="E5" s="25" t="s">
        <v>431</v>
      </c>
      <c r="F5" s="24" t="s">
        <v>432</v>
      </c>
      <c r="G5" s="25" t="s">
        <v>475</v>
      </c>
      <c r="H5" s="25" t="s">
        <v>476</v>
      </c>
      <c r="I5" s="25"/>
      <c r="J5" s="58" t="s">
        <v>697</v>
      </c>
      <c r="K5" s="21">
        <v>1</v>
      </c>
      <c r="L5" s="24" t="s">
        <v>695</v>
      </c>
      <c r="M5" s="24"/>
      <c r="N5" s="24" t="s">
        <v>477</v>
      </c>
      <c r="O5" s="24"/>
      <c r="P5" s="24"/>
      <c r="Q5" s="24"/>
      <c r="R5" s="24"/>
      <c r="S5" s="27"/>
      <c r="T5" s="25">
        <v>245214</v>
      </c>
      <c r="U5" s="25"/>
      <c r="V5" s="27"/>
      <c r="W5" s="25"/>
      <c r="X5" s="25"/>
      <c r="Y5" s="25"/>
      <c r="Z5" s="25"/>
      <c r="AA5" s="25">
        <v>31727</v>
      </c>
      <c r="AB5" s="25">
        <v>32890</v>
      </c>
      <c r="AC5" s="25">
        <v>33748</v>
      </c>
      <c r="AD5" s="24" t="s">
        <v>435</v>
      </c>
      <c r="AE5" s="24">
        <v>37831</v>
      </c>
      <c r="AF5" s="24">
        <v>40270</v>
      </c>
      <c r="AG5" s="24">
        <v>41913</v>
      </c>
      <c r="AH5" s="42">
        <v>45416</v>
      </c>
      <c r="AI5" s="42">
        <v>51674</v>
      </c>
      <c r="AJ5" s="42">
        <v>69396</v>
      </c>
      <c r="AK5" s="24">
        <v>82627</v>
      </c>
      <c r="AL5" s="24">
        <v>92950</v>
      </c>
      <c r="AM5" s="24">
        <v>102253</v>
      </c>
      <c r="AN5" s="24">
        <v>110863</v>
      </c>
      <c r="AO5" s="24" t="s">
        <v>435</v>
      </c>
      <c r="AP5" s="24">
        <v>127130</v>
      </c>
      <c r="AQ5" s="24" t="s">
        <v>435</v>
      </c>
      <c r="AR5" s="24"/>
      <c r="AS5" s="24">
        <v>8588</v>
      </c>
      <c r="AT5" s="24">
        <v>12541</v>
      </c>
      <c r="AU5" s="24">
        <v>15762</v>
      </c>
      <c r="AV5" s="24">
        <v>18930</v>
      </c>
      <c r="AW5" s="24">
        <v>20460</v>
      </c>
      <c r="AX5" s="24">
        <v>22260</v>
      </c>
      <c r="AY5" s="24">
        <v>27364</v>
      </c>
      <c r="AZ5" s="24" t="s">
        <v>478</v>
      </c>
      <c r="BA5" s="24">
        <v>32874</v>
      </c>
      <c r="BB5" s="24">
        <v>37296</v>
      </c>
      <c r="BC5" s="24">
        <v>41663</v>
      </c>
      <c r="BD5" s="24" t="s">
        <v>435</v>
      </c>
      <c r="BE5" s="24">
        <v>44082</v>
      </c>
      <c r="BF5" s="24"/>
      <c r="BG5" s="24" t="s">
        <v>479</v>
      </c>
      <c r="BH5" s="24">
        <v>47927</v>
      </c>
      <c r="BI5" s="24">
        <v>57871</v>
      </c>
      <c r="BJ5" s="24" t="s">
        <v>480</v>
      </c>
      <c r="BK5" s="24">
        <v>58873</v>
      </c>
      <c r="BL5" s="24" t="s">
        <v>481</v>
      </c>
      <c r="BM5" s="24" t="s">
        <v>482</v>
      </c>
      <c r="BN5" s="24">
        <v>63047</v>
      </c>
      <c r="BO5" s="24">
        <v>64783</v>
      </c>
      <c r="BP5" s="24" t="s">
        <v>483</v>
      </c>
      <c r="BQ5" s="24" t="s">
        <v>484</v>
      </c>
      <c r="BR5" s="24">
        <v>71181</v>
      </c>
      <c r="BS5" s="24" t="s">
        <v>485</v>
      </c>
      <c r="BT5" s="24">
        <v>73231</v>
      </c>
      <c r="BU5" s="24">
        <v>80604</v>
      </c>
      <c r="BV5" s="24">
        <v>86810</v>
      </c>
      <c r="BW5" s="24" t="s">
        <v>486</v>
      </c>
      <c r="BX5" s="24" t="s">
        <v>487</v>
      </c>
      <c r="BY5" s="24">
        <v>92989</v>
      </c>
      <c r="BZ5" s="24">
        <v>96630</v>
      </c>
      <c r="CA5" s="24" t="s">
        <v>488</v>
      </c>
      <c r="CB5" s="24" t="s">
        <v>489</v>
      </c>
      <c r="CC5" s="24" t="s">
        <v>490</v>
      </c>
      <c r="CD5" s="56" t="s">
        <v>22</v>
      </c>
    </row>
    <row r="6" spans="1:83" s="35" customFormat="1">
      <c r="A6" s="21">
        <v>256</v>
      </c>
      <c r="B6" s="34" t="s">
        <v>429</v>
      </c>
      <c r="C6" s="34"/>
      <c r="D6" s="53" t="s">
        <v>491</v>
      </c>
      <c r="E6" s="20" t="s">
        <v>431</v>
      </c>
      <c r="F6" s="21" t="s">
        <v>432</v>
      </c>
      <c r="G6" s="20" t="s">
        <v>492</v>
      </c>
      <c r="H6" s="20" t="s">
        <v>476</v>
      </c>
      <c r="I6" s="20"/>
      <c r="J6" s="58" t="s">
        <v>697</v>
      </c>
      <c r="K6" s="21">
        <v>1</v>
      </c>
      <c r="L6" s="24" t="s">
        <v>695</v>
      </c>
      <c r="M6" s="21"/>
      <c r="N6" s="21" t="s">
        <v>54</v>
      </c>
      <c r="O6" s="21"/>
      <c r="P6" s="21"/>
      <c r="Q6" s="21"/>
      <c r="R6" s="21"/>
      <c r="S6" s="23"/>
      <c r="T6" s="20">
        <v>456428</v>
      </c>
      <c r="U6" s="20"/>
      <c r="V6" s="23"/>
      <c r="W6" s="20"/>
      <c r="X6" s="20"/>
      <c r="Y6" s="20"/>
      <c r="Z6" s="20"/>
      <c r="AA6" s="20">
        <v>82629</v>
      </c>
      <c r="AB6" s="20">
        <v>88827</v>
      </c>
      <c r="AC6" s="20">
        <v>92654</v>
      </c>
      <c r="AD6" s="21" t="s">
        <v>435</v>
      </c>
      <c r="AE6" s="21">
        <v>106949</v>
      </c>
      <c r="AF6" s="21">
        <v>108888</v>
      </c>
      <c r="AG6" s="21">
        <v>115056</v>
      </c>
      <c r="AH6" s="44">
        <v>120677</v>
      </c>
      <c r="AI6" s="44">
        <v>122791</v>
      </c>
      <c r="AJ6" s="44">
        <v>126263</v>
      </c>
      <c r="AK6" s="21">
        <v>129077</v>
      </c>
      <c r="AL6" s="21">
        <v>132692</v>
      </c>
      <c r="AM6" s="21">
        <v>137183</v>
      </c>
      <c r="AN6" s="21">
        <v>137313</v>
      </c>
      <c r="AO6" s="21" t="s">
        <v>435</v>
      </c>
      <c r="AP6" s="21">
        <v>142810</v>
      </c>
      <c r="AQ6" s="21" t="s">
        <v>435</v>
      </c>
      <c r="AR6" s="21"/>
      <c r="AS6" s="21">
        <v>1128</v>
      </c>
      <c r="AT6" s="21">
        <v>1856</v>
      </c>
      <c r="AU6" s="24">
        <v>4294</v>
      </c>
      <c r="AV6" s="24">
        <v>18421</v>
      </c>
      <c r="AW6" s="24">
        <v>25702</v>
      </c>
      <c r="AX6" s="24">
        <v>47473</v>
      </c>
      <c r="AY6" s="24">
        <v>53329</v>
      </c>
      <c r="AZ6" s="24">
        <v>59269</v>
      </c>
      <c r="BA6" s="24">
        <v>64725</v>
      </c>
      <c r="BB6" s="24">
        <v>67621</v>
      </c>
      <c r="BC6" s="24"/>
      <c r="BD6" s="24" t="s">
        <v>435</v>
      </c>
      <c r="BE6" s="24">
        <v>245759</v>
      </c>
      <c r="BF6" s="24"/>
      <c r="BG6" s="24" t="s">
        <v>493</v>
      </c>
      <c r="BH6" s="24">
        <v>249767</v>
      </c>
      <c r="BI6" s="24">
        <v>251854</v>
      </c>
      <c r="BJ6" s="24" t="s">
        <v>494</v>
      </c>
      <c r="BK6" s="24">
        <v>252116</v>
      </c>
      <c r="BL6" s="24" t="s">
        <v>495</v>
      </c>
      <c r="BM6" s="24" t="s">
        <v>496</v>
      </c>
      <c r="BN6" s="24">
        <v>258627</v>
      </c>
      <c r="BO6" s="24">
        <v>262620</v>
      </c>
      <c r="BP6" s="24" t="s">
        <v>497</v>
      </c>
      <c r="BQ6" s="24" t="s">
        <v>498</v>
      </c>
      <c r="BR6" s="24">
        <v>270543</v>
      </c>
      <c r="BS6" s="24" t="s">
        <v>499</v>
      </c>
      <c r="BT6" s="24">
        <v>272354</v>
      </c>
      <c r="BU6" s="24">
        <v>298803</v>
      </c>
      <c r="BV6" s="24">
        <v>303978</v>
      </c>
      <c r="BW6" s="24" t="s">
        <v>500</v>
      </c>
      <c r="BX6" s="24" t="s">
        <v>501</v>
      </c>
      <c r="BY6" s="24">
        <v>305963</v>
      </c>
      <c r="BZ6" s="24">
        <v>307213</v>
      </c>
      <c r="CA6" s="24" t="s">
        <v>502</v>
      </c>
      <c r="CB6" s="24" t="s">
        <v>503</v>
      </c>
      <c r="CC6" s="24" t="s">
        <v>504</v>
      </c>
      <c r="CD6" s="56" t="s">
        <v>22</v>
      </c>
    </row>
    <row r="7" spans="1:83">
      <c r="A7" s="24"/>
      <c r="B7" s="19"/>
      <c r="C7" s="19"/>
      <c r="D7" s="53" t="s">
        <v>505</v>
      </c>
      <c r="E7" s="25" t="s">
        <v>431</v>
      </c>
      <c r="F7" s="24" t="s">
        <v>432</v>
      </c>
      <c r="G7" s="25" t="s">
        <v>506</v>
      </c>
      <c r="H7" s="25"/>
      <c r="I7" s="25"/>
      <c r="J7" s="58" t="s">
        <v>697</v>
      </c>
      <c r="K7" s="21">
        <v>1</v>
      </c>
      <c r="L7" s="24" t="s">
        <v>695</v>
      </c>
      <c r="M7" s="24"/>
      <c r="N7" s="24" t="s">
        <v>507</v>
      </c>
      <c r="O7" s="24"/>
      <c r="P7" s="24"/>
      <c r="Q7" s="24"/>
      <c r="R7" s="24"/>
      <c r="S7" s="27"/>
      <c r="T7" s="25"/>
      <c r="U7" s="25"/>
      <c r="V7" s="27"/>
      <c r="W7" s="25"/>
      <c r="X7" s="25"/>
      <c r="Y7" s="25"/>
      <c r="Z7" s="25"/>
      <c r="AA7" s="25"/>
      <c r="AB7" s="25"/>
      <c r="AC7" s="25"/>
      <c r="AD7" s="24"/>
      <c r="AE7" s="24"/>
      <c r="AF7" s="24"/>
      <c r="AG7" s="24"/>
      <c r="AH7" s="42"/>
      <c r="AI7" s="42"/>
      <c r="AJ7" s="42"/>
      <c r="AK7" s="24"/>
      <c r="AL7" s="24"/>
      <c r="AM7" s="24"/>
      <c r="AN7" s="24"/>
      <c r="AO7" s="24"/>
      <c r="AP7" s="24"/>
      <c r="AQ7" s="24"/>
      <c r="AR7" s="24"/>
      <c r="AS7" s="24">
        <v>15160</v>
      </c>
      <c r="AT7" s="24">
        <v>20905</v>
      </c>
      <c r="AU7" s="24">
        <v>27715</v>
      </c>
      <c r="AV7" s="24">
        <v>35172</v>
      </c>
      <c r="AW7" s="24">
        <v>37800</v>
      </c>
      <c r="AX7" s="24">
        <v>42383</v>
      </c>
      <c r="AY7" s="24">
        <v>49728</v>
      </c>
      <c r="AZ7" s="24" t="s">
        <v>478</v>
      </c>
      <c r="BA7" s="24">
        <v>64037</v>
      </c>
      <c r="BB7" s="24">
        <v>69665</v>
      </c>
      <c r="BC7" s="24">
        <v>80485</v>
      </c>
      <c r="BD7" s="24" t="s">
        <v>435</v>
      </c>
      <c r="BE7" s="24">
        <v>95483</v>
      </c>
      <c r="BF7" s="24"/>
      <c r="BG7" s="24" t="s">
        <v>508</v>
      </c>
      <c r="BH7" s="24">
        <v>98969</v>
      </c>
      <c r="BI7" s="24">
        <v>100997</v>
      </c>
      <c r="BJ7" s="24" t="s">
        <v>509</v>
      </c>
      <c r="BK7" s="24">
        <v>102712</v>
      </c>
      <c r="BL7" s="24" t="s">
        <v>510</v>
      </c>
      <c r="BM7" s="24" t="s">
        <v>511</v>
      </c>
      <c r="BN7" s="24">
        <v>107704</v>
      </c>
      <c r="BO7" s="24">
        <v>113070</v>
      </c>
      <c r="BP7" s="24" t="s">
        <v>512</v>
      </c>
      <c r="BQ7" s="24" t="s">
        <v>513</v>
      </c>
      <c r="BR7" s="24">
        <v>120562</v>
      </c>
      <c r="BS7" s="24" t="s">
        <v>514</v>
      </c>
      <c r="BT7" s="24">
        <v>126990</v>
      </c>
      <c r="BU7" s="24">
        <v>133129</v>
      </c>
      <c r="BV7" s="24">
        <v>136799</v>
      </c>
      <c r="BW7" s="24" t="s">
        <v>515</v>
      </c>
      <c r="BX7" s="24" t="s">
        <v>516</v>
      </c>
      <c r="BY7" s="24">
        <v>141862</v>
      </c>
      <c r="BZ7" s="24">
        <v>147853</v>
      </c>
      <c r="CA7" s="24" t="s">
        <v>517</v>
      </c>
      <c r="CB7" s="24" t="s">
        <v>518</v>
      </c>
      <c r="CC7" s="24" t="s">
        <v>519</v>
      </c>
      <c r="CD7" s="56" t="s">
        <v>22</v>
      </c>
    </row>
    <row r="8" spans="1:83">
      <c r="A8" s="24">
        <v>257</v>
      </c>
      <c r="B8" s="19" t="s">
        <v>429</v>
      </c>
      <c r="C8" s="19"/>
      <c r="D8" s="53" t="s">
        <v>520</v>
      </c>
      <c r="E8" s="25" t="s">
        <v>431</v>
      </c>
      <c r="F8" s="24" t="s">
        <v>432</v>
      </c>
      <c r="G8" s="25" t="s">
        <v>521</v>
      </c>
      <c r="H8" s="25" t="s">
        <v>476</v>
      </c>
      <c r="I8" s="25"/>
      <c r="J8" s="58" t="s">
        <v>697</v>
      </c>
      <c r="K8" s="21">
        <v>1</v>
      </c>
      <c r="L8" s="24" t="s">
        <v>695</v>
      </c>
      <c r="M8" s="24"/>
      <c r="N8" s="24" t="s">
        <v>522</v>
      </c>
      <c r="O8" s="24"/>
      <c r="P8" s="24"/>
      <c r="Q8" s="24"/>
      <c r="R8" s="24"/>
      <c r="S8" s="27"/>
      <c r="T8" s="25">
        <v>261171</v>
      </c>
      <c r="U8" s="25"/>
      <c r="V8" s="27"/>
      <c r="W8" s="25"/>
      <c r="X8" s="25"/>
      <c r="Y8" s="25"/>
      <c r="Z8" s="25"/>
      <c r="AA8" s="25">
        <v>331785</v>
      </c>
      <c r="AB8" s="25">
        <v>337594</v>
      </c>
      <c r="AC8" s="25"/>
      <c r="AD8" s="24" t="s">
        <v>435</v>
      </c>
      <c r="AE8" s="24">
        <v>374866</v>
      </c>
      <c r="AF8" s="24">
        <v>379470</v>
      </c>
      <c r="AG8" s="24">
        <v>381122</v>
      </c>
      <c r="AH8" s="42">
        <v>386179</v>
      </c>
      <c r="AI8" s="42">
        <v>399698</v>
      </c>
      <c r="AJ8" s="42">
        <v>413520</v>
      </c>
      <c r="AK8" s="24">
        <v>434656</v>
      </c>
      <c r="AL8" s="24">
        <v>447758</v>
      </c>
      <c r="AM8" s="24">
        <v>450134</v>
      </c>
      <c r="AN8" s="24">
        <v>453114</v>
      </c>
      <c r="AO8" s="24" t="s">
        <v>435</v>
      </c>
      <c r="AP8" s="24">
        <v>466334</v>
      </c>
      <c r="AQ8" s="24" t="s">
        <v>435</v>
      </c>
      <c r="AR8" s="24"/>
      <c r="AS8" s="24">
        <v>14709</v>
      </c>
      <c r="AT8" s="24">
        <v>18664</v>
      </c>
      <c r="AU8" s="24" t="s">
        <v>435</v>
      </c>
      <c r="AV8" s="24">
        <v>45926</v>
      </c>
      <c r="AW8" s="24">
        <v>61739</v>
      </c>
      <c r="AX8" s="24">
        <v>66902</v>
      </c>
      <c r="AY8" s="24">
        <v>92106</v>
      </c>
      <c r="AZ8" s="24" t="s">
        <v>478</v>
      </c>
      <c r="BA8" s="24">
        <v>99196</v>
      </c>
      <c r="BB8" s="24">
        <v>100874</v>
      </c>
      <c r="BC8" s="24">
        <v>102603</v>
      </c>
      <c r="BD8" s="24" t="s">
        <v>435</v>
      </c>
      <c r="BE8" s="24">
        <v>104440</v>
      </c>
      <c r="BF8" s="24"/>
      <c r="BG8" s="24" t="s">
        <v>523</v>
      </c>
      <c r="BH8" s="24" t="s">
        <v>524</v>
      </c>
      <c r="BI8" s="24">
        <v>106521</v>
      </c>
      <c r="BJ8" s="24"/>
      <c r="BK8" s="24" t="s">
        <v>525</v>
      </c>
      <c r="BL8" s="24"/>
      <c r="BM8" s="24" t="s">
        <v>526</v>
      </c>
      <c r="BN8" s="24">
        <v>109183</v>
      </c>
      <c r="BO8" s="24">
        <v>110017</v>
      </c>
      <c r="BP8" s="24" t="s">
        <v>527</v>
      </c>
      <c r="BQ8" s="24" t="s">
        <v>528</v>
      </c>
      <c r="BR8" s="24">
        <v>120069</v>
      </c>
      <c r="BS8" s="24" t="s">
        <v>529</v>
      </c>
      <c r="BT8" s="24">
        <v>120165</v>
      </c>
      <c r="BU8" s="24">
        <v>120262</v>
      </c>
      <c r="BV8" s="24">
        <v>120427</v>
      </c>
      <c r="BW8" s="24" t="s">
        <v>530</v>
      </c>
      <c r="BX8" s="24" t="s">
        <v>531</v>
      </c>
      <c r="BY8" s="24">
        <v>120478</v>
      </c>
      <c r="BZ8" s="24">
        <v>120642</v>
      </c>
      <c r="CA8" s="24" t="s">
        <v>532</v>
      </c>
      <c r="CB8" s="24" t="s">
        <v>533</v>
      </c>
      <c r="CC8" s="24" t="s">
        <v>534</v>
      </c>
      <c r="CD8" s="56" t="s">
        <v>22</v>
      </c>
    </row>
    <row r="9" spans="1:83">
      <c r="A9" s="24"/>
      <c r="B9" s="19"/>
      <c r="C9" s="19"/>
      <c r="D9" s="53" t="s">
        <v>535</v>
      </c>
      <c r="E9" s="25" t="s">
        <v>431</v>
      </c>
      <c r="F9" s="24" t="s">
        <v>432</v>
      </c>
      <c r="G9" s="45" t="s">
        <v>536</v>
      </c>
      <c r="H9" s="25"/>
      <c r="I9" s="25"/>
      <c r="J9" s="58" t="s">
        <v>697</v>
      </c>
      <c r="K9" s="21">
        <v>1</v>
      </c>
      <c r="L9" s="24" t="s">
        <v>695</v>
      </c>
      <c r="M9" s="24"/>
      <c r="N9" s="24" t="s">
        <v>537</v>
      </c>
      <c r="O9" s="24"/>
      <c r="P9" s="24"/>
      <c r="Q9" s="24"/>
      <c r="R9" s="24"/>
      <c r="S9" s="27"/>
      <c r="T9" s="25"/>
      <c r="U9" s="25"/>
      <c r="V9" s="27"/>
      <c r="W9" s="25"/>
      <c r="X9" s="25"/>
      <c r="Y9" s="25"/>
      <c r="Z9" s="25"/>
      <c r="AA9" s="25">
        <v>372927</v>
      </c>
      <c r="AB9" s="25">
        <v>381390</v>
      </c>
      <c r="AC9" s="25"/>
      <c r="AD9" s="24" t="s">
        <v>435</v>
      </c>
      <c r="AE9" s="24">
        <v>400301</v>
      </c>
      <c r="AF9" s="24">
        <v>17550</v>
      </c>
      <c r="AG9" s="24">
        <v>21792</v>
      </c>
      <c r="AH9" s="42">
        <v>30313</v>
      </c>
      <c r="AI9" s="42">
        <v>32196</v>
      </c>
      <c r="AJ9" s="42">
        <v>38935</v>
      </c>
      <c r="AK9" s="24">
        <v>41843</v>
      </c>
      <c r="AL9" s="24">
        <v>47555</v>
      </c>
      <c r="AM9" s="24">
        <v>52039</v>
      </c>
      <c r="AN9" s="24">
        <v>56833</v>
      </c>
      <c r="AO9" s="24" t="s">
        <v>435</v>
      </c>
      <c r="AP9" s="24">
        <v>68287</v>
      </c>
      <c r="AQ9" s="24" t="s">
        <v>435</v>
      </c>
      <c r="AR9" s="24"/>
      <c r="AS9" s="24">
        <v>36467</v>
      </c>
      <c r="AT9" s="24">
        <v>45413</v>
      </c>
      <c r="AU9" s="24">
        <v>50851</v>
      </c>
      <c r="AV9" s="24">
        <v>59468</v>
      </c>
      <c r="AW9" s="24">
        <v>65651</v>
      </c>
      <c r="AX9" s="24">
        <v>74091</v>
      </c>
      <c r="AY9" s="24">
        <v>81824</v>
      </c>
      <c r="AZ9" s="24">
        <v>89590</v>
      </c>
      <c r="BA9" s="24">
        <v>93854</v>
      </c>
      <c r="BB9" s="24">
        <v>104044</v>
      </c>
      <c r="BC9" s="24">
        <v>116473</v>
      </c>
      <c r="BD9" s="24" t="s">
        <v>435</v>
      </c>
      <c r="BE9" s="24">
        <v>126563</v>
      </c>
      <c r="BF9" s="24"/>
      <c r="BG9" s="24" t="s">
        <v>538</v>
      </c>
      <c r="BH9" s="24">
        <v>135930</v>
      </c>
      <c r="BI9" s="24">
        <v>145131</v>
      </c>
      <c r="BJ9" s="24" t="s">
        <v>539</v>
      </c>
      <c r="BK9" s="24">
        <v>148339</v>
      </c>
      <c r="BL9" s="24" t="s">
        <v>540</v>
      </c>
      <c r="BM9" s="24" t="s">
        <v>541</v>
      </c>
      <c r="BN9" s="24">
        <v>153737</v>
      </c>
      <c r="BO9" s="24">
        <v>158278</v>
      </c>
      <c r="BP9" s="24" t="s">
        <v>542</v>
      </c>
      <c r="BQ9" s="24" t="s">
        <v>543</v>
      </c>
      <c r="BR9" s="24">
        <v>167662</v>
      </c>
      <c r="BS9" s="24" t="s">
        <v>544</v>
      </c>
      <c r="BT9" s="24">
        <v>175590</v>
      </c>
      <c r="BU9" s="24">
        <v>180174</v>
      </c>
      <c r="BV9" s="24">
        <v>185195</v>
      </c>
      <c r="BW9" s="24" t="s">
        <v>545</v>
      </c>
      <c r="BX9" s="24" t="s">
        <v>546</v>
      </c>
      <c r="BY9" s="24">
        <v>191970</v>
      </c>
      <c r="BZ9" s="24" t="s">
        <v>478</v>
      </c>
      <c r="CA9" s="24" t="s">
        <v>547</v>
      </c>
      <c r="CB9" s="24" t="s">
        <v>548</v>
      </c>
      <c r="CC9" s="24" t="s">
        <v>549</v>
      </c>
      <c r="CD9" s="56" t="s">
        <v>22</v>
      </c>
      <c r="CE9" s="3" t="s">
        <v>550</v>
      </c>
    </row>
    <row r="10" spans="1:83">
      <c r="A10" s="24"/>
      <c r="B10" s="19"/>
      <c r="C10" s="19"/>
      <c r="D10" s="53" t="s">
        <v>551</v>
      </c>
      <c r="E10" s="25" t="s">
        <v>431</v>
      </c>
      <c r="F10" s="24" t="s">
        <v>432</v>
      </c>
      <c r="G10" s="25" t="s">
        <v>552</v>
      </c>
      <c r="H10" s="25"/>
      <c r="I10" s="25"/>
      <c r="J10" s="58" t="s">
        <v>697</v>
      </c>
      <c r="K10" s="21">
        <v>1</v>
      </c>
      <c r="L10" s="24" t="s">
        <v>695</v>
      </c>
      <c r="M10" s="24"/>
      <c r="N10" s="24" t="s">
        <v>553</v>
      </c>
      <c r="O10" s="24"/>
      <c r="P10" s="24"/>
      <c r="Q10" s="24"/>
      <c r="R10" s="24"/>
      <c r="S10" s="27"/>
      <c r="T10" s="25"/>
      <c r="U10" s="25"/>
      <c r="V10" s="27"/>
      <c r="W10" s="25"/>
      <c r="X10" s="25"/>
      <c r="Y10" s="25"/>
      <c r="Z10" s="25"/>
      <c r="AA10" s="25">
        <v>315750</v>
      </c>
      <c r="AB10" s="25">
        <v>319825</v>
      </c>
      <c r="AC10" s="25"/>
      <c r="AD10" s="24" t="s">
        <v>435</v>
      </c>
      <c r="AE10" s="24">
        <v>334814</v>
      </c>
      <c r="AF10" s="24">
        <v>340010</v>
      </c>
      <c r="AG10" s="24">
        <v>343180</v>
      </c>
      <c r="AH10" s="42">
        <v>345922</v>
      </c>
      <c r="AI10" s="42">
        <v>352050</v>
      </c>
      <c r="AJ10" s="42">
        <v>364555</v>
      </c>
      <c r="AK10" s="24">
        <v>369453</v>
      </c>
      <c r="AL10" s="24">
        <v>377564</v>
      </c>
      <c r="AM10" s="24">
        <v>393792</v>
      </c>
      <c r="AN10" s="24">
        <v>398032</v>
      </c>
      <c r="AO10" s="24" t="s">
        <v>435</v>
      </c>
      <c r="AP10" s="24">
        <v>398384</v>
      </c>
      <c r="AQ10" s="24" t="s">
        <v>435</v>
      </c>
      <c r="AR10" s="24"/>
      <c r="AS10" s="24">
        <v>371759</v>
      </c>
      <c r="AT10" s="24">
        <v>374274</v>
      </c>
      <c r="AU10" s="24" t="s">
        <v>435</v>
      </c>
      <c r="AV10" s="24">
        <v>389653</v>
      </c>
      <c r="AW10" s="24">
        <v>390854</v>
      </c>
      <c r="AX10" s="24">
        <v>395696</v>
      </c>
      <c r="AY10" s="24">
        <v>412171</v>
      </c>
      <c r="AZ10" s="24">
        <v>413075</v>
      </c>
      <c r="BA10" s="24">
        <v>413096</v>
      </c>
      <c r="BB10" s="24">
        <v>413393</v>
      </c>
      <c r="BC10" s="24">
        <v>416047</v>
      </c>
      <c r="BD10" s="24" t="s">
        <v>435</v>
      </c>
      <c r="BE10" s="24">
        <v>423911</v>
      </c>
      <c r="BF10" s="24"/>
      <c r="BG10" s="24" t="s">
        <v>554</v>
      </c>
      <c r="BH10" s="24">
        <v>434330</v>
      </c>
      <c r="BI10" s="24">
        <v>444888</v>
      </c>
      <c r="BJ10" s="24" t="s">
        <v>555</v>
      </c>
      <c r="BK10" s="24">
        <v>446464</v>
      </c>
      <c r="BL10" s="24" t="s">
        <v>556</v>
      </c>
      <c r="BM10" s="24" t="s">
        <v>557</v>
      </c>
      <c r="BN10" s="24">
        <v>452481</v>
      </c>
      <c r="BO10" s="24">
        <v>455988</v>
      </c>
      <c r="BP10" s="24" t="s">
        <v>558</v>
      </c>
      <c r="BQ10" s="24" t="s">
        <v>559</v>
      </c>
      <c r="BR10" s="24">
        <v>459107</v>
      </c>
      <c r="BS10" s="24" t="s">
        <v>560</v>
      </c>
      <c r="BT10" s="24">
        <v>459429</v>
      </c>
      <c r="BU10" s="24">
        <v>465838</v>
      </c>
      <c r="BV10" s="24">
        <v>470289</v>
      </c>
      <c r="BW10" s="24" t="s">
        <v>561</v>
      </c>
      <c r="BX10" s="24" t="s">
        <v>562</v>
      </c>
      <c r="BY10" s="24">
        <v>471490</v>
      </c>
      <c r="BZ10" s="24">
        <v>472430</v>
      </c>
      <c r="CA10" s="24" t="s">
        <v>563</v>
      </c>
      <c r="CB10" s="24" t="s">
        <v>564</v>
      </c>
      <c r="CC10" s="24" t="s">
        <v>565</v>
      </c>
      <c r="CD10" s="56" t="s">
        <v>22</v>
      </c>
    </row>
    <row r="11" spans="1:83">
      <c r="A11" s="24"/>
      <c r="B11" s="19"/>
      <c r="C11" s="19"/>
      <c r="D11" s="53" t="s">
        <v>566</v>
      </c>
      <c r="E11" s="25" t="s">
        <v>431</v>
      </c>
      <c r="F11" s="24" t="s">
        <v>432</v>
      </c>
      <c r="G11" s="45" t="s">
        <v>567</v>
      </c>
      <c r="H11" s="46"/>
      <c r="I11" s="46"/>
      <c r="J11" s="58" t="s">
        <v>697</v>
      </c>
      <c r="K11" s="21">
        <v>1</v>
      </c>
      <c r="L11" s="24" t="s">
        <v>695</v>
      </c>
      <c r="M11" s="24"/>
      <c r="N11" s="24" t="s">
        <v>568</v>
      </c>
      <c r="O11" s="24"/>
      <c r="P11" s="24"/>
      <c r="Q11" s="24"/>
      <c r="R11" s="24"/>
      <c r="S11" s="27"/>
      <c r="T11" s="25"/>
      <c r="U11" s="25"/>
      <c r="V11" s="27"/>
      <c r="W11" s="25"/>
      <c r="X11" s="25"/>
      <c r="Y11" s="25"/>
      <c r="Z11" s="25"/>
      <c r="AA11" s="25">
        <v>529612</v>
      </c>
      <c r="AB11" s="25">
        <v>544673</v>
      </c>
      <c r="AC11" s="25"/>
      <c r="AD11" s="24" t="s">
        <v>435</v>
      </c>
      <c r="AE11" s="24">
        <v>634297</v>
      </c>
      <c r="AF11" s="24">
        <v>644881</v>
      </c>
      <c r="AG11" s="24">
        <v>666249</v>
      </c>
      <c r="AH11" s="42">
        <v>680807</v>
      </c>
      <c r="AI11" s="42">
        <v>693674</v>
      </c>
      <c r="AJ11" s="42">
        <v>708135</v>
      </c>
      <c r="AK11" s="24">
        <v>719048</v>
      </c>
      <c r="AL11" s="24">
        <v>728258</v>
      </c>
      <c r="AM11" s="24">
        <v>747847</v>
      </c>
      <c r="AN11" s="24">
        <v>762678</v>
      </c>
      <c r="AO11" s="24" t="s">
        <v>435</v>
      </c>
      <c r="AP11" s="24">
        <v>787741</v>
      </c>
      <c r="AQ11" s="24" t="s">
        <v>435</v>
      </c>
      <c r="AR11" s="24"/>
      <c r="AS11" s="24">
        <v>24777</v>
      </c>
      <c r="AT11" s="24">
        <v>32898</v>
      </c>
      <c r="AU11" s="24">
        <v>45237</v>
      </c>
      <c r="AV11" s="24">
        <v>51584</v>
      </c>
      <c r="AW11" s="24">
        <v>60593</v>
      </c>
      <c r="AX11" s="24">
        <v>67142</v>
      </c>
      <c r="AY11" s="24" t="s">
        <v>478</v>
      </c>
      <c r="AZ11" s="24">
        <v>26586</v>
      </c>
      <c r="BA11" s="24">
        <v>46743</v>
      </c>
      <c r="BB11" s="24">
        <v>59403</v>
      </c>
      <c r="BC11" s="24">
        <v>72084</v>
      </c>
      <c r="BD11" s="24" t="s">
        <v>435</v>
      </c>
      <c r="BE11" s="24">
        <v>85856</v>
      </c>
      <c r="BF11" s="24"/>
      <c r="BG11" s="24" t="s">
        <v>569</v>
      </c>
      <c r="BH11" s="24">
        <v>95173</v>
      </c>
      <c r="BI11" s="24">
        <v>110815</v>
      </c>
      <c r="BJ11" s="24" t="s">
        <v>570</v>
      </c>
      <c r="BK11" s="24">
        <v>119056</v>
      </c>
      <c r="BL11" s="24" t="s">
        <v>571</v>
      </c>
      <c r="BM11" s="24" t="s">
        <v>572</v>
      </c>
      <c r="BN11" s="24">
        <v>133329</v>
      </c>
      <c r="BO11" s="24">
        <v>149107</v>
      </c>
      <c r="BP11" s="24" t="s">
        <v>573</v>
      </c>
      <c r="BQ11" s="24" t="s">
        <v>574</v>
      </c>
      <c r="BR11" s="24">
        <v>156860</v>
      </c>
      <c r="BS11" s="24" t="s">
        <v>575</v>
      </c>
      <c r="BT11" s="24">
        <v>164658</v>
      </c>
      <c r="BU11" s="24">
        <v>171539</v>
      </c>
      <c r="BV11" s="24">
        <v>185100</v>
      </c>
      <c r="BW11" s="24" t="s">
        <v>576</v>
      </c>
      <c r="BX11" s="24" t="s">
        <v>577</v>
      </c>
      <c r="BY11" s="24">
        <v>190794</v>
      </c>
      <c r="BZ11" s="24">
        <v>204573</v>
      </c>
      <c r="CA11" s="24" t="s">
        <v>578</v>
      </c>
      <c r="CB11" s="24" t="s">
        <v>579</v>
      </c>
      <c r="CC11" s="24" t="s">
        <v>580</v>
      </c>
      <c r="CD11" s="56" t="s">
        <v>22</v>
      </c>
    </row>
    <row r="12" spans="1:83">
      <c r="A12" s="24"/>
      <c r="B12" s="19"/>
      <c r="C12" s="19"/>
      <c r="D12" s="53" t="s">
        <v>581</v>
      </c>
      <c r="E12" s="25" t="s">
        <v>431</v>
      </c>
      <c r="F12" s="24" t="s">
        <v>432</v>
      </c>
      <c r="G12" s="45" t="s">
        <v>582</v>
      </c>
      <c r="H12" s="46"/>
      <c r="I12" s="46"/>
      <c r="J12" s="24" t="s">
        <v>583</v>
      </c>
      <c r="K12" s="21">
        <v>1</v>
      </c>
      <c r="L12" s="24" t="s">
        <v>700</v>
      </c>
      <c r="M12" s="24"/>
      <c r="N12" s="24" t="s">
        <v>584</v>
      </c>
      <c r="O12" s="24"/>
      <c r="P12" s="24"/>
      <c r="Q12" s="24"/>
      <c r="R12" s="24"/>
      <c r="S12" s="27"/>
      <c r="T12" s="25"/>
      <c r="U12" s="25"/>
      <c r="V12" s="27"/>
      <c r="W12" s="25"/>
      <c r="X12" s="25"/>
      <c r="Y12" s="25"/>
      <c r="Z12" s="25"/>
      <c r="AA12" s="25"/>
      <c r="AB12" s="25"/>
      <c r="AC12" s="25"/>
      <c r="AD12" s="24"/>
      <c r="AE12" s="24">
        <v>101407</v>
      </c>
      <c r="AF12" s="24">
        <v>102521</v>
      </c>
      <c r="AG12" s="24">
        <v>104399</v>
      </c>
      <c r="AH12" s="42">
        <v>105419</v>
      </c>
      <c r="AI12" s="42">
        <v>105947</v>
      </c>
      <c r="AJ12" s="42">
        <v>107112</v>
      </c>
      <c r="AK12" s="24">
        <v>107502</v>
      </c>
      <c r="AL12" s="24">
        <v>107870</v>
      </c>
      <c r="AM12" s="24">
        <v>109980</v>
      </c>
      <c r="AN12" s="24">
        <v>110518</v>
      </c>
      <c r="AO12" s="24" t="s">
        <v>435</v>
      </c>
      <c r="AP12" s="24">
        <v>114302</v>
      </c>
      <c r="AQ12" s="24" t="s">
        <v>435</v>
      </c>
      <c r="AR12" s="24"/>
      <c r="AS12" s="24">
        <v>125095</v>
      </c>
      <c r="AT12" s="24">
        <v>127627</v>
      </c>
      <c r="AU12" s="24">
        <v>129713</v>
      </c>
      <c r="AV12" s="24">
        <v>132429</v>
      </c>
      <c r="AW12" s="24">
        <v>134279</v>
      </c>
      <c r="AX12" s="24">
        <v>137271</v>
      </c>
      <c r="AY12" s="24">
        <v>139929</v>
      </c>
      <c r="AZ12" s="24">
        <v>142849</v>
      </c>
      <c r="BA12" s="24">
        <v>145331</v>
      </c>
      <c r="BB12" s="24">
        <v>146317</v>
      </c>
      <c r="BC12" s="24">
        <v>149353</v>
      </c>
      <c r="BD12" s="24" t="s">
        <v>435</v>
      </c>
      <c r="BE12" s="24">
        <v>160853</v>
      </c>
      <c r="BF12" s="24"/>
      <c r="BG12" s="24" t="s">
        <v>585</v>
      </c>
      <c r="BH12" s="24">
        <v>165955</v>
      </c>
      <c r="BI12" s="24">
        <v>169247</v>
      </c>
      <c r="BJ12" s="24" t="s">
        <v>586</v>
      </c>
      <c r="BK12" s="24">
        <v>172539</v>
      </c>
      <c r="BL12" s="24" t="s">
        <v>587</v>
      </c>
      <c r="BM12" s="24" t="s">
        <v>588</v>
      </c>
      <c r="BN12" s="24">
        <v>174629</v>
      </c>
      <c r="BO12" s="24">
        <v>175499</v>
      </c>
      <c r="BP12" s="24" t="s">
        <v>589</v>
      </c>
      <c r="BQ12" s="24" t="s">
        <v>590</v>
      </c>
      <c r="BR12" s="24">
        <v>177123</v>
      </c>
      <c r="BS12" s="24" t="s">
        <v>591</v>
      </c>
      <c r="BT12" s="24">
        <v>177966</v>
      </c>
      <c r="BU12" s="24">
        <v>181289</v>
      </c>
      <c r="BV12" s="24" t="s">
        <v>478</v>
      </c>
      <c r="BW12" s="24" t="s">
        <v>592</v>
      </c>
      <c r="BX12" s="24" t="s">
        <v>593</v>
      </c>
      <c r="BY12" s="24">
        <v>182349</v>
      </c>
      <c r="BZ12" s="24">
        <v>182727</v>
      </c>
      <c r="CA12" s="24" t="s">
        <v>594</v>
      </c>
      <c r="CB12" s="24" t="s">
        <v>595</v>
      </c>
      <c r="CC12" s="24"/>
      <c r="CD12" s="56" t="s">
        <v>22</v>
      </c>
    </row>
    <row r="13" spans="1:83">
      <c r="A13" s="24"/>
      <c r="B13" s="19"/>
      <c r="C13" s="19"/>
      <c r="D13" s="53" t="s">
        <v>596</v>
      </c>
      <c r="E13" s="25" t="s">
        <v>431</v>
      </c>
      <c r="F13" s="24" t="s">
        <v>432</v>
      </c>
      <c r="G13" s="45" t="s">
        <v>597</v>
      </c>
      <c r="H13" s="46"/>
      <c r="I13" s="46"/>
      <c r="J13" s="58" t="s">
        <v>698</v>
      </c>
      <c r="K13" s="21">
        <v>1</v>
      </c>
      <c r="L13" s="24" t="s">
        <v>598</v>
      </c>
      <c r="M13" s="24"/>
      <c r="N13" s="24">
        <v>290561</v>
      </c>
      <c r="O13" s="24"/>
      <c r="P13" s="24"/>
      <c r="Q13" s="24"/>
      <c r="R13" s="24"/>
      <c r="S13" s="27"/>
      <c r="T13" s="25"/>
      <c r="U13" s="25"/>
      <c r="V13" s="27"/>
      <c r="W13" s="25"/>
      <c r="X13" s="25"/>
      <c r="Y13" s="25"/>
      <c r="Z13" s="25"/>
      <c r="AA13" s="25"/>
      <c r="AB13" s="25"/>
      <c r="AC13" s="25"/>
      <c r="AD13" s="24"/>
      <c r="AE13" s="24"/>
      <c r="AF13" s="24"/>
      <c r="AG13" s="24"/>
      <c r="AH13" s="42"/>
      <c r="AI13" s="42"/>
      <c r="AJ13" s="42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 t="s">
        <v>599</v>
      </c>
      <c r="BL13" s="24" t="s">
        <v>600</v>
      </c>
      <c r="BM13" s="24"/>
      <c r="BN13" s="24" t="s">
        <v>601</v>
      </c>
      <c r="BO13" s="24" t="s">
        <v>602</v>
      </c>
      <c r="BP13" s="24" t="s">
        <v>603</v>
      </c>
      <c r="BQ13" s="24" t="s">
        <v>604</v>
      </c>
      <c r="BR13" s="24" t="s">
        <v>605</v>
      </c>
      <c r="BS13" s="24" t="s">
        <v>606</v>
      </c>
      <c r="BT13" s="24" t="s">
        <v>607</v>
      </c>
      <c r="BU13" s="24" t="s">
        <v>608</v>
      </c>
      <c r="BV13" s="24" t="s">
        <v>609</v>
      </c>
      <c r="BW13" s="24" t="s">
        <v>610</v>
      </c>
      <c r="BX13" s="24" t="s">
        <v>611</v>
      </c>
      <c r="BY13" s="24" t="s">
        <v>612</v>
      </c>
      <c r="BZ13" s="24" t="s">
        <v>613</v>
      </c>
      <c r="CA13" s="24" t="s">
        <v>614</v>
      </c>
      <c r="CB13" s="24" t="s">
        <v>615</v>
      </c>
      <c r="CC13" s="24" t="s">
        <v>616</v>
      </c>
      <c r="CD13" s="56" t="s">
        <v>22</v>
      </c>
    </row>
    <row r="14" spans="1:83">
      <c r="A14" s="24"/>
      <c r="B14" s="19"/>
      <c r="C14" s="19"/>
      <c r="D14" s="53"/>
      <c r="E14" s="25"/>
      <c r="F14" s="24"/>
      <c r="G14" s="45"/>
      <c r="H14" s="46"/>
      <c r="I14" s="46"/>
      <c r="J14" s="46"/>
      <c r="K14" s="46"/>
      <c r="L14" s="24"/>
      <c r="M14" s="24"/>
      <c r="N14" s="24"/>
      <c r="O14" s="24"/>
      <c r="P14" s="24"/>
      <c r="Q14" s="24"/>
      <c r="R14" s="24"/>
      <c r="S14" s="27"/>
      <c r="T14" s="25"/>
      <c r="U14" s="25"/>
      <c r="V14" s="27"/>
      <c r="W14" s="25"/>
      <c r="X14" s="25"/>
      <c r="Y14" s="25"/>
      <c r="Z14" s="25"/>
      <c r="AA14" s="25"/>
      <c r="AB14" s="25"/>
      <c r="AC14" s="25"/>
      <c r="AD14" s="24"/>
      <c r="AE14" s="24"/>
      <c r="AF14" s="24"/>
      <c r="AG14" s="24"/>
      <c r="AH14" s="42"/>
      <c r="AI14" s="42"/>
      <c r="AJ14" s="42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 t="s">
        <v>617</v>
      </c>
      <c r="BL14" s="24" t="s">
        <v>600</v>
      </c>
      <c r="BM14" s="24"/>
      <c r="BN14" s="24" t="s">
        <v>618</v>
      </c>
      <c r="BO14" s="24" t="s">
        <v>619</v>
      </c>
      <c r="BP14" s="24" t="s">
        <v>603</v>
      </c>
      <c r="BQ14" s="24" t="s">
        <v>604</v>
      </c>
      <c r="BR14" s="24" t="s">
        <v>620</v>
      </c>
      <c r="BS14" s="24" t="s">
        <v>606</v>
      </c>
      <c r="BT14" s="24" t="s">
        <v>621</v>
      </c>
      <c r="BU14" s="24" t="s">
        <v>622</v>
      </c>
      <c r="BV14" s="24" t="s">
        <v>623</v>
      </c>
      <c r="BW14" s="24" t="s">
        <v>610</v>
      </c>
      <c r="BX14" s="24" t="s">
        <v>611</v>
      </c>
      <c r="BY14" s="24" t="s">
        <v>624</v>
      </c>
      <c r="BZ14" s="24" t="s">
        <v>624</v>
      </c>
      <c r="CA14" s="24" t="s">
        <v>614</v>
      </c>
      <c r="CB14" s="24" t="s">
        <v>615</v>
      </c>
      <c r="CC14" s="24" t="s">
        <v>616</v>
      </c>
      <c r="CD14" s="56" t="s">
        <v>22</v>
      </c>
    </row>
    <row r="15" spans="1:83">
      <c r="A15" s="24"/>
      <c r="B15" s="19"/>
      <c r="C15" s="19"/>
      <c r="D15" s="53" t="s">
        <v>625</v>
      </c>
      <c r="E15" s="25" t="s">
        <v>431</v>
      </c>
      <c r="F15" s="24" t="s">
        <v>432</v>
      </c>
      <c r="G15" s="45" t="s">
        <v>626</v>
      </c>
      <c r="H15" s="46"/>
      <c r="I15" s="46"/>
      <c r="J15" s="58" t="s">
        <v>697</v>
      </c>
      <c r="K15" s="21">
        <v>1</v>
      </c>
      <c r="L15" s="24" t="s">
        <v>695</v>
      </c>
      <c r="M15" s="24"/>
      <c r="N15" s="24" t="s">
        <v>77</v>
      </c>
      <c r="O15" s="24"/>
      <c r="P15" s="24"/>
      <c r="Q15" s="24"/>
      <c r="R15" s="24"/>
      <c r="S15" s="27"/>
      <c r="T15" s="25"/>
      <c r="U15" s="25"/>
      <c r="V15" s="27"/>
      <c r="W15" s="25"/>
      <c r="X15" s="25"/>
      <c r="Y15" s="25"/>
      <c r="Z15" s="25"/>
      <c r="AA15" s="25"/>
      <c r="AB15" s="25"/>
      <c r="AC15" s="25"/>
      <c r="AD15" s="24"/>
      <c r="AE15" s="24"/>
      <c r="AF15" s="24"/>
      <c r="AG15" s="24"/>
      <c r="AH15" s="42"/>
      <c r="AI15" s="42"/>
      <c r="AJ15" s="42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 t="s">
        <v>627</v>
      </c>
      <c r="BW15" s="24"/>
      <c r="BX15" s="24"/>
      <c r="BY15" s="24">
        <v>433</v>
      </c>
      <c r="BZ15" s="24">
        <v>164194</v>
      </c>
      <c r="CA15" s="24" t="s">
        <v>628</v>
      </c>
      <c r="CB15" s="24" t="s">
        <v>629</v>
      </c>
      <c r="CC15" s="24"/>
      <c r="CD15" s="56" t="s">
        <v>22</v>
      </c>
      <c r="CE15" s="3" t="s">
        <v>630</v>
      </c>
    </row>
    <row r="16" spans="1:83">
      <c r="A16" s="24"/>
      <c r="B16" s="19"/>
      <c r="C16" s="19"/>
      <c r="D16" s="53" t="s">
        <v>631</v>
      </c>
      <c r="E16" s="25" t="s">
        <v>632</v>
      </c>
      <c r="F16" s="24"/>
      <c r="G16" s="45"/>
      <c r="H16" s="46"/>
      <c r="I16" s="46"/>
      <c r="J16" s="58" t="s">
        <v>697</v>
      </c>
      <c r="K16" s="21">
        <v>1</v>
      </c>
      <c r="L16" s="24" t="s">
        <v>416</v>
      </c>
      <c r="M16" s="24"/>
      <c r="N16" s="24"/>
      <c r="O16" s="24"/>
      <c r="P16" s="24"/>
      <c r="Q16" s="24"/>
      <c r="R16" s="24"/>
      <c r="S16" s="27"/>
      <c r="T16" s="25"/>
      <c r="U16" s="25"/>
      <c r="V16" s="27"/>
      <c r="W16" s="25"/>
      <c r="X16" s="25"/>
      <c r="Y16" s="25"/>
      <c r="Z16" s="25"/>
      <c r="AA16" s="25"/>
      <c r="AB16" s="25"/>
      <c r="AC16" s="24" t="s">
        <v>435</v>
      </c>
      <c r="AD16" s="24" t="s">
        <v>633</v>
      </c>
      <c r="AE16" s="24" t="s">
        <v>435</v>
      </c>
      <c r="AF16" s="24" t="s">
        <v>435</v>
      </c>
      <c r="AG16" s="24" t="s">
        <v>435</v>
      </c>
      <c r="AH16" s="42" t="s">
        <v>435</v>
      </c>
      <c r="AI16" s="42" t="s">
        <v>435</v>
      </c>
      <c r="AJ16" s="42" t="s">
        <v>435</v>
      </c>
      <c r="AK16" s="24" t="s">
        <v>435</v>
      </c>
      <c r="AL16" s="24" t="s">
        <v>435</v>
      </c>
      <c r="AM16" s="24" t="s">
        <v>435</v>
      </c>
      <c r="AN16" s="24" t="s">
        <v>435</v>
      </c>
      <c r="AO16" s="24" t="s">
        <v>435</v>
      </c>
      <c r="AP16" s="24" t="s">
        <v>435</v>
      </c>
      <c r="AQ16" s="24" t="s">
        <v>435</v>
      </c>
      <c r="AR16" s="24" t="s">
        <v>435</v>
      </c>
      <c r="AS16" s="24" t="s">
        <v>435</v>
      </c>
      <c r="AT16" s="24" t="s">
        <v>435</v>
      </c>
      <c r="AU16" s="24" t="s">
        <v>435</v>
      </c>
      <c r="AV16" s="24" t="s">
        <v>435</v>
      </c>
      <c r="AW16" s="24" t="s">
        <v>435</v>
      </c>
      <c r="AX16" s="24" t="s">
        <v>435</v>
      </c>
      <c r="AY16" s="24" t="s">
        <v>435</v>
      </c>
      <c r="AZ16" s="24" t="s">
        <v>435</v>
      </c>
      <c r="BA16" s="24" t="s">
        <v>435</v>
      </c>
      <c r="BB16" s="24" t="s">
        <v>435</v>
      </c>
      <c r="BC16" s="24"/>
      <c r="BD16" s="24" t="s">
        <v>435</v>
      </c>
      <c r="BE16" s="24" t="s">
        <v>435</v>
      </c>
      <c r="BF16" s="24"/>
      <c r="BG16" s="24"/>
      <c r="BH16" s="24" t="s">
        <v>435</v>
      </c>
      <c r="BI16" s="24" t="s">
        <v>435</v>
      </c>
      <c r="BJ16" s="24"/>
      <c r="BK16" s="24" t="s">
        <v>435</v>
      </c>
      <c r="BL16" s="24"/>
      <c r="BM16" s="24"/>
      <c r="BN16" s="24" t="s">
        <v>435</v>
      </c>
      <c r="BO16" s="24" t="s">
        <v>435</v>
      </c>
      <c r="BP16" s="24"/>
      <c r="BQ16" s="24"/>
      <c r="BR16" s="24" t="s">
        <v>435</v>
      </c>
      <c r="BS16" s="24"/>
      <c r="BT16" s="24" t="s">
        <v>435</v>
      </c>
      <c r="BU16" s="24" t="s">
        <v>435</v>
      </c>
      <c r="BV16" s="24" t="s">
        <v>435</v>
      </c>
      <c r="BW16" s="24" t="s">
        <v>435</v>
      </c>
      <c r="BX16" s="24"/>
      <c r="BY16" s="24" t="s">
        <v>435</v>
      </c>
      <c r="BZ16" s="24" t="s">
        <v>435</v>
      </c>
      <c r="CA16" s="24"/>
      <c r="CB16" s="24"/>
      <c r="CC16" s="24"/>
      <c r="CD16" s="56" t="s">
        <v>634</v>
      </c>
    </row>
    <row r="17" spans="1:83">
      <c r="A17" s="24"/>
      <c r="B17" s="19"/>
      <c r="C17" s="19"/>
      <c r="D17" s="53" t="s">
        <v>635</v>
      </c>
      <c r="E17" s="25" t="s">
        <v>636</v>
      </c>
      <c r="F17" s="24"/>
      <c r="G17" s="45"/>
      <c r="H17" s="46"/>
      <c r="I17" s="46"/>
      <c r="J17" s="46"/>
      <c r="K17" s="21">
        <v>1</v>
      </c>
      <c r="L17" s="24"/>
      <c r="M17" s="24"/>
      <c r="N17" s="24"/>
      <c r="O17" s="24"/>
      <c r="P17" s="24"/>
      <c r="Q17" s="24"/>
      <c r="R17" s="24"/>
      <c r="S17" s="27"/>
      <c r="T17" s="25"/>
      <c r="U17" s="25"/>
      <c r="V17" s="27"/>
      <c r="W17" s="25"/>
      <c r="X17" s="25"/>
      <c r="Y17" s="25"/>
      <c r="Z17" s="25"/>
      <c r="AA17" s="25"/>
      <c r="AB17" s="25"/>
      <c r="AC17" s="24"/>
      <c r="AD17" s="24" t="s">
        <v>435</v>
      </c>
      <c r="AE17" s="24" t="s">
        <v>435</v>
      </c>
      <c r="AF17" s="24" t="s">
        <v>435</v>
      </c>
      <c r="AG17" s="24" t="s">
        <v>435</v>
      </c>
      <c r="AH17" s="42" t="s">
        <v>435</v>
      </c>
      <c r="AI17" s="24" t="s">
        <v>435</v>
      </c>
      <c r="AJ17" s="24" t="s">
        <v>435</v>
      </c>
      <c r="AK17" s="24" t="s">
        <v>435</v>
      </c>
      <c r="AL17" s="24" t="s">
        <v>435</v>
      </c>
      <c r="AM17" s="24" t="s">
        <v>435</v>
      </c>
      <c r="AN17" s="24" t="s">
        <v>435</v>
      </c>
      <c r="AO17" s="24" t="s">
        <v>435</v>
      </c>
      <c r="AP17" s="24" t="s">
        <v>435</v>
      </c>
      <c r="AQ17" s="24" t="s">
        <v>435</v>
      </c>
      <c r="AR17" s="24" t="s">
        <v>435</v>
      </c>
      <c r="AS17" s="24" t="s">
        <v>435</v>
      </c>
      <c r="AT17" s="24" t="s">
        <v>435</v>
      </c>
      <c r="AU17" s="24" t="s">
        <v>435</v>
      </c>
      <c r="AV17" s="24" t="s">
        <v>435</v>
      </c>
      <c r="AW17" s="24" t="s">
        <v>435</v>
      </c>
      <c r="AX17" s="24" t="s">
        <v>435</v>
      </c>
      <c r="AY17" s="24" t="s">
        <v>435</v>
      </c>
      <c r="AZ17" s="24" t="s">
        <v>435</v>
      </c>
      <c r="BA17" s="24" t="s">
        <v>435</v>
      </c>
      <c r="BB17" s="24" t="s">
        <v>435</v>
      </c>
      <c r="BC17" s="24" t="s">
        <v>435</v>
      </c>
      <c r="BD17" s="24" t="s">
        <v>435</v>
      </c>
      <c r="BE17" s="24" t="s">
        <v>435</v>
      </c>
      <c r="BF17" s="24"/>
      <c r="BG17" s="24"/>
      <c r="BH17" s="24" t="s">
        <v>435</v>
      </c>
      <c r="BI17" s="24" t="s">
        <v>435</v>
      </c>
      <c r="BJ17" s="24"/>
      <c r="BK17" s="24" t="s">
        <v>435</v>
      </c>
      <c r="BL17" s="24"/>
      <c r="BM17" s="24"/>
      <c r="BN17" s="24" t="s">
        <v>435</v>
      </c>
      <c r="BO17" s="24" t="s">
        <v>435</v>
      </c>
      <c r="BP17" s="24"/>
      <c r="BQ17" s="24"/>
      <c r="BR17" s="24" t="s">
        <v>435</v>
      </c>
      <c r="BS17" s="24"/>
      <c r="BT17" s="24" t="s">
        <v>435</v>
      </c>
      <c r="BU17" s="24" t="s">
        <v>435</v>
      </c>
      <c r="BV17" s="24" t="s">
        <v>435</v>
      </c>
      <c r="BW17" s="24" t="s">
        <v>435</v>
      </c>
      <c r="BX17" s="24"/>
      <c r="BY17" s="24" t="s">
        <v>435</v>
      </c>
      <c r="BZ17" s="24"/>
      <c r="CA17" s="24"/>
      <c r="CB17" s="24"/>
      <c r="CC17" s="24"/>
      <c r="CD17" s="56" t="s">
        <v>634</v>
      </c>
      <c r="CE17" s="3" t="s">
        <v>637</v>
      </c>
    </row>
  </sheetData>
  <pageMargins left="0" right="0" top="0.39370078740157483" bottom="0.39370078740157483" header="0" footer="0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"/>
  <sheetViews>
    <sheetView topLeftCell="D1" zoomScale="200" zoomScaleNormal="200" zoomScalePageLayoutView="200" workbookViewId="0">
      <pane ySplit="1" topLeftCell="A2" activePane="bottomLeft" state="frozen"/>
      <selection pane="bottomLeft" activeCell="E11" sqref="E11"/>
    </sheetView>
  </sheetViews>
  <sheetFormatPr baseColWidth="10" defaultColWidth="8.83203125" defaultRowHeight="17" x14ac:dyDescent="0"/>
  <cols>
    <col min="1" max="1" width="5.5" style="106" hidden="1" customWidth="1"/>
    <col min="2" max="2" width="6" style="2" hidden="1" customWidth="1"/>
    <col min="3" max="3" width="6.83203125" style="2" hidden="1" customWidth="1"/>
    <col min="4" max="4" width="7.33203125" style="2" customWidth="1"/>
    <col min="5" max="5" width="42.1640625" style="3" customWidth="1"/>
    <col min="6" max="6" width="10" style="106" customWidth="1"/>
    <col min="7" max="7" width="62.6640625" style="3" customWidth="1"/>
    <col min="8" max="8" width="14" style="3" hidden="1" customWidth="1"/>
    <col min="9" max="9" width="12.5" style="3" hidden="1" customWidth="1"/>
    <col min="10" max="11" width="12.5" style="3" customWidth="1"/>
    <col min="12" max="12" width="15.33203125" style="106" customWidth="1"/>
    <col min="13" max="13" width="11.5" style="106" hidden="1" customWidth="1"/>
    <col min="14" max="14" width="16.83203125" style="106" customWidth="1"/>
    <col min="15" max="15" width="10" style="106" hidden="1" customWidth="1"/>
    <col min="16" max="16" width="12.33203125" style="106" hidden="1" customWidth="1"/>
    <col min="17" max="17" width="12.6640625" style="106" hidden="1" customWidth="1"/>
    <col min="18" max="18" width="12.5" style="106" hidden="1" customWidth="1"/>
    <col min="19" max="19" width="12" style="3" hidden="1" customWidth="1"/>
    <col min="20" max="28" width="13" style="3" hidden="1" customWidth="1"/>
    <col min="29" max="40" width="12.6640625" style="3" hidden="1" customWidth="1"/>
    <col min="41" max="41" width="11.6640625" style="3" hidden="1" customWidth="1"/>
    <col min="42" max="42" width="12.1640625" style="3" hidden="1" customWidth="1"/>
    <col min="43" max="43" width="12.6640625" style="3" hidden="1" customWidth="1"/>
    <col min="44" max="44" width="13.33203125" style="3" hidden="1" customWidth="1"/>
    <col min="45" max="57" width="12.83203125" style="3" hidden="1" customWidth="1"/>
    <col min="58" max="58" width="10" style="3" hidden="1" customWidth="1"/>
    <col min="59" max="59" width="10.83203125" style="3" hidden="1" customWidth="1"/>
    <col min="60" max="60" width="11.6640625" style="3" hidden="1" customWidth="1"/>
    <col min="61" max="61" width="13.1640625" style="3" hidden="1" customWidth="1"/>
    <col min="62" max="71" width="10.83203125" style="3" hidden="1" customWidth="1"/>
    <col min="72" max="74" width="10.83203125" style="3" customWidth="1"/>
    <col min="75" max="76" width="10.83203125" style="3" hidden="1" customWidth="1"/>
    <col min="77" max="79" width="10.83203125" style="3" customWidth="1"/>
    <col min="80" max="81" width="10.83203125" style="3" hidden="1" customWidth="1"/>
    <col min="82" max="82" width="10.5" style="50" customWidth="1"/>
    <col min="83" max="16384" width="8.83203125" style="3"/>
  </cols>
  <sheetData>
    <row r="1" spans="1:83" s="18" customFormat="1">
      <c r="A1" s="6" t="s">
        <v>3</v>
      </c>
      <c r="B1" s="7" t="s">
        <v>4</v>
      </c>
      <c r="C1" s="8"/>
      <c r="D1" s="52" t="s">
        <v>3</v>
      </c>
      <c r="E1" s="9" t="s">
        <v>5</v>
      </c>
      <c r="F1" s="51" t="s">
        <v>0</v>
      </c>
      <c r="G1" s="51" t="s">
        <v>1</v>
      </c>
      <c r="H1" s="51" t="s">
        <v>638</v>
      </c>
      <c r="I1" s="10" t="s">
        <v>6</v>
      </c>
      <c r="J1" s="10" t="s">
        <v>696</v>
      </c>
      <c r="K1" s="10" t="s">
        <v>702</v>
      </c>
      <c r="L1" s="10" t="s">
        <v>7</v>
      </c>
      <c r="M1" s="10" t="s">
        <v>639</v>
      </c>
      <c r="N1" s="51" t="s">
        <v>2</v>
      </c>
      <c r="O1" s="11" t="s">
        <v>8</v>
      </c>
      <c r="P1" s="12" t="s">
        <v>9</v>
      </c>
      <c r="Q1" s="13" t="s">
        <v>10</v>
      </c>
      <c r="R1" s="13" t="s">
        <v>11</v>
      </c>
      <c r="S1" s="14" t="s">
        <v>12</v>
      </c>
      <c r="T1" s="13" t="s">
        <v>13</v>
      </c>
      <c r="U1" s="13" t="s">
        <v>14</v>
      </c>
      <c r="V1" s="13" t="s">
        <v>15</v>
      </c>
      <c r="W1" s="13" t="s">
        <v>16</v>
      </c>
      <c r="X1" s="15" t="s">
        <v>17</v>
      </c>
      <c r="Y1" s="15" t="s">
        <v>18</v>
      </c>
      <c r="Z1" s="15" t="s">
        <v>19</v>
      </c>
      <c r="AA1" s="15" t="s">
        <v>20</v>
      </c>
      <c r="AB1" s="16" t="s">
        <v>640</v>
      </c>
      <c r="AC1" s="16" t="s">
        <v>641</v>
      </c>
      <c r="AD1" s="16" t="s">
        <v>642</v>
      </c>
      <c r="AE1" s="16" t="s">
        <v>643</v>
      </c>
      <c r="AF1" s="16" t="s">
        <v>644</v>
      </c>
      <c r="AG1" s="16" t="s">
        <v>645</v>
      </c>
      <c r="AH1" s="16" t="s">
        <v>646</v>
      </c>
      <c r="AI1" s="16" t="s">
        <v>647</v>
      </c>
      <c r="AJ1" s="16" t="s">
        <v>648</v>
      </c>
      <c r="AK1" s="16" t="s">
        <v>649</v>
      </c>
      <c r="AL1" s="16" t="s">
        <v>650</v>
      </c>
      <c r="AM1" s="16" t="s">
        <v>651</v>
      </c>
      <c r="AN1" s="16" t="s">
        <v>652</v>
      </c>
      <c r="AO1" s="16" t="s">
        <v>653</v>
      </c>
      <c r="AP1" s="16" t="s">
        <v>654</v>
      </c>
      <c r="AQ1" s="16" t="s">
        <v>655</v>
      </c>
      <c r="AR1" s="16" t="s">
        <v>656</v>
      </c>
      <c r="AS1" s="16" t="s">
        <v>657</v>
      </c>
      <c r="AT1" s="16" t="s">
        <v>658</v>
      </c>
      <c r="AU1" s="16" t="s">
        <v>659</v>
      </c>
      <c r="AV1" s="16" t="s">
        <v>660</v>
      </c>
      <c r="AW1" s="16" t="s">
        <v>661</v>
      </c>
      <c r="AX1" s="16" t="s">
        <v>662</v>
      </c>
      <c r="AY1" s="16" t="s">
        <v>663</v>
      </c>
      <c r="AZ1" s="16" t="s">
        <v>664</v>
      </c>
      <c r="BA1" s="16" t="s">
        <v>665</v>
      </c>
      <c r="BB1" s="16" t="s">
        <v>666</v>
      </c>
      <c r="BC1" s="16" t="s">
        <v>667</v>
      </c>
      <c r="BD1" s="16" t="s">
        <v>668</v>
      </c>
      <c r="BE1" s="16" t="s">
        <v>669</v>
      </c>
      <c r="BF1" s="16" t="s">
        <v>670</v>
      </c>
      <c r="BG1" s="16" t="s">
        <v>671</v>
      </c>
      <c r="BH1" s="16" t="s">
        <v>672</v>
      </c>
      <c r="BI1" s="16" t="s">
        <v>673</v>
      </c>
      <c r="BJ1" s="16" t="s">
        <v>674</v>
      </c>
      <c r="BK1" s="16" t="s">
        <v>675</v>
      </c>
      <c r="BL1" s="16" t="s">
        <v>676</v>
      </c>
      <c r="BM1" s="16" t="s">
        <v>677</v>
      </c>
      <c r="BN1" s="16" t="s">
        <v>678</v>
      </c>
      <c r="BO1" s="16" t="s">
        <v>679</v>
      </c>
      <c r="BP1" s="16" t="s">
        <v>680</v>
      </c>
      <c r="BQ1" s="16" t="s">
        <v>681</v>
      </c>
      <c r="BR1" s="16" t="s">
        <v>682</v>
      </c>
      <c r="BS1" s="16" t="s">
        <v>683</v>
      </c>
      <c r="BT1" s="16" t="s">
        <v>684</v>
      </c>
      <c r="BU1" s="16" t="s">
        <v>685</v>
      </c>
      <c r="BV1" s="16" t="s">
        <v>686</v>
      </c>
      <c r="BW1" s="16" t="s">
        <v>687</v>
      </c>
      <c r="BX1" s="16" t="s">
        <v>688</v>
      </c>
      <c r="BY1" s="16" t="s">
        <v>689</v>
      </c>
      <c r="BZ1" s="16" t="s">
        <v>690</v>
      </c>
      <c r="CA1" s="16" t="s">
        <v>691</v>
      </c>
      <c r="CB1" s="16" t="s">
        <v>692</v>
      </c>
      <c r="CC1" s="16" t="s">
        <v>693</v>
      </c>
      <c r="CD1" s="54" t="s">
        <v>694</v>
      </c>
      <c r="CE1" s="17"/>
    </row>
    <row r="2" spans="1:83">
      <c r="A2" s="24">
        <v>227</v>
      </c>
      <c r="B2" s="19" t="s">
        <v>76</v>
      </c>
      <c r="C2" s="19"/>
      <c r="D2" s="53" t="s">
        <v>371</v>
      </c>
      <c r="E2" s="25" t="s">
        <v>372</v>
      </c>
      <c r="F2" s="24" t="s">
        <v>373</v>
      </c>
      <c r="G2" s="25" t="s">
        <v>374</v>
      </c>
      <c r="H2" s="25" t="s">
        <v>375</v>
      </c>
      <c r="I2" s="25"/>
      <c r="J2" s="25" t="s">
        <v>583</v>
      </c>
      <c r="K2" s="21">
        <v>1</v>
      </c>
      <c r="L2" s="24" t="s">
        <v>701</v>
      </c>
      <c r="M2" s="26"/>
      <c r="N2" s="26">
        <v>2114381</v>
      </c>
      <c r="O2" s="26"/>
      <c r="P2" s="24"/>
      <c r="Q2" s="24">
        <v>48506</v>
      </c>
      <c r="R2" s="24"/>
      <c r="S2" s="27"/>
      <c r="T2" s="25">
        <v>74775</v>
      </c>
      <c r="U2" s="25">
        <v>75152</v>
      </c>
      <c r="V2" s="27">
        <v>75355</v>
      </c>
      <c r="W2" s="25">
        <v>75605</v>
      </c>
      <c r="X2" s="25">
        <v>76139</v>
      </c>
      <c r="Y2" s="25">
        <v>76261</v>
      </c>
      <c r="Z2" s="25">
        <v>76448</v>
      </c>
      <c r="AA2" s="25">
        <v>76681</v>
      </c>
      <c r="AB2" s="25">
        <v>76790</v>
      </c>
      <c r="AC2" s="25">
        <v>76961</v>
      </c>
      <c r="AD2" s="25">
        <v>77244</v>
      </c>
      <c r="AE2" s="25">
        <v>77542</v>
      </c>
      <c r="AF2" s="25">
        <v>77773</v>
      </c>
      <c r="AG2" s="25">
        <v>78058</v>
      </c>
      <c r="AH2" s="25">
        <v>78276</v>
      </c>
      <c r="AI2" s="25">
        <v>78486</v>
      </c>
      <c r="AJ2" s="25">
        <v>78636</v>
      </c>
      <c r="AK2" s="25">
        <v>78950</v>
      </c>
      <c r="AL2" s="25">
        <v>79353</v>
      </c>
      <c r="AM2" s="25">
        <v>80109</v>
      </c>
      <c r="AN2" s="25">
        <v>80523</v>
      </c>
      <c r="AO2" s="25">
        <v>80897</v>
      </c>
      <c r="AP2" s="25">
        <v>81343</v>
      </c>
      <c r="AQ2" s="25">
        <v>81775</v>
      </c>
      <c r="AR2" s="25">
        <v>82228</v>
      </c>
      <c r="AS2" s="25">
        <v>82555</v>
      </c>
      <c r="AT2" s="25">
        <v>82755</v>
      </c>
      <c r="AU2" s="25">
        <v>83145</v>
      </c>
      <c r="AV2" s="25">
        <v>83519</v>
      </c>
      <c r="AW2" s="25">
        <v>83937</v>
      </c>
      <c r="AX2" s="25">
        <v>84556</v>
      </c>
      <c r="AY2" s="25">
        <v>84818</v>
      </c>
      <c r="AZ2" s="25">
        <v>85112</v>
      </c>
      <c r="BA2" s="25">
        <v>85579</v>
      </c>
      <c r="BB2" s="25">
        <v>85954</v>
      </c>
      <c r="BC2" s="25">
        <v>86190</v>
      </c>
      <c r="BD2" s="25">
        <v>86478</v>
      </c>
      <c r="BE2" s="25">
        <v>86618</v>
      </c>
      <c r="BF2" s="25" t="s">
        <v>376</v>
      </c>
      <c r="BG2" s="25" t="s">
        <v>377</v>
      </c>
      <c r="BH2" s="25">
        <v>86859</v>
      </c>
      <c r="BI2" s="25">
        <v>87242</v>
      </c>
      <c r="BJ2" s="25" t="s">
        <v>378</v>
      </c>
      <c r="BK2" s="25">
        <v>87386</v>
      </c>
      <c r="BL2" s="25" t="s">
        <v>379</v>
      </c>
      <c r="BM2" s="25" t="s">
        <v>380</v>
      </c>
      <c r="BN2" s="25">
        <v>87608</v>
      </c>
      <c r="BO2" s="25">
        <v>87800</v>
      </c>
      <c r="BP2" s="25" t="s">
        <v>381</v>
      </c>
      <c r="BQ2" s="25" t="s">
        <v>382</v>
      </c>
      <c r="BR2" s="25">
        <v>88142</v>
      </c>
      <c r="BS2" s="25" t="s">
        <v>383</v>
      </c>
      <c r="BT2" s="25">
        <v>88438</v>
      </c>
      <c r="BU2" s="25">
        <v>88806</v>
      </c>
      <c r="BV2" s="25">
        <v>89141</v>
      </c>
      <c r="BW2" s="25" t="s">
        <v>384</v>
      </c>
      <c r="BX2" s="25" t="s">
        <v>385</v>
      </c>
      <c r="BY2" s="25">
        <v>89475</v>
      </c>
      <c r="BZ2" s="25">
        <v>89731</v>
      </c>
      <c r="CA2" s="25" t="s">
        <v>386</v>
      </c>
      <c r="CB2" s="25" t="s">
        <v>387</v>
      </c>
      <c r="CC2" s="25" t="s">
        <v>388</v>
      </c>
      <c r="CD2" s="56" t="s">
        <v>64</v>
      </c>
      <c r="CE2" s="4"/>
    </row>
    <row r="3" spans="1:83">
      <c r="A3" s="24">
        <v>228</v>
      </c>
      <c r="B3" s="19" t="s">
        <v>76</v>
      </c>
      <c r="C3" s="19"/>
      <c r="D3" s="53" t="s">
        <v>389</v>
      </c>
      <c r="E3" s="25" t="s">
        <v>372</v>
      </c>
      <c r="F3" s="24" t="s">
        <v>373</v>
      </c>
      <c r="G3" s="25" t="s">
        <v>374</v>
      </c>
      <c r="H3" s="25" t="s">
        <v>375</v>
      </c>
      <c r="I3" s="25"/>
      <c r="J3" s="58" t="s">
        <v>697</v>
      </c>
      <c r="K3" s="21">
        <v>1</v>
      </c>
      <c r="L3" s="24" t="s">
        <v>62</v>
      </c>
      <c r="M3" s="26"/>
      <c r="N3" s="26" t="s">
        <v>390</v>
      </c>
      <c r="O3" s="26"/>
      <c r="P3" s="24">
        <v>24244</v>
      </c>
      <c r="Q3" s="24"/>
      <c r="R3" s="24"/>
      <c r="S3" s="27"/>
      <c r="T3" s="25">
        <v>28502</v>
      </c>
      <c r="U3" s="25">
        <v>29236</v>
      </c>
      <c r="V3" s="27">
        <v>29649</v>
      </c>
      <c r="W3" s="25">
        <v>1001</v>
      </c>
      <c r="X3" s="25">
        <v>1598</v>
      </c>
      <c r="Y3" s="25">
        <v>1794</v>
      </c>
      <c r="Z3" s="25">
        <v>2157</v>
      </c>
      <c r="AA3" s="25">
        <v>2486</v>
      </c>
      <c r="AB3" s="25">
        <v>2754</v>
      </c>
      <c r="AC3" s="25">
        <v>3082</v>
      </c>
      <c r="AD3" s="25">
        <v>3290</v>
      </c>
      <c r="AE3" s="25">
        <v>3861</v>
      </c>
      <c r="AF3" s="25">
        <v>145</v>
      </c>
      <c r="AG3" s="25">
        <v>434</v>
      </c>
      <c r="AH3" s="25">
        <v>645</v>
      </c>
      <c r="AI3" s="25">
        <v>1244</v>
      </c>
      <c r="AJ3" s="25">
        <v>1529</v>
      </c>
      <c r="AK3" s="25">
        <v>2026</v>
      </c>
      <c r="AL3" s="25">
        <v>2412</v>
      </c>
      <c r="AM3" s="25">
        <v>3726</v>
      </c>
      <c r="AN3" s="25">
        <v>53</v>
      </c>
      <c r="AO3" s="25">
        <v>461</v>
      </c>
      <c r="AP3" s="25">
        <v>988</v>
      </c>
      <c r="AQ3" s="25">
        <v>1277</v>
      </c>
      <c r="AR3" s="25">
        <v>33</v>
      </c>
      <c r="AS3" s="25">
        <v>404</v>
      </c>
      <c r="AT3" s="25">
        <v>770</v>
      </c>
      <c r="AU3" s="25">
        <v>1342</v>
      </c>
      <c r="AV3" s="25">
        <v>1985</v>
      </c>
      <c r="AW3" s="25">
        <v>2315</v>
      </c>
      <c r="AX3" s="25">
        <v>2564</v>
      </c>
      <c r="AY3" s="25">
        <v>2827</v>
      </c>
      <c r="AZ3" s="25">
        <v>3</v>
      </c>
      <c r="BA3" s="25">
        <v>233</v>
      </c>
      <c r="BB3" s="25">
        <v>492</v>
      </c>
      <c r="BC3" s="25">
        <v>607</v>
      </c>
      <c r="BD3" s="25">
        <v>766</v>
      </c>
      <c r="BE3" s="25">
        <v>1260</v>
      </c>
      <c r="BF3" s="25" t="s">
        <v>391</v>
      </c>
      <c r="BG3" s="25" t="s">
        <v>392</v>
      </c>
      <c r="BH3" s="25">
        <v>2033</v>
      </c>
      <c r="BI3" s="25">
        <v>2260</v>
      </c>
      <c r="BJ3" s="25" t="s">
        <v>393</v>
      </c>
      <c r="BK3" s="25">
        <v>2315</v>
      </c>
      <c r="BL3" s="25" t="s">
        <v>394</v>
      </c>
      <c r="BM3" s="25" t="s">
        <v>395</v>
      </c>
      <c r="BN3" s="25">
        <v>2459</v>
      </c>
      <c r="BO3" s="25">
        <v>2523</v>
      </c>
      <c r="BP3" s="25" t="s">
        <v>396</v>
      </c>
      <c r="BQ3" s="25" t="s">
        <v>397</v>
      </c>
      <c r="BR3" s="25">
        <v>2610</v>
      </c>
      <c r="BS3" s="25" t="s">
        <v>398</v>
      </c>
      <c r="BT3" s="25">
        <v>2737</v>
      </c>
      <c r="BU3" s="25">
        <v>2808</v>
      </c>
      <c r="BV3" s="25">
        <v>2866</v>
      </c>
      <c r="BW3" s="25" t="s">
        <v>399</v>
      </c>
      <c r="BX3" s="25" t="s">
        <v>400</v>
      </c>
      <c r="BY3" s="25">
        <v>2994</v>
      </c>
      <c r="BZ3" s="25">
        <v>3084</v>
      </c>
      <c r="CA3" s="25" t="s">
        <v>401</v>
      </c>
      <c r="CB3" s="25" t="s">
        <v>402</v>
      </c>
      <c r="CC3" s="25" t="s">
        <v>403</v>
      </c>
      <c r="CD3" s="56" t="s">
        <v>64</v>
      </c>
      <c r="CE3" s="4" t="s">
        <v>404</v>
      </c>
    </row>
  </sheetData>
  <pageMargins left="0" right="0" top="0.39370078740157483" bottom="0.39370078740157483" header="0" footer="0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F10"/>
  <sheetViews>
    <sheetView topLeftCell="F1" zoomScale="200" zoomScaleNormal="200" zoomScalePageLayoutView="200" workbookViewId="0">
      <pane ySplit="1" topLeftCell="A2" activePane="bottomLeft" state="frozen"/>
      <selection pane="bottomLeft" activeCell="CA4" sqref="CA4:CA8"/>
    </sheetView>
  </sheetViews>
  <sheetFormatPr baseColWidth="10" defaultColWidth="8.83203125" defaultRowHeight="17" x14ac:dyDescent="0"/>
  <cols>
    <col min="1" max="1" width="5.5" style="106" hidden="1" customWidth="1"/>
    <col min="2" max="2" width="6" style="2" hidden="1" customWidth="1"/>
    <col min="3" max="3" width="6.83203125" style="2" hidden="1" customWidth="1"/>
    <col min="4" max="4" width="7.33203125" style="2" customWidth="1"/>
    <col min="5" max="5" width="42.1640625" style="3" customWidth="1"/>
    <col min="6" max="6" width="10" style="106" customWidth="1"/>
    <col min="7" max="7" width="62.6640625" style="3" hidden="1" customWidth="1"/>
    <col min="8" max="8" width="14" style="3" hidden="1" customWidth="1"/>
    <col min="9" max="9" width="12.5" style="3" hidden="1" customWidth="1"/>
    <col min="10" max="11" width="12.5" style="3" customWidth="1"/>
    <col min="12" max="12" width="15.33203125" style="106" customWidth="1"/>
    <col min="13" max="13" width="11.5" style="106" hidden="1" customWidth="1"/>
    <col min="14" max="14" width="16.83203125" style="106" hidden="1" customWidth="1"/>
    <col min="15" max="15" width="10" style="106" hidden="1" customWidth="1"/>
    <col min="16" max="16" width="12.33203125" style="106" hidden="1" customWidth="1"/>
    <col min="17" max="17" width="12.6640625" style="106" hidden="1" customWidth="1"/>
    <col min="18" max="18" width="12.5" style="106" hidden="1" customWidth="1"/>
    <col min="19" max="19" width="12" style="3" hidden="1" customWidth="1"/>
    <col min="20" max="28" width="13" style="3" hidden="1" customWidth="1"/>
    <col min="29" max="40" width="12.6640625" style="3" hidden="1" customWidth="1"/>
    <col min="41" max="41" width="11.6640625" style="3" hidden="1" customWidth="1"/>
    <col min="42" max="42" width="12.1640625" style="3" hidden="1" customWidth="1"/>
    <col min="43" max="43" width="12.6640625" style="3" hidden="1" customWidth="1"/>
    <col min="44" max="44" width="13.33203125" style="3" hidden="1" customWidth="1"/>
    <col min="45" max="57" width="12.83203125" style="3" hidden="1" customWidth="1"/>
    <col min="58" max="58" width="10" style="3" hidden="1" customWidth="1"/>
    <col min="59" max="59" width="10.83203125" style="3" hidden="1" customWidth="1"/>
    <col min="60" max="60" width="11.6640625" style="3" hidden="1" customWidth="1"/>
    <col min="61" max="61" width="13.1640625" style="3" hidden="1" customWidth="1"/>
    <col min="62" max="78" width="10.83203125" style="3" hidden="1" customWidth="1"/>
    <col min="79" max="80" width="10.83203125" style="3" customWidth="1"/>
    <col min="81" max="82" width="10.83203125" style="3" hidden="1" customWidth="1"/>
    <col min="83" max="83" width="10.5" style="50" customWidth="1"/>
    <col min="84" max="16384" width="8.83203125" style="3"/>
  </cols>
  <sheetData>
    <row r="1" spans="1:84" s="18" customFormat="1">
      <c r="A1" s="6" t="s">
        <v>3</v>
      </c>
      <c r="B1" s="7" t="s">
        <v>4</v>
      </c>
      <c r="C1" s="8"/>
      <c r="D1" s="134" t="s">
        <v>3</v>
      </c>
      <c r="E1" s="135" t="s">
        <v>5</v>
      </c>
      <c r="F1" s="136" t="s">
        <v>0</v>
      </c>
      <c r="G1" s="136" t="s">
        <v>1</v>
      </c>
      <c r="H1" s="136" t="s">
        <v>638</v>
      </c>
      <c r="I1" s="137" t="s">
        <v>6</v>
      </c>
      <c r="J1" s="137" t="s">
        <v>696</v>
      </c>
      <c r="K1" s="137" t="s">
        <v>702</v>
      </c>
      <c r="L1" s="137" t="s">
        <v>7</v>
      </c>
      <c r="M1" s="137" t="s">
        <v>639</v>
      </c>
      <c r="N1" s="136" t="s">
        <v>2</v>
      </c>
      <c r="O1" s="138" t="s">
        <v>8</v>
      </c>
      <c r="P1" s="139" t="s">
        <v>9</v>
      </c>
      <c r="Q1" s="140" t="s">
        <v>10</v>
      </c>
      <c r="R1" s="140" t="s">
        <v>11</v>
      </c>
      <c r="S1" s="141" t="s">
        <v>12</v>
      </c>
      <c r="T1" s="140" t="s">
        <v>13</v>
      </c>
      <c r="U1" s="140" t="s">
        <v>14</v>
      </c>
      <c r="V1" s="140" t="s">
        <v>15</v>
      </c>
      <c r="W1" s="140" t="s">
        <v>16</v>
      </c>
      <c r="X1" s="142" t="s">
        <v>17</v>
      </c>
      <c r="Y1" s="142" t="s">
        <v>18</v>
      </c>
      <c r="Z1" s="142" t="s">
        <v>19</v>
      </c>
      <c r="AA1" s="142" t="s">
        <v>20</v>
      </c>
      <c r="AB1" s="143" t="s">
        <v>640</v>
      </c>
      <c r="AC1" s="143" t="s">
        <v>641</v>
      </c>
      <c r="AD1" s="143" t="s">
        <v>642</v>
      </c>
      <c r="AE1" s="143" t="s">
        <v>643</v>
      </c>
      <c r="AF1" s="143" t="s">
        <v>644</v>
      </c>
      <c r="AG1" s="143" t="s">
        <v>645</v>
      </c>
      <c r="AH1" s="143" t="s">
        <v>646</v>
      </c>
      <c r="AI1" s="143" t="s">
        <v>647</v>
      </c>
      <c r="AJ1" s="143" t="s">
        <v>648</v>
      </c>
      <c r="AK1" s="143" t="s">
        <v>649</v>
      </c>
      <c r="AL1" s="143" t="s">
        <v>650</v>
      </c>
      <c r="AM1" s="143" t="s">
        <v>651</v>
      </c>
      <c r="AN1" s="143" t="s">
        <v>652</v>
      </c>
      <c r="AO1" s="143" t="s">
        <v>653</v>
      </c>
      <c r="AP1" s="143" t="s">
        <v>654</v>
      </c>
      <c r="AQ1" s="143" t="s">
        <v>655</v>
      </c>
      <c r="AR1" s="143" t="s">
        <v>656</v>
      </c>
      <c r="AS1" s="143" t="s">
        <v>657</v>
      </c>
      <c r="AT1" s="143" t="s">
        <v>658</v>
      </c>
      <c r="AU1" s="143" t="s">
        <v>659</v>
      </c>
      <c r="AV1" s="143" t="s">
        <v>660</v>
      </c>
      <c r="AW1" s="143" t="s">
        <v>661</v>
      </c>
      <c r="AX1" s="143" t="s">
        <v>662</v>
      </c>
      <c r="AY1" s="143" t="s">
        <v>663</v>
      </c>
      <c r="AZ1" s="143" t="s">
        <v>664</v>
      </c>
      <c r="BA1" s="143" t="s">
        <v>665</v>
      </c>
      <c r="BB1" s="143" t="s">
        <v>666</v>
      </c>
      <c r="BC1" s="143" t="s">
        <v>667</v>
      </c>
      <c r="BD1" s="143" t="s">
        <v>668</v>
      </c>
      <c r="BE1" s="143" t="s">
        <v>669</v>
      </c>
      <c r="BF1" s="143" t="s">
        <v>670</v>
      </c>
      <c r="BG1" s="143" t="s">
        <v>671</v>
      </c>
      <c r="BH1" s="143" t="s">
        <v>672</v>
      </c>
      <c r="BI1" s="143" t="s">
        <v>673</v>
      </c>
      <c r="BJ1" s="143" t="s">
        <v>674</v>
      </c>
      <c r="BK1" s="143" t="s">
        <v>675</v>
      </c>
      <c r="BL1" s="143" t="s">
        <v>676</v>
      </c>
      <c r="BM1" s="143" t="s">
        <v>677</v>
      </c>
      <c r="BN1" s="143" t="s">
        <v>678</v>
      </c>
      <c r="BO1" s="143" t="s">
        <v>679</v>
      </c>
      <c r="BP1" s="143" t="s">
        <v>680</v>
      </c>
      <c r="BQ1" s="143" t="s">
        <v>681</v>
      </c>
      <c r="BR1" s="143" t="s">
        <v>682</v>
      </c>
      <c r="BS1" s="143" t="s">
        <v>683</v>
      </c>
      <c r="BT1" s="143" t="s">
        <v>684</v>
      </c>
      <c r="BU1" s="143" t="s">
        <v>685</v>
      </c>
      <c r="BV1" s="143" t="s">
        <v>686</v>
      </c>
      <c r="BW1" s="143" t="s">
        <v>687</v>
      </c>
      <c r="BX1" s="143" t="s">
        <v>688</v>
      </c>
      <c r="BY1" s="143" t="s">
        <v>689</v>
      </c>
      <c r="BZ1" s="143" t="s">
        <v>690</v>
      </c>
      <c r="CA1" s="133" t="s">
        <v>722</v>
      </c>
      <c r="CB1" s="16" t="s">
        <v>691</v>
      </c>
      <c r="CC1" s="16" t="s">
        <v>692</v>
      </c>
      <c r="CD1" s="16" t="s">
        <v>693</v>
      </c>
      <c r="CE1" s="54" t="s">
        <v>694</v>
      </c>
      <c r="CF1" s="17"/>
    </row>
    <row r="2" spans="1:84" s="33" customFormat="1" hidden="1">
      <c r="A2" s="29"/>
      <c r="B2" s="30"/>
      <c r="C2" s="30"/>
      <c r="D2" s="144" t="s">
        <v>164</v>
      </c>
      <c r="E2" s="145" t="s">
        <v>165</v>
      </c>
      <c r="F2" s="146" t="s">
        <v>166</v>
      </c>
      <c r="G2" s="145" t="s">
        <v>167</v>
      </c>
      <c r="H2" s="145"/>
      <c r="I2" s="145"/>
      <c r="J2" s="147" t="s">
        <v>699</v>
      </c>
      <c r="K2" s="148">
        <v>1</v>
      </c>
      <c r="L2" s="146" t="s">
        <v>99</v>
      </c>
      <c r="M2" s="149"/>
      <c r="N2" s="149" t="s">
        <v>168</v>
      </c>
      <c r="O2" s="149"/>
      <c r="P2" s="146"/>
      <c r="Q2" s="146"/>
      <c r="R2" s="146"/>
      <c r="S2" s="150"/>
      <c r="T2" s="145"/>
      <c r="U2" s="145"/>
      <c r="V2" s="150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>
        <v>504</v>
      </c>
      <c r="AR2" s="145">
        <v>1260</v>
      </c>
      <c r="AS2" s="145">
        <v>2005</v>
      </c>
      <c r="AT2" s="145">
        <v>2992</v>
      </c>
      <c r="AU2" s="145">
        <v>4248</v>
      </c>
      <c r="AV2" s="145">
        <v>4893</v>
      </c>
      <c r="AW2" s="145">
        <v>5495</v>
      </c>
      <c r="AX2" s="145">
        <v>6400</v>
      </c>
      <c r="AY2" s="145">
        <v>7144</v>
      </c>
      <c r="AZ2" s="145">
        <v>7913</v>
      </c>
      <c r="BA2" s="145">
        <v>9023</v>
      </c>
      <c r="BB2" s="145">
        <v>10621</v>
      </c>
      <c r="BC2" s="145">
        <v>11432</v>
      </c>
      <c r="BD2" s="145">
        <v>12866</v>
      </c>
      <c r="BE2" s="145">
        <v>13098</v>
      </c>
      <c r="BF2" s="145" t="s">
        <v>169</v>
      </c>
      <c r="BG2" s="145" t="s">
        <v>170</v>
      </c>
      <c r="BH2" s="145">
        <v>13907</v>
      </c>
      <c r="BI2" s="145">
        <v>14755</v>
      </c>
      <c r="BJ2" s="145" t="s">
        <v>171</v>
      </c>
      <c r="BK2" s="145"/>
      <c r="BL2" s="145"/>
      <c r="BM2" s="145" t="s">
        <v>172</v>
      </c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51">
        <f>(Table1342[[#This Row],[Dec-58]]-Table1342[[#This Row],[Sep-58]])/3</f>
        <v>0</v>
      </c>
      <c r="CB2" s="31"/>
      <c r="CC2" s="31"/>
      <c r="CD2" s="31"/>
      <c r="CE2" s="57" t="s">
        <v>173</v>
      </c>
      <c r="CF2" s="32" t="s">
        <v>174</v>
      </c>
    </row>
    <row r="3" spans="1:84" s="33" customFormat="1" hidden="1">
      <c r="A3" s="29"/>
      <c r="B3" s="30"/>
      <c r="C3" s="30"/>
      <c r="D3" s="144" t="s">
        <v>175</v>
      </c>
      <c r="E3" s="145" t="s">
        <v>176</v>
      </c>
      <c r="F3" s="146" t="s">
        <v>177</v>
      </c>
      <c r="G3" s="145" t="s">
        <v>178</v>
      </c>
      <c r="H3" s="145"/>
      <c r="I3" s="145"/>
      <c r="J3" s="147" t="s">
        <v>699</v>
      </c>
      <c r="K3" s="148">
        <v>1</v>
      </c>
      <c r="L3" s="146" t="s">
        <v>99</v>
      </c>
      <c r="M3" s="149"/>
      <c r="N3" s="149" t="s">
        <v>100</v>
      </c>
      <c r="O3" s="149"/>
      <c r="P3" s="146"/>
      <c r="Q3" s="146"/>
      <c r="R3" s="146"/>
      <c r="S3" s="150"/>
      <c r="T3" s="145"/>
      <c r="U3" s="145"/>
      <c r="V3" s="150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>
        <v>483</v>
      </c>
      <c r="AR3" s="145">
        <v>1113</v>
      </c>
      <c r="AS3" s="145">
        <v>2641</v>
      </c>
      <c r="AT3" s="145">
        <v>3664</v>
      </c>
      <c r="AU3" s="145">
        <v>4630</v>
      </c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51">
        <f>(Table1342[[#This Row],[Dec-58]]-Table1342[[#This Row],[Sep-58]])/3</f>
        <v>0</v>
      </c>
      <c r="CB3" s="31"/>
      <c r="CC3" s="31"/>
      <c r="CD3" s="31"/>
      <c r="CE3" s="57" t="s">
        <v>179</v>
      </c>
      <c r="CF3" s="32" t="s">
        <v>174</v>
      </c>
    </row>
    <row r="4" spans="1:84" s="35" customFormat="1">
      <c r="A4" s="21"/>
      <c r="B4" s="34"/>
      <c r="C4" s="34"/>
      <c r="D4" s="144" t="s">
        <v>21</v>
      </c>
      <c r="E4" s="152" t="s">
        <v>165</v>
      </c>
      <c r="F4" s="140" t="s">
        <v>166</v>
      </c>
      <c r="G4" s="152" t="s">
        <v>167</v>
      </c>
      <c r="H4" s="153"/>
      <c r="I4" s="153"/>
      <c r="J4" s="154" t="s">
        <v>697</v>
      </c>
      <c r="K4" s="148">
        <v>1</v>
      </c>
      <c r="L4" s="140" t="s">
        <v>72</v>
      </c>
      <c r="M4" s="155"/>
      <c r="N4" s="155" t="s">
        <v>180</v>
      </c>
      <c r="O4" s="155"/>
      <c r="P4" s="148"/>
      <c r="Q4" s="148"/>
      <c r="R4" s="148"/>
      <c r="S4" s="156"/>
      <c r="T4" s="153"/>
      <c r="U4" s="153"/>
      <c r="V4" s="157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>
        <v>41602</v>
      </c>
      <c r="BL4" s="153" t="s">
        <v>181</v>
      </c>
      <c r="BM4" s="153"/>
      <c r="BN4" s="153">
        <v>42127</v>
      </c>
      <c r="BO4" s="153">
        <v>43155</v>
      </c>
      <c r="BP4" s="153" t="s">
        <v>182</v>
      </c>
      <c r="BQ4" s="153" t="s">
        <v>183</v>
      </c>
      <c r="BR4" s="153">
        <v>44475</v>
      </c>
      <c r="BS4" s="153" t="s">
        <v>184</v>
      </c>
      <c r="BT4" s="153">
        <v>45025</v>
      </c>
      <c r="BU4" s="153">
        <v>45600</v>
      </c>
      <c r="BV4" s="153">
        <v>46689</v>
      </c>
      <c r="BW4" s="153" t="s">
        <v>185</v>
      </c>
      <c r="BX4" s="153" t="s">
        <v>186</v>
      </c>
      <c r="BY4" s="153">
        <v>47588</v>
      </c>
      <c r="BZ4" s="153">
        <v>48183</v>
      </c>
      <c r="CA4" s="151">
        <f>(Table1342[[#This Row],[Dec-58]]-Table1342[[#This Row],[Sep-58]])/3</f>
        <v>861</v>
      </c>
      <c r="CB4" s="20" t="s">
        <v>187</v>
      </c>
      <c r="CC4" s="20" t="s">
        <v>188</v>
      </c>
      <c r="CD4" s="20" t="s">
        <v>189</v>
      </c>
      <c r="CE4" s="55" t="s">
        <v>29</v>
      </c>
      <c r="CF4" s="28"/>
    </row>
    <row r="5" spans="1:84">
      <c r="A5" s="24"/>
      <c r="B5" s="19"/>
      <c r="C5" s="19"/>
      <c r="D5" s="144" t="s">
        <v>23</v>
      </c>
      <c r="E5" s="152" t="s">
        <v>176</v>
      </c>
      <c r="F5" s="140" t="s">
        <v>177</v>
      </c>
      <c r="G5" s="152" t="s">
        <v>178</v>
      </c>
      <c r="H5" s="152"/>
      <c r="I5" s="152"/>
      <c r="J5" s="152" t="s">
        <v>699</v>
      </c>
      <c r="K5" s="148">
        <v>1</v>
      </c>
      <c r="L5" s="140" t="s">
        <v>99</v>
      </c>
      <c r="M5" s="141"/>
      <c r="N5" s="141" t="s">
        <v>190</v>
      </c>
      <c r="O5" s="141"/>
      <c r="P5" s="140"/>
      <c r="Q5" s="140"/>
      <c r="R5" s="140"/>
      <c r="S5" s="158"/>
      <c r="T5" s="152"/>
      <c r="U5" s="152"/>
      <c r="V5" s="159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>
        <v>15465</v>
      </c>
      <c r="AV5" s="152">
        <v>16454</v>
      </c>
      <c r="AW5" s="152">
        <v>19002</v>
      </c>
      <c r="AX5" s="152">
        <v>19882</v>
      </c>
      <c r="AY5" s="152">
        <v>20740</v>
      </c>
      <c r="AZ5" s="152">
        <v>21819</v>
      </c>
      <c r="BA5" s="152">
        <v>22626</v>
      </c>
      <c r="BB5" s="152">
        <v>24479</v>
      </c>
      <c r="BC5" s="152">
        <v>24990</v>
      </c>
      <c r="BD5" s="152">
        <v>25865</v>
      </c>
      <c r="BE5" s="152">
        <v>26326</v>
      </c>
      <c r="BF5" s="152" t="s">
        <v>191</v>
      </c>
      <c r="BG5" s="152" t="s">
        <v>192</v>
      </c>
      <c r="BH5" s="152">
        <v>27112</v>
      </c>
      <c r="BI5" s="152">
        <v>28100</v>
      </c>
      <c r="BJ5" s="152" t="s">
        <v>193</v>
      </c>
      <c r="BK5" s="152">
        <v>29651</v>
      </c>
      <c r="BL5" s="152" t="s">
        <v>194</v>
      </c>
      <c r="BM5" s="152" t="s">
        <v>195</v>
      </c>
      <c r="BN5" s="152">
        <v>30277</v>
      </c>
      <c r="BO5" s="152">
        <v>31296</v>
      </c>
      <c r="BP5" s="152" t="s">
        <v>196</v>
      </c>
      <c r="BQ5" s="152" t="s">
        <v>197</v>
      </c>
      <c r="BR5" s="152">
        <v>32358</v>
      </c>
      <c r="BS5" s="152" t="s">
        <v>198</v>
      </c>
      <c r="BT5" s="152">
        <v>33158</v>
      </c>
      <c r="BU5" s="152">
        <v>34278</v>
      </c>
      <c r="BV5" s="152">
        <v>34901</v>
      </c>
      <c r="BW5" s="152" t="s">
        <v>199</v>
      </c>
      <c r="BX5" s="152" t="s">
        <v>200</v>
      </c>
      <c r="BY5" s="152">
        <v>35573</v>
      </c>
      <c r="BZ5" s="152">
        <v>36238</v>
      </c>
      <c r="CA5" s="151">
        <f>(Table1342[[#This Row],[Dec-58]]-Table1342[[#This Row],[Sep-58]])/3</f>
        <v>653.33333333333337</v>
      </c>
      <c r="CB5" s="25" t="s">
        <v>201</v>
      </c>
      <c r="CC5" s="25" t="s">
        <v>202</v>
      </c>
      <c r="CD5" s="25" t="s">
        <v>203</v>
      </c>
      <c r="CE5" s="56" t="s">
        <v>64</v>
      </c>
      <c r="CF5" s="4" t="s">
        <v>204</v>
      </c>
    </row>
    <row r="6" spans="1:84" s="35" customFormat="1">
      <c r="A6" s="21"/>
      <c r="B6" s="34"/>
      <c r="C6" s="34"/>
      <c r="D6" s="144" t="s">
        <v>25</v>
      </c>
      <c r="E6" s="153" t="s">
        <v>205</v>
      </c>
      <c r="F6" s="148" t="s">
        <v>206</v>
      </c>
      <c r="G6" s="153" t="s">
        <v>207</v>
      </c>
      <c r="H6" s="153"/>
      <c r="I6" s="153"/>
      <c r="J6" s="152" t="s">
        <v>699</v>
      </c>
      <c r="K6" s="148">
        <v>1</v>
      </c>
      <c r="L6" s="148" t="s">
        <v>99</v>
      </c>
      <c r="M6" s="155"/>
      <c r="N6" s="155" t="s">
        <v>208</v>
      </c>
      <c r="O6" s="155"/>
      <c r="P6" s="148"/>
      <c r="Q6" s="148"/>
      <c r="R6" s="148"/>
      <c r="S6" s="156"/>
      <c r="T6" s="153"/>
      <c r="U6" s="153"/>
      <c r="V6" s="157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>
        <v>381</v>
      </c>
      <c r="AR6" s="153">
        <v>1716</v>
      </c>
      <c r="AS6" s="153">
        <v>2787</v>
      </c>
      <c r="AT6" s="153">
        <v>4238</v>
      </c>
      <c r="AU6" s="153">
        <v>5493</v>
      </c>
      <c r="AV6" s="153">
        <v>6855</v>
      </c>
      <c r="AW6" s="153">
        <v>8199</v>
      </c>
      <c r="AX6" s="153">
        <v>9692</v>
      </c>
      <c r="AY6" s="153">
        <v>11017</v>
      </c>
      <c r="AZ6" s="153">
        <v>11778</v>
      </c>
      <c r="BA6" s="153">
        <v>13137</v>
      </c>
      <c r="BB6" s="153">
        <v>14137</v>
      </c>
      <c r="BC6" s="153">
        <v>15992</v>
      </c>
      <c r="BD6" s="153">
        <v>17568</v>
      </c>
      <c r="BE6" s="153">
        <v>18312</v>
      </c>
      <c r="BF6" s="153" t="s">
        <v>209</v>
      </c>
      <c r="BG6" s="153" t="s">
        <v>210</v>
      </c>
      <c r="BH6" s="153">
        <v>19251</v>
      </c>
      <c r="BI6" s="153">
        <v>20877</v>
      </c>
      <c r="BJ6" s="153" t="s">
        <v>211</v>
      </c>
      <c r="BK6" s="153">
        <v>22103</v>
      </c>
      <c r="BL6" s="153" t="s">
        <v>212</v>
      </c>
      <c r="BM6" s="153" t="s">
        <v>213</v>
      </c>
      <c r="BN6" s="153">
        <v>23123</v>
      </c>
      <c r="BO6" s="153">
        <v>24973</v>
      </c>
      <c r="BP6" s="153" t="s">
        <v>214</v>
      </c>
      <c r="BQ6" s="153" t="s">
        <v>215</v>
      </c>
      <c r="BR6" s="153">
        <v>26199</v>
      </c>
      <c r="BS6" s="153" t="s">
        <v>216</v>
      </c>
      <c r="BT6" s="153">
        <v>27454</v>
      </c>
      <c r="BU6" s="153">
        <v>28262</v>
      </c>
      <c r="BV6" s="153">
        <v>29402</v>
      </c>
      <c r="BW6" s="153" t="s">
        <v>217</v>
      </c>
      <c r="BX6" s="153" t="s">
        <v>218</v>
      </c>
      <c r="BY6" s="153">
        <v>30371</v>
      </c>
      <c r="BZ6" s="153">
        <v>31183</v>
      </c>
      <c r="CA6" s="151">
        <f>(Table1342[[#This Row],[Dec-58]]-Table1342[[#This Row],[Sep-58]])/3</f>
        <v>973.66666666666663</v>
      </c>
      <c r="CB6" s="20" t="s">
        <v>219</v>
      </c>
      <c r="CC6" s="20" t="s">
        <v>220</v>
      </c>
      <c r="CD6" s="20" t="s">
        <v>221</v>
      </c>
      <c r="CE6" s="55" t="s">
        <v>58</v>
      </c>
      <c r="CF6" s="28"/>
    </row>
    <row r="7" spans="1:84" s="35" customFormat="1">
      <c r="A7" s="21"/>
      <c r="B7" s="34"/>
      <c r="C7" s="34"/>
      <c r="D7" s="144" t="s">
        <v>27</v>
      </c>
      <c r="E7" s="153" t="s">
        <v>222</v>
      </c>
      <c r="F7" s="148" t="s">
        <v>223</v>
      </c>
      <c r="G7" s="153" t="s">
        <v>224</v>
      </c>
      <c r="H7" s="153"/>
      <c r="I7" s="153"/>
      <c r="J7" s="154" t="s">
        <v>697</v>
      </c>
      <c r="K7" s="148">
        <v>1</v>
      </c>
      <c r="L7" s="140" t="s">
        <v>26</v>
      </c>
      <c r="M7" s="155"/>
      <c r="N7" s="155" t="s">
        <v>227</v>
      </c>
      <c r="O7" s="155"/>
      <c r="P7" s="148"/>
      <c r="Q7" s="148"/>
      <c r="R7" s="148"/>
      <c r="S7" s="156"/>
      <c r="T7" s="153"/>
      <c r="U7" s="153"/>
      <c r="V7" s="156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>
        <v>117016</v>
      </c>
      <c r="BV7" s="153">
        <v>118226</v>
      </c>
      <c r="BW7" s="153" t="s">
        <v>225</v>
      </c>
      <c r="BX7" s="153"/>
      <c r="BY7" s="153">
        <v>119803</v>
      </c>
      <c r="BZ7" s="153">
        <v>120556</v>
      </c>
      <c r="CA7" s="151">
        <f>(Table1342[[#This Row],[Dec-58]]-Table1342[[#This Row],[Sep-58]])/3</f>
        <v>1180</v>
      </c>
      <c r="CB7" s="20" t="s">
        <v>228</v>
      </c>
      <c r="CC7" s="20" t="s">
        <v>229</v>
      </c>
      <c r="CD7" s="20" t="s">
        <v>230</v>
      </c>
      <c r="CE7" s="55" t="s">
        <v>29</v>
      </c>
      <c r="CF7" s="28" t="s">
        <v>231</v>
      </c>
    </row>
    <row r="8" spans="1:84" s="35" customFormat="1">
      <c r="A8" s="21"/>
      <c r="B8" s="34"/>
      <c r="C8" s="34"/>
      <c r="D8" s="144" t="s">
        <v>28</v>
      </c>
      <c r="E8" s="153" t="s">
        <v>232</v>
      </c>
      <c r="F8" s="148" t="s">
        <v>233</v>
      </c>
      <c r="G8" s="153" t="s">
        <v>234</v>
      </c>
      <c r="H8" s="153"/>
      <c r="I8" s="153"/>
      <c r="J8" s="152" t="s">
        <v>699</v>
      </c>
      <c r="K8" s="148">
        <v>1</v>
      </c>
      <c r="L8" s="148" t="s">
        <v>99</v>
      </c>
      <c r="M8" s="155"/>
      <c r="N8" s="155" t="s">
        <v>235</v>
      </c>
      <c r="O8" s="155"/>
      <c r="P8" s="148"/>
      <c r="Q8" s="148"/>
      <c r="R8" s="148"/>
      <c r="S8" s="156"/>
      <c r="T8" s="153"/>
      <c r="U8" s="153"/>
      <c r="V8" s="156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>
        <v>1392</v>
      </c>
      <c r="AS8" s="153">
        <v>2279</v>
      </c>
      <c r="AT8" s="153">
        <v>4633</v>
      </c>
      <c r="AU8" s="153">
        <v>5811</v>
      </c>
      <c r="AV8" s="153">
        <v>7383</v>
      </c>
      <c r="AW8" s="153">
        <v>7929</v>
      </c>
      <c r="AX8" s="153">
        <v>9713</v>
      </c>
      <c r="AY8" s="153">
        <v>10845</v>
      </c>
      <c r="AZ8" s="153">
        <v>11845</v>
      </c>
      <c r="BA8" s="153">
        <v>13117</v>
      </c>
      <c r="BB8" s="153">
        <v>14618</v>
      </c>
      <c r="BC8" s="153">
        <v>15521</v>
      </c>
      <c r="BD8" s="153">
        <v>16915</v>
      </c>
      <c r="BE8" s="153">
        <v>17780</v>
      </c>
      <c r="BF8" s="153" t="s">
        <v>236</v>
      </c>
      <c r="BG8" s="153" t="s">
        <v>237</v>
      </c>
      <c r="BH8" s="153">
        <v>19012</v>
      </c>
      <c r="BI8" s="153">
        <v>21645</v>
      </c>
      <c r="BJ8" s="153" t="s">
        <v>238</v>
      </c>
      <c r="BK8" s="153">
        <v>22542</v>
      </c>
      <c r="BL8" s="153" t="s">
        <v>239</v>
      </c>
      <c r="BM8" s="153" t="s">
        <v>240</v>
      </c>
      <c r="BN8" s="153">
        <v>23681</v>
      </c>
      <c r="BO8" s="153">
        <v>25039</v>
      </c>
      <c r="BP8" s="153" t="s">
        <v>241</v>
      </c>
      <c r="BQ8" s="153" t="s">
        <v>242</v>
      </c>
      <c r="BR8" s="153">
        <v>26028</v>
      </c>
      <c r="BS8" s="153" t="s">
        <v>243</v>
      </c>
      <c r="BT8" s="153">
        <v>26909</v>
      </c>
      <c r="BU8" s="153">
        <v>27769</v>
      </c>
      <c r="BV8" s="153">
        <v>28775</v>
      </c>
      <c r="BW8" s="153" t="s">
        <v>244</v>
      </c>
      <c r="BX8" s="153" t="s">
        <v>245</v>
      </c>
      <c r="BY8" s="153">
        <v>29630</v>
      </c>
      <c r="BZ8" s="153">
        <v>30239</v>
      </c>
      <c r="CA8" s="151">
        <f>(Table1342[[#This Row],[Dec-58]]-Table1342[[#This Row],[Sep-58]])/3</f>
        <v>823.33333333333337</v>
      </c>
      <c r="CB8" s="20" t="s">
        <v>246</v>
      </c>
      <c r="CC8" s="20" t="s">
        <v>247</v>
      </c>
      <c r="CD8" s="20" t="s">
        <v>248</v>
      </c>
      <c r="CE8" s="55" t="s">
        <v>29</v>
      </c>
      <c r="CF8" s="28" t="s">
        <v>226</v>
      </c>
    </row>
    <row r="9" spans="1:84">
      <c r="A9" s="24">
        <v>227</v>
      </c>
      <c r="B9" s="19" t="s">
        <v>76</v>
      </c>
      <c r="C9" s="19"/>
      <c r="D9" s="144" t="s">
        <v>30</v>
      </c>
      <c r="E9" s="152" t="s">
        <v>372</v>
      </c>
      <c r="F9" s="140" t="s">
        <v>373</v>
      </c>
      <c r="G9" s="152" t="s">
        <v>374</v>
      </c>
      <c r="H9" s="152" t="s">
        <v>375</v>
      </c>
      <c r="I9" s="152"/>
      <c r="J9" s="152" t="s">
        <v>583</v>
      </c>
      <c r="K9" s="148">
        <v>1</v>
      </c>
      <c r="L9" s="140" t="s">
        <v>701</v>
      </c>
      <c r="M9" s="141"/>
      <c r="N9" s="141">
        <v>2114381</v>
      </c>
      <c r="O9" s="141"/>
      <c r="P9" s="140"/>
      <c r="Q9" s="140">
        <v>48506</v>
      </c>
      <c r="R9" s="140"/>
      <c r="S9" s="158"/>
      <c r="T9" s="152">
        <v>74775</v>
      </c>
      <c r="U9" s="152">
        <v>75152</v>
      </c>
      <c r="V9" s="158">
        <v>75355</v>
      </c>
      <c r="W9" s="152">
        <v>75605</v>
      </c>
      <c r="X9" s="152">
        <v>76139</v>
      </c>
      <c r="Y9" s="152">
        <v>76261</v>
      </c>
      <c r="Z9" s="152">
        <v>76448</v>
      </c>
      <c r="AA9" s="152">
        <v>76681</v>
      </c>
      <c r="AB9" s="152">
        <v>76790</v>
      </c>
      <c r="AC9" s="152">
        <v>76961</v>
      </c>
      <c r="AD9" s="152">
        <v>77244</v>
      </c>
      <c r="AE9" s="152">
        <v>77542</v>
      </c>
      <c r="AF9" s="152">
        <v>77773</v>
      </c>
      <c r="AG9" s="152">
        <v>78058</v>
      </c>
      <c r="AH9" s="152">
        <v>78276</v>
      </c>
      <c r="AI9" s="152">
        <v>78486</v>
      </c>
      <c r="AJ9" s="152">
        <v>78636</v>
      </c>
      <c r="AK9" s="152">
        <v>78950</v>
      </c>
      <c r="AL9" s="152">
        <v>79353</v>
      </c>
      <c r="AM9" s="152">
        <v>80109</v>
      </c>
      <c r="AN9" s="152">
        <v>80523</v>
      </c>
      <c r="AO9" s="152">
        <v>80897</v>
      </c>
      <c r="AP9" s="152">
        <v>81343</v>
      </c>
      <c r="AQ9" s="152">
        <v>81775</v>
      </c>
      <c r="AR9" s="152">
        <v>82228</v>
      </c>
      <c r="AS9" s="152">
        <v>82555</v>
      </c>
      <c r="AT9" s="152">
        <v>82755</v>
      </c>
      <c r="AU9" s="152">
        <v>83145</v>
      </c>
      <c r="AV9" s="152">
        <v>83519</v>
      </c>
      <c r="AW9" s="152">
        <v>83937</v>
      </c>
      <c r="AX9" s="152">
        <v>84556</v>
      </c>
      <c r="AY9" s="152">
        <v>84818</v>
      </c>
      <c r="AZ9" s="152">
        <v>85112</v>
      </c>
      <c r="BA9" s="152">
        <v>85579</v>
      </c>
      <c r="BB9" s="152">
        <v>85954</v>
      </c>
      <c r="BC9" s="152">
        <v>86190</v>
      </c>
      <c r="BD9" s="152">
        <v>86478</v>
      </c>
      <c r="BE9" s="152">
        <v>86618</v>
      </c>
      <c r="BF9" s="152" t="s">
        <v>376</v>
      </c>
      <c r="BG9" s="152" t="s">
        <v>377</v>
      </c>
      <c r="BH9" s="152">
        <v>86859</v>
      </c>
      <c r="BI9" s="152">
        <v>87242</v>
      </c>
      <c r="BJ9" s="152" t="s">
        <v>378</v>
      </c>
      <c r="BK9" s="152">
        <v>87386</v>
      </c>
      <c r="BL9" s="152" t="s">
        <v>379</v>
      </c>
      <c r="BM9" s="152" t="s">
        <v>380</v>
      </c>
      <c r="BN9" s="152">
        <v>87608</v>
      </c>
      <c r="BO9" s="152">
        <v>87800</v>
      </c>
      <c r="BP9" s="152" t="s">
        <v>381</v>
      </c>
      <c r="BQ9" s="152" t="s">
        <v>382</v>
      </c>
      <c r="BR9" s="152">
        <v>88142</v>
      </c>
      <c r="BS9" s="152" t="s">
        <v>383</v>
      </c>
      <c r="BT9" s="152">
        <v>88438</v>
      </c>
      <c r="BU9" s="152">
        <v>88806</v>
      </c>
      <c r="BV9" s="152">
        <v>89141</v>
      </c>
      <c r="BW9" s="152" t="s">
        <v>384</v>
      </c>
      <c r="BX9" s="152" t="s">
        <v>385</v>
      </c>
      <c r="BY9" s="152">
        <v>89475</v>
      </c>
      <c r="BZ9" s="152">
        <v>89731</v>
      </c>
      <c r="CA9" s="151">
        <f>(Table1342[[#This Row],[Dec-58]]-Table1342[[#This Row],[Sep-58]])/3</f>
        <v>308.33333333333331</v>
      </c>
      <c r="CB9" s="25" t="s">
        <v>386</v>
      </c>
      <c r="CC9" s="25" t="s">
        <v>387</v>
      </c>
      <c r="CD9" s="25" t="s">
        <v>388</v>
      </c>
      <c r="CE9" s="56" t="s">
        <v>64</v>
      </c>
      <c r="CF9" s="4"/>
    </row>
    <row r="10" spans="1:84">
      <c r="A10" s="24">
        <v>228</v>
      </c>
      <c r="B10" s="19" t="s">
        <v>76</v>
      </c>
      <c r="C10" s="19"/>
      <c r="D10" s="144" t="s">
        <v>31</v>
      </c>
      <c r="E10" s="152" t="s">
        <v>372</v>
      </c>
      <c r="F10" s="140" t="s">
        <v>373</v>
      </c>
      <c r="G10" s="152" t="s">
        <v>374</v>
      </c>
      <c r="H10" s="152" t="s">
        <v>375</v>
      </c>
      <c r="I10" s="152"/>
      <c r="J10" s="154" t="s">
        <v>697</v>
      </c>
      <c r="K10" s="148">
        <v>1</v>
      </c>
      <c r="L10" s="140" t="s">
        <v>62</v>
      </c>
      <c r="M10" s="141"/>
      <c r="N10" s="141" t="s">
        <v>390</v>
      </c>
      <c r="O10" s="141"/>
      <c r="P10" s="140">
        <v>24244</v>
      </c>
      <c r="Q10" s="140"/>
      <c r="R10" s="140"/>
      <c r="S10" s="158"/>
      <c r="T10" s="152">
        <v>28502</v>
      </c>
      <c r="U10" s="152">
        <v>29236</v>
      </c>
      <c r="V10" s="158">
        <v>29649</v>
      </c>
      <c r="W10" s="152">
        <v>1001</v>
      </c>
      <c r="X10" s="152">
        <v>1598</v>
      </c>
      <c r="Y10" s="152">
        <v>1794</v>
      </c>
      <c r="Z10" s="152">
        <v>2157</v>
      </c>
      <c r="AA10" s="152">
        <v>2486</v>
      </c>
      <c r="AB10" s="152">
        <v>2754</v>
      </c>
      <c r="AC10" s="152">
        <v>3082</v>
      </c>
      <c r="AD10" s="152">
        <v>3290</v>
      </c>
      <c r="AE10" s="152">
        <v>3861</v>
      </c>
      <c r="AF10" s="152">
        <v>145</v>
      </c>
      <c r="AG10" s="152">
        <v>434</v>
      </c>
      <c r="AH10" s="152">
        <v>645</v>
      </c>
      <c r="AI10" s="152">
        <v>1244</v>
      </c>
      <c r="AJ10" s="152">
        <v>1529</v>
      </c>
      <c r="AK10" s="152">
        <v>2026</v>
      </c>
      <c r="AL10" s="152">
        <v>2412</v>
      </c>
      <c r="AM10" s="152">
        <v>3726</v>
      </c>
      <c r="AN10" s="152">
        <v>53</v>
      </c>
      <c r="AO10" s="152">
        <v>461</v>
      </c>
      <c r="AP10" s="152">
        <v>988</v>
      </c>
      <c r="AQ10" s="152">
        <v>1277</v>
      </c>
      <c r="AR10" s="152">
        <v>33</v>
      </c>
      <c r="AS10" s="152">
        <v>404</v>
      </c>
      <c r="AT10" s="152">
        <v>770</v>
      </c>
      <c r="AU10" s="152">
        <v>1342</v>
      </c>
      <c r="AV10" s="152">
        <v>1985</v>
      </c>
      <c r="AW10" s="152">
        <v>2315</v>
      </c>
      <c r="AX10" s="152">
        <v>2564</v>
      </c>
      <c r="AY10" s="152">
        <v>2827</v>
      </c>
      <c r="AZ10" s="152">
        <v>3</v>
      </c>
      <c r="BA10" s="152">
        <v>233</v>
      </c>
      <c r="BB10" s="152">
        <v>492</v>
      </c>
      <c r="BC10" s="152">
        <v>607</v>
      </c>
      <c r="BD10" s="152">
        <v>766</v>
      </c>
      <c r="BE10" s="152">
        <v>1260</v>
      </c>
      <c r="BF10" s="152" t="s">
        <v>391</v>
      </c>
      <c r="BG10" s="152" t="s">
        <v>392</v>
      </c>
      <c r="BH10" s="152">
        <v>2033</v>
      </c>
      <c r="BI10" s="152">
        <v>2260</v>
      </c>
      <c r="BJ10" s="152" t="s">
        <v>393</v>
      </c>
      <c r="BK10" s="152">
        <v>2315</v>
      </c>
      <c r="BL10" s="152" t="s">
        <v>394</v>
      </c>
      <c r="BM10" s="152" t="s">
        <v>395</v>
      </c>
      <c r="BN10" s="152">
        <v>2459</v>
      </c>
      <c r="BO10" s="152">
        <v>2523</v>
      </c>
      <c r="BP10" s="152" t="s">
        <v>396</v>
      </c>
      <c r="BQ10" s="152" t="s">
        <v>397</v>
      </c>
      <c r="BR10" s="152">
        <v>2610</v>
      </c>
      <c r="BS10" s="152" t="s">
        <v>398</v>
      </c>
      <c r="BT10" s="152">
        <v>2737</v>
      </c>
      <c r="BU10" s="152">
        <v>2808</v>
      </c>
      <c r="BV10" s="152">
        <v>2866</v>
      </c>
      <c r="BW10" s="152" t="s">
        <v>399</v>
      </c>
      <c r="BX10" s="152" t="s">
        <v>400</v>
      </c>
      <c r="BY10" s="152">
        <v>2994</v>
      </c>
      <c r="BZ10" s="152">
        <v>3084</v>
      </c>
      <c r="CA10" s="151">
        <f>(Table1342[[#This Row],[Dec-58]]-Table1342[[#This Row],[Sep-58]])/3</f>
        <v>92</v>
      </c>
      <c r="CB10" s="25" t="s">
        <v>401</v>
      </c>
      <c r="CC10" s="25" t="s">
        <v>402</v>
      </c>
      <c r="CD10" s="25" t="s">
        <v>403</v>
      </c>
      <c r="CE10" s="56" t="s">
        <v>64</v>
      </c>
      <c r="CF10" s="4" t="s">
        <v>404</v>
      </c>
    </row>
  </sheetData>
  <phoneticPr fontId="11" type="noConversion"/>
  <pageMargins left="0" right="0" top="0.39370078740157483" bottom="0.39370078740157483" header="0" footer="0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53"/>
  <sheetViews>
    <sheetView tabSelected="1" zoomScale="150" zoomScaleNormal="150" zoomScalePageLayoutView="150" workbookViewId="0">
      <pane ySplit="1" topLeftCell="A35" activePane="bottomLeft" state="frozen"/>
      <selection pane="bottomLeft" activeCell="G44" sqref="G44"/>
    </sheetView>
  </sheetViews>
  <sheetFormatPr baseColWidth="10" defaultColWidth="8.83203125" defaultRowHeight="17" x14ac:dyDescent="0"/>
  <cols>
    <col min="1" max="1" width="5.5" style="199" hidden="1" customWidth="1"/>
    <col min="2" max="2" width="6" style="127" hidden="1" customWidth="1"/>
    <col min="3" max="3" width="6.83203125" style="127" hidden="1" customWidth="1"/>
    <col min="4" max="4" width="7.33203125" style="127" customWidth="1"/>
    <col min="5" max="5" width="39.5" style="70" customWidth="1"/>
    <col min="6" max="6" width="8.5" style="199" customWidth="1"/>
    <col min="7" max="7" width="9.1640625" style="217" customWidth="1"/>
    <col min="8" max="8" width="62.5" style="70" customWidth="1"/>
    <col min="9" max="9" width="14" style="70" customWidth="1"/>
    <col min="10" max="10" width="12.33203125" style="70" customWidth="1"/>
    <col min="11" max="11" width="13.33203125" style="70" customWidth="1"/>
    <col min="12" max="12" width="16.83203125" style="70" customWidth="1"/>
    <col min="13" max="13" width="8.6640625" style="70" customWidth="1"/>
    <col min="14" max="14" width="10.6640625" style="217" customWidth="1"/>
    <col min="15" max="15" width="11.83203125" style="199" customWidth="1"/>
    <col min="16" max="16" width="12.33203125" style="199" customWidth="1"/>
    <col min="17" max="17" width="15.33203125" style="199" customWidth="1"/>
    <col min="18" max="18" width="12.1640625" style="70" customWidth="1"/>
    <col min="19" max="19" width="24.6640625" style="70" customWidth="1"/>
    <col min="20" max="16384" width="8.83203125" style="70"/>
  </cols>
  <sheetData>
    <row r="1" spans="1:19" s="226" customFormat="1" ht="48" customHeight="1">
      <c r="A1" s="220" t="s">
        <v>3</v>
      </c>
      <c r="B1" s="221" t="s">
        <v>4</v>
      </c>
      <c r="C1" s="222"/>
      <c r="D1" s="221" t="s">
        <v>3</v>
      </c>
      <c r="E1" s="220" t="s">
        <v>5</v>
      </c>
      <c r="F1" s="220" t="s">
        <v>0</v>
      </c>
      <c r="G1" s="220" t="s">
        <v>753</v>
      </c>
      <c r="H1" s="220" t="s">
        <v>1</v>
      </c>
      <c r="I1" s="223" t="s">
        <v>751</v>
      </c>
      <c r="J1" s="220" t="s">
        <v>750</v>
      </c>
      <c r="K1" s="220" t="s">
        <v>6</v>
      </c>
      <c r="L1" s="220" t="s">
        <v>759</v>
      </c>
      <c r="M1" s="220" t="s">
        <v>696</v>
      </c>
      <c r="N1" s="220" t="s">
        <v>702</v>
      </c>
      <c r="O1" s="220" t="s">
        <v>7</v>
      </c>
      <c r="P1" s="220" t="s">
        <v>2</v>
      </c>
      <c r="Q1" s="224" t="s">
        <v>752</v>
      </c>
      <c r="R1" s="227" t="s">
        <v>757</v>
      </c>
      <c r="S1" s="225" t="s">
        <v>758</v>
      </c>
    </row>
    <row r="2" spans="1:19" s="199" customFormat="1" ht="20" customHeight="1">
      <c r="A2" s="48"/>
      <c r="B2" s="118"/>
      <c r="C2" s="160"/>
      <c r="D2" s="118" t="s">
        <v>21</v>
      </c>
      <c r="E2" s="47" t="s">
        <v>264</v>
      </c>
      <c r="F2" s="48"/>
      <c r="G2" s="48"/>
      <c r="H2" s="47" t="s">
        <v>266</v>
      </c>
      <c r="I2" s="47"/>
      <c r="J2" s="47"/>
      <c r="K2" s="47"/>
      <c r="L2" s="47"/>
      <c r="M2" s="69" t="s">
        <v>697</v>
      </c>
      <c r="N2" s="48">
        <v>1</v>
      </c>
      <c r="O2" s="48" t="s">
        <v>728</v>
      </c>
      <c r="P2" s="48"/>
      <c r="Q2" s="48"/>
      <c r="R2" s="47"/>
      <c r="S2" s="214"/>
    </row>
    <row r="3" spans="1:19" s="199" customFormat="1" ht="20" customHeight="1">
      <c r="A3" s="48"/>
      <c r="B3" s="118"/>
      <c r="C3" s="160"/>
      <c r="D3" s="118" t="s">
        <v>23</v>
      </c>
      <c r="E3" s="47" t="s">
        <v>103</v>
      </c>
      <c r="F3" s="48"/>
      <c r="G3" s="48"/>
      <c r="H3" s="47" t="s">
        <v>105</v>
      </c>
      <c r="I3" s="47"/>
      <c r="J3" s="47"/>
      <c r="K3" s="47"/>
      <c r="L3" s="47"/>
      <c r="M3" s="69" t="s">
        <v>697</v>
      </c>
      <c r="N3" s="48">
        <v>1</v>
      </c>
      <c r="O3" s="48" t="s">
        <v>728</v>
      </c>
      <c r="P3" s="48"/>
      <c r="Q3" s="48"/>
      <c r="R3" s="47"/>
      <c r="S3" s="214"/>
    </row>
    <row r="4" spans="1:19" s="199" customFormat="1" ht="20" customHeight="1">
      <c r="A4" s="48"/>
      <c r="B4" s="118"/>
      <c r="C4" s="160"/>
      <c r="D4" s="118" t="s">
        <v>25</v>
      </c>
      <c r="E4" s="47" t="s">
        <v>321</v>
      </c>
      <c r="F4" s="48"/>
      <c r="G4" s="48"/>
      <c r="H4" s="47" t="s">
        <v>323</v>
      </c>
      <c r="I4" s="47"/>
      <c r="J4" s="47"/>
      <c r="K4" s="47"/>
      <c r="L4" s="47"/>
      <c r="M4" s="69" t="s">
        <v>697</v>
      </c>
      <c r="N4" s="48">
        <v>1</v>
      </c>
      <c r="O4" s="48" t="s">
        <v>728</v>
      </c>
      <c r="P4" s="48"/>
      <c r="Q4" s="48"/>
      <c r="R4" s="47"/>
      <c r="S4" s="214"/>
    </row>
    <row r="5" spans="1:19" ht="20" customHeight="1">
      <c r="A5" s="48"/>
      <c r="B5" s="118"/>
      <c r="C5" s="160"/>
      <c r="D5" s="118" t="s">
        <v>27</v>
      </c>
      <c r="E5" s="47" t="s">
        <v>357</v>
      </c>
      <c r="F5" s="48"/>
      <c r="G5" s="48"/>
      <c r="H5" s="47" t="s">
        <v>359</v>
      </c>
      <c r="I5" s="47"/>
      <c r="J5" s="47"/>
      <c r="K5" s="47"/>
      <c r="L5" s="47"/>
      <c r="M5" s="69" t="s">
        <v>697</v>
      </c>
      <c r="N5" s="48">
        <v>1</v>
      </c>
      <c r="O5" s="48" t="s">
        <v>728</v>
      </c>
      <c r="P5" s="48"/>
      <c r="Q5" s="48"/>
      <c r="R5" s="47"/>
      <c r="S5" s="214"/>
    </row>
    <row r="6" spans="1:19" ht="20" customHeight="1">
      <c r="A6" s="48"/>
      <c r="B6" s="118"/>
      <c r="C6" s="160"/>
      <c r="D6" s="118" t="s">
        <v>28</v>
      </c>
      <c r="E6" s="47" t="s">
        <v>331</v>
      </c>
      <c r="F6" s="48"/>
      <c r="G6" s="48"/>
      <c r="H6" s="47" t="s">
        <v>333</v>
      </c>
      <c r="I6" s="47"/>
      <c r="J6" s="47"/>
      <c r="K6" s="47"/>
      <c r="L6" s="47"/>
      <c r="M6" s="69" t="s">
        <v>697</v>
      </c>
      <c r="N6" s="48">
        <v>1</v>
      </c>
      <c r="O6" s="48" t="s">
        <v>728</v>
      </c>
      <c r="P6" s="48"/>
      <c r="Q6" s="48"/>
      <c r="R6" s="47"/>
      <c r="S6" s="214"/>
    </row>
    <row r="7" spans="1:19" ht="20" customHeight="1">
      <c r="A7" s="48"/>
      <c r="B7" s="118"/>
      <c r="C7" s="160"/>
      <c r="D7" s="118" t="s">
        <v>30</v>
      </c>
      <c r="E7" s="47" t="s">
        <v>308</v>
      </c>
      <c r="F7" s="48"/>
      <c r="G7" s="48"/>
      <c r="H7" s="47" t="s">
        <v>310</v>
      </c>
      <c r="I7" s="47"/>
      <c r="J7" s="47"/>
      <c r="K7" s="47"/>
      <c r="L7" s="47"/>
      <c r="M7" s="69" t="s">
        <v>697</v>
      </c>
      <c r="N7" s="48">
        <v>1</v>
      </c>
      <c r="O7" s="48" t="s">
        <v>728</v>
      </c>
      <c r="P7" s="48"/>
      <c r="Q7" s="48"/>
      <c r="R7" s="47"/>
      <c r="S7" s="214"/>
    </row>
    <row r="8" spans="1:19" ht="20" customHeight="1">
      <c r="A8" s="48"/>
      <c r="B8" s="118"/>
      <c r="C8" s="160"/>
      <c r="D8" s="118" t="s">
        <v>31</v>
      </c>
      <c r="E8" s="47" t="s">
        <v>91</v>
      </c>
      <c r="F8" s="48"/>
      <c r="G8" s="48"/>
      <c r="H8" s="47" t="s">
        <v>93</v>
      </c>
      <c r="I8" s="47"/>
      <c r="J8" s="47"/>
      <c r="K8" s="47"/>
      <c r="L8" s="47"/>
      <c r="M8" s="69" t="s">
        <v>697</v>
      </c>
      <c r="N8" s="48">
        <v>1</v>
      </c>
      <c r="O8" s="48" t="s">
        <v>728</v>
      </c>
      <c r="P8" s="48"/>
      <c r="Q8" s="48"/>
      <c r="R8" s="47"/>
      <c r="S8" s="214"/>
    </row>
    <row r="9" spans="1:19" ht="20" customHeight="1">
      <c r="A9" s="48"/>
      <c r="B9" s="118"/>
      <c r="C9" s="160"/>
      <c r="D9" s="118" t="s">
        <v>32</v>
      </c>
      <c r="E9" s="47" t="s">
        <v>273</v>
      </c>
      <c r="F9" s="48"/>
      <c r="G9" s="48"/>
      <c r="H9" s="47" t="s">
        <v>275</v>
      </c>
      <c r="I9" s="47"/>
      <c r="J9" s="47"/>
      <c r="K9" s="47"/>
      <c r="L9" s="47"/>
      <c r="M9" s="69" t="s">
        <v>697</v>
      </c>
      <c r="N9" s="48">
        <v>1</v>
      </c>
      <c r="O9" s="48" t="s">
        <v>728</v>
      </c>
      <c r="P9" s="48"/>
      <c r="Q9" s="48"/>
      <c r="R9" s="47"/>
      <c r="S9" s="214"/>
    </row>
    <row r="10" spans="1:19" ht="20" customHeight="1">
      <c r="A10" s="48"/>
      <c r="B10" s="118"/>
      <c r="C10" s="160"/>
      <c r="D10" s="118" t="s">
        <v>33</v>
      </c>
      <c r="E10" s="47" t="s">
        <v>346</v>
      </c>
      <c r="F10" s="120"/>
      <c r="G10" s="120"/>
      <c r="H10" s="122" t="s">
        <v>348</v>
      </c>
      <c r="I10" s="122"/>
      <c r="J10" s="122"/>
      <c r="K10" s="122"/>
      <c r="L10" s="122"/>
      <c r="M10" s="69" t="s">
        <v>697</v>
      </c>
      <c r="N10" s="48">
        <v>1</v>
      </c>
      <c r="O10" s="48" t="s">
        <v>728</v>
      </c>
      <c r="P10" s="120"/>
      <c r="Q10" s="120"/>
      <c r="R10" s="122"/>
      <c r="S10" s="214"/>
    </row>
    <row r="11" spans="1:19" ht="20" customHeight="1">
      <c r="A11" s="48"/>
      <c r="B11" s="118"/>
      <c r="C11" s="160"/>
      <c r="D11" s="118" t="s">
        <v>34</v>
      </c>
      <c r="E11" s="47" t="s">
        <v>352</v>
      </c>
      <c r="F11" s="48"/>
      <c r="G11" s="48"/>
      <c r="H11" s="47" t="s">
        <v>354</v>
      </c>
      <c r="I11" s="47"/>
      <c r="J11" s="47"/>
      <c r="K11" s="47"/>
      <c r="L11" s="47"/>
      <c r="M11" s="69" t="s">
        <v>697</v>
      </c>
      <c r="N11" s="48">
        <v>1</v>
      </c>
      <c r="O11" s="48" t="s">
        <v>728</v>
      </c>
      <c r="P11" s="48"/>
      <c r="Q11" s="48"/>
      <c r="R11" s="47"/>
      <c r="S11" s="214"/>
    </row>
    <row r="12" spans="1:19" ht="20" customHeight="1">
      <c r="A12" s="48"/>
      <c r="B12" s="118"/>
      <c r="C12" s="160"/>
      <c r="D12" s="118" t="s">
        <v>35</v>
      </c>
      <c r="E12" s="47" t="s">
        <v>259</v>
      </c>
      <c r="F12" s="48"/>
      <c r="G12" s="48"/>
      <c r="H12" s="47" t="s">
        <v>261</v>
      </c>
      <c r="I12" s="47"/>
      <c r="J12" s="47"/>
      <c r="K12" s="47"/>
      <c r="L12" s="47"/>
      <c r="M12" s="69" t="s">
        <v>697</v>
      </c>
      <c r="N12" s="48">
        <v>1</v>
      </c>
      <c r="O12" s="48" t="s">
        <v>728</v>
      </c>
      <c r="P12" s="48"/>
      <c r="Q12" s="48"/>
      <c r="R12" s="47"/>
      <c r="S12" s="214"/>
    </row>
    <row r="13" spans="1:19" ht="20" customHeight="1">
      <c r="A13" s="48"/>
      <c r="B13" s="118"/>
      <c r="C13" s="160"/>
      <c r="D13" s="118" t="s">
        <v>36</v>
      </c>
      <c r="E13" s="47" t="s">
        <v>138</v>
      </c>
      <c r="F13" s="48"/>
      <c r="G13" s="48"/>
      <c r="H13" s="47" t="s">
        <v>140</v>
      </c>
      <c r="I13" s="47"/>
      <c r="J13" s="47"/>
      <c r="K13" s="47"/>
      <c r="L13" s="47"/>
      <c r="M13" s="69" t="s">
        <v>697</v>
      </c>
      <c r="N13" s="48">
        <v>1</v>
      </c>
      <c r="O13" s="48" t="s">
        <v>728</v>
      </c>
      <c r="P13" s="48"/>
      <c r="Q13" s="48"/>
      <c r="R13" s="47"/>
      <c r="S13" s="214"/>
    </row>
    <row r="14" spans="1:19" s="124" customFormat="1" ht="20" customHeight="1">
      <c r="A14" s="120"/>
      <c r="B14" s="121"/>
      <c r="C14" s="161"/>
      <c r="D14" s="118" t="s">
        <v>37</v>
      </c>
      <c r="E14" s="47" t="s">
        <v>326</v>
      </c>
      <c r="F14" s="48"/>
      <c r="G14" s="48"/>
      <c r="H14" s="47" t="s">
        <v>328</v>
      </c>
      <c r="I14" s="47"/>
      <c r="J14" s="47"/>
      <c r="K14" s="47"/>
      <c r="L14" s="47"/>
      <c r="M14" s="69" t="s">
        <v>697</v>
      </c>
      <c r="N14" s="48">
        <v>1</v>
      </c>
      <c r="O14" s="48" t="s">
        <v>728</v>
      </c>
      <c r="P14" s="48"/>
      <c r="Q14" s="48"/>
      <c r="R14" s="47"/>
      <c r="S14" s="214"/>
    </row>
    <row r="15" spans="1:19" ht="20" customHeight="1">
      <c r="A15" s="48"/>
      <c r="B15" s="118"/>
      <c r="C15" s="160"/>
      <c r="D15" s="118" t="s">
        <v>38</v>
      </c>
      <c r="E15" s="47" t="s">
        <v>742</v>
      </c>
      <c r="F15" s="48"/>
      <c r="G15" s="48"/>
      <c r="H15" s="47" t="s">
        <v>83</v>
      </c>
      <c r="I15" s="47"/>
      <c r="J15" s="47"/>
      <c r="K15" s="47"/>
      <c r="L15" s="47"/>
      <c r="M15" s="69" t="s">
        <v>697</v>
      </c>
      <c r="N15" s="48">
        <v>1</v>
      </c>
      <c r="O15" s="48" t="s">
        <v>728</v>
      </c>
      <c r="P15" s="48"/>
      <c r="Q15" s="48"/>
      <c r="R15" s="47"/>
      <c r="S15" s="214"/>
    </row>
    <row r="16" spans="1:19" s="124" customFormat="1" ht="20" customHeight="1">
      <c r="A16" s="120"/>
      <c r="B16" s="121"/>
      <c r="C16" s="161"/>
      <c r="D16" s="118" t="s">
        <v>39</v>
      </c>
      <c r="E16" s="47" t="s">
        <v>249</v>
      </c>
      <c r="F16" s="48"/>
      <c r="G16" s="48"/>
      <c r="H16" s="47" t="s">
        <v>251</v>
      </c>
      <c r="I16" s="47"/>
      <c r="J16" s="47"/>
      <c r="K16" s="47"/>
      <c r="L16" s="47"/>
      <c r="M16" s="69" t="s">
        <v>697</v>
      </c>
      <c r="N16" s="48">
        <v>1</v>
      </c>
      <c r="O16" s="48" t="s">
        <v>728</v>
      </c>
      <c r="P16" s="48"/>
      <c r="Q16" s="48"/>
      <c r="R16" s="47"/>
      <c r="S16" s="214"/>
    </row>
    <row r="17" spans="1:19" ht="20" customHeight="1">
      <c r="A17" s="48"/>
      <c r="B17" s="118"/>
      <c r="C17" s="160"/>
      <c r="D17" s="118" t="s">
        <v>40</v>
      </c>
      <c r="E17" s="47" t="s">
        <v>294</v>
      </c>
      <c r="F17" s="48"/>
      <c r="G17" s="48"/>
      <c r="H17" s="47" t="s">
        <v>296</v>
      </c>
      <c r="I17" s="47"/>
      <c r="J17" s="47"/>
      <c r="K17" s="47"/>
      <c r="L17" s="47"/>
      <c r="M17" s="69" t="s">
        <v>697</v>
      </c>
      <c r="N17" s="48">
        <v>1</v>
      </c>
      <c r="O17" s="48" t="s">
        <v>728</v>
      </c>
      <c r="P17" s="48"/>
      <c r="Q17" s="48"/>
      <c r="R17" s="47"/>
      <c r="S17" s="214"/>
    </row>
    <row r="18" spans="1:19" ht="20" customHeight="1">
      <c r="A18" s="48"/>
      <c r="B18" s="118"/>
      <c r="C18" s="160"/>
      <c r="D18" s="118" t="s">
        <v>41</v>
      </c>
      <c r="E18" s="47" t="s">
        <v>746</v>
      </c>
      <c r="F18" s="48"/>
      <c r="G18" s="48"/>
      <c r="H18" s="47" t="s">
        <v>98</v>
      </c>
      <c r="I18" s="47"/>
      <c r="J18" s="47"/>
      <c r="K18" s="47"/>
      <c r="L18" s="47"/>
      <c r="M18" s="69" t="s">
        <v>697</v>
      </c>
      <c r="N18" s="48">
        <v>1</v>
      </c>
      <c r="O18" s="48" t="s">
        <v>728</v>
      </c>
      <c r="P18" s="48"/>
      <c r="Q18" s="48"/>
      <c r="R18" s="47"/>
      <c r="S18" s="214"/>
    </row>
    <row r="19" spans="1:19" ht="20" customHeight="1">
      <c r="A19" s="48"/>
      <c r="B19" s="118"/>
      <c r="C19" s="160"/>
      <c r="D19" s="118" t="s">
        <v>42</v>
      </c>
      <c r="E19" s="47" t="s">
        <v>148</v>
      </c>
      <c r="F19" s="48"/>
      <c r="G19" s="48"/>
      <c r="H19" s="47" t="s">
        <v>150</v>
      </c>
      <c r="I19" s="47"/>
      <c r="J19" s="47"/>
      <c r="K19" s="47"/>
      <c r="L19" s="47"/>
      <c r="M19" s="69" t="s">
        <v>697</v>
      </c>
      <c r="N19" s="48">
        <v>1</v>
      </c>
      <c r="O19" s="48" t="s">
        <v>728</v>
      </c>
      <c r="P19" s="48"/>
      <c r="Q19" s="48"/>
      <c r="R19" s="47"/>
      <c r="S19" s="214"/>
    </row>
    <row r="20" spans="1:19" s="124" customFormat="1" ht="20" customHeight="1">
      <c r="A20" s="120"/>
      <c r="B20" s="121"/>
      <c r="C20" s="161"/>
      <c r="D20" s="118" t="s">
        <v>43</v>
      </c>
      <c r="E20" s="47" t="s">
        <v>143</v>
      </c>
      <c r="F20" s="48"/>
      <c r="G20" s="48"/>
      <c r="H20" s="47" t="s">
        <v>145</v>
      </c>
      <c r="I20" s="47"/>
      <c r="J20" s="47"/>
      <c r="K20" s="47"/>
      <c r="L20" s="47"/>
      <c r="M20" s="69" t="s">
        <v>697</v>
      </c>
      <c r="N20" s="48">
        <v>1</v>
      </c>
      <c r="O20" s="48" t="s">
        <v>728</v>
      </c>
      <c r="P20" s="48"/>
      <c r="Q20" s="48"/>
      <c r="R20" s="47"/>
      <c r="S20" s="214"/>
    </row>
    <row r="21" spans="1:19" ht="20" customHeight="1">
      <c r="A21" s="48"/>
      <c r="B21" s="118"/>
      <c r="C21" s="160"/>
      <c r="D21" s="118" t="s">
        <v>44</v>
      </c>
      <c r="E21" s="47" t="s">
        <v>424</v>
      </c>
      <c r="F21" s="48"/>
      <c r="G21" s="48"/>
      <c r="H21" s="47" t="s">
        <v>426</v>
      </c>
      <c r="I21" s="47"/>
      <c r="J21" s="47"/>
      <c r="K21" s="48"/>
      <c r="L21" s="48"/>
      <c r="M21" s="69" t="s">
        <v>697</v>
      </c>
      <c r="N21" s="48">
        <v>1</v>
      </c>
      <c r="O21" s="48" t="s">
        <v>728</v>
      </c>
      <c r="P21" s="48"/>
      <c r="Q21" s="48"/>
      <c r="R21" s="47"/>
      <c r="S21" s="214"/>
    </row>
    <row r="22" spans="1:19" ht="20" customHeight="1">
      <c r="A22" s="48"/>
      <c r="B22" s="118"/>
      <c r="C22" s="160"/>
      <c r="D22" s="118" t="s">
        <v>45</v>
      </c>
      <c r="E22" s="47" t="s">
        <v>113</v>
      </c>
      <c r="F22" s="48"/>
      <c r="G22" s="48"/>
      <c r="H22" s="47" t="s">
        <v>115</v>
      </c>
      <c r="I22" s="47"/>
      <c r="J22" s="47"/>
      <c r="K22" s="47"/>
      <c r="L22" s="47"/>
      <c r="M22" s="69" t="s">
        <v>697</v>
      </c>
      <c r="N22" s="48">
        <v>1</v>
      </c>
      <c r="O22" s="48" t="s">
        <v>728</v>
      </c>
      <c r="P22" s="48"/>
      <c r="Q22" s="48"/>
      <c r="R22" s="47"/>
      <c r="S22" s="214"/>
    </row>
    <row r="23" spans="1:19" ht="20" customHeight="1">
      <c r="A23" s="48"/>
      <c r="B23" s="118"/>
      <c r="C23" s="160"/>
      <c r="D23" s="118" t="s">
        <v>46</v>
      </c>
      <c r="E23" s="47" t="s">
        <v>289</v>
      </c>
      <c r="F23" s="48"/>
      <c r="G23" s="48"/>
      <c r="H23" s="47" t="s">
        <v>291</v>
      </c>
      <c r="I23" s="47"/>
      <c r="J23" s="47"/>
      <c r="K23" s="47"/>
      <c r="L23" s="47"/>
      <c r="M23" s="69" t="s">
        <v>697</v>
      </c>
      <c r="N23" s="48">
        <v>1</v>
      </c>
      <c r="O23" s="48" t="s">
        <v>728</v>
      </c>
      <c r="P23" s="48"/>
      <c r="Q23" s="48"/>
      <c r="R23" s="47"/>
      <c r="S23" s="214"/>
    </row>
    <row r="24" spans="1:19" ht="20" customHeight="1">
      <c r="A24" s="48"/>
      <c r="B24" s="118"/>
      <c r="C24" s="160"/>
      <c r="D24" s="118" t="s">
        <v>47</v>
      </c>
      <c r="E24" s="47" t="s">
        <v>108</v>
      </c>
      <c r="F24" s="48"/>
      <c r="G24" s="48"/>
      <c r="H24" s="47" t="s">
        <v>110</v>
      </c>
      <c r="I24" s="47"/>
      <c r="J24" s="47"/>
      <c r="K24" s="47"/>
      <c r="L24" s="47"/>
      <c r="M24" s="69" t="s">
        <v>697</v>
      </c>
      <c r="N24" s="48">
        <v>1</v>
      </c>
      <c r="O24" s="48" t="s">
        <v>728</v>
      </c>
      <c r="P24" s="48"/>
      <c r="Q24" s="48"/>
      <c r="R24" s="47"/>
      <c r="S24" s="214"/>
    </row>
    <row r="25" spans="1:19" ht="20" customHeight="1">
      <c r="A25" s="48"/>
      <c r="B25" s="118"/>
      <c r="C25" s="160"/>
      <c r="D25" s="118" t="s">
        <v>48</v>
      </c>
      <c r="E25" s="47" t="s">
        <v>336</v>
      </c>
      <c r="F25" s="48"/>
      <c r="G25" s="48"/>
      <c r="H25" s="47" t="s">
        <v>338</v>
      </c>
      <c r="I25" s="47"/>
      <c r="J25" s="47"/>
      <c r="K25" s="47"/>
      <c r="L25" s="47"/>
      <c r="M25" s="69" t="s">
        <v>697</v>
      </c>
      <c r="N25" s="48">
        <v>1</v>
      </c>
      <c r="O25" s="48" t="s">
        <v>728</v>
      </c>
      <c r="P25" s="48"/>
      <c r="Q25" s="48"/>
      <c r="R25" s="47"/>
      <c r="S25" s="214"/>
    </row>
    <row r="26" spans="1:19" ht="20" customHeight="1">
      <c r="A26" s="48"/>
      <c r="B26" s="118"/>
      <c r="C26" s="160"/>
      <c r="D26" s="118" t="s">
        <v>49</v>
      </c>
      <c r="E26" s="47" t="s">
        <v>743</v>
      </c>
      <c r="F26" s="48"/>
      <c r="G26" s="48"/>
      <c r="H26" s="47" t="s">
        <v>80</v>
      </c>
      <c r="I26" s="47"/>
      <c r="J26" s="47"/>
      <c r="K26" s="47"/>
      <c r="L26" s="47"/>
      <c r="M26" s="69" t="s">
        <v>697</v>
      </c>
      <c r="N26" s="48">
        <v>1</v>
      </c>
      <c r="O26" s="48" t="s">
        <v>728</v>
      </c>
      <c r="P26" s="48"/>
      <c r="Q26" s="48"/>
      <c r="R26" s="47"/>
      <c r="S26" s="214"/>
    </row>
    <row r="27" spans="1:19" s="124" customFormat="1" ht="20" customHeight="1">
      <c r="A27" s="120"/>
      <c r="B27" s="121"/>
      <c r="C27" s="161"/>
      <c r="D27" s="118" t="s">
        <v>50</v>
      </c>
      <c r="E27" s="47" t="s">
        <v>408</v>
      </c>
      <c r="F27" s="48"/>
      <c r="G27" s="48"/>
      <c r="H27" s="47" t="s">
        <v>410</v>
      </c>
      <c r="I27" s="47"/>
      <c r="J27" s="47"/>
      <c r="K27" s="47"/>
      <c r="L27" s="47"/>
      <c r="M27" s="69" t="s">
        <v>697</v>
      </c>
      <c r="N27" s="48">
        <v>1</v>
      </c>
      <c r="O27" s="48" t="s">
        <v>728</v>
      </c>
      <c r="P27" s="48"/>
      <c r="Q27" s="48"/>
      <c r="R27" s="47"/>
      <c r="S27" s="214"/>
    </row>
    <row r="28" spans="1:19" ht="20" customHeight="1">
      <c r="A28" s="48"/>
      <c r="B28" s="118"/>
      <c r="C28" s="160"/>
      <c r="D28" s="118" t="s">
        <v>51</v>
      </c>
      <c r="E28" s="47" t="s">
        <v>744</v>
      </c>
      <c r="F28" s="48"/>
      <c r="G28" s="48"/>
      <c r="H28" s="47" t="s">
        <v>120</v>
      </c>
      <c r="I28" s="47"/>
      <c r="J28" s="47"/>
      <c r="K28" s="47"/>
      <c r="L28" s="47"/>
      <c r="M28" s="69" t="s">
        <v>697</v>
      </c>
      <c r="N28" s="48">
        <v>1</v>
      </c>
      <c r="O28" s="48" t="s">
        <v>728</v>
      </c>
      <c r="P28" s="48"/>
      <c r="Q28" s="48"/>
      <c r="R28" s="47"/>
      <c r="S28" s="214"/>
    </row>
    <row r="29" spans="1:19" ht="20" customHeight="1">
      <c r="A29" s="48"/>
      <c r="B29" s="118"/>
      <c r="C29" s="160"/>
      <c r="D29" s="212" t="s">
        <v>52</v>
      </c>
      <c r="E29" s="190" t="s">
        <v>748</v>
      </c>
      <c r="F29" s="191"/>
      <c r="G29" s="191"/>
      <c r="H29" s="190" t="s">
        <v>754</v>
      </c>
      <c r="I29" s="190"/>
      <c r="J29" s="190"/>
      <c r="K29" s="190"/>
      <c r="L29" s="190"/>
      <c r="M29" s="192" t="s">
        <v>697</v>
      </c>
      <c r="N29" s="191">
        <v>1</v>
      </c>
      <c r="O29" s="191" t="s">
        <v>727</v>
      </c>
      <c r="P29" s="191"/>
      <c r="Q29" s="191"/>
      <c r="R29" s="190"/>
      <c r="S29" s="215"/>
    </row>
    <row r="30" spans="1:19" ht="20" customHeight="1">
      <c r="A30" s="48"/>
      <c r="B30" s="118"/>
      <c r="C30" s="160"/>
      <c r="D30" s="118" t="s">
        <v>53</v>
      </c>
      <c r="E30" s="47" t="s">
        <v>128</v>
      </c>
      <c r="F30" s="48"/>
      <c r="G30" s="48"/>
      <c r="H30" s="47" t="s">
        <v>130</v>
      </c>
      <c r="I30" s="47"/>
      <c r="J30" s="47"/>
      <c r="K30" s="47"/>
      <c r="L30" s="47"/>
      <c r="M30" s="69" t="s">
        <v>697</v>
      </c>
      <c r="N30" s="48">
        <v>1</v>
      </c>
      <c r="O30" s="48" t="s">
        <v>728</v>
      </c>
      <c r="P30" s="48"/>
      <c r="Q30" s="48"/>
      <c r="R30" s="47"/>
      <c r="S30" s="214"/>
    </row>
    <row r="31" spans="1:19" ht="20" customHeight="1">
      <c r="A31" s="48"/>
      <c r="B31" s="118"/>
      <c r="C31" s="160"/>
      <c r="D31" s="118" t="s">
        <v>55</v>
      </c>
      <c r="E31" s="47" t="s">
        <v>312</v>
      </c>
      <c r="F31" s="48"/>
      <c r="G31" s="48"/>
      <c r="H31" s="47" t="s">
        <v>314</v>
      </c>
      <c r="I31" s="47"/>
      <c r="J31" s="47"/>
      <c r="K31" s="47"/>
      <c r="L31" s="47"/>
      <c r="M31" s="69" t="s">
        <v>697</v>
      </c>
      <c r="N31" s="48">
        <v>1</v>
      </c>
      <c r="O31" s="48" t="s">
        <v>728</v>
      </c>
      <c r="P31" s="48"/>
      <c r="Q31" s="48"/>
      <c r="R31" s="47"/>
      <c r="S31" s="214"/>
    </row>
    <row r="32" spans="1:19" ht="20" customHeight="1">
      <c r="A32" s="48"/>
      <c r="B32" s="118"/>
      <c r="C32" s="160"/>
      <c r="D32" s="118" t="s">
        <v>56</v>
      </c>
      <c r="E32" s="47" t="s">
        <v>341</v>
      </c>
      <c r="F32" s="48"/>
      <c r="G32" s="48"/>
      <c r="H32" s="47" t="s">
        <v>343</v>
      </c>
      <c r="I32" s="47"/>
      <c r="J32" s="47"/>
      <c r="K32" s="47"/>
      <c r="L32" s="47"/>
      <c r="M32" s="69" t="s">
        <v>697</v>
      </c>
      <c r="N32" s="48">
        <v>1</v>
      </c>
      <c r="O32" s="48" t="s">
        <v>728</v>
      </c>
      <c r="P32" s="48"/>
      <c r="Q32" s="48"/>
      <c r="R32" s="47"/>
      <c r="S32" s="214"/>
    </row>
    <row r="33" spans="1:19" ht="20" customHeight="1">
      <c r="A33" s="48"/>
      <c r="B33" s="118"/>
      <c r="C33" s="160"/>
      <c r="D33" s="118" t="s">
        <v>57</v>
      </c>
      <c r="E33" s="47" t="s">
        <v>157</v>
      </c>
      <c r="F33" s="48"/>
      <c r="G33" s="48"/>
      <c r="H33" s="47" t="s">
        <v>159</v>
      </c>
      <c r="I33" s="47"/>
      <c r="J33" s="47"/>
      <c r="K33" s="47"/>
      <c r="L33" s="47"/>
      <c r="M33" s="69" t="s">
        <v>697</v>
      </c>
      <c r="N33" s="48">
        <v>1</v>
      </c>
      <c r="O33" s="48" t="s">
        <v>728</v>
      </c>
      <c r="P33" s="48"/>
      <c r="Q33" s="48"/>
      <c r="R33" s="47"/>
      <c r="S33" s="214"/>
    </row>
    <row r="34" spans="1:19" ht="20" customHeight="1">
      <c r="A34" s="48"/>
      <c r="B34" s="118"/>
      <c r="C34" s="160"/>
      <c r="D34" s="118" t="s">
        <v>59</v>
      </c>
      <c r="E34" s="47" t="s">
        <v>317</v>
      </c>
      <c r="F34" s="48"/>
      <c r="G34" s="48"/>
      <c r="H34" s="47" t="s">
        <v>319</v>
      </c>
      <c r="I34" s="47"/>
      <c r="J34" s="47"/>
      <c r="K34" s="47"/>
      <c r="L34" s="47"/>
      <c r="M34" s="69" t="s">
        <v>697</v>
      </c>
      <c r="N34" s="48">
        <v>1</v>
      </c>
      <c r="O34" s="48" t="s">
        <v>728</v>
      </c>
      <c r="P34" s="48"/>
      <c r="Q34" s="48"/>
      <c r="R34" s="47"/>
      <c r="S34" s="214"/>
    </row>
    <row r="35" spans="1:19" ht="20" customHeight="1">
      <c r="A35" s="48"/>
      <c r="B35" s="118"/>
      <c r="C35" s="160"/>
      <c r="D35" s="118" t="s">
        <v>60</v>
      </c>
      <c r="E35" s="47" t="s">
        <v>123</v>
      </c>
      <c r="F35" s="48"/>
      <c r="G35" s="48"/>
      <c r="H35" s="47" t="s">
        <v>125</v>
      </c>
      <c r="I35" s="47"/>
      <c r="J35" s="47"/>
      <c r="K35" s="47"/>
      <c r="L35" s="47"/>
      <c r="M35" s="69" t="s">
        <v>697</v>
      </c>
      <c r="N35" s="48">
        <v>1</v>
      </c>
      <c r="O35" s="48" t="s">
        <v>728</v>
      </c>
      <c r="P35" s="48"/>
      <c r="Q35" s="48"/>
      <c r="R35" s="47"/>
      <c r="S35" s="214"/>
    </row>
    <row r="36" spans="1:19" ht="20" customHeight="1">
      <c r="A36" s="48"/>
      <c r="B36" s="118"/>
      <c r="C36" s="160"/>
      <c r="D36" s="118" t="s">
        <v>61</v>
      </c>
      <c r="E36" s="47" t="s">
        <v>299</v>
      </c>
      <c r="F36" s="48"/>
      <c r="G36" s="48"/>
      <c r="H36" s="47" t="s">
        <v>301</v>
      </c>
      <c r="I36" s="47"/>
      <c r="J36" s="47"/>
      <c r="K36" s="47"/>
      <c r="L36" s="47"/>
      <c r="M36" s="69" t="s">
        <v>697</v>
      </c>
      <c r="N36" s="48">
        <v>1</v>
      </c>
      <c r="O36" s="48" t="s">
        <v>728</v>
      </c>
      <c r="P36" s="48"/>
      <c r="Q36" s="48"/>
      <c r="R36" s="47"/>
      <c r="S36" s="214"/>
    </row>
    <row r="37" spans="1:19" ht="20" customHeight="1">
      <c r="A37" s="48"/>
      <c r="B37" s="118"/>
      <c r="C37" s="160"/>
      <c r="D37" s="118" t="s">
        <v>63</v>
      </c>
      <c r="E37" s="47" t="s">
        <v>745</v>
      </c>
      <c r="F37" s="48"/>
      <c r="G37" s="48"/>
      <c r="H37" s="47" t="s">
        <v>368</v>
      </c>
      <c r="I37" s="47"/>
      <c r="J37" s="47"/>
      <c r="K37" s="47"/>
      <c r="L37" s="47"/>
      <c r="M37" s="69" t="s">
        <v>697</v>
      </c>
      <c r="N37" s="48">
        <v>1</v>
      </c>
      <c r="O37" s="48" t="s">
        <v>728</v>
      </c>
      <c r="P37" s="48"/>
      <c r="Q37" s="48"/>
      <c r="R37" s="47"/>
      <c r="S37" s="214"/>
    </row>
    <row r="38" spans="1:19" s="124" customFormat="1" ht="20" customHeight="1">
      <c r="A38" s="120"/>
      <c r="B38" s="121"/>
      <c r="C38" s="161"/>
      <c r="D38" s="118" t="s">
        <v>65</v>
      </c>
      <c r="E38" s="25" t="s">
        <v>749</v>
      </c>
      <c r="F38" s="24"/>
      <c r="G38" s="24"/>
      <c r="H38" s="25"/>
      <c r="I38" s="25"/>
      <c r="J38" s="25"/>
      <c r="K38" s="25"/>
      <c r="L38" s="25"/>
      <c r="M38" s="69" t="s">
        <v>697</v>
      </c>
      <c r="N38" s="48">
        <v>1</v>
      </c>
      <c r="O38" s="48" t="s">
        <v>728</v>
      </c>
      <c r="P38" s="24"/>
      <c r="Q38" s="120"/>
      <c r="R38" s="25"/>
      <c r="S38" s="214"/>
    </row>
    <row r="39" spans="1:19" ht="20" customHeight="1">
      <c r="A39" s="48"/>
      <c r="B39" s="118"/>
      <c r="C39" s="160"/>
      <c r="D39" s="118" t="s">
        <v>66</v>
      </c>
      <c r="E39" s="47" t="s">
        <v>361</v>
      </c>
      <c r="F39" s="48"/>
      <c r="G39" s="48"/>
      <c r="H39" s="47" t="s">
        <v>363</v>
      </c>
      <c r="I39" s="47"/>
      <c r="J39" s="47"/>
      <c r="K39" s="47"/>
      <c r="L39" s="47"/>
      <c r="M39" s="69" t="s">
        <v>697</v>
      </c>
      <c r="N39" s="48">
        <v>1</v>
      </c>
      <c r="O39" s="48" t="s">
        <v>728</v>
      </c>
      <c r="P39" s="48"/>
      <c r="Q39" s="48"/>
      <c r="R39" s="47"/>
      <c r="S39" s="214"/>
    </row>
    <row r="40" spans="1:19" ht="20" customHeight="1">
      <c r="A40" s="48"/>
      <c r="B40" s="118"/>
      <c r="C40" s="160"/>
      <c r="D40" s="118" t="s">
        <v>708</v>
      </c>
      <c r="E40" s="20" t="s">
        <v>222</v>
      </c>
      <c r="F40" s="24"/>
      <c r="G40" s="24"/>
      <c r="H40" s="25"/>
      <c r="I40" s="25"/>
      <c r="J40" s="25"/>
      <c r="K40" s="25"/>
      <c r="L40" s="25"/>
      <c r="M40" s="25" t="s">
        <v>697</v>
      </c>
      <c r="N40" s="48">
        <v>1</v>
      </c>
      <c r="O40" s="48" t="s">
        <v>728</v>
      </c>
      <c r="P40" s="24"/>
      <c r="Q40" s="185"/>
      <c r="R40" s="25"/>
      <c r="S40" s="214"/>
    </row>
    <row r="41" spans="1:19" ht="20" customHeight="1">
      <c r="A41" s="48"/>
      <c r="B41" s="118"/>
      <c r="C41" s="160"/>
      <c r="D41" s="118" t="s">
        <v>67</v>
      </c>
      <c r="E41" s="47" t="s">
        <v>747</v>
      </c>
      <c r="F41" s="48"/>
      <c r="G41" s="48"/>
      <c r="H41" s="47" t="s">
        <v>761</v>
      </c>
      <c r="I41" s="47"/>
      <c r="J41" s="47"/>
      <c r="K41" s="47"/>
      <c r="L41" s="47"/>
      <c r="M41" s="69" t="s">
        <v>697</v>
      </c>
      <c r="N41" s="48">
        <v>1</v>
      </c>
      <c r="O41" s="48" t="s">
        <v>728</v>
      </c>
      <c r="P41" s="48"/>
      <c r="Q41" s="48"/>
      <c r="R41" s="47"/>
      <c r="S41" s="214"/>
    </row>
    <row r="42" spans="1:19" ht="20" customHeight="1">
      <c r="A42" s="48"/>
      <c r="B42" s="118"/>
      <c r="C42" s="160"/>
      <c r="D42" s="118" t="s">
        <v>68</v>
      </c>
      <c r="E42" s="20" t="s">
        <v>205</v>
      </c>
      <c r="F42" s="24"/>
      <c r="G42" s="24"/>
      <c r="H42" s="25"/>
      <c r="I42" s="25"/>
      <c r="J42" s="25"/>
      <c r="K42" s="25"/>
      <c r="L42" s="25"/>
      <c r="M42" s="25" t="s">
        <v>697</v>
      </c>
      <c r="N42" s="48">
        <v>1</v>
      </c>
      <c r="O42" s="48" t="s">
        <v>728</v>
      </c>
      <c r="P42" s="24"/>
      <c r="Q42" s="185"/>
      <c r="R42" s="25"/>
      <c r="S42" s="214"/>
    </row>
    <row r="43" spans="1:19" ht="20" customHeight="1">
      <c r="A43" s="48"/>
      <c r="B43" s="59"/>
      <c r="C43" s="162"/>
      <c r="D43" s="118" t="s">
        <v>69</v>
      </c>
      <c r="E43" s="25" t="s">
        <v>165</v>
      </c>
      <c r="F43" s="24"/>
      <c r="G43" s="24"/>
      <c r="H43" s="25"/>
      <c r="I43" s="25"/>
      <c r="J43" s="25"/>
      <c r="K43" s="25"/>
      <c r="L43" s="25"/>
      <c r="M43" s="25" t="s">
        <v>697</v>
      </c>
      <c r="N43" s="48">
        <v>1</v>
      </c>
      <c r="O43" s="48" t="s">
        <v>728</v>
      </c>
      <c r="P43" s="24"/>
      <c r="Q43" s="185"/>
      <c r="R43" s="25"/>
      <c r="S43" s="214"/>
    </row>
    <row r="44" spans="1:19" ht="20" customHeight="1">
      <c r="A44" s="48"/>
      <c r="B44" s="59"/>
      <c r="C44" s="162"/>
      <c r="D44" s="118" t="s">
        <v>70</v>
      </c>
      <c r="E44" s="20" t="s">
        <v>232</v>
      </c>
      <c r="F44" s="24"/>
      <c r="G44" s="24"/>
      <c r="H44" s="25"/>
      <c r="I44" s="25"/>
      <c r="J44" s="25"/>
      <c r="K44" s="25"/>
      <c r="L44" s="25"/>
      <c r="M44" s="25" t="s">
        <v>697</v>
      </c>
      <c r="N44" s="48">
        <v>1</v>
      </c>
      <c r="O44" s="48" t="s">
        <v>728</v>
      </c>
      <c r="P44" s="24"/>
      <c r="Q44" s="185"/>
      <c r="R44" s="25"/>
      <c r="S44" s="214"/>
    </row>
    <row r="45" spans="1:19" ht="20" customHeight="1">
      <c r="A45" s="48"/>
      <c r="B45" s="59"/>
      <c r="C45" s="162"/>
      <c r="D45" s="118" t="s">
        <v>71</v>
      </c>
      <c r="E45" s="25" t="s">
        <v>176</v>
      </c>
      <c r="F45" s="24"/>
      <c r="G45" s="24"/>
      <c r="H45" s="25"/>
      <c r="I45" s="25"/>
      <c r="J45" s="25"/>
      <c r="K45" s="25"/>
      <c r="L45" s="25"/>
      <c r="M45" s="25" t="s">
        <v>697</v>
      </c>
      <c r="N45" s="48">
        <v>1</v>
      </c>
      <c r="O45" s="48" t="s">
        <v>728</v>
      </c>
      <c r="P45" s="24"/>
      <c r="Q45" s="185"/>
      <c r="R45" s="25"/>
      <c r="S45" s="214"/>
    </row>
    <row r="46" spans="1:19" ht="18" customHeight="1">
      <c r="A46" s="217"/>
      <c r="D46" s="19" t="s">
        <v>73</v>
      </c>
      <c r="E46" s="25" t="s">
        <v>755</v>
      </c>
      <c r="F46" s="24"/>
      <c r="G46" s="48"/>
      <c r="H46" s="25"/>
      <c r="I46" s="47"/>
      <c r="J46" s="25"/>
      <c r="K46" s="25"/>
      <c r="L46" s="47"/>
      <c r="M46" s="25" t="s">
        <v>697</v>
      </c>
      <c r="N46" s="24">
        <v>1</v>
      </c>
      <c r="O46" s="24" t="s">
        <v>728</v>
      </c>
      <c r="P46" s="24"/>
      <c r="Q46" s="48"/>
      <c r="R46" s="25"/>
      <c r="S46" s="214"/>
    </row>
    <row r="47" spans="1:19" ht="18" customHeight="1">
      <c r="D47" s="200" t="s">
        <v>74</v>
      </c>
      <c r="E47" s="201" t="s">
        <v>372</v>
      </c>
      <c r="F47" s="202"/>
      <c r="G47" s="202"/>
      <c r="H47" s="201"/>
      <c r="I47" s="201"/>
      <c r="J47" s="201"/>
      <c r="K47" s="201"/>
      <c r="L47" s="201"/>
      <c r="M47" s="201" t="s">
        <v>697</v>
      </c>
      <c r="N47" s="202">
        <v>1</v>
      </c>
      <c r="O47" s="202" t="s">
        <v>726</v>
      </c>
      <c r="P47" s="202"/>
      <c r="Q47" s="240"/>
      <c r="R47" s="201"/>
      <c r="S47" s="241"/>
    </row>
    <row r="48" spans="1:19" ht="18" customHeight="1" thickBot="1">
      <c r="A48" s="219"/>
      <c r="D48" s="196"/>
      <c r="E48" s="119"/>
      <c r="F48" s="218"/>
      <c r="G48" s="218"/>
      <c r="H48" s="119"/>
      <c r="I48" s="119"/>
      <c r="J48" s="119"/>
      <c r="K48" s="119"/>
      <c r="L48" s="119"/>
      <c r="M48" s="119"/>
      <c r="N48" s="218"/>
      <c r="O48" s="218"/>
      <c r="P48" s="218"/>
      <c r="Q48" s="228"/>
      <c r="R48" s="119"/>
      <c r="S48" s="242"/>
    </row>
    <row r="49" spans="1:19" ht="18" customHeight="1">
      <c r="A49" s="217"/>
      <c r="D49" s="243"/>
      <c r="E49" s="253" t="s">
        <v>760</v>
      </c>
      <c r="F49" s="244" t="s">
        <v>734</v>
      </c>
      <c r="G49" s="216"/>
      <c r="H49" s="4"/>
      <c r="I49" s="119"/>
      <c r="J49" s="4"/>
      <c r="K49" s="4"/>
      <c r="L49" s="119"/>
      <c r="M49" s="4"/>
      <c r="N49" s="5"/>
      <c r="O49" s="5"/>
      <c r="P49" s="5"/>
      <c r="Q49" s="228"/>
      <c r="R49" s="4"/>
      <c r="S49" s="229"/>
    </row>
    <row r="50" spans="1:19" ht="18" customHeight="1">
      <c r="D50" s="245"/>
      <c r="E50" s="246" t="s">
        <v>731</v>
      </c>
      <c r="F50" s="247">
        <v>44</v>
      </c>
      <c r="G50" s="70"/>
      <c r="I50" s="199"/>
      <c r="J50" s="199"/>
      <c r="M50" s="217" t="s">
        <v>720</v>
      </c>
      <c r="N50" s="217">
        <f>SUM(Table135678[[จำนวน ]])</f>
        <v>46</v>
      </c>
      <c r="O50" s="217" t="s">
        <v>756</v>
      </c>
      <c r="P50" s="70"/>
      <c r="Q50" s="70"/>
    </row>
    <row r="51" spans="1:19">
      <c r="D51" s="248"/>
      <c r="E51" s="246" t="s">
        <v>732</v>
      </c>
      <c r="F51" s="247">
        <v>1</v>
      </c>
      <c r="G51" s="70"/>
      <c r="I51" s="199"/>
      <c r="J51" s="199"/>
      <c r="O51" s="70"/>
      <c r="P51" s="70"/>
      <c r="Q51" s="70"/>
    </row>
    <row r="52" spans="1:19">
      <c r="D52" s="249"/>
      <c r="E52" s="246" t="s">
        <v>733</v>
      </c>
      <c r="F52" s="247">
        <v>1</v>
      </c>
      <c r="G52" s="70"/>
      <c r="I52" s="199"/>
      <c r="J52" s="199"/>
      <c r="O52" s="70"/>
      <c r="P52" s="70"/>
      <c r="Q52" s="70"/>
    </row>
    <row r="53" spans="1:19" ht="18" thickBot="1">
      <c r="D53" s="250"/>
      <c r="E53" s="251" t="s">
        <v>720</v>
      </c>
      <c r="F53" s="252">
        <f>SUM(F50:F52)</f>
        <v>46</v>
      </c>
      <c r="G53" s="70"/>
    </row>
  </sheetData>
  <phoneticPr fontId="11" type="noConversion"/>
  <printOptions horizontalCentered="1" verticalCentered="1"/>
  <pageMargins left="0" right="0" top="0.39000000000000007" bottom="0.39000000000000007" header="0" footer="0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63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62"/>
  <sheetViews>
    <sheetView zoomScale="150" zoomScaleNormal="150" zoomScalePageLayoutView="150" workbookViewId="0">
      <pane ySplit="1" topLeftCell="A38" activePane="bottomLeft" state="frozen"/>
      <selection pane="bottomLeft" activeCell="D25" sqref="A25:XFD25"/>
    </sheetView>
  </sheetViews>
  <sheetFormatPr baseColWidth="10" defaultColWidth="8.83203125" defaultRowHeight="17" x14ac:dyDescent="0"/>
  <cols>
    <col min="1" max="1" width="5.5" style="174" hidden="1" customWidth="1"/>
    <col min="2" max="2" width="6" style="127" hidden="1" customWidth="1"/>
    <col min="3" max="3" width="6.83203125" style="127" hidden="1" customWidth="1"/>
    <col min="4" max="4" width="7.33203125" style="127" customWidth="1"/>
    <col min="5" max="5" width="36.6640625" style="70" customWidth="1"/>
    <col min="6" max="6" width="10" style="174" hidden="1" customWidth="1"/>
    <col min="7" max="7" width="32.33203125" style="70" hidden="1" customWidth="1"/>
    <col min="8" max="8" width="14" style="70" hidden="1" customWidth="1"/>
    <col min="9" max="9" width="12.5" style="70" hidden="1" customWidth="1"/>
    <col min="10" max="10" width="7.5" style="70" customWidth="1"/>
    <col min="11" max="11" width="9" style="70" hidden="1" customWidth="1"/>
    <col min="12" max="12" width="14.1640625" style="174" customWidth="1"/>
    <col min="13" max="13" width="11.5" style="174" hidden="1" customWidth="1"/>
    <col min="14" max="14" width="16.83203125" style="174" hidden="1" customWidth="1"/>
    <col min="15" max="15" width="10.1640625" style="174" hidden="1" customWidth="1"/>
    <col min="16" max="27" width="10.1640625" style="70" hidden="1" customWidth="1"/>
    <col min="28" max="28" width="15.6640625" style="70" hidden="1" customWidth="1"/>
    <col min="29" max="29" width="15.6640625" style="70" customWidth="1"/>
    <col min="30" max="30" width="15.6640625" style="108" customWidth="1"/>
    <col min="31" max="31" width="10.5" style="181" customWidth="1"/>
    <col min="32" max="32" width="15.6640625" style="181" customWidth="1"/>
    <col min="33" max="33" width="8.83203125" style="70"/>
    <col min="34" max="34" width="10.33203125" style="70" bestFit="1" customWidth="1"/>
    <col min="35" max="16384" width="8.83203125" style="70"/>
  </cols>
  <sheetData>
    <row r="1" spans="1:33" s="117" customFormat="1" ht="20" customHeight="1">
      <c r="A1" s="112" t="s">
        <v>3</v>
      </c>
      <c r="B1" s="113" t="s">
        <v>4</v>
      </c>
      <c r="C1" s="114"/>
      <c r="D1" s="166" t="s">
        <v>3</v>
      </c>
      <c r="E1" s="115" t="s">
        <v>5</v>
      </c>
      <c r="F1" s="115" t="s">
        <v>0</v>
      </c>
      <c r="G1" s="115" t="s">
        <v>1</v>
      </c>
      <c r="H1" s="115" t="s">
        <v>638</v>
      </c>
      <c r="I1" s="115" t="s">
        <v>6</v>
      </c>
      <c r="J1" s="115" t="s">
        <v>696</v>
      </c>
      <c r="K1" s="115" t="s">
        <v>702</v>
      </c>
      <c r="L1" s="115" t="s">
        <v>7</v>
      </c>
      <c r="M1" s="115" t="s">
        <v>639</v>
      </c>
      <c r="N1" s="115" t="s">
        <v>2</v>
      </c>
      <c r="O1" s="167" t="s">
        <v>668</v>
      </c>
      <c r="P1" s="167" t="s">
        <v>669</v>
      </c>
      <c r="Q1" s="167" t="s">
        <v>672</v>
      </c>
      <c r="R1" s="167" t="s">
        <v>673</v>
      </c>
      <c r="S1" s="167" t="s">
        <v>675</v>
      </c>
      <c r="T1" s="167" t="s">
        <v>678</v>
      </c>
      <c r="U1" s="167" t="s">
        <v>679</v>
      </c>
      <c r="V1" s="167" t="s">
        <v>682</v>
      </c>
      <c r="W1" s="167" t="s">
        <v>684</v>
      </c>
      <c r="X1" s="167" t="s">
        <v>685</v>
      </c>
      <c r="Y1" s="167" t="s">
        <v>686</v>
      </c>
      <c r="Z1" s="167" t="s">
        <v>689</v>
      </c>
      <c r="AA1" s="167" t="s">
        <v>690</v>
      </c>
      <c r="AB1" s="167" t="s">
        <v>703</v>
      </c>
      <c r="AC1" s="167" t="s">
        <v>720</v>
      </c>
      <c r="AD1" s="168" t="s">
        <v>721</v>
      </c>
      <c r="AE1" s="176" t="s">
        <v>730</v>
      </c>
      <c r="AF1" s="208"/>
      <c r="AG1" s="116"/>
    </row>
    <row r="2" spans="1:33" s="174" customFormat="1" ht="20" customHeight="1">
      <c r="A2" s="48"/>
      <c r="B2" s="118"/>
      <c r="C2" s="160"/>
      <c r="D2" s="59" t="s">
        <v>21</v>
      </c>
      <c r="E2" s="47" t="s">
        <v>264</v>
      </c>
      <c r="F2" s="48" t="s">
        <v>265</v>
      </c>
      <c r="G2" s="47" t="s">
        <v>266</v>
      </c>
      <c r="H2" s="47"/>
      <c r="I2" s="47"/>
      <c r="J2" s="69" t="s">
        <v>697</v>
      </c>
      <c r="K2" s="48">
        <v>1</v>
      </c>
      <c r="L2" s="48" t="s">
        <v>728</v>
      </c>
      <c r="M2" s="48"/>
      <c r="N2" s="48" t="s">
        <v>267</v>
      </c>
      <c r="O2" s="48">
        <v>97400</v>
      </c>
      <c r="P2" s="47">
        <v>106401</v>
      </c>
      <c r="Q2" s="47">
        <v>117472</v>
      </c>
      <c r="R2" s="47">
        <v>129553</v>
      </c>
      <c r="S2" s="47">
        <v>136197</v>
      </c>
      <c r="T2" s="47">
        <v>143099</v>
      </c>
      <c r="U2" s="47">
        <v>153931</v>
      </c>
      <c r="V2" s="47">
        <v>164958</v>
      </c>
      <c r="W2" s="47">
        <v>174907</v>
      </c>
      <c r="X2" s="47">
        <v>185248</v>
      </c>
      <c r="Y2" s="47">
        <v>192988</v>
      </c>
      <c r="Z2" s="47">
        <v>203627</v>
      </c>
      <c r="AA2" s="47">
        <v>210787</v>
      </c>
      <c r="AB2" s="47">
        <f>Table13567[[#This Row],[Dec-58]]-Table13567[[#This Row],[Dec-57]]</f>
        <v>113387</v>
      </c>
      <c r="AC2" s="47">
        <f>AB2</f>
        <v>113387</v>
      </c>
      <c r="AD2" s="186">
        <f>AC2/12</f>
        <v>9448.9166666666661</v>
      </c>
      <c r="AE2" s="177">
        <f>200000/Table13567[[#This Row],[เฉลี่ยการใช้งานต่อเดือน]]</f>
        <v>21.166447652729151</v>
      </c>
      <c r="AF2" s="210"/>
      <c r="AG2" s="173"/>
    </row>
    <row r="3" spans="1:33" s="174" customFormat="1" ht="20" hidden="1" customHeight="1">
      <c r="A3" s="48"/>
      <c r="B3" s="118"/>
      <c r="C3" s="160"/>
      <c r="D3" s="189" t="s">
        <v>23</v>
      </c>
      <c r="E3" s="190" t="s">
        <v>276</v>
      </c>
      <c r="F3" s="191" t="s">
        <v>277</v>
      </c>
      <c r="G3" s="190" t="s">
        <v>278</v>
      </c>
      <c r="H3" s="190"/>
      <c r="I3" s="191"/>
      <c r="J3" s="192" t="s">
        <v>697</v>
      </c>
      <c r="K3" s="191">
        <v>1</v>
      </c>
      <c r="L3" s="191" t="s">
        <v>727</v>
      </c>
      <c r="M3" s="191"/>
      <c r="N3" s="191" t="s">
        <v>281</v>
      </c>
      <c r="O3" s="191">
        <v>32280</v>
      </c>
      <c r="P3" s="190">
        <v>38774</v>
      </c>
      <c r="Q3" s="190">
        <v>48301</v>
      </c>
      <c r="R3" s="190">
        <v>57067</v>
      </c>
      <c r="S3" s="190">
        <v>69145</v>
      </c>
      <c r="T3" s="190"/>
      <c r="U3" s="190"/>
      <c r="V3" s="190"/>
      <c r="W3" s="190"/>
      <c r="X3" s="190"/>
      <c r="Y3" s="190"/>
      <c r="Z3" s="190"/>
      <c r="AA3" s="190"/>
      <c r="AB3" s="190">
        <f>Table13567[[#This Row],[Apr-58]]-Table13567[[#This Row],[Dec-57]]</f>
        <v>36865</v>
      </c>
      <c r="AC3" s="190">
        <v>80627</v>
      </c>
      <c r="AD3" s="194">
        <f>AC3/9</f>
        <v>8958.5555555555547</v>
      </c>
      <c r="AE3" s="207">
        <f>400000/Table13567[[#This Row],[เฉลี่ยการใช้งานต่อเดือน]]</f>
        <v>44.650055192429342</v>
      </c>
      <c r="AF3" s="210"/>
      <c r="AG3" s="173"/>
    </row>
    <row r="4" spans="1:33" s="174" customFormat="1" ht="20" customHeight="1">
      <c r="A4" s="48"/>
      <c r="B4" s="118"/>
      <c r="C4" s="160"/>
      <c r="D4" s="59" t="s">
        <v>25</v>
      </c>
      <c r="E4" s="47" t="s">
        <v>103</v>
      </c>
      <c r="F4" s="48" t="s">
        <v>104</v>
      </c>
      <c r="G4" s="47" t="s">
        <v>105</v>
      </c>
      <c r="H4" s="47"/>
      <c r="I4" s="47"/>
      <c r="J4" s="69" t="s">
        <v>697</v>
      </c>
      <c r="K4" s="48">
        <v>1</v>
      </c>
      <c r="L4" s="48" t="s">
        <v>728</v>
      </c>
      <c r="M4" s="48"/>
      <c r="N4" s="48" t="s">
        <v>106</v>
      </c>
      <c r="O4" s="48">
        <v>178094</v>
      </c>
      <c r="P4" s="47">
        <v>184270</v>
      </c>
      <c r="Q4" s="47">
        <v>195045</v>
      </c>
      <c r="R4" s="47">
        <v>204861</v>
      </c>
      <c r="S4" s="47">
        <v>209861</v>
      </c>
      <c r="T4" s="47">
        <v>224024</v>
      </c>
      <c r="U4" s="47">
        <v>233806</v>
      </c>
      <c r="V4" s="47">
        <v>241129</v>
      </c>
      <c r="W4" s="47">
        <v>247866</v>
      </c>
      <c r="X4" s="47">
        <v>255936</v>
      </c>
      <c r="Y4" s="47">
        <v>264473</v>
      </c>
      <c r="Z4" s="47">
        <v>271312</v>
      </c>
      <c r="AA4" s="47">
        <v>278981</v>
      </c>
      <c r="AB4" s="47">
        <f>Table13567[[#This Row],[Dec-58]]-Table13567[[#This Row],[Dec-57]]</f>
        <v>100887</v>
      </c>
      <c r="AC4" s="47">
        <f>AB4</f>
        <v>100887</v>
      </c>
      <c r="AD4" s="186">
        <f>AC4/12</f>
        <v>8407.25</v>
      </c>
      <c r="AE4" s="195">
        <f>240000/Table13567[[#This Row],[เฉลี่ยการใช้งานต่อเดือน]]</f>
        <v>28.546789972940022</v>
      </c>
      <c r="AF4" s="210"/>
      <c r="AG4" s="173"/>
    </row>
    <row r="5" spans="1:33" s="174" customFormat="1" ht="20" hidden="1" customHeight="1">
      <c r="A5" s="48"/>
      <c r="B5" s="118"/>
      <c r="C5" s="160"/>
      <c r="D5" s="189" t="s">
        <v>27</v>
      </c>
      <c r="E5" s="190" t="s">
        <v>153</v>
      </c>
      <c r="F5" s="191" t="s">
        <v>154</v>
      </c>
      <c r="G5" s="190" t="s">
        <v>155</v>
      </c>
      <c r="H5" s="190"/>
      <c r="I5" s="190"/>
      <c r="J5" s="192" t="s">
        <v>697</v>
      </c>
      <c r="K5" s="191">
        <v>1</v>
      </c>
      <c r="L5" s="191" t="s">
        <v>727</v>
      </c>
      <c r="M5" s="191"/>
      <c r="N5" s="191" t="s">
        <v>156</v>
      </c>
      <c r="O5" s="191">
        <v>159647</v>
      </c>
      <c r="P5" s="190">
        <v>166777</v>
      </c>
      <c r="Q5" s="190">
        <v>178749</v>
      </c>
      <c r="R5" s="190">
        <v>190921</v>
      </c>
      <c r="S5" s="190">
        <v>200273</v>
      </c>
      <c r="T5" s="190">
        <v>209823</v>
      </c>
      <c r="U5" s="190">
        <v>219659</v>
      </c>
      <c r="V5" s="190">
        <v>228191</v>
      </c>
      <c r="W5" s="190"/>
      <c r="X5" s="190"/>
      <c r="Y5" s="190"/>
      <c r="Z5" s="190"/>
      <c r="AA5" s="190"/>
      <c r="AB5" s="190">
        <f>Table13567[[#This Row],[Jul-58]]-Table13567[[#This Row],[Dec-57]]</f>
        <v>68544</v>
      </c>
      <c r="AC5" s="190">
        <v>71164</v>
      </c>
      <c r="AD5" s="194">
        <f>AC5/9</f>
        <v>7907.1111111111113</v>
      </c>
      <c r="AE5" s="207">
        <f>480000/Table13567[[#This Row],[เฉลี่ยการใช้งานต่อเดือน]]</f>
        <v>60.704850767241865</v>
      </c>
      <c r="AF5" s="210"/>
      <c r="AG5" s="173"/>
    </row>
    <row r="6" spans="1:33" s="174" customFormat="1" ht="20" hidden="1" customHeight="1">
      <c r="A6" s="48"/>
      <c r="B6" s="118"/>
      <c r="C6" s="160"/>
      <c r="D6" s="189" t="s">
        <v>28</v>
      </c>
      <c r="E6" s="190" t="s">
        <v>254</v>
      </c>
      <c r="F6" s="191" t="s">
        <v>255</v>
      </c>
      <c r="G6" s="190" t="s">
        <v>256</v>
      </c>
      <c r="H6" s="190"/>
      <c r="I6" s="190"/>
      <c r="J6" s="192" t="s">
        <v>697</v>
      </c>
      <c r="K6" s="191">
        <v>1</v>
      </c>
      <c r="L6" s="191" t="s">
        <v>727</v>
      </c>
      <c r="M6" s="191"/>
      <c r="N6" s="191" t="s">
        <v>257</v>
      </c>
      <c r="O6" s="191">
        <v>180298</v>
      </c>
      <c r="P6" s="190">
        <v>186850</v>
      </c>
      <c r="Q6" s="190">
        <v>195231</v>
      </c>
      <c r="R6" s="190">
        <v>204748</v>
      </c>
      <c r="S6" s="190">
        <v>218330</v>
      </c>
      <c r="T6" s="190">
        <v>224544</v>
      </c>
      <c r="U6" s="190">
        <v>235807</v>
      </c>
      <c r="V6" s="190">
        <v>242314</v>
      </c>
      <c r="W6" s="190">
        <v>251839</v>
      </c>
      <c r="X6" s="190">
        <v>260787</v>
      </c>
      <c r="Y6" s="190">
        <v>267560</v>
      </c>
      <c r="Z6" s="190"/>
      <c r="AA6" s="190"/>
      <c r="AB6" s="190">
        <f>Table13567[[#This Row],[Oct-58]]-Table13567[[#This Row],[Dec-57]]</f>
        <v>87262</v>
      </c>
      <c r="AC6" s="190">
        <v>94659</v>
      </c>
      <c r="AD6" s="194">
        <f>AC6/12</f>
        <v>7888.25</v>
      </c>
      <c r="AE6" s="207">
        <f>480000/Table13567[[#This Row],[เฉลี่ยการใช้งานต่อเดือน]]</f>
        <v>60.849998415364624</v>
      </c>
      <c r="AF6" s="210"/>
      <c r="AG6" s="173"/>
    </row>
    <row r="7" spans="1:33" s="174" customFormat="1" ht="20" hidden="1" customHeight="1">
      <c r="A7" s="48"/>
      <c r="B7" s="118"/>
      <c r="C7" s="160"/>
      <c r="D7" s="189" t="s">
        <v>30</v>
      </c>
      <c r="E7" s="190" t="s">
        <v>729</v>
      </c>
      <c r="F7" s="24"/>
      <c r="G7" s="25"/>
      <c r="H7" s="25"/>
      <c r="I7" s="25"/>
      <c r="J7" s="192" t="s">
        <v>697</v>
      </c>
      <c r="K7" s="191">
        <v>2</v>
      </c>
      <c r="L7" s="191" t="s">
        <v>727</v>
      </c>
      <c r="M7" s="24"/>
      <c r="N7" s="24"/>
      <c r="O7" s="48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190">
        <f>Table13567[[#This Row],[เฉลี่ยการใช้งานต่อเดือน]]*12</f>
        <v>96000</v>
      </c>
      <c r="AD7" s="193">
        <v>8000</v>
      </c>
      <c r="AE7" s="207">
        <f>480000/Table13567[[#This Row],[เฉลี่ยการใช้งานต่อเดือน]]</f>
        <v>60</v>
      </c>
      <c r="AF7" s="210"/>
      <c r="AG7" s="173"/>
    </row>
    <row r="8" spans="1:33" s="174" customFormat="1" ht="20" customHeight="1">
      <c r="A8" s="48"/>
      <c r="B8" s="118"/>
      <c r="C8" s="160"/>
      <c r="D8" s="59" t="s">
        <v>31</v>
      </c>
      <c r="E8" s="47" t="s">
        <v>321</v>
      </c>
      <c r="F8" s="48" t="s">
        <v>322</v>
      </c>
      <c r="G8" s="47" t="s">
        <v>323</v>
      </c>
      <c r="H8" s="47"/>
      <c r="I8" s="47"/>
      <c r="J8" s="69" t="s">
        <v>697</v>
      </c>
      <c r="K8" s="48">
        <v>1</v>
      </c>
      <c r="L8" s="48" t="s">
        <v>728</v>
      </c>
      <c r="M8" s="48"/>
      <c r="N8" s="48" t="s">
        <v>324</v>
      </c>
      <c r="O8" s="48">
        <v>99988</v>
      </c>
      <c r="P8" s="47">
        <v>103108</v>
      </c>
      <c r="Q8" s="47">
        <v>109058</v>
      </c>
      <c r="R8" s="47">
        <v>114048</v>
      </c>
      <c r="S8" s="47">
        <v>118430</v>
      </c>
      <c r="T8" s="47">
        <v>125316</v>
      </c>
      <c r="U8" s="47">
        <v>137505</v>
      </c>
      <c r="V8" s="47">
        <v>148459</v>
      </c>
      <c r="W8" s="47">
        <v>156476</v>
      </c>
      <c r="X8" s="47">
        <v>166156</v>
      </c>
      <c r="Y8" s="47">
        <v>173752</v>
      </c>
      <c r="Z8" s="47">
        <v>184926</v>
      </c>
      <c r="AA8" s="47">
        <v>194480</v>
      </c>
      <c r="AB8" s="47">
        <f>Table13567[[#This Row],[Dec-58]]-Table13567[[#This Row],[Dec-57]]</f>
        <v>94492</v>
      </c>
      <c r="AC8" s="47">
        <f t="shared" ref="AC8:AC13" si="0">AB8</f>
        <v>94492</v>
      </c>
      <c r="AD8" s="187">
        <f t="shared" ref="AD8:AD22" si="1">AC8/12</f>
        <v>7874.333333333333</v>
      </c>
      <c r="AE8" s="178">
        <f>240000/Table13567[[#This Row],[เฉลี่ยการใช้งานต่อเดือน]]</f>
        <v>30.478770689582188</v>
      </c>
      <c r="AF8" s="210"/>
      <c r="AG8" s="173"/>
    </row>
    <row r="9" spans="1:33" ht="20" customHeight="1">
      <c r="A9" s="48"/>
      <c r="B9" s="118"/>
      <c r="C9" s="160"/>
      <c r="D9" s="59" t="s">
        <v>32</v>
      </c>
      <c r="E9" s="47" t="s">
        <v>357</v>
      </c>
      <c r="F9" s="48" t="s">
        <v>358</v>
      </c>
      <c r="G9" s="47" t="s">
        <v>359</v>
      </c>
      <c r="H9" s="47"/>
      <c r="I9" s="47"/>
      <c r="J9" s="69" t="s">
        <v>697</v>
      </c>
      <c r="K9" s="48">
        <v>1</v>
      </c>
      <c r="L9" s="48" t="s">
        <v>728</v>
      </c>
      <c r="M9" s="48"/>
      <c r="N9" s="48" t="s">
        <v>360</v>
      </c>
      <c r="O9" s="48">
        <v>96026</v>
      </c>
      <c r="P9" s="47">
        <v>105373</v>
      </c>
      <c r="Q9" s="47">
        <v>114235</v>
      </c>
      <c r="R9" s="47">
        <v>122667</v>
      </c>
      <c r="S9" s="47">
        <v>128973</v>
      </c>
      <c r="T9" s="47">
        <v>134829</v>
      </c>
      <c r="U9" s="47">
        <v>142981</v>
      </c>
      <c r="V9" s="47">
        <v>150260</v>
      </c>
      <c r="W9" s="47">
        <v>156155</v>
      </c>
      <c r="X9" s="47">
        <v>166117</v>
      </c>
      <c r="Y9" s="47">
        <v>173380</v>
      </c>
      <c r="Z9" s="47">
        <v>181148</v>
      </c>
      <c r="AA9" s="47">
        <v>187123</v>
      </c>
      <c r="AB9" s="47">
        <f>Table13567[[#This Row],[Dec-58]]-Table13567[[#This Row],[Dec-57]]</f>
        <v>91097</v>
      </c>
      <c r="AC9" s="47">
        <f t="shared" si="0"/>
        <v>91097</v>
      </c>
      <c r="AD9" s="169">
        <f t="shared" si="1"/>
        <v>7591.416666666667</v>
      </c>
      <c r="AE9" s="178">
        <f>240000/Table13567[[#This Row],[เฉลี่ยการใช้งานต่อเดือน]]</f>
        <v>31.614652513255102</v>
      </c>
      <c r="AF9" s="210"/>
      <c r="AG9" s="119" t="s">
        <v>85</v>
      </c>
    </row>
    <row r="10" spans="1:33" ht="20" customHeight="1">
      <c r="A10" s="48"/>
      <c r="B10" s="118"/>
      <c r="C10" s="160"/>
      <c r="D10" s="59" t="s">
        <v>33</v>
      </c>
      <c r="E10" s="47" t="s">
        <v>331</v>
      </c>
      <c r="F10" s="48" t="s">
        <v>332</v>
      </c>
      <c r="G10" s="47" t="s">
        <v>333</v>
      </c>
      <c r="H10" s="47"/>
      <c r="I10" s="47"/>
      <c r="J10" s="69" t="s">
        <v>697</v>
      </c>
      <c r="K10" s="48">
        <v>1</v>
      </c>
      <c r="L10" s="48" t="s">
        <v>728</v>
      </c>
      <c r="M10" s="48"/>
      <c r="N10" s="48" t="s">
        <v>334</v>
      </c>
      <c r="O10" s="48">
        <v>10169</v>
      </c>
      <c r="P10" s="47">
        <v>15957</v>
      </c>
      <c r="Q10" s="47">
        <v>25760</v>
      </c>
      <c r="R10" s="47">
        <v>36949</v>
      </c>
      <c r="S10" s="47">
        <v>41480</v>
      </c>
      <c r="T10" s="47">
        <v>50144</v>
      </c>
      <c r="U10" s="47">
        <v>56676</v>
      </c>
      <c r="V10" s="47">
        <v>66503</v>
      </c>
      <c r="W10" s="47">
        <v>69881</v>
      </c>
      <c r="X10" s="47">
        <v>76230</v>
      </c>
      <c r="Y10" s="47">
        <v>85813</v>
      </c>
      <c r="Z10" s="47">
        <v>92655</v>
      </c>
      <c r="AA10" s="47">
        <v>96146</v>
      </c>
      <c r="AB10" s="47">
        <f>Table13567[[#This Row],[Dec-58]]-Table13567[[#This Row],[Dec-57]]</f>
        <v>85977</v>
      </c>
      <c r="AC10" s="47">
        <f t="shared" si="0"/>
        <v>85977</v>
      </c>
      <c r="AD10" s="169">
        <f t="shared" si="1"/>
        <v>7164.75</v>
      </c>
      <c r="AE10" s="178">
        <f>240000/Table13567[[#This Row],[เฉลี่ยการใช้งานต่อเดือน]]</f>
        <v>33.497330681461321</v>
      </c>
      <c r="AF10" s="210"/>
      <c r="AG10" s="119" t="s">
        <v>90</v>
      </c>
    </row>
    <row r="11" spans="1:33" ht="20" customHeight="1">
      <c r="A11" s="48"/>
      <c r="B11" s="118"/>
      <c r="C11" s="160"/>
      <c r="D11" s="59" t="s">
        <v>34</v>
      </c>
      <c r="E11" s="47" t="s">
        <v>308</v>
      </c>
      <c r="F11" s="48" t="s">
        <v>309</v>
      </c>
      <c r="G11" s="47" t="s">
        <v>310</v>
      </c>
      <c r="H11" s="47"/>
      <c r="I11" s="47"/>
      <c r="J11" s="69" t="s">
        <v>697</v>
      </c>
      <c r="K11" s="48">
        <v>1</v>
      </c>
      <c r="L11" s="48" t="s">
        <v>728</v>
      </c>
      <c r="M11" s="48"/>
      <c r="N11" s="48" t="s">
        <v>311</v>
      </c>
      <c r="O11" s="48">
        <v>132962</v>
      </c>
      <c r="P11" s="47">
        <v>139236</v>
      </c>
      <c r="Q11" s="47">
        <v>146890</v>
      </c>
      <c r="R11" s="47">
        <v>158711</v>
      </c>
      <c r="S11" s="47">
        <v>163453</v>
      </c>
      <c r="T11" s="47">
        <v>172361</v>
      </c>
      <c r="U11" s="47">
        <v>176718</v>
      </c>
      <c r="V11" s="47">
        <v>188193</v>
      </c>
      <c r="W11" s="47">
        <v>199290</v>
      </c>
      <c r="X11" s="47">
        <v>204498</v>
      </c>
      <c r="Y11" s="47">
        <v>210202</v>
      </c>
      <c r="Z11" s="47">
        <v>213758</v>
      </c>
      <c r="AA11" s="47">
        <v>218668</v>
      </c>
      <c r="AB11" s="47">
        <f>Table13567[[#This Row],[Dec-58]]-Table13567[[#This Row],[Dec-57]]</f>
        <v>85706</v>
      </c>
      <c r="AC11" s="47">
        <f t="shared" si="0"/>
        <v>85706</v>
      </c>
      <c r="AD11" s="169">
        <f t="shared" si="1"/>
        <v>7142.166666666667</v>
      </c>
      <c r="AE11" s="178">
        <f>240000/Table13567[[#This Row],[เฉลี่ยการใช้งานต่อเดือน]]</f>
        <v>33.603248314003686</v>
      </c>
      <c r="AF11" s="210"/>
      <c r="AG11" s="119" t="s">
        <v>95</v>
      </c>
    </row>
    <row r="12" spans="1:33" ht="20" customHeight="1">
      <c r="A12" s="48"/>
      <c r="B12" s="118"/>
      <c r="C12" s="160"/>
      <c r="D12" s="59" t="s">
        <v>35</v>
      </c>
      <c r="E12" s="47" t="s">
        <v>91</v>
      </c>
      <c r="F12" s="48" t="s">
        <v>92</v>
      </c>
      <c r="G12" s="47" t="s">
        <v>93</v>
      </c>
      <c r="H12" s="47"/>
      <c r="I12" s="47"/>
      <c r="J12" s="69" t="s">
        <v>697</v>
      </c>
      <c r="K12" s="48">
        <v>1</v>
      </c>
      <c r="L12" s="48" t="s">
        <v>728</v>
      </c>
      <c r="M12" s="48"/>
      <c r="N12" s="48" t="s">
        <v>94</v>
      </c>
      <c r="O12" s="48">
        <v>136872</v>
      </c>
      <c r="P12" s="47">
        <v>140798</v>
      </c>
      <c r="Q12" s="47">
        <v>150469</v>
      </c>
      <c r="R12" s="47">
        <v>157304</v>
      </c>
      <c r="S12" s="47">
        <v>166472</v>
      </c>
      <c r="T12" s="47">
        <v>172761</v>
      </c>
      <c r="U12" s="47">
        <v>180883</v>
      </c>
      <c r="V12" s="47">
        <v>186234</v>
      </c>
      <c r="W12" s="47">
        <v>191827</v>
      </c>
      <c r="X12" s="47">
        <v>198505</v>
      </c>
      <c r="Y12" s="47">
        <v>205878</v>
      </c>
      <c r="Z12" s="47">
        <v>212449</v>
      </c>
      <c r="AA12" s="47">
        <v>218954</v>
      </c>
      <c r="AB12" s="47">
        <f>Table13567[[#This Row],[Dec-58]]-Table13567[[#This Row],[Dec-57]]</f>
        <v>82082</v>
      </c>
      <c r="AC12" s="47">
        <f t="shared" si="0"/>
        <v>82082</v>
      </c>
      <c r="AD12" s="169">
        <f t="shared" si="1"/>
        <v>6840.166666666667</v>
      </c>
      <c r="AE12" s="178">
        <f>240000/Table13567[[#This Row],[เฉลี่ยการใช้งานต่อเดือน]]</f>
        <v>35.08686435515704</v>
      </c>
      <c r="AF12" s="210"/>
      <c r="AG12" s="119" t="s">
        <v>102</v>
      </c>
    </row>
    <row r="13" spans="1:33" ht="20" customHeight="1">
      <c r="A13" s="48"/>
      <c r="B13" s="118"/>
      <c r="C13" s="160"/>
      <c r="D13" s="59" t="s">
        <v>36</v>
      </c>
      <c r="E13" s="47" t="s">
        <v>273</v>
      </c>
      <c r="F13" s="48" t="s">
        <v>274</v>
      </c>
      <c r="G13" s="47" t="s">
        <v>275</v>
      </c>
      <c r="H13" s="47"/>
      <c r="I13" s="47"/>
      <c r="J13" s="69" t="s">
        <v>697</v>
      </c>
      <c r="K13" s="48">
        <v>1</v>
      </c>
      <c r="L13" s="48" t="s">
        <v>728</v>
      </c>
      <c r="M13" s="48"/>
      <c r="N13" s="48" t="s">
        <v>279</v>
      </c>
      <c r="O13" s="48"/>
      <c r="P13" s="47"/>
      <c r="Q13" s="47">
        <v>11841</v>
      </c>
      <c r="R13" s="47">
        <v>17656</v>
      </c>
      <c r="S13" s="47">
        <v>23102</v>
      </c>
      <c r="T13" s="47">
        <v>29182</v>
      </c>
      <c r="U13" s="47">
        <v>40559</v>
      </c>
      <c r="V13" s="47">
        <v>48703</v>
      </c>
      <c r="W13" s="47">
        <v>57112</v>
      </c>
      <c r="X13" s="47">
        <v>68051</v>
      </c>
      <c r="Y13" s="47">
        <v>72875</v>
      </c>
      <c r="Z13" s="47">
        <v>82762</v>
      </c>
      <c r="AA13" s="47">
        <v>91403</v>
      </c>
      <c r="AB13" s="47">
        <f>Table13567[[#This Row],[Dec-58]]-Table13567[[#This Row],[Feb-58]]</f>
        <v>79562</v>
      </c>
      <c r="AC13" s="47">
        <f t="shared" si="0"/>
        <v>79562</v>
      </c>
      <c r="AD13" s="169">
        <f t="shared" si="1"/>
        <v>6630.166666666667</v>
      </c>
      <c r="AE13" s="178">
        <f>240000/Table13567[[#This Row],[เฉลี่ยการใช้งานต่อเดือน]]</f>
        <v>36.198185063221132</v>
      </c>
      <c r="AF13" s="210"/>
      <c r="AG13" s="119" t="s">
        <v>107</v>
      </c>
    </row>
    <row r="14" spans="1:33" ht="20" customHeight="1">
      <c r="A14" s="48"/>
      <c r="B14" s="118"/>
      <c r="C14" s="160"/>
      <c r="D14" s="59" t="s">
        <v>37</v>
      </c>
      <c r="E14" s="47" t="s">
        <v>346</v>
      </c>
      <c r="F14" s="120" t="s">
        <v>347</v>
      </c>
      <c r="G14" s="122" t="s">
        <v>348</v>
      </c>
      <c r="H14" s="122"/>
      <c r="I14" s="122"/>
      <c r="J14" s="69" t="s">
        <v>697</v>
      </c>
      <c r="K14" s="48">
        <v>1</v>
      </c>
      <c r="L14" s="48" t="s">
        <v>728</v>
      </c>
      <c r="M14" s="120"/>
      <c r="N14" s="120" t="s">
        <v>349</v>
      </c>
      <c r="O14" s="120">
        <v>102578</v>
      </c>
      <c r="P14" s="122">
        <v>107935</v>
      </c>
      <c r="Q14" s="122">
        <v>118248</v>
      </c>
      <c r="R14" s="122">
        <v>128399</v>
      </c>
      <c r="S14" s="122">
        <v>137042</v>
      </c>
      <c r="T14" s="122">
        <v>143510</v>
      </c>
      <c r="U14" s="122">
        <v>149472</v>
      </c>
      <c r="V14" s="122">
        <v>154954</v>
      </c>
      <c r="W14" s="122">
        <v>159843</v>
      </c>
      <c r="X14" s="122">
        <v>165026</v>
      </c>
      <c r="Y14" s="122"/>
      <c r="Z14" s="122"/>
      <c r="AA14" s="122"/>
      <c r="AB14" s="47">
        <f>Table13567[[#This Row],[Sep-58]]-O14</f>
        <v>62448</v>
      </c>
      <c r="AC14" s="47">
        <v>77994</v>
      </c>
      <c r="AD14" s="169">
        <f t="shared" si="1"/>
        <v>6499.5</v>
      </c>
      <c r="AE14" s="178">
        <f>240000/Table13567[[#This Row],[เฉลี่ยการใช้งานต่อเดือน]]</f>
        <v>36.925917378259868</v>
      </c>
      <c r="AF14" s="210"/>
      <c r="AG14" s="119" t="s">
        <v>112</v>
      </c>
    </row>
    <row r="15" spans="1:33" ht="20" customHeight="1">
      <c r="A15" s="48"/>
      <c r="B15" s="118"/>
      <c r="C15" s="160"/>
      <c r="D15" s="59" t="s">
        <v>38</v>
      </c>
      <c r="E15" s="47" t="s">
        <v>352</v>
      </c>
      <c r="F15" s="48" t="s">
        <v>353</v>
      </c>
      <c r="G15" s="47" t="s">
        <v>354</v>
      </c>
      <c r="H15" s="47"/>
      <c r="I15" s="47"/>
      <c r="J15" s="69" t="s">
        <v>697</v>
      </c>
      <c r="K15" s="48">
        <v>1</v>
      </c>
      <c r="L15" s="48" t="s">
        <v>728</v>
      </c>
      <c r="M15" s="48"/>
      <c r="N15" s="48" t="s">
        <v>355</v>
      </c>
      <c r="O15" s="48">
        <v>73110</v>
      </c>
      <c r="P15" s="47">
        <v>75678</v>
      </c>
      <c r="Q15" s="47">
        <v>85435</v>
      </c>
      <c r="R15" s="47">
        <v>92065</v>
      </c>
      <c r="S15" s="47">
        <v>104462</v>
      </c>
      <c r="T15" s="47">
        <v>109802</v>
      </c>
      <c r="U15" s="47">
        <v>116840</v>
      </c>
      <c r="V15" s="47">
        <v>120131</v>
      </c>
      <c r="W15" s="47">
        <v>126553</v>
      </c>
      <c r="X15" s="47">
        <v>133717</v>
      </c>
      <c r="Y15" s="47">
        <v>138382</v>
      </c>
      <c r="Z15" s="47">
        <v>142197</v>
      </c>
      <c r="AA15" s="47">
        <v>146475</v>
      </c>
      <c r="AB15" s="47">
        <f>Table13567[[#This Row],[Dec-58]]-Table13567[[#This Row],[Dec-57]]</f>
        <v>73365</v>
      </c>
      <c r="AC15" s="47">
        <f t="shared" ref="AC15:AC22" si="2">AB15</f>
        <v>73365</v>
      </c>
      <c r="AD15" s="169">
        <f t="shared" si="1"/>
        <v>6113.75</v>
      </c>
      <c r="AE15" s="178">
        <f>240000/Table13567[[#This Row],[เฉลี่ยการใช้งานต่อเดือน]]</f>
        <v>39.255775914945822</v>
      </c>
      <c r="AF15" s="210"/>
      <c r="AG15" s="119" t="s">
        <v>117</v>
      </c>
    </row>
    <row r="16" spans="1:33" ht="20" customHeight="1">
      <c r="A16" s="48"/>
      <c r="B16" s="118"/>
      <c r="C16" s="160"/>
      <c r="D16" s="59" t="s">
        <v>39</v>
      </c>
      <c r="E16" s="47" t="s">
        <v>259</v>
      </c>
      <c r="F16" s="48" t="s">
        <v>260</v>
      </c>
      <c r="G16" s="47" t="s">
        <v>261</v>
      </c>
      <c r="H16" s="47"/>
      <c r="I16" s="47"/>
      <c r="J16" s="69" t="s">
        <v>697</v>
      </c>
      <c r="K16" s="48">
        <v>1</v>
      </c>
      <c r="L16" s="48" t="s">
        <v>728</v>
      </c>
      <c r="M16" s="48"/>
      <c r="N16" s="48" t="s">
        <v>262</v>
      </c>
      <c r="O16" s="48">
        <v>86531</v>
      </c>
      <c r="P16" s="47">
        <v>87373</v>
      </c>
      <c r="Q16" s="47">
        <v>91470</v>
      </c>
      <c r="R16" s="47">
        <v>95166</v>
      </c>
      <c r="S16" s="47">
        <v>100706</v>
      </c>
      <c r="T16" s="47">
        <v>108174</v>
      </c>
      <c r="U16" s="47">
        <v>118162</v>
      </c>
      <c r="V16" s="47">
        <v>124914</v>
      </c>
      <c r="W16" s="47">
        <v>128207</v>
      </c>
      <c r="X16" s="47">
        <v>135374</v>
      </c>
      <c r="Y16" s="47">
        <v>142787</v>
      </c>
      <c r="Z16" s="47">
        <v>149237</v>
      </c>
      <c r="AA16" s="47">
        <v>159668</v>
      </c>
      <c r="AB16" s="47">
        <f>Table13567[[#This Row],[Dec-58]]-Table13567[[#This Row],[Dec-57]]</f>
        <v>73137</v>
      </c>
      <c r="AC16" s="47">
        <f t="shared" si="2"/>
        <v>73137</v>
      </c>
      <c r="AD16" s="169">
        <f t="shared" si="1"/>
        <v>6094.75</v>
      </c>
      <c r="AE16" s="178">
        <f>240000/Table13567[[#This Row],[เฉลี่ยการใช้งานต่อเดือน]]</f>
        <v>39.378153328684526</v>
      </c>
      <c r="AF16" s="210"/>
      <c r="AG16" s="119" t="s">
        <v>122</v>
      </c>
    </row>
    <row r="17" spans="1:33" ht="20" customHeight="1">
      <c r="A17" s="48"/>
      <c r="B17" s="118"/>
      <c r="C17" s="160"/>
      <c r="D17" s="59" t="s">
        <v>40</v>
      </c>
      <c r="E17" s="47" t="s">
        <v>138</v>
      </c>
      <c r="F17" s="48" t="s">
        <v>139</v>
      </c>
      <c r="G17" s="47" t="s">
        <v>140</v>
      </c>
      <c r="H17" s="47"/>
      <c r="I17" s="47"/>
      <c r="J17" s="69" t="s">
        <v>697</v>
      </c>
      <c r="K17" s="48">
        <v>1</v>
      </c>
      <c r="L17" s="48" t="s">
        <v>728</v>
      </c>
      <c r="M17" s="48"/>
      <c r="N17" s="48" t="s">
        <v>141</v>
      </c>
      <c r="O17" s="48">
        <v>119838</v>
      </c>
      <c r="P17" s="47">
        <v>123785</v>
      </c>
      <c r="Q17" s="47">
        <v>129553</v>
      </c>
      <c r="R17" s="47">
        <v>136826</v>
      </c>
      <c r="S17" s="47">
        <v>140558</v>
      </c>
      <c r="T17" s="47">
        <v>145622</v>
      </c>
      <c r="U17" s="47">
        <v>150208</v>
      </c>
      <c r="V17" s="47">
        <v>158784</v>
      </c>
      <c r="W17" s="47">
        <v>162433</v>
      </c>
      <c r="X17" s="47">
        <v>168063</v>
      </c>
      <c r="Y17" s="47">
        <v>174618</v>
      </c>
      <c r="Z17" s="47">
        <v>181438</v>
      </c>
      <c r="AA17" s="47">
        <v>186239</v>
      </c>
      <c r="AB17" s="47">
        <f>Table13567[[#This Row],[Dec-58]]-Table13567[[#This Row],[Dec-57]]</f>
        <v>66401</v>
      </c>
      <c r="AC17" s="47">
        <f t="shared" si="2"/>
        <v>66401</v>
      </c>
      <c r="AD17" s="169">
        <f t="shared" si="1"/>
        <v>5533.416666666667</v>
      </c>
      <c r="AE17" s="178">
        <f>240000/Table13567[[#This Row],[เฉลี่ยการใช้งานต่อเดือน]]</f>
        <v>43.372840770470319</v>
      </c>
      <c r="AF17" s="210"/>
      <c r="AG17" s="119" t="s">
        <v>127</v>
      </c>
    </row>
    <row r="18" spans="1:33" s="124" customFormat="1" ht="20" customHeight="1">
      <c r="A18" s="120"/>
      <c r="B18" s="121"/>
      <c r="C18" s="161"/>
      <c r="D18" s="59" t="s">
        <v>41</v>
      </c>
      <c r="E18" s="47" t="s">
        <v>326</v>
      </c>
      <c r="F18" s="48" t="s">
        <v>327</v>
      </c>
      <c r="G18" s="47" t="s">
        <v>328</v>
      </c>
      <c r="H18" s="47"/>
      <c r="I18" s="47"/>
      <c r="J18" s="69" t="s">
        <v>697</v>
      </c>
      <c r="K18" s="48">
        <v>1</v>
      </c>
      <c r="L18" s="48" t="s">
        <v>728</v>
      </c>
      <c r="M18" s="48"/>
      <c r="N18" s="48" t="s">
        <v>329</v>
      </c>
      <c r="O18" s="48">
        <v>94971</v>
      </c>
      <c r="P18" s="47">
        <v>100140</v>
      </c>
      <c r="Q18" s="47">
        <v>107815</v>
      </c>
      <c r="R18" s="47">
        <v>109440</v>
      </c>
      <c r="S18" s="47">
        <v>113521</v>
      </c>
      <c r="T18" s="47">
        <v>119344</v>
      </c>
      <c r="U18" s="47">
        <v>123338</v>
      </c>
      <c r="V18" s="47">
        <v>131842</v>
      </c>
      <c r="W18" s="47">
        <v>133672</v>
      </c>
      <c r="X18" s="47">
        <v>141402</v>
      </c>
      <c r="Y18" s="47">
        <v>147226</v>
      </c>
      <c r="Z18" s="47">
        <v>155673</v>
      </c>
      <c r="AA18" s="47">
        <v>160850</v>
      </c>
      <c r="AB18" s="47">
        <f>Table13567[[#This Row],[Dec-58]]-Table13567[[#This Row],[Dec-57]]</f>
        <v>65879</v>
      </c>
      <c r="AC18" s="47">
        <f t="shared" si="2"/>
        <v>65879</v>
      </c>
      <c r="AD18" s="169">
        <f t="shared" si="1"/>
        <v>5489.916666666667</v>
      </c>
      <c r="AE18" s="178">
        <f>240000/Table13567[[#This Row],[เฉลี่ยการใช้งานต่อเดือน]]</f>
        <v>43.716510572413057</v>
      </c>
      <c r="AF18" s="210"/>
      <c r="AG18" s="123" t="s">
        <v>131</v>
      </c>
    </row>
    <row r="19" spans="1:33" ht="20" customHeight="1">
      <c r="A19" s="48"/>
      <c r="B19" s="118"/>
      <c r="C19" s="160"/>
      <c r="D19" s="59" t="s">
        <v>42</v>
      </c>
      <c r="E19" s="47" t="s">
        <v>78</v>
      </c>
      <c r="F19" s="48" t="s">
        <v>79</v>
      </c>
      <c r="G19" s="47" t="s">
        <v>83</v>
      </c>
      <c r="H19" s="47"/>
      <c r="I19" s="47"/>
      <c r="J19" s="69" t="s">
        <v>697</v>
      </c>
      <c r="K19" s="48">
        <v>1</v>
      </c>
      <c r="L19" s="48" t="s">
        <v>728</v>
      </c>
      <c r="M19" s="48"/>
      <c r="N19" s="48" t="s">
        <v>84</v>
      </c>
      <c r="O19" s="48">
        <v>112605</v>
      </c>
      <c r="P19" s="47">
        <v>115236</v>
      </c>
      <c r="Q19" s="47">
        <v>119558</v>
      </c>
      <c r="R19" s="47">
        <v>123611</v>
      </c>
      <c r="S19" s="47">
        <v>126865</v>
      </c>
      <c r="T19" s="47">
        <v>130992</v>
      </c>
      <c r="U19" s="47">
        <v>136644</v>
      </c>
      <c r="V19" s="47">
        <v>145163</v>
      </c>
      <c r="W19" s="47">
        <v>152516</v>
      </c>
      <c r="X19" s="47">
        <v>158845</v>
      </c>
      <c r="Y19" s="47">
        <v>164600</v>
      </c>
      <c r="Z19" s="47">
        <v>170782</v>
      </c>
      <c r="AA19" s="47">
        <v>177825</v>
      </c>
      <c r="AB19" s="47">
        <f>Table13567[[#This Row],[Dec-58]]-Table13567[[#This Row],[Dec-57]]</f>
        <v>65220</v>
      </c>
      <c r="AC19" s="47">
        <f t="shared" si="2"/>
        <v>65220</v>
      </c>
      <c r="AD19" s="169">
        <f t="shared" si="1"/>
        <v>5435</v>
      </c>
      <c r="AE19" s="178">
        <f>240000/Table13567[[#This Row],[เฉลี่ยการใช้งานต่อเดือน]]</f>
        <v>44.158233670653175</v>
      </c>
      <c r="AF19" s="210"/>
      <c r="AG19" s="119" t="s">
        <v>136</v>
      </c>
    </row>
    <row r="20" spans="1:33" s="124" customFormat="1" ht="20" customHeight="1">
      <c r="A20" s="120"/>
      <c r="B20" s="121"/>
      <c r="C20" s="161"/>
      <c r="D20" s="59" t="s">
        <v>43</v>
      </c>
      <c r="E20" s="47" t="s">
        <v>249</v>
      </c>
      <c r="F20" s="48" t="s">
        <v>250</v>
      </c>
      <c r="G20" s="47" t="s">
        <v>251</v>
      </c>
      <c r="H20" s="47"/>
      <c r="I20" s="47"/>
      <c r="J20" s="69" t="s">
        <v>697</v>
      </c>
      <c r="K20" s="48">
        <v>1</v>
      </c>
      <c r="L20" s="48" t="s">
        <v>728</v>
      </c>
      <c r="M20" s="48"/>
      <c r="N20" s="48" t="s">
        <v>252</v>
      </c>
      <c r="O20" s="48">
        <v>126237</v>
      </c>
      <c r="P20" s="47">
        <v>128199</v>
      </c>
      <c r="Q20" s="47">
        <v>133026</v>
      </c>
      <c r="R20" s="47">
        <v>139867</v>
      </c>
      <c r="S20" s="47">
        <v>142946</v>
      </c>
      <c r="T20" s="47">
        <v>149599</v>
      </c>
      <c r="U20" s="47">
        <v>155934</v>
      </c>
      <c r="V20" s="47">
        <v>169894</v>
      </c>
      <c r="W20" s="47">
        <v>173868</v>
      </c>
      <c r="X20" s="47">
        <v>178288</v>
      </c>
      <c r="Y20" s="47">
        <v>181232</v>
      </c>
      <c r="Z20" s="47">
        <v>186787</v>
      </c>
      <c r="AA20" s="47">
        <v>189813</v>
      </c>
      <c r="AB20" s="47">
        <f>Table13567[[#This Row],[Dec-58]]-Table13567[[#This Row],[Dec-57]]</f>
        <v>63576</v>
      </c>
      <c r="AC20" s="47">
        <f t="shared" si="2"/>
        <v>63576</v>
      </c>
      <c r="AD20" s="169">
        <f t="shared" si="1"/>
        <v>5298</v>
      </c>
      <c r="AE20" s="178">
        <f>240000/Table13567[[#This Row],[เฉลี่ยการใช้งานต่อเดือน]]</f>
        <v>45.300113250283125</v>
      </c>
      <c r="AF20" s="210"/>
      <c r="AG20" s="123" t="s">
        <v>122</v>
      </c>
    </row>
    <row r="21" spans="1:33" ht="20" customHeight="1">
      <c r="A21" s="48"/>
      <c r="B21" s="118"/>
      <c r="C21" s="160"/>
      <c r="D21" s="59" t="s">
        <v>44</v>
      </c>
      <c r="E21" s="47" t="s">
        <v>294</v>
      </c>
      <c r="F21" s="48" t="s">
        <v>295</v>
      </c>
      <c r="G21" s="47" t="s">
        <v>296</v>
      </c>
      <c r="H21" s="47"/>
      <c r="I21" s="47"/>
      <c r="J21" s="69" t="s">
        <v>697</v>
      </c>
      <c r="K21" s="48">
        <v>1</v>
      </c>
      <c r="L21" s="48" t="s">
        <v>728</v>
      </c>
      <c r="M21" s="48"/>
      <c r="N21" s="48" t="s">
        <v>297</v>
      </c>
      <c r="O21" s="48">
        <v>7706</v>
      </c>
      <c r="P21" s="47">
        <v>10121</v>
      </c>
      <c r="Q21" s="47">
        <v>16974</v>
      </c>
      <c r="R21" s="47">
        <v>22392</v>
      </c>
      <c r="S21" s="47">
        <v>26308</v>
      </c>
      <c r="T21" s="47">
        <v>33346</v>
      </c>
      <c r="U21" s="47">
        <v>40246</v>
      </c>
      <c r="V21" s="47">
        <v>49832</v>
      </c>
      <c r="W21" s="47">
        <v>51699</v>
      </c>
      <c r="X21" s="47">
        <v>56611</v>
      </c>
      <c r="Y21" s="47">
        <v>60351</v>
      </c>
      <c r="Z21" s="47">
        <v>65527</v>
      </c>
      <c r="AA21" s="47">
        <v>70985</v>
      </c>
      <c r="AB21" s="47">
        <f>Table13567[[#This Row],[Dec-58]]-Table13567[[#This Row],[Dec-57]]</f>
        <v>63279</v>
      </c>
      <c r="AC21" s="47">
        <f t="shared" si="2"/>
        <v>63279</v>
      </c>
      <c r="AD21" s="169">
        <f t="shared" si="1"/>
        <v>5273.25</v>
      </c>
      <c r="AE21" s="178">
        <f>240000/Table13567[[#This Row],[เฉลี่ยการใช้งานต่อเดือน]]</f>
        <v>45.512729341487699</v>
      </c>
      <c r="AF21" s="210"/>
      <c r="AG21" s="119" t="s">
        <v>142</v>
      </c>
    </row>
    <row r="22" spans="1:33" ht="20" customHeight="1">
      <c r="A22" s="48"/>
      <c r="B22" s="118"/>
      <c r="C22" s="160"/>
      <c r="D22" s="59" t="s">
        <v>45</v>
      </c>
      <c r="E22" s="47" t="s">
        <v>96</v>
      </c>
      <c r="F22" s="48" t="s">
        <v>97</v>
      </c>
      <c r="G22" s="47" t="s">
        <v>98</v>
      </c>
      <c r="H22" s="47"/>
      <c r="I22" s="47"/>
      <c r="J22" s="69" t="s">
        <v>697</v>
      </c>
      <c r="K22" s="48">
        <v>1</v>
      </c>
      <c r="L22" s="48" t="s">
        <v>728</v>
      </c>
      <c r="M22" s="48"/>
      <c r="N22" s="48" t="s">
        <v>101</v>
      </c>
      <c r="O22" s="48">
        <v>72296</v>
      </c>
      <c r="P22" s="47">
        <v>75669</v>
      </c>
      <c r="Q22" s="47">
        <v>80818</v>
      </c>
      <c r="R22" s="47">
        <v>86915</v>
      </c>
      <c r="S22" s="47">
        <v>93964</v>
      </c>
      <c r="T22" s="47">
        <v>98170</v>
      </c>
      <c r="U22" s="47">
        <v>103496</v>
      </c>
      <c r="V22" s="47">
        <v>109631</v>
      </c>
      <c r="W22" s="47">
        <v>113743</v>
      </c>
      <c r="X22" s="47">
        <v>121139</v>
      </c>
      <c r="Y22" s="47">
        <v>124039</v>
      </c>
      <c r="Z22" s="47">
        <v>130789</v>
      </c>
      <c r="AA22" s="47">
        <v>135465</v>
      </c>
      <c r="AB22" s="47">
        <f>Table13567[[#This Row],[Dec-58]]-Table13567[[#This Row],[Dec-57]]</f>
        <v>63169</v>
      </c>
      <c r="AC22" s="47">
        <f t="shared" si="2"/>
        <v>63169</v>
      </c>
      <c r="AD22" s="169">
        <f t="shared" si="1"/>
        <v>5264.083333333333</v>
      </c>
      <c r="AE22" s="178">
        <f>240000/Table13567[[#This Row],[เฉลี่ยการใช้งานต่อเดือน]]</f>
        <v>45.591983409583818</v>
      </c>
      <c r="AF22" s="210"/>
      <c r="AG22" s="119" t="s">
        <v>152</v>
      </c>
    </row>
    <row r="23" spans="1:33" s="124" customFormat="1" ht="20" customHeight="1">
      <c r="A23" s="120"/>
      <c r="B23" s="121"/>
      <c r="C23" s="161"/>
      <c r="D23" s="59" t="s">
        <v>46</v>
      </c>
      <c r="E23" s="47" t="s">
        <v>148</v>
      </c>
      <c r="F23" s="48" t="s">
        <v>149</v>
      </c>
      <c r="G23" s="47" t="s">
        <v>150</v>
      </c>
      <c r="H23" s="47"/>
      <c r="I23" s="47"/>
      <c r="J23" s="69" t="s">
        <v>697</v>
      </c>
      <c r="K23" s="48">
        <v>1</v>
      </c>
      <c r="L23" s="48" t="s">
        <v>728</v>
      </c>
      <c r="M23" s="48"/>
      <c r="N23" s="48" t="s">
        <v>151</v>
      </c>
      <c r="O23" s="48">
        <v>69223</v>
      </c>
      <c r="P23" s="47">
        <v>74767</v>
      </c>
      <c r="Q23" s="47">
        <v>79568</v>
      </c>
      <c r="R23" s="47">
        <v>86571</v>
      </c>
      <c r="S23" s="47">
        <v>92523</v>
      </c>
      <c r="T23" s="47">
        <v>97661</v>
      </c>
      <c r="U23" s="47">
        <v>101063</v>
      </c>
      <c r="V23" s="47">
        <v>107170</v>
      </c>
      <c r="W23" s="47">
        <v>113031</v>
      </c>
      <c r="X23" s="47">
        <v>116419</v>
      </c>
      <c r="Y23" s="47">
        <v>121593</v>
      </c>
      <c r="Z23" s="47">
        <v>125679</v>
      </c>
      <c r="AA23" s="47">
        <v>130449</v>
      </c>
      <c r="AB23" s="47">
        <f>Table13567[[#This Row],[Dec-58]]-Table13567[[#This Row],[Dec-57]]</f>
        <v>61226</v>
      </c>
      <c r="AC23" s="47">
        <f>Table13567[[#This Row],[ปริมาณการใชบ้ทั้งปี]]</f>
        <v>61226</v>
      </c>
      <c r="AD23" s="169">
        <f>AB23/12</f>
        <v>5102.166666666667</v>
      </c>
      <c r="AE23" s="178">
        <f>240000/Table13567[[#This Row],[เฉลี่ยการใช้งานต่อเดือน]]</f>
        <v>47.038839708620515</v>
      </c>
      <c r="AF23" s="210"/>
      <c r="AG23" s="123" t="s">
        <v>95</v>
      </c>
    </row>
    <row r="24" spans="1:33" ht="20" customHeight="1">
      <c r="A24" s="48"/>
      <c r="B24" s="118"/>
      <c r="C24" s="160"/>
      <c r="D24" s="59" t="s">
        <v>47</v>
      </c>
      <c r="E24" s="47" t="s">
        <v>143</v>
      </c>
      <c r="F24" s="48" t="s">
        <v>144</v>
      </c>
      <c r="G24" s="47" t="s">
        <v>145</v>
      </c>
      <c r="H24" s="47"/>
      <c r="I24" s="47"/>
      <c r="J24" s="69" t="s">
        <v>697</v>
      </c>
      <c r="K24" s="48">
        <v>1</v>
      </c>
      <c r="L24" s="48" t="s">
        <v>728</v>
      </c>
      <c r="M24" s="48"/>
      <c r="N24" s="48" t="s">
        <v>146</v>
      </c>
      <c r="O24" s="48">
        <v>114268</v>
      </c>
      <c r="P24" s="47">
        <v>115953</v>
      </c>
      <c r="Q24" s="47">
        <v>122362</v>
      </c>
      <c r="R24" s="47">
        <v>128737</v>
      </c>
      <c r="S24" s="47">
        <v>133296</v>
      </c>
      <c r="T24" s="47">
        <v>139182</v>
      </c>
      <c r="U24" s="47">
        <v>147093</v>
      </c>
      <c r="V24" s="47">
        <v>150528</v>
      </c>
      <c r="W24" s="47">
        <v>154681</v>
      </c>
      <c r="X24" s="47">
        <v>159486</v>
      </c>
      <c r="Y24" s="47">
        <v>165247</v>
      </c>
      <c r="Z24" s="47">
        <v>168867</v>
      </c>
      <c r="AA24" s="47"/>
      <c r="AB24" s="47">
        <f>Table13567[[#This Row],[Nov-58]]-Table13567[[#This Row],[Dec-57]]</f>
        <v>54599</v>
      </c>
      <c r="AC24" s="47">
        <v>60791</v>
      </c>
      <c r="AD24" s="169">
        <f t="shared" ref="AD24:AD33" si="3">AC24/12</f>
        <v>5065.916666666667</v>
      </c>
      <c r="AE24" s="178">
        <f>240000/Table13567[[#This Row],[เฉลี่ยการใช้งานต่อเดือน]]</f>
        <v>47.375433863565327</v>
      </c>
      <c r="AF24" s="210"/>
      <c r="AG24" s="119" t="s">
        <v>163</v>
      </c>
    </row>
    <row r="25" spans="1:33" ht="20" customHeight="1">
      <c r="A25" s="48"/>
      <c r="B25" s="118"/>
      <c r="C25" s="160"/>
      <c r="D25" s="59" t="s">
        <v>48</v>
      </c>
      <c r="E25" s="47" t="s">
        <v>424</v>
      </c>
      <c r="F25" s="48" t="s">
        <v>425</v>
      </c>
      <c r="G25" s="47" t="s">
        <v>426</v>
      </c>
      <c r="H25" s="47"/>
      <c r="I25" s="48"/>
      <c r="J25" s="69" t="s">
        <v>697</v>
      </c>
      <c r="K25" s="48">
        <v>1</v>
      </c>
      <c r="L25" s="48" t="s">
        <v>728</v>
      </c>
      <c r="M25" s="47"/>
      <c r="N25" s="48" t="s">
        <v>427</v>
      </c>
      <c r="O25" s="48">
        <v>103488</v>
      </c>
      <c r="P25" s="47">
        <v>107800</v>
      </c>
      <c r="Q25" s="47">
        <v>111415</v>
      </c>
      <c r="R25" s="47">
        <v>118123</v>
      </c>
      <c r="S25" s="47">
        <v>120058</v>
      </c>
      <c r="T25" s="47">
        <v>124935</v>
      </c>
      <c r="U25" s="47">
        <v>126326</v>
      </c>
      <c r="V25" s="47">
        <v>132045</v>
      </c>
      <c r="W25" s="47">
        <v>137973</v>
      </c>
      <c r="X25" s="47">
        <v>148485</v>
      </c>
      <c r="Y25" s="47">
        <v>153224</v>
      </c>
      <c r="Z25" s="47">
        <v>157177</v>
      </c>
      <c r="AA25" s="47">
        <v>159052</v>
      </c>
      <c r="AB25" s="47">
        <f>Table13567[[#This Row],[Dec-58]]-Table13567[[#This Row],[Dec-57]]</f>
        <v>55564</v>
      </c>
      <c r="AC25" s="47">
        <f t="shared" ref="AC25:AC32" si="4">AB25</f>
        <v>55564</v>
      </c>
      <c r="AD25" s="169">
        <f t="shared" si="3"/>
        <v>4630.333333333333</v>
      </c>
      <c r="AE25" s="178">
        <f>240000/Table13567[[#This Row],[เฉลี่ยการใช้งานต่อเดือน]]</f>
        <v>51.832121517529337</v>
      </c>
      <c r="AF25" s="210"/>
      <c r="AG25" s="119" t="s">
        <v>253</v>
      </c>
    </row>
    <row r="26" spans="1:33" ht="20" customHeight="1">
      <c r="A26" s="48"/>
      <c r="B26" s="118"/>
      <c r="C26" s="160"/>
      <c r="D26" s="59" t="s">
        <v>49</v>
      </c>
      <c r="E26" s="47" t="s">
        <v>113</v>
      </c>
      <c r="F26" s="48" t="s">
        <v>114</v>
      </c>
      <c r="G26" s="47" t="s">
        <v>115</v>
      </c>
      <c r="H26" s="47"/>
      <c r="I26" s="47"/>
      <c r="J26" s="69" t="s">
        <v>697</v>
      </c>
      <c r="K26" s="48">
        <v>1</v>
      </c>
      <c r="L26" s="48" t="s">
        <v>728</v>
      </c>
      <c r="M26" s="48"/>
      <c r="N26" s="48" t="s">
        <v>116</v>
      </c>
      <c r="O26" s="48">
        <v>79780</v>
      </c>
      <c r="P26" s="47">
        <v>84395</v>
      </c>
      <c r="Q26" s="47">
        <v>90213</v>
      </c>
      <c r="R26" s="47">
        <v>95279</v>
      </c>
      <c r="S26" s="47">
        <v>99071</v>
      </c>
      <c r="T26" s="47">
        <v>103220</v>
      </c>
      <c r="U26" s="47">
        <v>109909</v>
      </c>
      <c r="V26" s="47">
        <v>114549</v>
      </c>
      <c r="W26" s="47">
        <v>118183</v>
      </c>
      <c r="X26" s="47">
        <v>122506</v>
      </c>
      <c r="Y26" s="47">
        <v>125942</v>
      </c>
      <c r="Z26" s="47">
        <v>130571</v>
      </c>
      <c r="AA26" s="47">
        <v>133950</v>
      </c>
      <c r="AB26" s="47">
        <f>Table13567[[#This Row],[Dec-58]]-Table13567[[#This Row],[Dec-57]]</f>
        <v>54170</v>
      </c>
      <c r="AC26" s="47">
        <f t="shared" si="4"/>
        <v>54170</v>
      </c>
      <c r="AD26" s="169">
        <f t="shared" si="3"/>
        <v>4514.166666666667</v>
      </c>
      <c r="AE26" s="178">
        <f>240000/Table13567[[#This Row],[เฉลี่ยการใช้งานต่อเดือน]]</f>
        <v>53.165959017906587</v>
      </c>
      <c r="AF26" s="210"/>
      <c r="AG26" s="119" t="s">
        <v>258</v>
      </c>
    </row>
    <row r="27" spans="1:33" ht="20" customHeight="1">
      <c r="A27" s="48"/>
      <c r="B27" s="118"/>
      <c r="C27" s="160"/>
      <c r="D27" s="59" t="s">
        <v>50</v>
      </c>
      <c r="E27" s="47" t="s">
        <v>289</v>
      </c>
      <c r="F27" s="48" t="s">
        <v>290</v>
      </c>
      <c r="G27" s="47" t="s">
        <v>291</v>
      </c>
      <c r="H27" s="47"/>
      <c r="I27" s="47"/>
      <c r="J27" s="69" t="s">
        <v>697</v>
      </c>
      <c r="K27" s="48">
        <v>1</v>
      </c>
      <c r="L27" s="48" t="s">
        <v>728</v>
      </c>
      <c r="M27" s="48"/>
      <c r="N27" s="48" t="s">
        <v>292</v>
      </c>
      <c r="O27" s="48">
        <v>75155</v>
      </c>
      <c r="P27" s="47">
        <v>80450</v>
      </c>
      <c r="Q27" s="47">
        <v>84976</v>
      </c>
      <c r="R27" s="47">
        <v>89803</v>
      </c>
      <c r="S27" s="47">
        <v>96310</v>
      </c>
      <c r="T27" s="47">
        <v>101310</v>
      </c>
      <c r="U27" s="47">
        <v>101617</v>
      </c>
      <c r="V27" s="47">
        <v>106552</v>
      </c>
      <c r="W27" s="47">
        <v>111652</v>
      </c>
      <c r="X27" s="47">
        <v>116788</v>
      </c>
      <c r="Y27" s="47">
        <v>120499</v>
      </c>
      <c r="Z27" s="47">
        <v>124931</v>
      </c>
      <c r="AA27" s="47">
        <v>128495</v>
      </c>
      <c r="AB27" s="47">
        <f>Table13567[[#This Row],[Dec-58]]-Table13567[[#This Row],[Dec-57]]</f>
        <v>53340</v>
      </c>
      <c r="AC27" s="47">
        <f t="shared" si="4"/>
        <v>53340</v>
      </c>
      <c r="AD27" s="169">
        <f t="shared" si="3"/>
        <v>4445</v>
      </c>
      <c r="AE27" s="178">
        <f>240000/Table13567[[#This Row],[เฉลี่ยการใช้งานต่อเดือน]]</f>
        <v>53.993250843644546</v>
      </c>
      <c r="AF27" s="210"/>
      <c r="AG27" s="119" t="s">
        <v>263</v>
      </c>
    </row>
    <row r="28" spans="1:33" ht="20" customHeight="1">
      <c r="A28" s="48"/>
      <c r="B28" s="118"/>
      <c r="C28" s="160"/>
      <c r="D28" s="59" t="s">
        <v>51</v>
      </c>
      <c r="E28" s="47" t="s">
        <v>108</v>
      </c>
      <c r="F28" s="48" t="s">
        <v>109</v>
      </c>
      <c r="G28" s="47" t="s">
        <v>110</v>
      </c>
      <c r="H28" s="47"/>
      <c r="I28" s="47"/>
      <c r="J28" s="69" t="s">
        <v>697</v>
      </c>
      <c r="K28" s="48">
        <v>1</v>
      </c>
      <c r="L28" s="48" t="s">
        <v>728</v>
      </c>
      <c r="M28" s="48"/>
      <c r="N28" s="48" t="s">
        <v>111</v>
      </c>
      <c r="O28" s="48">
        <v>71354</v>
      </c>
      <c r="P28" s="47">
        <v>73817</v>
      </c>
      <c r="Q28" s="47">
        <v>80789</v>
      </c>
      <c r="R28" s="47">
        <v>83362</v>
      </c>
      <c r="S28" s="47">
        <v>87741</v>
      </c>
      <c r="T28" s="47">
        <v>94502</v>
      </c>
      <c r="U28" s="47">
        <v>96600</v>
      </c>
      <c r="V28" s="47">
        <v>104644</v>
      </c>
      <c r="W28" s="47">
        <v>106456</v>
      </c>
      <c r="X28" s="47">
        <v>111708</v>
      </c>
      <c r="Y28" s="47">
        <v>116328</v>
      </c>
      <c r="Z28" s="47">
        <v>120762</v>
      </c>
      <c r="AA28" s="47">
        <v>124504</v>
      </c>
      <c r="AB28" s="47">
        <f>Table13567[[#This Row],[Dec-58]]-Table13567[[#This Row],[Dec-57]]</f>
        <v>53150</v>
      </c>
      <c r="AC28" s="47">
        <f t="shared" si="4"/>
        <v>53150</v>
      </c>
      <c r="AD28" s="169">
        <f t="shared" si="3"/>
        <v>4429.166666666667</v>
      </c>
      <c r="AE28" s="178">
        <f>240000/Table13567[[#This Row],[เฉลี่ยการใช้งานต่อเดือน]]</f>
        <v>54.186265286923799</v>
      </c>
      <c r="AF28" s="210"/>
      <c r="AG28" s="119" t="s">
        <v>268</v>
      </c>
    </row>
    <row r="29" spans="1:33" ht="20" customHeight="1">
      <c r="A29" s="48"/>
      <c r="B29" s="118"/>
      <c r="C29" s="160"/>
      <c r="D29" s="59" t="s">
        <v>52</v>
      </c>
      <c r="E29" s="47" t="s">
        <v>336</v>
      </c>
      <c r="F29" s="48" t="s">
        <v>337</v>
      </c>
      <c r="G29" s="47" t="s">
        <v>338</v>
      </c>
      <c r="H29" s="47"/>
      <c r="I29" s="47"/>
      <c r="J29" s="69" t="s">
        <v>697</v>
      </c>
      <c r="K29" s="48">
        <v>1</v>
      </c>
      <c r="L29" s="48" t="s">
        <v>728</v>
      </c>
      <c r="M29" s="48"/>
      <c r="N29" s="48" t="s">
        <v>339</v>
      </c>
      <c r="O29" s="48">
        <v>78628</v>
      </c>
      <c r="P29" s="47">
        <v>81473</v>
      </c>
      <c r="Q29" s="47">
        <v>87182</v>
      </c>
      <c r="R29" s="47">
        <v>92536</v>
      </c>
      <c r="S29" s="47">
        <v>96850</v>
      </c>
      <c r="T29" s="47">
        <v>102762</v>
      </c>
      <c r="U29" s="47">
        <v>108472</v>
      </c>
      <c r="V29" s="47">
        <v>111589</v>
      </c>
      <c r="W29" s="47">
        <v>116749</v>
      </c>
      <c r="X29" s="47">
        <v>120028</v>
      </c>
      <c r="Y29" s="47">
        <v>123386</v>
      </c>
      <c r="Z29" s="47">
        <v>127717</v>
      </c>
      <c r="AA29" s="47">
        <v>131589</v>
      </c>
      <c r="AB29" s="47">
        <f>Table13567[[#This Row],[Dec-58]]-Table13567[[#This Row],[Dec-57]]</f>
        <v>52961</v>
      </c>
      <c r="AC29" s="47">
        <f t="shared" si="4"/>
        <v>52961</v>
      </c>
      <c r="AD29" s="169">
        <f t="shared" si="3"/>
        <v>4413.416666666667</v>
      </c>
      <c r="AE29" s="178">
        <f>240000/Table13567[[#This Row],[เฉลี่ยการใช้งานต่อเดือน]]</f>
        <v>54.379637846717394</v>
      </c>
      <c r="AF29" s="210"/>
      <c r="AG29" s="119" t="s">
        <v>136</v>
      </c>
    </row>
    <row r="30" spans="1:33" s="124" customFormat="1" ht="20" customHeight="1">
      <c r="A30" s="120"/>
      <c r="B30" s="121"/>
      <c r="C30" s="161"/>
      <c r="D30" s="59" t="s">
        <v>53</v>
      </c>
      <c r="E30" s="47" t="s">
        <v>78</v>
      </c>
      <c r="F30" s="48" t="s">
        <v>79</v>
      </c>
      <c r="G30" s="47" t="s">
        <v>80</v>
      </c>
      <c r="H30" s="47"/>
      <c r="I30" s="47"/>
      <c r="J30" s="69" t="s">
        <v>697</v>
      </c>
      <c r="K30" s="48">
        <v>1</v>
      </c>
      <c r="L30" s="48" t="s">
        <v>728</v>
      </c>
      <c r="M30" s="48"/>
      <c r="N30" s="48" t="s">
        <v>82</v>
      </c>
      <c r="O30" s="48">
        <v>32752</v>
      </c>
      <c r="P30" s="47">
        <v>37846</v>
      </c>
      <c r="Q30" s="47">
        <v>41521</v>
      </c>
      <c r="R30" s="47">
        <v>44849</v>
      </c>
      <c r="S30" s="47">
        <v>47733</v>
      </c>
      <c r="T30" s="47">
        <v>52677</v>
      </c>
      <c r="U30" s="47">
        <v>61821</v>
      </c>
      <c r="V30" s="47">
        <v>65771</v>
      </c>
      <c r="W30" s="47">
        <v>69099</v>
      </c>
      <c r="X30" s="47">
        <v>73258</v>
      </c>
      <c r="Y30" s="47">
        <v>75874</v>
      </c>
      <c r="Z30" s="47">
        <v>79283</v>
      </c>
      <c r="AA30" s="47">
        <v>81962</v>
      </c>
      <c r="AB30" s="47">
        <f>Table13567[[#This Row],[Dec-58]]-Table13567[[#This Row],[Dec-57]]</f>
        <v>49210</v>
      </c>
      <c r="AC30" s="47">
        <f t="shared" si="4"/>
        <v>49210</v>
      </c>
      <c r="AD30" s="169">
        <f t="shared" si="3"/>
        <v>4100.833333333333</v>
      </c>
      <c r="AE30" s="178">
        <f>240000/Table13567[[#This Row],[เฉลี่ยการใช้งานต่อเดือน]]</f>
        <v>58.524690103637475</v>
      </c>
      <c r="AF30" s="210"/>
      <c r="AG30" s="123"/>
    </row>
    <row r="31" spans="1:33" ht="20" customHeight="1">
      <c r="A31" s="48"/>
      <c r="B31" s="118"/>
      <c r="C31" s="160"/>
      <c r="D31" s="59" t="s">
        <v>55</v>
      </c>
      <c r="E31" s="47" t="s">
        <v>408</v>
      </c>
      <c r="F31" s="48" t="s">
        <v>409</v>
      </c>
      <c r="G31" s="47" t="s">
        <v>410</v>
      </c>
      <c r="H31" s="47"/>
      <c r="I31" s="47"/>
      <c r="J31" s="69" t="s">
        <v>697</v>
      </c>
      <c r="K31" s="48">
        <v>1</v>
      </c>
      <c r="L31" s="48" t="s">
        <v>728</v>
      </c>
      <c r="M31" s="48"/>
      <c r="N31" s="48" t="s">
        <v>411</v>
      </c>
      <c r="O31" s="48">
        <v>69714</v>
      </c>
      <c r="P31" s="47">
        <v>69920</v>
      </c>
      <c r="Q31" s="47">
        <v>73872</v>
      </c>
      <c r="R31" s="47">
        <v>83743</v>
      </c>
      <c r="S31" s="47">
        <v>86290</v>
      </c>
      <c r="T31" s="47">
        <v>87648</v>
      </c>
      <c r="U31" s="47">
        <v>94685</v>
      </c>
      <c r="V31" s="47">
        <v>97978</v>
      </c>
      <c r="W31" s="47">
        <v>100899</v>
      </c>
      <c r="X31" s="47">
        <v>103880</v>
      </c>
      <c r="Y31" s="47">
        <v>106730</v>
      </c>
      <c r="Z31" s="47">
        <v>112188</v>
      </c>
      <c r="AA31" s="47">
        <v>115434</v>
      </c>
      <c r="AB31" s="47">
        <f>Table13567[[#This Row],[Dec-58]]-Table13567[[#This Row],[Dec-57]]</f>
        <v>45720</v>
      </c>
      <c r="AC31" s="47">
        <f t="shared" si="4"/>
        <v>45720</v>
      </c>
      <c r="AD31" s="169">
        <f t="shared" si="3"/>
        <v>3810</v>
      </c>
      <c r="AE31" s="178">
        <f>240000/Table13567[[#This Row],[เฉลี่ยการใช้งานต่อเดือน]]</f>
        <v>62.99212598425197</v>
      </c>
      <c r="AF31" s="210"/>
      <c r="AG31" s="119" t="s">
        <v>288</v>
      </c>
    </row>
    <row r="32" spans="1:33" ht="20" customHeight="1">
      <c r="A32" s="48"/>
      <c r="B32" s="118"/>
      <c r="C32" s="160"/>
      <c r="D32" s="59" t="s">
        <v>56</v>
      </c>
      <c r="E32" s="47" t="s">
        <v>118</v>
      </c>
      <c r="F32" s="48" t="s">
        <v>119</v>
      </c>
      <c r="G32" s="47" t="s">
        <v>120</v>
      </c>
      <c r="H32" s="47"/>
      <c r="I32" s="47"/>
      <c r="J32" s="69" t="s">
        <v>697</v>
      </c>
      <c r="K32" s="48">
        <v>1</v>
      </c>
      <c r="L32" s="48" t="s">
        <v>728</v>
      </c>
      <c r="M32" s="48"/>
      <c r="N32" s="48" t="s">
        <v>121</v>
      </c>
      <c r="O32" s="48">
        <v>62577</v>
      </c>
      <c r="P32" s="47">
        <v>64177</v>
      </c>
      <c r="Q32" s="47">
        <v>67361</v>
      </c>
      <c r="R32" s="47">
        <v>72368</v>
      </c>
      <c r="S32" s="47">
        <v>76867</v>
      </c>
      <c r="T32" s="47">
        <v>80008</v>
      </c>
      <c r="U32" s="47">
        <v>84381</v>
      </c>
      <c r="V32" s="47">
        <v>88791</v>
      </c>
      <c r="W32" s="47">
        <v>91233</v>
      </c>
      <c r="X32" s="47">
        <v>94561</v>
      </c>
      <c r="Y32" s="47">
        <v>100179</v>
      </c>
      <c r="Z32" s="47">
        <v>103588</v>
      </c>
      <c r="AA32" s="47">
        <v>106431</v>
      </c>
      <c r="AB32" s="47">
        <f>Table13567[[#This Row],[Dec-58]]-Table13567[[#This Row],[Dec-57]]</f>
        <v>43854</v>
      </c>
      <c r="AC32" s="47">
        <f t="shared" si="4"/>
        <v>43854</v>
      </c>
      <c r="AD32" s="169">
        <f t="shared" si="3"/>
        <v>3654.5</v>
      </c>
      <c r="AE32" s="178">
        <f>240000/Table13567[[#This Row],[เฉลี่ยการใช้งานต่อเดือน]]</f>
        <v>65.672458612669317</v>
      </c>
      <c r="AF32" s="210"/>
      <c r="AG32" s="119" t="s">
        <v>293</v>
      </c>
    </row>
    <row r="33" spans="1:37" ht="20" customHeight="1">
      <c r="A33" s="48"/>
      <c r="B33" s="118"/>
      <c r="C33" s="160"/>
      <c r="D33" s="189" t="s">
        <v>57</v>
      </c>
      <c r="E33" s="190" t="s">
        <v>86</v>
      </c>
      <c r="F33" s="191" t="s">
        <v>87</v>
      </c>
      <c r="G33" s="190" t="s">
        <v>88</v>
      </c>
      <c r="H33" s="190"/>
      <c r="I33" s="190"/>
      <c r="J33" s="192" t="s">
        <v>697</v>
      </c>
      <c r="K33" s="191">
        <v>1</v>
      </c>
      <c r="L33" s="191" t="s">
        <v>727</v>
      </c>
      <c r="M33" s="191"/>
      <c r="N33" s="191" t="s">
        <v>89</v>
      </c>
      <c r="O33" s="191">
        <v>73599</v>
      </c>
      <c r="P33" s="190">
        <v>75729</v>
      </c>
      <c r="Q33" s="190">
        <v>82952</v>
      </c>
      <c r="R33" s="190">
        <v>87195</v>
      </c>
      <c r="S33" s="190">
        <v>89858</v>
      </c>
      <c r="T33" s="190">
        <v>96216</v>
      </c>
      <c r="U33" s="190">
        <v>100872</v>
      </c>
      <c r="V33" s="190">
        <v>103800</v>
      </c>
      <c r="W33" s="190"/>
      <c r="X33" s="190"/>
      <c r="Y33" s="190"/>
      <c r="Z33" s="190"/>
      <c r="AA33" s="190"/>
      <c r="AB33" s="190">
        <f>Table13567[[#This Row],[Jul-58]]-Table13567[[#This Row],[Dec-57]]</f>
        <v>30201</v>
      </c>
      <c r="AC33" s="190">
        <v>42779</v>
      </c>
      <c r="AD33" s="193">
        <f t="shared" si="3"/>
        <v>3564.9166666666665</v>
      </c>
      <c r="AE33" s="207">
        <f>480000/Table13567[[#This Row],[เฉลี่ยการใช้งานต่อเดือน]]</f>
        <v>134.64550363496107</v>
      </c>
      <c r="AF33" s="210"/>
      <c r="AG33" s="119" t="s">
        <v>298</v>
      </c>
    </row>
    <row r="34" spans="1:37" ht="20" hidden="1" customHeight="1">
      <c r="A34" s="48"/>
      <c r="B34" s="118"/>
      <c r="C34" s="160"/>
      <c r="D34" s="59" t="s">
        <v>59</v>
      </c>
      <c r="E34" s="47" t="s">
        <v>128</v>
      </c>
      <c r="F34" s="48" t="s">
        <v>129</v>
      </c>
      <c r="G34" s="47" t="s">
        <v>130</v>
      </c>
      <c r="H34" s="47"/>
      <c r="I34" s="47"/>
      <c r="J34" s="69" t="s">
        <v>697</v>
      </c>
      <c r="K34" s="48">
        <v>1</v>
      </c>
      <c r="L34" s="48" t="s">
        <v>728</v>
      </c>
      <c r="M34" s="48"/>
      <c r="N34" s="48" t="s">
        <v>75</v>
      </c>
      <c r="O34" s="48">
        <v>76387</v>
      </c>
      <c r="P34" s="47">
        <v>78057</v>
      </c>
      <c r="Q34" s="47">
        <v>82806</v>
      </c>
      <c r="R34" s="47">
        <v>86993</v>
      </c>
      <c r="S34" s="47"/>
      <c r="T34" s="47"/>
      <c r="U34" s="47"/>
      <c r="V34" s="47"/>
      <c r="W34" s="47"/>
      <c r="X34" s="47"/>
      <c r="Y34" s="47"/>
      <c r="Z34" s="47"/>
      <c r="AA34" s="47"/>
      <c r="AB34" s="47">
        <f>Table13567[[#This Row],[Mar-58]]-Table13567[[#This Row],[Dec-57]]</f>
        <v>10606</v>
      </c>
      <c r="AC34" s="47">
        <f>AB34</f>
        <v>10606</v>
      </c>
      <c r="AD34" s="169">
        <f>AB34/3</f>
        <v>3535.3333333333335</v>
      </c>
      <c r="AE34" s="178">
        <f>240000/Table13567[[#This Row],[เฉลี่ยการใช้งานต่อเดือน]]</f>
        <v>67.886102206298318</v>
      </c>
      <c r="AF34" s="209"/>
      <c r="AG34" s="119" t="s">
        <v>303</v>
      </c>
    </row>
    <row r="35" spans="1:37" ht="20" customHeight="1">
      <c r="A35" s="48"/>
      <c r="B35" s="118"/>
      <c r="C35" s="160"/>
      <c r="D35" s="59" t="s">
        <v>60</v>
      </c>
      <c r="E35" s="47" t="s">
        <v>312</v>
      </c>
      <c r="F35" s="48" t="s">
        <v>313</v>
      </c>
      <c r="G35" s="47" t="s">
        <v>314</v>
      </c>
      <c r="H35" s="47"/>
      <c r="I35" s="47"/>
      <c r="J35" s="69" t="s">
        <v>697</v>
      </c>
      <c r="K35" s="48">
        <v>1</v>
      </c>
      <c r="L35" s="48" t="s">
        <v>728</v>
      </c>
      <c r="M35" s="48"/>
      <c r="N35" s="48" t="s">
        <v>315</v>
      </c>
      <c r="O35" s="48">
        <v>30242</v>
      </c>
      <c r="P35" s="47">
        <v>31286</v>
      </c>
      <c r="Q35" s="47">
        <v>35060</v>
      </c>
      <c r="R35" s="47">
        <v>37644</v>
      </c>
      <c r="S35" s="47">
        <v>40467</v>
      </c>
      <c r="T35" s="47">
        <v>44681</v>
      </c>
      <c r="U35" s="47">
        <v>48909</v>
      </c>
      <c r="V35" s="47"/>
      <c r="W35" s="47"/>
      <c r="X35" s="47"/>
      <c r="Y35" s="47"/>
      <c r="Z35" s="47"/>
      <c r="AA35" s="47"/>
      <c r="AB35" s="47">
        <f>Table13567[[#This Row],[Jun-58]]-Table13567[[#This Row],[Dec-57]]</f>
        <v>18667</v>
      </c>
      <c r="AC35" s="47">
        <v>37476</v>
      </c>
      <c r="AD35" s="169">
        <f t="shared" ref="AD35:AD41" si="5">AC35/12</f>
        <v>3123</v>
      </c>
      <c r="AE35" s="178">
        <f>240000/Table13567[[#This Row],[เฉลี่ยการใช้งานต่อเดือน]]</f>
        <v>76.849183477425555</v>
      </c>
      <c r="AF35" s="209"/>
      <c r="AG35" s="119" t="s">
        <v>316</v>
      </c>
    </row>
    <row r="36" spans="1:37" ht="20" customHeight="1">
      <c r="A36" s="48"/>
      <c r="B36" s="118"/>
      <c r="C36" s="160"/>
      <c r="D36" s="59" t="s">
        <v>61</v>
      </c>
      <c r="E36" s="47" t="s">
        <v>341</v>
      </c>
      <c r="F36" s="48" t="s">
        <v>342</v>
      </c>
      <c r="G36" s="47" t="s">
        <v>343</v>
      </c>
      <c r="H36" s="47"/>
      <c r="I36" s="47"/>
      <c r="J36" s="69" t="s">
        <v>697</v>
      </c>
      <c r="K36" s="48">
        <v>1</v>
      </c>
      <c r="L36" s="48" t="s">
        <v>728</v>
      </c>
      <c r="M36" s="48"/>
      <c r="N36" s="48" t="s">
        <v>344</v>
      </c>
      <c r="O36" s="48">
        <v>71077</v>
      </c>
      <c r="P36" s="47">
        <v>72407</v>
      </c>
      <c r="Q36" s="47">
        <v>77023</v>
      </c>
      <c r="R36" s="47">
        <v>83109</v>
      </c>
      <c r="S36" s="47">
        <v>86542</v>
      </c>
      <c r="T36" s="47">
        <v>89999</v>
      </c>
      <c r="U36" s="47">
        <v>92515</v>
      </c>
      <c r="V36" s="47">
        <v>94406</v>
      </c>
      <c r="W36" s="47">
        <v>97680</v>
      </c>
      <c r="X36" s="47">
        <v>101539</v>
      </c>
      <c r="Y36" s="47">
        <v>104025</v>
      </c>
      <c r="Z36" s="47">
        <v>105860</v>
      </c>
      <c r="AA36" s="47"/>
      <c r="AB36" s="47">
        <f>Table13567[[#This Row],[Nov-58]]-Table13567[[#This Row],[Dec-57]]</f>
        <v>34783</v>
      </c>
      <c r="AC36" s="47">
        <v>36992</v>
      </c>
      <c r="AD36" s="169">
        <f t="shared" si="5"/>
        <v>3082.6666666666665</v>
      </c>
      <c r="AE36" s="178">
        <f>240000/Table13567[[#This Row],[เฉลี่ยการใช้งานต่อเดือน]]</f>
        <v>77.854671280276818</v>
      </c>
      <c r="AF36" s="209"/>
      <c r="AG36" s="119" t="s">
        <v>127</v>
      </c>
    </row>
    <row r="37" spans="1:37" ht="20" customHeight="1">
      <c r="A37" s="48"/>
      <c r="B37" s="118"/>
      <c r="C37" s="160"/>
      <c r="D37" s="59" t="s">
        <v>63</v>
      </c>
      <c r="E37" s="47" t="s">
        <v>157</v>
      </c>
      <c r="F37" s="48" t="s">
        <v>158</v>
      </c>
      <c r="G37" s="47" t="s">
        <v>159</v>
      </c>
      <c r="H37" s="47"/>
      <c r="I37" s="47"/>
      <c r="J37" s="69" t="s">
        <v>697</v>
      </c>
      <c r="K37" s="48">
        <v>1</v>
      </c>
      <c r="L37" s="48" t="s">
        <v>728</v>
      </c>
      <c r="M37" s="48"/>
      <c r="N37" s="48" t="s">
        <v>162</v>
      </c>
      <c r="O37" s="48">
        <v>18583</v>
      </c>
      <c r="P37" s="47">
        <v>19438</v>
      </c>
      <c r="Q37" s="47">
        <v>21742</v>
      </c>
      <c r="R37" s="47">
        <v>25251</v>
      </c>
      <c r="S37" s="47">
        <v>28016</v>
      </c>
      <c r="T37" s="47">
        <v>30167</v>
      </c>
      <c r="U37" s="47">
        <v>33997</v>
      </c>
      <c r="V37" s="47">
        <v>36611</v>
      </c>
      <c r="W37" s="47">
        <v>38782</v>
      </c>
      <c r="X37" s="47">
        <v>42016</v>
      </c>
      <c r="Y37" s="47">
        <v>44710</v>
      </c>
      <c r="Z37" s="47">
        <v>47097</v>
      </c>
      <c r="AA37" s="47">
        <v>49485</v>
      </c>
      <c r="AB37" s="47">
        <f>Table13567[[#This Row],[Dec-58]]-Table13567[[#This Row],[Dec-57]]</f>
        <v>30902</v>
      </c>
      <c r="AC37" s="47">
        <f>AB37</f>
        <v>30902</v>
      </c>
      <c r="AD37" s="169">
        <f t="shared" si="5"/>
        <v>2575.1666666666665</v>
      </c>
      <c r="AE37" s="178">
        <f>240000/Table13567[[#This Row],[เฉลี่ยการใช้งานต่อเดือน]]</f>
        <v>93.197851271762346</v>
      </c>
      <c r="AF37" s="209"/>
      <c r="AG37" s="119" t="s">
        <v>325</v>
      </c>
    </row>
    <row r="38" spans="1:37" ht="20" customHeight="1">
      <c r="A38" s="48"/>
      <c r="B38" s="118"/>
      <c r="C38" s="160"/>
      <c r="D38" s="59" t="s">
        <v>65</v>
      </c>
      <c r="E38" s="47" t="s">
        <v>317</v>
      </c>
      <c r="F38" s="48" t="s">
        <v>318</v>
      </c>
      <c r="G38" s="47" t="s">
        <v>319</v>
      </c>
      <c r="H38" s="47"/>
      <c r="I38" s="47"/>
      <c r="J38" s="69" t="s">
        <v>697</v>
      </c>
      <c r="K38" s="48">
        <v>1</v>
      </c>
      <c r="L38" s="48" t="s">
        <v>728</v>
      </c>
      <c r="M38" s="48"/>
      <c r="N38" s="48" t="s">
        <v>320</v>
      </c>
      <c r="O38" s="48">
        <v>51439</v>
      </c>
      <c r="P38" s="47">
        <v>53057</v>
      </c>
      <c r="Q38" s="47">
        <v>55258</v>
      </c>
      <c r="R38" s="47">
        <v>58379</v>
      </c>
      <c r="S38" s="47">
        <v>59250</v>
      </c>
      <c r="T38" s="47">
        <v>62205</v>
      </c>
      <c r="U38" s="47">
        <v>64838</v>
      </c>
      <c r="V38" s="47">
        <v>66471</v>
      </c>
      <c r="W38" s="47">
        <v>69224</v>
      </c>
      <c r="X38" s="47">
        <v>73578</v>
      </c>
      <c r="Y38" s="47">
        <v>75899</v>
      </c>
      <c r="Z38" s="47">
        <v>78025</v>
      </c>
      <c r="AA38" s="47">
        <v>82102</v>
      </c>
      <c r="AB38" s="47">
        <f>Table13567[[#This Row],[Dec-58]]-Table13567[[#This Row],[Dec-57]]</f>
        <v>30663</v>
      </c>
      <c r="AC38" s="47">
        <f>AB38</f>
        <v>30663</v>
      </c>
      <c r="AD38" s="169">
        <f t="shared" si="5"/>
        <v>2555.25</v>
      </c>
      <c r="AE38" s="178">
        <f>240000/Table13567[[#This Row],[เฉลี่ยการใช้งานต่อเดือน]]</f>
        <v>93.924273554446728</v>
      </c>
      <c r="AF38" s="209"/>
      <c r="AG38" s="125" t="s">
        <v>330</v>
      </c>
      <c r="AH38" s="77"/>
      <c r="AI38" s="77"/>
      <c r="AJ38" s="77"/>
      <c r="AK38" s="77"/>
    </row>
    <row r="39" spans="1:37" ht="20" customHeight="1">
      <c r="A39" s="48"/>
      <c r="B39" s="118"/>
      <c r="C39" s="160"/>
      <c r="D39" s="59" t="s">
        <v>66</v>
      </c>
      <c r="E39" s="47" t="s">
        <v>123</v>
      </c>
      <c r="F39" s="48" t="s">
        <v>124</v>
      </c>
      <c r="G39" s="47" t="s">
        <v>125</v>
      </c>
      <c r="H39" s="47"/>
      <c r="I39" s="47"/>
      <c r="J39" s="69" t="s">
        <v>697</v>
      </c>
      <c r="K39" s="48">
        <v>1</v>
      </c>
      <c r="L39" s="48" t="s">
        <v>728</v>
      </c>
      <c r="M39" s="48"/>
      <c r="N39" s="48" t="s">
        <v>126</v>
      </c>
      <c r="O39" s="48">
        <v>28512</v>
      </c>
      <c r="P39" s="47">
        <v>29698</v>
      </c>
      <c r="Q39" s="47">
        <v>32273</v>
      </c>
      <c r="R39" s="47">
        <v>34216</v>
      </c>
      <c r="S39" s="47">
        <v>36314</v>
      </c>
      <c r="T39" s="47">
        <v>37789</v>
      </c>
      <c r="U39" s="47">
        <v>40564</v>
      </c>
      <c r="V39" s="47">
        <v>45506</v>
      </c>
      <c r="W39" s="47">
        <v>47112</v>
      </c>
      <c r="X39" s="47">
        <v>49374</v>
      </c>
      <c r="Y39" s="47">
        <v>52616</v>
      </c>
      <c r="Z39" s="47">
        <v>55558</v>
      </c>
      <c r="AA39" s="47">
        <v>57464</v>
      </c>
      <c r="AB39" s="47">
        <f>Table13567[[#This Row],[Dec-58]]-Table13567[[#This Row],[Dec-57]]</f>
        <v>28952</v>
      </c>
      <c r="AC39" s="47">
        <f>AB39</f>
        <v>28952</v>
      </c>
      <c r="AD39" s="169">
        <f t="shared" si="5"/>
        <v>2412.6666666666665</v>
      </c>
      <c r="AE39" s="178">
        <f>240000/Table13567[[#This Row],[เฉลี่ยการใช้งานต่อเดือน]]</f>
        <v>99.474993092014373</v>
      </c>
      <c r="AF39" s="209"/>
      <c r="AG39" s="119" t="s">
        <v>340</v>
      </c>
    </row>
    <row r="40" spans="1:37" ht="20" customHeight="1">
      <c r="A40" s="48"/>
      <c r="B40" s="118"/>
      <c r="C40" s="160"/>
      <c r="D40" s="59" t="s">
        <v>708</v>
      </c>
      <c r="E40" s="47" t="s">
        <v>299</v>
      </c>
      <c r="F40" s="48" t="s">
        <v>300</v>
      </c>
      <c r="G40" s="47" t="s">
        <v>301</v>
      </c>
      <c r="H40" s="47"/>
      <c r="I40" s="47"/>
      <c r="J40" s="69" t="s">
        <v>697</v>
      </c>
      <c r="K40" s="48">
        <v>1</v>
      </c>
      <c r="L40" s="48" t="s">
        <v>728</v>
      </c>
      <c r="M40" s="48"/>
      <c r="N40" s="48" t="s">
        <v>302</v>
      </c>
      <c r="O40" s="48">
        <v>29704</v>
      </c>
      <c r="P40" s="47">
        <v>32157</v>
      </c>
      <c r="Q40" s="47">
        <v>35321</v>
      </c>
      <c r="R40" s="47">
        <v>38543</v>
      </c>
      <c r="S40" s="47">
        <v>39422</v>
      </c>
      <c r="T40" s="47">
        <v>42103</v>
      </c>
      <c r="U40" s="47">
        <v>45516</v>
      </c>
      <c r="V40" s="47">
        <v>49202</v>
      </c>
      <c r="W40" s="47">
        <v>50390</v>
      </c>
      <c r="X40" s="47">
        <v>53147</v>
      </c>
      <c r="Y40" s="47">
        <v>54610</v>
      </c>
      <c r="Z40" s="47">
        <v>56075</v>
      </c>
      <c r="AA40" s="47">
        <v>57904</v>
      </c>
      <c r="AB40" s="47">
        <f>Table13567[[#This Row],[Dec-58]]-Table13567[[#This Row],[Dec-57]]</f>
        <v>28200</v>
      </c>
      <c r="AC40" s="47">
        <f>AB40</f>
        <v>28200</v>
      </c>
      <c r="AD40" s="169">
        <f t="shared" si="5"/>
        <v>2350</v>
      </c>
      <c r="AE40" s="178">
        <f>240000/Table13567[[#This Row],[เฉลี่ยการใช้งานต่อเดือน]]</f>
        <v>102.12765957446808</v>
      </c>
      <c r="AF40" s="209"/>
      <c r="AG40" s="119" t="s">
        <v>345</v>
      </c>
    </row>
    <row r="41" spans="1:37" s="124" customFormat="1" ht="20" customHeight="1">
      <c r="A41" s="120"/>
      <c r="B41" s="121"/>
      <c r="C41" s="161"/>
      <c r="D41" s="59" t="s">
        <v>67</v>
      </c>
      <c r="E41" s="47" t="s">
        <v>366</v>
      </c>
      <c r="F41" s="48" t="s">
        <v>367</v>
      </c>
      <c r="G41" s="47" t="s">
        <v>368</v>
      </c>
      <c r="H41" s="47"/>
      <c r="I41" s="47"/>
      <c r="J41" s="69" t="s">
        <v>697</v>
      </c>
      <c r="K41" s="48">
        <v>1</v>
      </c>
      <c r="L41" s="48" t="s">
        <v>728</v>
      </c>
      <c r="M41" s="48"/>
      <c r="N41" s="48" t="s">
        <v>369</v>
      </c>
      <c r="O41" s="48">
        <v>30362</v>
      </c>
      <c r="P41" s="47">
        <v>31207</v>
      </c>
      <c r="Q41" s="47">
        <v>33351</v>
      </c>
      <c r="R41" s="47">
        <v>37894</v>
      </c>
      <c r="S41" s="47">
        <v>39694</v>
      </c>
      <c r="T41" s="47">
        <v>40650</v>
      </c>
      <c r="U41" s="47">
        <v>41950</v>
      </c>
      <c r="V41" s="47">
        <v>44096</v>
      </c>
      <c r="W41" s="47">
        <v>46475</v>
      </c>
      <c r="X41" s="47">
        <v>50784</v>
      </c>
      <c r="Y41" s="47">
        <v>52653</v>
      </c>
      <c r="Z41" s="47">
        <v>55128</v>
      </c>
      <c r="AA41" s="47">
        <v>57248</v>
      </c>
      <c r="AB41" s="47">
        <f>Table13567[[#This Row],[Dec-58]]-Table13567[[#This Row],[Dec-57]]</f>
        <v>26886</v>
      </c>
      <c r="AC41" s="47">
        <f>AB41</f>
        <v>26886</v>
      </c>
      <c r="AD41" s="169">
        <f t="shared" si="5"/>
        <v>2240.5</v>
      </c>
      <c r="AE41" s="178">
        <f>240000/Table13567[[#This Row],[เฉลี่ยการใช้งานต่อเดือน]]</f>
        <v>107.11894666369113</v>
      </c>
      <c r="AF41" s="209"/>
      <c r="AG41" s="123" t="s">
        <v>293</v>
      </c>
    </row>
    <row r="42" spans="1:37" ht="20" customHeight="1">
      <c r="A42" s="48"/>
      <c r="B42" s="118"/>
      <c r="C42" s="160"/>
      <c r="D42" s="59" t="s">
        <v>68</v>
      </c>
      <c r="E42" s="25" t="s">
        <v>725</v>
      </c>
      <c r="F42" s="24"/>
      <c r="G42" s="25"/>
      <c r="H42" s="25"/>
      <c r="I42" s="25"/>
      <c r="J42" s="69" t="s">
        <v>697</v>
      </c>
      <c r="K42" s="48">
        <v>2</v>
      </c>
      <c r="L42" s="48" t="s">
        <v>728</v>
      </c>
      <c r="M42" s="24"/>
      <c r="N42" s="24"/>
      <c r="O42" s="120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>
        <f>Table13567[[#This Row],[เฉลี่ยการใช้งานต่อเดือน]]*12</f>
        <v>24000</v>
      </c>
      <c r="AD42" s="184">
        <v>2000</v>
      </c>
      <c r="AE42" s="178">
        <f>240000/Table13567[[#This Row],[เฉลี่ยการใช้งานต่อเดือน]]</f>
        <v>120</v>
      </c>
      <c r="AF42" s="209"/>
      <c r="AG42" s="119" t="s">
        <v>356</v>
      </c>
    </row>
    <row r="43" spans="1:37" ht="20" customHeight="1">
      <c r="A43" s="48"/>
      <c r="B43" s="118"/>
      <c r="C43" s="160"/>
      <c r="D43" s="59" t="s">
        <v>69</v>
      </c>
      <c r="E43" s="47" t="s">
        <v>361</v>
      </c>
      <c r="F43" s="48" t="s">
        <v>362</v>
      </c>
      <c r="G43" s="47" t="s">
        <v>363</v>
      </c>
      <c r="H43" s="47"/>
      <c r="I43" s="47"/>
      <c r="J43" s="69" t="s">
        <v>697</v>
      </c>
      <c r="K43" s="48">
        <v>1</v>
      </c>
      <c r="L43" s="48" t="s">
        <v>728</v>
      </c>
      <c r="M43" s="48"/>
      <c r="N43" s="48" t="s">
        <v>364</v>
      </c>
      <c r="O43" s="48">
        <v>38301</v>
      </c>
      <c r="P43" s="47">
        <v>39138</v>
      </c>
      <c r="Q43" s="47">
        <v>42835</v>
      </c>
      <c r="R43" s="47">
        <v>46127</v>
      </c>
      <c r="S43" s="47">
        <v>47335</v>
      </c>
      <c r="T43" s="47">
        <v>49843</v>
      </c>
      <c r="U43" s="47">
        <v>50862</v>
      </c>
      <c r="V43" s="47">
        <v>52730</v>
      </c>
      <c r="W43" s="47">
        <v>54540</v>
      </c>
      <c r="X43" s="47">
        <v>56826</v>
      </c>
      <c r="Y43" s="47">
        <v>58548</v>
      </c>
      <c r="Z43" s="47">
        <v>60254</v>
      </c>
      <c r="AA43" s="47">
        <v>61932</v>
      </c>
      <c r="AB43" s="47">
        <f>Table13567[[#This Row],[Dec-58]]-Table13567[[#This Row],[Dec-57]]</f>
        <v>23631</v>
      </c>
      <c r="AC43" s="47">
        <f>AB43</f>
        <v>23631</v>
      </c>
      <c r="AD43" s="169">
        <f>AC43/12</f>
        <v>1969.25</v>
      </c>
      <c r="AE43" s="178">
        <f>240000/Table13567[[#This Row],[เฉลี่ยการใช้งานต่อเดือน]]</f>
        <v>121.87380982607591</v>
      </c>
      <c r="AF43" s="209"/>
      <c r="AG43" s="119"/>
    </row>
    <row r="44" spans="1:37" ht="20" customHeight="1">
      <c r="A44" s="48"/>
      <c r="B44" s="118"/>
      <c r="C44" s="160"/>
      <c r="D44" s="59" t="s">
        <v>70</v>
      </c>
      <c r="E44" s="20" t="s">
        <v>222</v>
      </c>
      <c r="F44" s="24"/>
      <c r="G44" s="25"/>
      <c r="H44" s="25"/>
      <c r="I44" s="25"/>
      <c r="J44" s="25" t="s">
        <v>697</v>
      </c>
      <c r="K44" s="25"/>
      <c r="L44" s="48" t="s">
        <v>728</v>
      </c>
      <c r="M44" s="24"/>
      <c r="N44" s="24"/>
      <c r="O44" s="18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>
        <f>Table13567[[#This Row],[เฉลี่ยการใช้งานต่อเดือน]]*12</f>
        <v>14160</v>
      </c>
      <c r="AD44" s="188">
        <v>1180</v>
      </c>
      <c r="AE44" s="178">
        <f>240000/Table13567[[#This Row],[เฉลี่ยการใช้งานต่อเดือน]]</f>
        <v>203.38983050847457</v>
      </c>
      <c r="AF44" s="209"/>
      <c r="AG44" s="119" t="s">
        <v>365</v>
      </c>
    </row>
    <row r="45" spans="1:37" ht="20" customHeight="1">
      <c r="A45" s="48"/>
      <c r="B45" s="118"/>
      <c r="C45" s="160"/>
      <c r="D45" s="59" t="s">
        <v>71</v>
      </c>
      <c r="E45" s="20" t="s">
        <v>205</v>
      </c>
      <c r="F45" s="24"/>
      <c r="G45" s="25"/>
      <c r="H45" s="25"/>
      <c r="I45" s="25"/>
      <c r="J45" s="25" t="s">
        <v>697</v>
      </c>
      <c r="K45" s="25"/>
      <c r="L45" s="48" t="s">
        <v>728</v>
      </c>
      <c r="M45" s="24"/>
      <c r="N45" s="24"/>
      <c r="O45" s="18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>
        <f>Table13567[[#This Row],[เฉลี่ยการใช้งานต่อเดือน]]*12</f>
        <v>11688</v>
      </c>
      <c r="AD45" s="188">
        <v>974</v>
      </c>
      <c r="AE45" s="178">
        <f>240000/Table13567[[#This Row],[เฉลี่ยการใช้งานต่อเดือน]]</f>
        <v>246.40657084188911</v>
      </c>
      <c r="AF45" s="209"/>
      <c r="AG45" s="119" t="s">
        <v>370</v>
      </c>
    </row>
    <row r="46" spans="1:37" ht="20" customHeight="1">
      <c r="A46" s="48"/>
      <c r="B46" s="59"/>
      <c r="C46" s="162"/>
      <c r="D46" s="59" t="s">
        <v>73</v>
      </c>
      <c r="E46" s="25" t="s">
        <v>165</v>
      </c>
      <c r="F46" s="24"/>
      <c r="G46" s="25"/>
      <c r="H46" s="25"/>
      <c r="I46" s="25"/>
      <c r="J46" s="25" t="s">
        <v>697</v>
      </c>
      <c r="K46" s="25"/>
      <c r="L46" s="48" t="s">
        <v>728</v>
      </c>
      <c r="M46" s="24"/>
      <c r="N46" s="24"/>
      <c r="O46" s="18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>
        <f>Table13567[[#This Row],[เฉลี่ยการใช้งานต่อเดือน]]*12</f>
        <v>10332</v>
      </c>
      <c r="AD46" s="188">
        <v>861</v>
      </c>
      <c r="AE46" s="178">
        <f>240000/Table13567[[#This Row],[เฉลี่ยการใช้งานต่อเดือน]]</f>
        <v>278.74564459930315</v>
      </c>
      <c r="AF46" s="209"/>
      <c r="AG46" s="119" t="s">
        <v>293</v>
      </c>
    </row>
    <row r="47" spans="1:37" ht="20" customHeight="1">
      <c r="A47" s="48"/>
      <c r="B47" s="59"/>
      <c r="C47" s="162"/>
      <c r="D47" s="59" t="s">
        <v>74</v>
      </c>
      <c r="E47" s="20" t="s">
        <v>232</v>
      </c>
      <c r="F47" s="24"/>
      <c r="G47" s="25"/>
      <c r="H47" s="25"/>
      <c r="I47" s="25"/>
      <c r="J47" s="25" t="s">
        <v>697</v>
      </c>
      <c r="K47" s="25"/>
      <c r="L47" s="48" t="s">
        <v>728</v>
      </c>
      <c r="M47" s="24"/>
      <c r="N47" s="24"/>
      <c r="O47" s="18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>
        <f>Table13567[[#This Row],[เฉลี่ยการใช้งานต่อเดือน]]*12</f>
        <v>9876</v>
      </c>
      <c r="AD47" s="188">
        <v>823</v>
      </c>
      <c r="AE47" s="178">
        <f>240000/Table13567[[#This Row],[เฉลี่ยการใช้งานต่อเดือน]]</f>
        <v>291.61603888213853</v>
      </c>
      <c r="AF47" s="209"/>
      <c r="AG47" s="119" t="s">
        <v>423</v>
      </c>
    </row>
    <row r="48" spans="1:37" ht="20" customHeight="1">
      <c r="A48" s="48"/>
      <c r="B48" s="59"/>
      <c r="C48" s="162"/>
      <c r="D48" s="59" t="s">
        <v>723</v>
      </c>
      <c r="E48" s="25" t="s">
        <v>176</v>
      </c>
      <c r="F48" s="24"/>
      <c r="G48" s="25"/>
      <c r="H48" s="25"/>
      <c r="I48" s="25"/>
      <c r="J48" s="25" t="s">
        <v>697</v>
      </c>
      <c r="K48" s="25"/>
      <c r="L48" s="48" t="s">
        <v>728</v>
      </c>
      <c r="M48" s="24"/>
      <c r="N48" s="24"/>
      <c r="O48" s="18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>
        <f>Table13567[[#This Row],[เฉลี่ยการใช้งานต่อเดือน]]*12</f>
        <v>7836</v>
      </c>
      <c r="AD48" s="188">
        <v>653</v>
      </c>
      <c r="AE48" s="178">
        <f>240000/Table13567[[#This Row],[เฉลี่ยการใช้งานต่อเดือน]]</f>
        <v>367.53445635528328</v>
      </c>
      <c r="AF48" s="209"/>
      <c r="AG48" s="119"/>
    </row>
    <row r="49" spans="1:34" ht="20" customHeight="1">
      <c r="A49" s="48"/>
      <c r="B49" s="59"/>
      <c r="C49" s="162"/>
      <c r="D49" s="200" t="s">
        <v>724</v>
      </c>
      <c r="E49" s="201" t="s">
        <v>372</v>
      </c>
      <c r="F49" s="202"/>
      <c r="G49" s="201"/>
      <c r="H49" s="201"/>
      <c r="I49" s="201"/>
      <c r="J49" s="203" t="s">
        <v>697</v>
      </c>
      <c r="K49" s="201"/>
      <c r="L49" s="202" t="s">
        <v>726</v>
      </c>
      <c r="M49" s="202"/>
      <c r="N49" s="202"/>
      <c r="O49" s="204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>
        <f>Table13567[[#This Row],[เฉลี่ยการใช้งานต่อเดือน]]*12</f>
        <v>4800</v>
      </c>
      <c r="AD49" s="205">
        <v>400</v>
      </c>
      <c r="AE49" s="206"/>
      <c r="AF49" s="210"/>
      <c r="AG49" s="119" t="s">
        <v>428</v>
      </c>
    </row>
    <row r="50" spans="1:34" ht="20" customHeight="1">
      <c r="D50" s="196"/>
      <c r="E50" s="119"/>
      <c r="F50" s="173"/>
      <c r="G50" s="119"/>
      <c r="H50" s="119"/>
      <c r="I50" s="119"/>
      <c r="J50" s="119"/>
      <c r="K50" s="119"/>
      <c r="L50" s="173"/>
      <c r="M50" s="173"/>
      <c r="N50" s="173"/>
      <c r="O50" s="173"/>
      <c r="P50" s="119"/>
      <c r="Q50" s="119"/>
      <c r="R50" s="119"/>
      <c r="S50" s="119"/>
      <c r="T50" s="119"/>
      <c r="U50" s="119"/>
      <c r="V50" s="119"/>
      <c r="W50" s="119"/>
      <c r="X50" s="119"/>
      <c r="Y50" s="230" t="s">
        <v>713</v>
      </c>
      <c r="Z50" s="230"/>
      <c r="AA50" s="230"/>
      <c r="AB50" s="197">
        <f>SUM(AB2:AB49)</f>
        <v>2309620</v>
      </c>
      <c r="AC50" s="197"/>
      <c r="AD50" s="110">
        <f>SUM(Table13567[เฉลี่ยการใช้งานต่อเดือน])</f>
        <v>223319.99999999997</v>
      </c>
      <c r="AE50" s="180"/>
      <c r="AF50" s="180"/>
    </row>
    <row r="51" spans="1:34">
      <c r="D51" s="118"/>
      <c r="E51" s="70" t="s">
        <v>731</v>
      </c>
      <c r="F51" s="198"/>
      <c r="J51" s="70" t="s">
        <v>734</v>
      </c>
      <c r="L51" s="198">
        <v>42</v>
      </c>
      <c r="M51" s="198"/>
      <c r="N51" s="198"/>
      <c r="O51" s="198"/>
      <c r="Y51" s="231" t="s">
        <v>714</v>
      </c>
      <c r="Z51" s="231"/>
      <c r="AA51" s="70" t="s">
        <v>719</v>
      </c>
      <c r="AB51" s="73">
        <f>46*5000*12</f>
        <v>2760000</v>
      </c>
      <c r="AC51" s="73" t="s">
        <v>735</v>
      </c>
      <c r="AD51" s="108" t="s">
        <v>736</v>
      </c>
      <c r="AE51" s="181" t="s">
        <v>741</v>
      </c>
    </row>
    <row r="52" spans="1:34">
      <c r="D52" s="212"/>
      <c r="E52" s="70" t="s">
        <v>732</v>
      </c>
      <c r="F52" s="198"/>
      <c r="J52" s="70" t="s">
        <v>734</v>
      </c>
      <c r="L52" s="198">
        <v>5</v>
      </c>
      <c r="M52" s="198"/>
      <c r="N52" s="198"/>
      <c r="O52" s="198"/>
      <c r="Y52" s="198"/>
      <c r="Z52" s="198"/>
      <c r="AA52" s="128" t="s">
        <v>704</v>
      </c>
      <c r="AB52" s="101">
        <f>AB51/100*2</f>
        <v>55200</v>
      </c>
      <c r="AC52" s="73" t="s">
        <v>735</v>
      </c>
      <c r="AD52" s="108" t="s">
        <v>737</v>
      </c>
    </row>
    <row r="53" spans="1:34" ht="37" customHeight="1">
      <c r="D53" s="213"/>
      <c r="E53" s="70" t="s">
        <v>733</v>
      </c>
      <c r="F53" s="198"/>
      <c r="J53" s="70" t="s">
        <v>734</v>
      </c>
      <c r="L53" s="198">
        <v>1</v>
      </c>
      <c r="M53" s="198"/>
      <c r="N53" s="198"/>
      <c r="O53" s="198"/>
      <c r="Y53" s="232" t="s">
        <v>712</v>
      </c>
      <c r="Z53" s="232"/>
      <c r="AA53" s="70" t="s">
        <v>716</v>
      </c>
      <c r="AB53" s="73">
        <f>5000*8*2</f>
        <v>80000</v>
      </c>
      <c r="AC53" s="73" t="s">
        <v>735</v>
      </c>
      <c r="AD53" s="108" t="s">
        <v>738</v>
      </c>
      <c r="AE53" s="211" t="s">
        <v>739</v>
      </c>
      <c r="AF53" s="181" t="s">
        <v>740</v>
      </c>
      <c r="AG53" s="70">
        <v>0.35</v>
      </c>
    </row>
    <row r="54" spans="1:34">
      <c r="F54" s="198"/>
      <c r="L54" s="198"/>
      <c r="M54" s="198"/>
      <c r="N54" s="198"/>
      <c r="O54" s="198"/>
      <c r="Y54" s="232"/>
      <c r="Z54" s="232"/>
      <c r="AA54" s="70" t="s">
        <v>715</v>
      </c>
      <c r="AB54" s="101">
        <f>5000*7*1</f>
        <v>35000</v>
      </c>
      <c r="AC54" s="101"/>
      <c r="AG54" s="73"/>
      <c r="AH54" s="73"/>
    </row>
    <row r="55" spans="1:34">
      <c r="F55" s="198"/>
      <c r="L55" s="198"/>
      <c r="M55" s="198"/>
      <c r="N55" s="198"/>
      <c r="O55" s="198"/>
      <c r="Y55" s="232"/>
      <c r="Z55" s="232"/>
      <c r="AA55" s="70" t="s">
        <v>709</v>
      </c>
      <c r="AB55" s="101">
        <f>5000*3*2</f>
        <v>30000</v>
      </c>
      <c r="AC55" s="101"/>
      <c r="AG55" s="73"/>
      <c r="AH55" s="73"/>
    </row>
    <row r="56" spans="1:34" ht="20">
      <c r="Y56" s="231" t="s">
        <v>705</v>
      </c>
      <c r="Z56" s="231"/>
      <c r="AB56" s="74">
        <f>AB51+AB52-AB54-AB53-AB55</f>
        <v>2670200</v>
      </c>
      <c r="AC56" s="74"/>
      <c r="AD56" s="110"/>
      <c r="AE56" s="180"/>
      <c r="AF56" s="180"/>
    </row>
    <row r="57" spans="1:34">
      <c r="AA57" s="70" t="s">
        <v>705</v>
      </c>
      <c r="AB57" s="73">
        <f>AB50-AB56</f>
        <v>-360580</v>
      </c>
      <c r="AC57" s="73"/>
    </row>
    <row r="58" spans="1:34">
      <c r="Z58" s="175"/>
      <c r="AA58" s="70" t="s">
        <v>711</v>
      </c>
      <c r="AB58" s="70">
        <v>0.4</v>
      </c>
    </row>
    <row r="59" spans="1:34" ht="20">
      <c r="Z59" s="175"/>
      <c r="AA59" s="70" t="s">
        <v>710</v>
      </c>
      <c r="AB59" s="102">
        <f>AB57*AB58</f>
        <v>-144232</v>
      </c>
      <c r="AC59" s="102"/>
      <c r="AD59" s="111"/>
      <c r="AE59" s="183"/>
      <c r="AF59" s="183"/>
    </row>
    <row r="60" spans="1:34">
      <c r="Z60" s="175"/>
      <c r="AA60" s="175"/>
      <c r="AB60" s="78"/>
      <c r="AC60" s="78"/>
      <c r="AD60" s="109"/>
      <c r="AE60" s="182"/>
      <c r="AF60" s="182"/>
    </row>
    <row r="62" spans="1:34">
      <c r="AB62" s="73"/>
      <c r="AC62" s="73"/>
    </row>
  </sheetData>
  <mergeCells count="4">
    <mergeCell ref="Y50:AA50"/>
    <mergeCell ref="Y51:Z51"/>
    <mergeCell ref="Y53:Z55"/>
    <mergeCell ref="Y56:Z56"/>
  </mergeCells>
  <phoneticPr fontId="11" type="noConversion"/>
  <printOptions horizontalCentered="1" verticalCentered="1"/>
  <pageMargins left="0" right="0" top="0.39000000000000007" bottom="0.39000000000000007" header="0" footer="0"/>
  <headerFooter alignWithMargins="0"/>
  <colBreaks count="1" manualBreakCount="1">
    <brk id="26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3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56"/>
  <sheetViews>
    <sheetView workbookViewId="0">
      <pane ySplit="1" topLeftCell="A2" activePane="bottomLeft" state="frozen"/>
      <selection pane="bottomLeft" activeCell="D43" sqref="D43:L43"/>
    </sheetView>
  </sheetViews>
  <sheetFormatPr baseColWidth="10" defaultColWidth="8.83203125" defaultRowHeight="17" x14ac:dyDescent="0"/>
  <cols>
    <col min="1" max="1" width="5.5" style="126" hidden="1" customWidth="1"/>
    <col min="2" max="2" width="6" style="127" hidden="1" customWidth="1"/>
    <col min="3" max="3" width="6.83203125" style="127" hidden="1" customWidth="1"/>
    <col min="4" max="4" width="7.33203125" style="127" customWidth="1"/>
    <col min="5" max="5" width="42.1640625" style="70" customWidth="1"/>
    <col min="6" max="6" width="10" style="126" hidden="1" customWidth="1"/>
    <col min="7" max="7" width="32.33203125" style="70" hidden="1" customWidth="1"/>
    <col min="8" max="8" width="14" style="70" hidden="1" customWidth="1"/>
    <col min="9" max="9" width="12.5" style="70" hidden="1" customWidth="1"/>
    <col min="10" max="10" width="7.5" style="70" customWidth="1"/>
    <col min="11" max="11" width="9" style="70" hidden="1" customWidth="1"/>
    <col min="12" max="12" width="12.83203125" style="126" customWidth="1"/>
    <col min="13" max="13" width="11.5" style="126" hidden="1" customWidth="1"/>
    <col min="14" max="14" width="16.83203125" style="126" hidden="1" customWidth="1"/>
    <col min="15" max="15" width="10.1640625" style="126" hidden="1" customWidth="1"/>
    <col min="16" max="27" width="10.1640625" style="70" hidden="1" customWidth="1"/>
    <col min="28" max="28" width="15.6640625" style="70" hidden="1" customWidth="1"/>
    <col min="29" max="29" width="15.6640625" style="70" customWidth="1"/>
    <col min="30" max="30" width="15.6640625" style="108" customWidth="1"/>
    <col min="31" max="31" width="15.6640625" style="181" customWidth="1"/>
    <col min="32" max="32" width="8.83203125" style="70"/>
    <col min="33" max="33" width="10.33203125" style="70" bestFit="1" customWidth="1"/>
    <col min="34" max="16384" width="8.83203125" style="70"/>
  </cols>
  <sheetData>
    <row r="1" spans="1:32" s="117" customFormat="1">
      <c r="A1" s="112" t="s">
        <v>3</v>
      </c>
      <c r="B1" s="113" t="s">
        <v>4</v>
      </c>
      <c r="C1" s="114"/>
      <c r="D1" s="166" t="s">
        <v>3</v>
      </c>
      <c r="E1" s="115" t="s">
        <v>5</v>
      </c>
      <c r="F1" s="115" t="s">
        <v>0</v>
      </c>
      <c r="G1" s="115" t="s">
        <v>1</v>
      </c>
      <c r="H1" s="115" t="s">
        <v>638</v>
      </c>
      <c r="I1" s="115" t="s">
        <v>6</v>
      </c>
      <c r="J1" s="115" t="s">
        <v>696</v>
      </c>
      <c r="K1" s="115" t="s">
        <v>702</v>
      </c>
      <c r="L1" s="115" t="s">
        <v>7</v>
      </c>
      <c r="M1" s="115" t="s">
        <v>639</v>
      </c>
      <c r="N1" s="115" t="s">
        <v>2</v>
      </c>
      <c r="O1" s="167" t="s">
        <v>668</v>
      </c>
      <c r="P1" s="167" t="s">
        <v>669</v>
      </c>
      <c r="Q1" s="167" t="s">
        <v>672</v>
      </c>
      <c r="R1" s="167" t="s">
        <v>673</v>
      </c>
      <c r="S1" s="167" t="s">
        <v>675</v>
      </c>
      <c r="T1" s="167" t="s">
        <v>678</v>
      </c>
      <c r="U1" s="167" t="s">
        <v>679</v>
      </c>
      <c r="V1" s="167" t="s">
        <v>682</v>
      </c>
      <c r="W1" s="167" t="s">
        <v>684</v>
      </c>
      <c r="X1" s="167" t="s">
        <v>685</v>
      </c>
      <c r="Y1" s="167" t="s">
        <v>686</v>
      </c>
      <c r="Z1" s="167" t="s">
        <v>689</v>
      </c>
      <c r="AA1" s="167" t="s">
        <v>690</v>
      </c>
      <c r="AB1" s="167" t="s">
        <v>703</v>
      </c>
      <c r="AC1" s="167" t="s">
        <v>720</v>
      </c>
      <c r="AD1" s="168" t="s">
        <v>721</v>
      </c>
      <c r="AE1" s="176"/>
      <c r="AF1" s="116"/>
    </row>
    <row r="2" spans="1:32">
      <c r="A2" s="48"/>
      <c r="B2" s="118"/>
      <c r="C2" s="160"/>
      <c r="D2" s="67" t="s">
        <v>21</v>
      </c>
      <c r="E2" s="47" t="s">
        <v>361</v>
      </c>
      <c r="F2" s="48" t="s">
        <v>362</v>
      </c>
      <c r="G2" s="47" t="s">
        <v>363</v>
      </c>
      <c r="H2" s="47"/>
      <c r="I2" s="47"/>
      <c r="J2" s="69" t="s">
        <v>697</v>
      </c>
      <c r="K2" s="48">
        <v>1</v>
      </c>
      <c r="L2" s="48" t="s">
        <v>26</v>
      </c>
      <c r="M2" s="48"/>
      <c r="N2" s="48" t="s">
        <v>364</v>
      </c>
      <c r="O2" s="48">
        <v>38301</v>
      </c>
      <c r="P2" s="47">
        <v>39138</v>
      </c>
      <c r="Q2" s="47">
        <v>42835</v>
      </c>
      <c r="R2" s="47">
        <v>46127</v>
      </c>
      <c r="S2" s="47">
        <v>47335</v>
      </c>
      <c r="T2" s="47">
        <v>49843</v>
      </c>
      <c r="U2" s="47">
        <v>50862</v>
      </c>
      <c r="V2" s="47">
        <v>52730</v>
      </c>
      <c r="W2" s="47">
        <v>54540</v>
      </c>
      <c r="X2" s="47">
        <v>56826</v>
      </c>
      <c r="Y2" s="47">
        <v>58548</v>
      </c>
      <c r="Z2" s="47">
        <v>60254</v>
      </c>
      <c r="AA2" s="47">
        <v>61932</v>
      </c>
      <c r="AB2" s="47">
        <f>Table1356[[#This Row],[Dec-58]]-Table1356[[#This Row],[Dec-57]]</f>
        <v>23631</v>
      </c>
      <c r="AC2" s="47">
        <f t="shared" ref="AC2:AC7" si="0">AB2</f>
        <v>23631</v>
      </c>
      <c r="AD2" s="169">
        <f t="shared" ref="AD2:AD10" si="1">AC2/12</f>
        <v>1969.25</v>
      </c>
      <c r="AE2" s="177">
        <f>200000/Table1356[[#This Row],[เฉลี่ยการใช้งานต่อเดือน]]</f>
        <v>101.5615081883966</v>
      </c>
      <c r="AF2" s="119" t="s">
        <v>85</v>
      </c>
    </row>
    <row r="3" spans="1:32">
      <c r="A3" s="48"/>
      <c r="B3" s="118"/>
      <c r="C3" s="160"/>
      <c r="D3" s="67" t="s">
        <v>23</v>
      </c>
      <c r="E3" s="47" t="s">
        <v>366</v>
      </c>
      <c r="F3" s="48" t="s">
        <v>367</v>
      </c>
      <c r="G3" s="47" t="s">
        <v>368</v>
      </c>
      <c r="H3" s="47"/>
      <c r="I3" s="47"/>
      <c r="J3" s="69" t="s">
        <v>697</v>
      </c>
      <c r="K3" s="48">
        <v>1</v>
      </c>
      <c r="L3" s="48" t="s">
        <v>26</v>
      </c>
      <c r="M3" s="48"/>
      <c r="N3" s="48" t="s">
        <v>369</v>
      </c>
      <c r="O3" s="48">
        <v>30362</v>
      </c>
      <c r="P3" s="47">
        <v>31207</v>
      </c>
      <c r="Q3" s="47">
        <v>33351</v>
      </c>
      <c r="R3" s="47">
        <v>37894</v>
      </c>
      <c r="S3" s="47">
        <v>39694</v>
      </c>
      <c r="T3" s="47">
        <v>40650</v>
      </c>
      <c r="U3" s="47">
        <v>41950</v>
      </c>
      <c r="V3" s="47">
        <v>44096</v>
      </c>
      <c r="W3" s="47">
        <v>46475</v>
      </c>
      <c r="X3" s="47">
        <v>50784</v>
      </c>
      <c r="Y3" s="47">
        <v>52653</v>
      </c>
      <c r="Z3" s="47">
        <v>55128</v>
      </c>
      <c r="AA3" s="47">
        <v>57248</v>
      </c>
      <c r="AB3" s="47">
        <f>Table1356[[#This Row],[Dec-58]]-Table1356[[#This Row],[Dec-57]]</f>
        <v>26886</v>
      </c>
      <c r="AC3" s="47">
        <f t="shared" si="0"/>
        <v>26886</v>
      </c>
      <c r="AD3" s="169">
        <f t="shared" si="1"/>
        <v>2240.5</v>
      </c>
      <c r="AE3" s="178">
        <f>200000/Table1356[[#This Row],[เฉลี่ยการใช้งานต่อเดือน]]</f>
        <v>89.265788886409283</v>
      </c>
      <c r="AF3" s="119" t="s">
        <v>90</v>
      </c>
    </row>
    <row r="4" spans="1:32">
      <c r="A4" s="48"/>
      <c r="B4" s="118"/>
      <c r="C4" s="160"/>
      <c r="D4" s="67" t="s">
        <v>25</v>
      </c>
      <c r="E4" s="47" t="s">
        <v>299</v>
      </c>
      <c r="F4" s="48" t="s">
        <v>300</v>
      </c>
      <c r="G4" s="47" t="s">
        <v>301</v>
      </c>
      <c r="H4" s="47"/>
      <c r="I4" s="47"/>
      <c r="J4" s="69" t="s">
        <v>697</v>
      </c>
      <c r="K4" s="48">
        <v>1</v>
      </c>
      <c r="L4" s="48" t="s">
        <v>26</v>
      </c>
      <c r="M4" s="48"/>
      <c r="N4" s="48" t="s">
        <v>302</v>
      </c>
      <c r="O4" s="48">
        <v>29704</v>
      </c>
      <c r="P4" s="47">
        <v>32157</v>
      </c>
      <c r="Q4" s="47">
        <v>35321</v>
      </c>
      <c r="R4" s="47">
        <v>38543</v>
      </c>
      <c r="S4" s="47">
        <v>39422</v>
      </c>
      <c r="T4" s="47">
        <v>42103</v>
      </c>
      <c r="U4" s="47">
        <v>45516</v>
      </c>
      <c r="V4" s="47">
        <v>49202</v>
      </c>
      <c r="W4" s="47">
        <v>50390</v>
      </c>
      <c r="X4" s="47">
        <v>53147</v>
      </c>
      <c r="Y4" s="47">
        <v>54610</v>
      </c>
      <c r="Z4" s="47">
        <v>56075</v>
      </c>
      <c r="AA4" s="47">
        <v>57904</v>
      </c>
      <c r="AB4" s="47">
        <f>Table1356[[#This Row],[Dec-58]]-Table1356[[#This Row],[Dec-57]]</f>
        <v>28200</v>
      </c>
      <c r="AC4" s="47">
        <f t="shared" si="0"/>
        <v>28200</v>
      </c>
      <c r="AD4" s="169">
        <f t="shared" si="1"/>
        <v>2350</v>
      </c>
      <c r="AE4" s="178">
        <f>200000/Table1356[[#This Row],[เฉลี่ยการใช้งานต่อเดือน]]</f>
        <v>85.106382978723403</v>
      </c>
      <c r="AF4" s="119" t="s">
        <v>95</v>
      </c>
    </row>
    <row r="5" spans="1:32">
      <c r="A5" s="48"/>
      <c r="B5" s="118"/>
      <c r="C5" s="160"/>
      <c r="D5" s="67" t="s">
        <v>27</v>
      </c>
      <c r="E5" s="47" t="s">
        <v>123</v>
      </c>
      <c r="F5" s="48" t="s">
        <v>124</v>
      </c>
      <c r="G5" s="47" t="s">
        <v>125</v>
      </c>
      <c r="H5" s="47"/>
      <c r="I5" s="47"/>
      <c r="J5" s="69" t="s">
        <v>697</v>
      </c>
      <c r="K5" s="48">
        <v>1</v>
      </c>
      <c r="L5" s="48" t="s">
        <v>26</v>
      </c>
      <c r="M5" s="48"/>
      <c r="N5" s="48" t="s">
        <v>126</v>
      </c>
      <c r="O5" s="48">
        <v>28512</v>
      </c>
      <c r="P5" s="47">
        <v>29698</v>
      </c>
      <c r="Q5" s="47">
        <v>32273</v>
      </c>
      <c r="R5" s="47">
        <v>34216</v>
      </c>
      <c r="S5" s="47">
        <v>36314</v>
      </c>
      <c r="T5" s="47">
        <v>37789</v>
      </c>
      <c r="U5" s="47">
        <v>40564</v>
      </c>
      <c r="V5" s="47">
        <v>45506</v>
      </c>
      <c r="W5" s="47">
        <v>47112</v>
      </c>
      <c r="X5" s="47">
        <v>49374</v>
      </c>
      <c r="Y5" s="47">
        <v>52616</v>
      </c>
      <c r="Z5" s="47">
        <v>55558</v>
      </c>
      <c r="AA5" s="47">
        <v>57464</v>
      </c>
      <c r="AB5" s="47">
        <f>Table1356[[#This Row],[Dec-58]]-Table1356[[#This Row],[Dec-57]]</f>
        <v>28952</v>
      </c>
      <c r="AC5" s="47">
        <f t="shared" si="0"/>
        <v>28952</v>
      </c>
      <c r="AD5" s="169">
        <f t="shared" si="1"/>
        <v>2412.6666666666665</v>
      </c>
      <c r="AE5" s="178">
        <f>200000/Table1356[[#This Row],[เฉลี่ยการใช้งานต่อเดือน]]</f>
        <v>82.895827576678641</v>
      </c>
      <c r="AF5" s="119" t="s">
        <v>102</v>
      </c>
    </row>
    <row r="6" spans="1:32">
      <c r="A6" s="48"/>
      <c r="B6" s="118"/>
      <c r="C6" s="160"/>
      <c r="D6" s="67" t="s">
        <v>28</v>
      </c>
      <c r="E6" s="47" t="s">
        <v>317</v>
      </c>
      <c r="F6" s="48" t="s">
        <v>318</v>
      </c>
      <c r="G6" s="47" t="s">
        <v>319</v>
      </c>
      <c r="H6" s="47"/>
      <c r="I6" s="47"/>
      <c r="J6" s="69" t="s">
        <v>697</v>
      </c>
      <c r="K6" s="48">
        <v>1</v>
      </c>
      <c r="L6" s="48" t="s">
        <v>26</v>
      </c>
      <c r="M6" s="48"/>
      <c r="N6" s="48" t="s">
        <v>320</v>
      </c>
      <c r="O6" s="48">
        <v>51439</v>
      </c>
      <c r="P6" s="47">
        <v>53057</v>
      </c>
      <c r="Q6" s="47">
        <v>55258</v>
      </c>
      <c r="R6" s="47">
        <v>58379</v>
      </c>
      <c r="S6" s="47">
        <v>59250</v>
      </c>
      <c r="T6" s="47">
        <v>62205</v>
      </c>
      <c r="U6" s="47">
        <v>64838</v>
      </c>
      <c r="V6" s="47">
        <v>66471</v>
      </c>
      <c r="W6" s="47">
        <v>69224</v>
      </c>
      <c r="X6" s="47">
        <v>73578</v>
      </c>
      <c r="Y6" s="47">
        <v>75899</v>
      </c>
      <c r="Z6" s="47">
        <v>78025</v>
      </c>
      <c r="AA6" s="47">
        <v>82102</v>
      </c>
      <c r="AB6" s="47">
        <f>Table1356[[#This Row],[Dec-58]]-Table1356[[#This Row],[Dec-57]]</f>
        <v>30663</v>
      </c>
      <c r="AC6" s="47">
        <f t="shared" si="0"/>
        <v>30663</v>
      </c>
      <c r="AD6" s="169">
        <f t="shared" si="1"/>
        <v>2555.25</v>
      </c>
      <c r="AE6" s="178">
        <f>200000/Table1356[[#This Row],[เฉลี่ยการใช้งานต่อเดือน]]</f>
        <v>78.270227962038945</v>
      </c>
      <c r="AF6" s="119" t="s">
        <v>107</v>
      </c>
    </row>
    <row r="7" spans="1:32">
      <c r="A7" s="48"/>
      <c r="B7" s="118"/>
      <c r="C7" s="160"/>
      <c r="D7" s="67" t="s">
        <v>30</v>
      </c>
      <c r="E7" s="47" t="s">
        <v>157</v>
      </c>
      <c r="F7" s="48" t="s">
        <v>158</v>
      </c>
      <c r="G7" s="47" t="s">
        <v>159</v>
      </c>
      <c r="H7" s="47"/>
      <c r="I7" s="47"/>
      <c r="J7" s="69" t="s">
        <v>697</v>
      </c>
      <c r="K7" s="48">
        <v>1</v>
      </c>
      <c r="L7" s="48" t="s">
        <v>26</v>
      </c>
      <c r="M7" s="48"/>
      <c r="N7" s="48" t="s">
        <v>162</v>
      </c>
      <c r="O7" s="48">
        <v>18583</v>
      </c>
      <c r="P7" s="47">
        <v>19438</v>
      </c>
      <c r="Q7" s="47">
        <v>21742</v>
      </c>
      <c r="R7" s="47">
        <v>25251</v>
      </c>
      <c r="S7" s="47">
        <v>28016</v>
      </c>
      <c r="T7" s="47">
        <v>30167</v>
      </c>
      <c r="U7" s="47">
        <v>33997</v>
      </c>
      <c r="V7" s="47">
        <v>36611</v>
      </c>
      <c r="W7" s="47">
        <v>38782</v>
      </c>
      <c r="X7" s="47">
        <v>42016</v>
      </c>
      <c r="Y7" s="47">
        <v>44710</v>
      </c>
      <c r="Z7" s="47">
        <v>47097</v>
      </c>
      <c r="AA7" s="47">
        <v>49485</v>
      </c>
      <c r="AB7" s="47">
        <f>Table1356[[#This Row],[Dec-58]]-Table1356[[#This Row],[Dec-57]]</f>
        <v>30902</v>
      </c>
      <c r="AC7" s="47">
        <f t="shared" si="0"/>
        <v>30902</v>
      </c>
      <c r="AD7" s="169">
        <f t="shared" si="1"/>
        <v>2575.1666666666665</v>
      </c>
      <c r="AE7" s="178">
        <f>200000/Table1356[[#This Row],[เฉลี่ยการใช้งานต่อเดือน]]</f>
        <v>77.664876059801955</v>
      </c>
      <c r="AF7" s="119" t="s">
        <v>112</v>
      </c>
    </row>
    <row r="8" spans="1:32">
      <c r="A8" s="48"/>
      <c r="B8" s="118"/>
      <c r="C8" s="160"/>
      <c r="D8" s="67" t="s">
        <v>31</v>
      </c>
      <c r="E8" s="47" t="s">
        <v>341</v>
      </c>
      <c r="F8" s="48" t="s">
        <v>342</v>
      </c>
      <c r="G8" s="47" t="s">
        <v>343</v>
      </c>
      <c r="H8" s="47"/>
      <c r="I8" s="47"/>
      <c r="J8" s="69" t="s">
        <v>697</v>
      </c>
      <c r="K8" s="48">
        <v>1</v>
      </c>
      <c r="L8" s="48" t="s">
        <v>26</v>
      </c>
      <c r="M8" s="48"/>
      <c r="N8" s="48" t="s">
        <v>344</v>
      </c>
      <c r="O8" s="48">
        <v>71077</v>
      </c>
      <c r="P8" s="47">
        <v>72407</v>
      </c>
      <c r="Q8" s="47">
        <v>77023</v>
      </c>
      <c r="R8" s="47">
        <v>83109</v>
      </c>
      <c r="S8" s="47">
        <v>86542</v>
      </c>
      <c r="T8" s="47">
        <v>89999</v>
      </c>
      <c r="U8" s="47">
        <v>92515</v>
      </c>
      <c r="V8" s="47">
        <v>94406</v>
      </c>
      <c r="W8" s="47">
        <v>97680</v>
      </c>
      <c r="X8" s="47">
        <v>101539</v>
      </c>
      <c r="Y8" s="47">
        <v>104025</v>
      </c>
      <c r="Z8" s="47">
        <v>105860</v>
      </c>
      <c r="AA8" s="47"/>
      <c r="AB8" s="47">
        <f>Table1356[[#This Row],[Nov-58]]-Table1356[[#This Row],[Dec-57]]</f>
        <v>34783</v>
      </c>
      <c r="AC8" s="47">
        <v>36992</v>
      </c>
      <c r="AD8" s="169">
        <f t="shared" si="1"/>
        <v>3082.6666666666665</v>
      </c>
      <c r="AE8" s="178">
        <f>200000/Table1356[[#This Row],[เฉลี่ยการใช้งานต่อเดือน]]</f>
        <v>64.878892733564015</v>
      </c>
      <c r="AF8" s="119" t="s">
        <v>117</v>
      </c>
    </row>
    <row r="9" spans="1:32">
      <c r="A9" s="48"/>
      <c r="B9" s="118"/>
      <c r="C9" s="160"/>
      <c r="D9" s="67" t="s">
        <v>32</v>
      </c>
      <c r="E9" s="47" t="s">
        <v>312</v>
      </c>
      <c r="F9" s="48" t="s">
        <v>313</v>
      </c>
      <c r="G9" s="47" t="s">
        <v>314</v>
      </c>
      <c r="H9" s="47"/>
      <c r="I9" s="47"/>
      <c r="J9" s="69" t="s">
        <v>697</v>
      </c>
      <c r="K9" s="48">
        <v>1</v>
      </c>
      <c r="L9" s="48" t="s">
        <v>26</v>
      </c>
      <c r="M9" s="48"/>
      <c r="N9" s="48" t="s">
        <v>315</v>
      </c>
      <c r="O9" s="48">
        <v>30242</v>
      </c>
      <c r="P9" s="47">
        <v>31286</v>
      </c>
      <c r="Q9" s="47">
        <v>35060</v>
      </c>
      <c r="R9" s="47">
        <v>37644</v>
      </c>
      <c r="S9" s="47">
        <v>40467</v>
      </c>
      <c r="T9" s="47">
        <v>44681</v>
      </c>
      <c r="U9" s="47">
        <v>48909</v>
      </c>
      <c r="V9" s="47"/>
      <c r="W9" s="47"/>
      <c r="X9" s="47"/>
      <c r="Y9" s="47"/>
      <c r="Z9" s="47"/>
      <c r="AA9" s="47"/>
      <c r="AB9" s="47">
        <f>Table1356[[#This Row],[Jun-58]]-Table1356[[#This Row],[Dec-57]]</f>
        <v>18667</v>
      </c>
      <c r="AC9" s="47">
        <v>37476</v>
      </c>
      <c r="AD9" s="169">
        <f t="shared" si="1"/>
        <v>3123</v>
      </c>
      <c r="AE9" s="178">
        <f>200000/Table1356[[#This Row],[เฉลี่ยการใช้งานต่อเดือน]]</f>
        <v>64.040986231187958</v>
      </c>
      <c r="AF9" s="119" t="s">
        <v>122</v>
      </c>
    </row>
    <row r="10" spans="1:32">
      <c r="A10" s="48"/>
      <c r="B10" s="118"/>
      <c r="C10" s="160"/>
      <c r="D10" s="67" t="s">
        <v>33</v>
      </c>
      <c r="E10" s="47" t="s">
        <v>284</v>
      </c>
      <c r="F10" s="48" t="s">
        <v>285</v>
      </c>
      <c r="G10" s="47" t="s">
        <v>286</v>
      </c>
      <c r="H10" s="47"/>
      <c r="I10" s="47"/>
      <c r="J10" s="69" t="s">
        <v>697</v>
      </c>
      <c r="K10" s="48">
        <v>1</v>
      </c>
      <c r="L10" s="48" t="s">
        <v>26</v>
      </c>
      <c r="M10" s="48"/>
      <c r="N10" s="48" t="s">
        <v>287</v>
      </c>
      <c r="O10" s="48">
        <v>31629</v>
      </c>
      <c r="P10" s="47">
        <v>33213</v>
      </c>
      <c r="Q10" s="47">
        <v>38801</v>
      </c>
      <c r="R10" s="47">
        <v>42883</v>
      </c>
      <c r="S10" s="47">
        <v>44650</v>
      </c>
      <c r="T10" s="47">
        <v>47560</v>
      </c>
      <c r="U10" s="47">
        <v>50995</v>
      </c>
      <c r="V10" s="47">
        <v>53416</v>
      </c>
      <c r="W10" s="47">
        <v>56918</v>
      </c>
      <c r="X10" s="47">
        <v>61243</v>
      </c>
      <c r="Y10" s="47">
        <v>63972</v>
      </c>
      <c r="Z10" s="47">
        <v>66858</v>
      </c>
      <c r="AA10" s="47">
        <v>69817</v>
      </c>
      <c r="AB10" s="47">
        <f>Table1356[[#This Row],[Dec-58]]-Table1356[[#This Row],[Dec-57]]</f>
        <v>38188</v>
      </c>
      <c r="AC10" s="47">
        <f>AB10</f>
        <v>38188</v>
      </c>
      <c r="AD10" s="169">
        <f t="shared" si="1"/>
        <v>3182.3333333333335</v>
      </c>
      <c r="AE10" s="178">
        <f>200000/Table1356[[#This Row],[เฉลี่ยการใช้งานต่อเดือน]]</f>
        <v>62.846967633811666</v>
      </c>
      <c r="AF10" s="119" t="s">
        <v>127</v>
      </c>
    </row>
    <row r="11" spans="1:32" s="124" customFormat="1">
      <c r="A11" s="120"/>
      <c r="B11" s="121"/>
      <c r="C11" s="161"/>
      <c r="D11" s="67" t="s">
        <v>34</v>
      </c>
      <c r="E11" s="131" t="s">
        <v>128</v>
      </c>
      <c r="F11" s="120" t="s">
        <v>129</v>
      </c>
      <c r="G11" s="122" t="s">
        <v>130</v>
      </c>
      <c r="H11" s="122"/>
      <c r="I11" s="122"/>
      <c r="J11" s="69" t="s">
        <v>697</v>
      </c>
      <c r="K11" s="48">
        <v>1</v>
      </c>
      <c r="L11" s="48" t="s">
        <v>26</v>
      </c>
      <c r="M11" s="120"/>
      <c r="N11" s="120" t="s">
        <v>75</v>
      </c>
      <c r="O11" s="120">
        <v>76387</v>
      </c>
      <c r="P11" s="122">
        <v>78057</v>
      </c>
      <c r="Q11" s="122">
        <v>82806</v>
      </c>
      <c r="R11" s="122">
        <v>86993</v>
      </c>
      <c r="S11" s="122"/>
      <c r="T11" s="122"/>
      <c r="U11" s="122"/>
      <c r="V11" s="122"/>
      <c r="W11" s="122"/>
      <c r="X11" s="122"/>
      <c r="Y11" s="122"/>
      <c r="Z11" s="122"/>
      <c r="AA11" s="122"/>
      <c r="AB11" s="47">
        <f>Table1356[[#This Row],[Mar-58]]-Table1356[[#This Row],[Dec-57]]</f>
        <v>10606</v>
      </c>
      <c r="AC11" s="47">
        <f>AB11</f>
        <v>10606</v>
      </c>
      <c r="AD11" s="169">
        <f>AB11/3</f>
        <v>3535.3333333333335</v>
      </c>
      <c r="AE11" s="178">
        <f>200000/Table1356[[#This Row],[เฉลี่ยการใช้งานต่อเดือน]]</f>
        <v>56.571751838581932</v>
      </c>
      <c r="AF11" s="123" t="s">
        <v>131</v>
      </c>
    </row>
    <row r="12" spans="1:32">
      <c r="A12" s="48"/>
      <c r="B12" s="118"/>
      <c r="C12" s="160"/>
      <c r="D12" s="67" t="s">
        <v>35</v>
      </c>
      <c r="E12" s="47" t="s">
        <v>86</v>
      </c>
      <c r="F12" s="48" t="s">
        <v>87</v>
      </c>
      <c r="G12" s="47" t="s">
        <v>88</v>
      </c>
      <c r="H12" s="47"/>
      <c r="I12" s="47"/>
      <c r="J12" s="69" t="s">
        <v>697</v>
      </c>
      <c r="K12" s="48">
        <v>1</v>
      </c>
      <c r="L12" s="48" t="s">
        <v>695</v>
      </c>
      <c r="M12" s="48"/>
      <c r="N12" s="48" t="s">
        <v>89</v>
      </c>
      <c r="O12" s="48">
        <v>73599</v>
      </c>
      <c r="P12" s="47">
        <v>75729</v>
      </c>
      <c r="Q12" s="47">
        <v>82952</v>
      </c>
      <c r="R12" s="47">
        <v>87195</v>
      </c>
      <c r="S12" s="47">
        <v>89858</v>
      </c>
      <c r="T12" s="47">
        <v>96216</v>
      </c>
      <c r="U12" s="47">
        <v>100872</v>
      </c>
      <c r="V12" s="47">
        <v>103800</v>
      </c>
      <c r="W12" s="47"/>
      <c r="X12" s="47"/>
      <c r="Y12" s="47"/>
      <c r="Z12" s="47"/>
      <c r="AA12" s="47"/>
      <c r="AB12" s="47">
        <f>Table1356[[#This Row],[Jul-58]]-Table1356[[#This Row],[Dec-57]]</f>
        <v>30201</v>
      </c>
      <c r="AC12" s="47">
        <v>42779</v>
      </c>
      <c r="AD12" s="169">
        <f t="shared" ref="AD12:AD22" si="2">AC12/12</f>
        <v>3564.9166666666665</v>
      </c>
      <c r="AE12" s="178">
        <f>200000/Table1356[[#This Row],[เฉลี่ยการใช้งานต่อเดือน]]</f>
        <v>56.102293181233783</v>
      </c>
      <c r="AF12" s="119" t="s">
        <v>136</v>
      </c>
    </row>
    <row r="13" spans="1:32" s="124" customFormat="1">
      <c r="A13" s="120"/>
      <c r="B13" s="121"/>
      <c r="C13" s="161"/>
      <c r="D13" s="67" t="s">
        <v>36</v>
      </c>
      <c r="E13" s="47" t="s">
        <v>118</v>
      </c>
      <c r="F13" s="48" t="s">
        <v>119</v>
      </c>
      <c r="G13" s="47" t="s">
        <v>120</v>
      </c>
      <c r="H13" s="47"/>
      <c r="I13" s="47"/>
      <c r="J13" s="69" t="s">
        <v>697</v>
      </c>
      <c r="K13" s="48">
        <v>1</v>
      </c>
      <c r="L13" s="48" t="s">
        <v>26</v>
      </c>
      <c r="M13" s="48"/>
      <c r="N13" s="48" t="s">
        <v>121</v>
      </c>
      <c r="O13" s="48">
        <v>62577</v>
      </c>
      <c r="P13" s="47">
        <v>64177</v>
      </c>
      <c r="Q13" s="47">
        <v>67361</v>
      </c>
      <c r="R13" s="47">
        <v>72368</v>
      </c>
      <c r="S13" s="47">
        <v>76867</v>
      </c>
      <c r="T13" s="47">
        <v>80008</v>
      </c>
      <c r="U13" s="47">
        <v>84381</v>
      </c>
      <c r="V13" s="47">
        <v>88791</v>
      </c>
      <c r="W13" s="47">
        <v>91233</v>
      </c>
      <c r="X13" s="47">
        <v>94561</v>
      </c>
      <c r="Y13" s="47">
        <v>100179</v>
      </c>
      <c r="Z13" s="47">
        <v>103588</v>
      </c>
      <c r="AA13" s="47">
        <v>106431</v>
      </c>
      <c r="AB13" s="47">
        <f>Table1356[[#This Row],[Dec-58]]-Table1356[[#This Row],[Dec-57]]</f>
        <v>43854</v>
      </c>
      <c r="AC13" s="47">
        <f t="shared" ref="AC13:AC21" si="3">AB13</f>
        <v>43854</v>
      </c>
      <c r="AD13" s="169">
        <f t="shared" si="2"/>
        <v>3654.5</v>
      </c>
      <c r="AE13" s="178">
        <f>200000/Table1356[[#This Row],[เฉลี่ยการใช้งานต่อเดือน]]</f>
        <v>54.72704884389109</v>
      </c>
      <c r="AF13" s="123" t="s">
        <v>122</v>
      </c>
    </row>
    <row r="14" spans="1:32">
      <c r="A14" s="48"/>
      <c r="B14" s="118"/>
      <c r="C14" s="160"/>
      <c r="D14" s="67" t="s">
        <v>37</v>
      </c>
      <c r="E14" s="47" t="s">
        <v>408</v>
      </c>
      <c r="F14" s="48" t="s">
        <v>409</v>
      </c>
      <c r="G14" s="47" t="s">
        <v>410</v>
      </c>
      <c r="H14" s="47"/>
      <c r="I14" s="47"/>
      <c r="J14" s="69" t="s">
        <v>697</v>
      </c>
      <c r="K14" s="48">
        <v>1</v>
      </c>
      <c r="L14" s="48" t="s">
        <v>26</v>
      </c>
      <c r="M14" s="48"/>
      <c r="N14" s="48" t="s">
        <v>411</v>
      </c>
      <c r="O14" s="48">
        <v>69714</v>
      </c>
      <c r="P14" s="47">
        <v>69920</v>
      </c>
      <c r="Q14" s="47">
        <v>73872</v>
      </c>
      <c r="R14" s="47">
        <v>83743</v>
      </c>
      <c r="S14" s="47">
        <v>86290</v>
      </c>
      <c r="T14" s="47">
        <v>87648</v>
      </c>
      <c r="U14" s="47">
        <v>94685</v>
      </c>
      <c r="V14" s="47">
        <v>97978</v>
      </c>
      <c r="W14" s="47">
        <v>100899</v>
      </c>
      <c r="X14" s="47">
        <v>103880</v>
      </c>
      <c r="Y14" s="47">
        <v>106730</v>
      </c>
      <c r="Z14" s="47">
        <v>112188</v>
      </c>
      <c r="AA14" s="47">
        <v>115434</v>
      </c>
      <c r="AB14" s="47">
        <f>Table1356[[#This Row],[Dec-58]]-Table1356[[#This Row],[Dec-57]]</f>
        <v>45720</v>
      </c>
      <c r="AC14" s="47">
        <f t="shared" si="3"/>
        <v>45720</v>
      </c>
      <c r="AD14" s="169">
        <f t="shared" si="2"/>
        <v>3810</v>
      </c>
      <c r="AE14" s="178">
        <f>200000/Table1356[[#This Row],[เฉลี่ยการใช้งานต่อเดือน]]</f>
        <v>52.493438320209975</v>
      </c>
      <c r="AF14" s="119" t="s">
        <v>142</v>
      </c>
    </row>
    <row r="15" spans="1:32">
      <c r="A15" s="48"/>
      <c r="B15" s="118"/>
      <c r="C15" s="160"/>
      <c r="D15" s="67" t="s">
        <v>38</v>
      </c>
      <c r="E15" s="47" t="s">
        <v>78</v>
      </c>
      <c r="F15" s="48" t="s">
        <v>79</v>
      </c>
      <c r="G15" s="47" t="s">
        <v>80</v>
      </c>
      <c r="H15" s="47"/>
      <c r="I15" s="47"/>
      <c r="J15" s="69" t="s">
        <v>697</v>
      </c>
      <c r="K15" s="48">
        <v>1</v>
      </c>
      <c r="L15" s="48" t="s">
        <v>26</v>
      </c>
      <c r="M15" s="48"/>
      <c r="N15" s="48" t="s">
        <v>82</v>
      </c>
      <c r="O15" s="48">
        <v>32752</v>
      </c>
      <c r="P15" s="47">
        <v>37846</v>
      </c>
      <c r="Q15" s="47">
        <v>41521</v>
      </c>
      <c r="R15" s="47">
        <v>44849</v>
      </c>
      <c r="S15" s="47">
        <v>47733</v>
      </c>
      <c r="T15" s="47">
        <v>52677</v>
      </c>
      <c r="U15" s="47">
        <v>61821</v>
      </c>
      <c r="V15" s="47">
        <v>65771</v>
      </c>
      <c r="W15" s="47">
        <v>69099</v>
      </c>
      <c r="X15" s="47">
        <v>73258</v>
      </c>
      <c r="Y15" s="47">
        <v>75874</v>
      </c>
      <c r="Z15" s="47">
        <v>79283</v>
      </c>
      <c r="AA15" s="47">
        <v>81962</v>
      </c>
      <c r="AB15" s="47">
        <f>Table1356[[#This Row],[Dec-58]]-Table1356[[#This Row],[Dec-57]]</f>
        <v>49210</v>
      </c>
      <c r="AC15" s="47">
        <f t="shared" si="3"/>
        <v>49210</v>
      </c>
      <c r="AD15" s="169">
        <f t="shared" si="2"/>
        <v>4100.833333333333</v>
      </c>
      <c r="AE15" s="178">
        <f>200000/Table1356[[#This Row],[เฉลี่ยการใช้งานต่อเดือน]]</f>
        <v>48.770575086364566</v>
      </c>
      <c r="AF15" s="119" t="s">
        <v>152</v>
      </c>
    </row>
    <row r="16" spans="1:32" s="124" customFormat="1">
      <c r="A16" s="120"/>
      <c r="B16" s="121"/>
      <c r="C16" s="161"/>
      <c r="D16" s="67" t="s">
        <v>39</v>
      </c>
      <c r="E16" s="47" t="s">
        <v>132</v>
      </c>
      <c r="F16" s="48" t="s">
        <v>133</v>
      </c>
      <c r="G16" s="47" t="s">
        <v>134</v>
      </c>
      <c r="H16" s="47"/>
      <c r="I16" s="47"/>
      <c r="J16" s="69" t="s">
        <v>697</v>
      </c>
      <c r="K16" s="48">
        <v>1</v>
      </c>
      <c r="L16" s="48" t="s">
        <v>26</v>
      </c>
      <c r="M16" s="48"/>
      <c r="N16" s="48" t="s">
        <v>135</v>
      </c>
      <c r="O16" s="48">
        <v>73132</v>
      </c>
      <c r="P16" s="47">
        <v>77151</v>
      </c>
      <c r="Q16" s="47">
        <v>79398</v>
      </c>
      <c r="R16" s="47">
        <v>85770</v>
      </c>
      <c r="S16" s="47">
        <v>87958</v>
      </c>
      <c r="T16" s="47">
        <v>93451</v>
      </c>
      <c r="U16" s="47">
        <v>97016</v>
      </c>
      <c r="V16" s="47">
        <v>102101</v>
      </c>
      <c r="W16" s="47">
        <v>107094</v>
      </c>
      <c r="X16" s="47">
        <v>111514</v>
      </c>
      <c r="Y16" s="47">
        <v>117904</v>
      </c>
      <c r="Z16" s="47">
        <v>120899</v>
      </c>
      <c r="AA16" s="47">
        <v>123775</v>
      </c>
      <c r="AB16" s="47">
        <f>Table1356[[#This Row],[Dec-58]]-Table1356[[#This Row],[Dec-57]]</f>
        <v>50643</v>
      </c>
      <c r="AC16" s="47">
        <f t="shared" si="3"/>
        <v>50643</v>
      </c>
      <c r="AD16" s="169">
        <f t="shared" si="2"/>
        <v>4220.25</v>
      </c>
      <c r="AE16" s="178">
        <f>200000/Table1356[[#This Row],[เฉลี่ยการใช้งานต่อเดือน]]</f>
        <v>47.390557431431787</v>
      </c>
      <c r="AF16" s="123" t="s">
        <v>95</v>
      </c>
    </row>
    <row r="17" spans="1:32">
      <c r="A17" s="48"/>
      <c r="B17" s="118"/>
      <c r="C17" s="160"/>
      <c r="D17" s="67" t="s">
        <v>40</v>
      </c>
      <c r="E17" s="47" t="s">
        <v>336</v>
      </c>
      <c r="F17" s="48" t="s">
        <v>337</v>
      </c>
      <c r="G17" s="47" t="s">
        <v>338</v>
      </c>
      <c r="H17" s="47"/>
      <c r="I17" s="47"/>
      <c r="J17" s="69" t="s">
        <v>697</v>
      </c>
      <c r="K17" s="48">
        <v>1</v>
      </c>
      <c r="L17" s="48" t="s">
        <v>26</v>
      </c>
      <c r="M17" s="48"/>
      <c r="N17" s="48" t="s">
        <v>339</v>
      </c>
      <c r="O17" s="48">
        <v>78628</v>
      </c>
      <c r="P17" s="47">
        <v>81473</v>
      </c>
      <c r="Q17" s="47">
        <v>87182</v>
      </c>
      <c r="R17" s="47">
        <v>92536</v>
      </c>
      <c r="S17" s="47">
        <v>96850</v>
      </c>
      <c r="T17" s="47">
        <v>102762</v>
      </c>
      <c r="U17" s="47">
        <v>108472</v>
      </c>
      <c r="V17" s="47">
        <v>111589</v>
      </c>
      <c r="W17" s="47">
        <v>116749</v>
      </c>
      <c r="X17" s="47">
        <v>120028</v>
      </c>
      <c r="Y17" s="47">
        <v>123386</v>
      </c>
      <c r="Z17" s="47">
        <v>127717</v>
      </c>
      <c r="AA17" s="47">
        <v>131589</v>
      </c>
      <c r="AB17" s="47">
        <f>Table1356[[#This Row],[Dec-58]]-Table1356[[#This Row],[Dec-57]]</f>
        <v>52961</v>
      </c>
      <c r="AC17" s="47">
        <f t="shared" si="3"/>
        <v>52961</v>
      </c>
      <c r="AD17" s="169">
        <f t="shared" si="2"/>
        <v>4413.416666666667</v>
      </c>
      <c r="AE17" s="178">
        <f>200000/Table1356[[#This Row],[เฉลี่ยการใช้งานต่อเดือน]]</f>
        <v>45.316364872264494</v>
      </c>
      <c r="AF17" s="119" t="s">
        <v>163</v>
      </c>
    </row>
    <row r="18" spans="1:32">
      <c r="A18" s="48"/>
      <c r="B18" s="118"/>
      <c r="C18" s="160"/>
      <c r="D18" s="67" t="s">
        <v>41</v>
      </c>
      <c r="E18" s="47" t="s">
        <v>108</v>
      </c>
      <c r="F18" s="48" t="s">
        <v>109</v>
      </c>
      <c r="G18" s="47" t="s">
        <v>110</v>
      </c>
      <c r="H18" s="47"/>
      <c r="I18" s="47"/>
      <c r="J18" s="69" t="s">
        <v>697</v>
      </c>
      <c r="K18" s="48">
        <v>1</v>
      </c>
      <c r="L18" s="48" t="s">
        <v>26</v>
      </c>
      <c r="M18" s="48"/>
      <c r="N18" s="48" t="s">
        <v>111</v>
      </c>
      <c r="O18" s="48">
        <v>71354</v>
      </c>
      <c r="P18" s="47">
        <v>73817</v>
      </c>
      <c r="Q18" s="47">
        <v>80789</v>
      </c>
      <c r="R18" s="47">
        <v>83362</v>
      </c>
      <c r="S18" s="47">
        <v>87741</v>
      </c>
      <c r="T18" s="47">
        <v>94502</v>
      </c>
      <c r="U18" s="47">
        <v>96600</v>
      </c>
      <c r="V18" s="47">
        <v>104644</v>
      </c>
      <c r="W18" s="47">
        <v>106456</v>
      </c>
      <c r="X18" s="47">
        <v>111708</v>
      </c>
      <c r="Y18" s="47">
        <v>116328</v>
      </c>
      <c r="Z18" s="47">
        <v>120762</v>
      </c>
      <c r="AA18" s="47">
        <v>124504</v>
      </c>
      <c r="AB18" s="47">
        <f>Table1356[[#This Row],[Dec-58]]-Table1356[[#This Row],[Dec-57]]</f>
        <v>53150</v>
      </c>
      <c r="AC18" s="47">
        <f t="shared" si="3"/>
        <v>53150</v>
      </c>
      <c r="AD18" s="169">
        <f t="shared" si="2"/>
        <v>4429.166666666667</v>
      </c>
      <c r="AE18" s="178">
        <f>200000/Table1356[[#This Row],[เฉลี่ยการใช้งานต่อเดือน]]</f>
        <v>45.155221072436497</v>
      </c>
      <c r="AF18" s="119" t="s">
        <v>253</v>
      </c>
    </row>
    <row r="19" spans="1:32">
      <c r="A19" s="48"/>
      <c r="B19" s="118"/>
      <c r="C19" s="160"/>
      <c r="D19" s="67" t="s">
        <v>42</v>
      </c>
      <c r="E19" s="131" t="s">
        <v>289</v>
      </c>
      <c r="F19" s="48" t="s">
        <v>290</v>
      </c>
      <c r="G19" s="47" t="s">
        <v>291</v>
      </c>
      <c r="H19" s="47"/>
      <c r="I19" s="47"/>
      <c r="J19" s="69" t="s">
        <v>697</v>
      </c>
      <c r="K19" s="48">
        <v>1</v>
      </c>
      <c r="L19" s="48" t="s">
        <v>26</v>
      </c>
      <c r="M19" s="48"/>
      <c r="N19" s="48" t="s">
        <v>292</v>
      </c>
      <c r="O19" s="48">
        <v>75155</v>
      </c>
      <c r="P19" s="47">
        <v>80450</v>
      </c>
      <c r="Q19" s="47">
        <v>84976</v>
      </c>
      <c r="R19" s="47">
        <v>89803</v>
      </c>
      <c r="S19" s="47">
        <v>96310</v>
      </c>
      <c r="T19" s="47">
        <v>101310</v>
      </c>
      <c r="U19" s="47">
        <v>101617</v>
      </c>
      <c r="V19" s="47">
        <v>106552</v>
      </c>
      <c r="W19" s="47">
        <v>111652</v>
      </c>
      <c r="X19" s="47">
        <v>116788</v>
      </c>
      <c r="Y19" s="47">
        <v>120499</v>
      </c>
      <c r="Z19" s="47">
        <v>124931</v>
      </c>
      <c r="AA19" s="47">
        <v>128495</v>
      </c>
      <c r="AB19" s="47">
        <f>Table1356[[#This Row],[Dec-58]]-Table1356[[#This Row],[Dec-57]]</f>
        <v>53340</v>
      </c>
      <c r="AC19" s="47">
        <f t="shared" si="3"/>
        <v>53340</v>
      </c>
      <c r="AD19" s="169">
        <f t="shared" si="2"/>
        <v>4445</v>
      </c>
      <c r="AE19" s="178">
        <f>200000/Table1356[[#This Row],[เฉลี่ยการใช้งานต่อเดือน]]</f>
        <v>44.994375703037122</v>
      </c>
      <c r="AF19" s="119" t="s">
        <v>258</v>
      </c>
    </row>
    <row r="20" spans="1:32">
      <c r="A20" s="48"/>
      <c r="B20" s="118"/>
      <c r="C20" s="160"/>
      <c r="D20" s="67" t="s">
        <v>43</v>
      </c>
      <c r="E20" s="47" t="s">
        <v>113</v>
      </c>
      <c r="F20" s="48" t="s">
        <v>114</v>
      </c>
      <c r="G20" s="47" t="s">
        <v>115</v>
      </c>
      <c r="H20" s="47"/>
      <c r="I20" s="47"/>
      <c r="J20" s="69" t="s">
        <v>697</v>
      </c>
      <c r="K20" s="48">
        <v>1</v>
      </c>
      <c r="L20" s="48" t="s">
        <v>26</v>
      </c>
      <c r="M20" s="48"/>
      <c r="N20" s="48" t="s">
        <v>116</v>
      </c>
      <c r="O20" s="48">
        <v>79780</v>
      </c>
      <c r="P20" s="47">
        <v>84395</v>
      </c>
      <c r="Q20" s="47">
        <v>90213</v>
      </c>
      <c r="R20" s="47">
        <v>95279</v>
      </c>
      <c r="S20" s="47">
        <v>99071</v>
      </c>
      <c r="T20" s="47">
        <v>103220</v>
      </c>
      <c r="U20" s="47">
        <v>109909</v>
      </c>
      <c r="V20" s="47">
        <v>114549</v>
      </c>
      <c r="W20" s="47">
        <v>118183</v>
      </c>
      <c r="X20" s="47">
        <v>122506</v>
      </c>
      <c r="Y20" s="47">
        <v>125942</v>
      </c>
      <c r="Z20" s="47">
        <v>130571</v>
      </c>
      <c r="AA20" s="47">
        <v>133950</v>
      </c>
      <c r="AB20" s="47">
        <f>Table1356[[#This Row],[Dec-58]]-Table1356[[#This Row],[Dec-57]]</f>
        <v>54170</v>
      </c>
      <c r="AC20" s="47">
        <f t="shared" si="3"/>
        <v>54170</v>
      </c>
      <c r="AD20" s="169">
        <f t="shared" si="2"/>
        <v>4514.166666666667</v>
      </c>
      <c r="AE20" s="178">
        <f>200000/Table1356[[#This Row],[เฉลี่ยการใช้งานต่อเดือน]]</f>
        <v>44.304965848255492</v>
      </c>
      <c r="AF20" s="119" t="s">
        <v>263</v>
      </c>
    </row>
    <row r="21" spans="1:32">
      <c r="A21" s="48"/>
      <c r="B21" s="118"/>
      <c r="C21" s="160"/>
      <c r="D21" s="67" t="s">
        <v>44</v>
      </c>
      <c r="E21" s="47" t="s">
        <v>424</v>
      </c>
      <c r="F21" s="48" t="s">
        <v>425</v>
      </c>
      <c r="G21" s="132" t="s">
        <v>426</v>
      </c>
      <c r="H21" s="47"/>
      <c r="I21" s="48"/>
      <c r="J21" s="69" t="s">
        <v>697</v>
      </c>
      <c r="K21" s="48">
        <v>1</v>
      </c>
      <c r="L21" s="48" t="s">
        <v>26</v>
      </c>
      <c r="M21" s="47"/>
      <c r="N21" s="48" t="s">
        <v>427</v>
      </c>
      <c r="O21" s="48">
        <v>103488</v>
      </c>
      <c r="P21" s="47">
        <v>107800</v>
      </c>
      <c r="Q21" s="47">
        <v>111415</v>
      </c>
      <c r="R21" s="47">
        <v>118123</v>
      </c>
      <c r="S21" s="47">
        <v>120058</v>
      </c>
      <c r="T21" s="47">
        <v>124935</v>
      </c>
      <c r="U21" s="47">
        <v>126326</v>
      </c>
      <c r="V21" s="47">
        <v>132045</v>
      </c>
      <c r="W21" s="47">
        <v>137973</v>
      </c>
      <c r="X21" s="47">
        <v>148485</v>
      </c>
      <c r="Y21" s="47">
        <v>153224</v>
      </c>
      <c r="Z21" s="47">
        <v>157177</v>
      </c>
      <c r="AA21" s="47">
        <v>159052</v>
      </c>
      <c r="AB21" s="47">
        <f>Table1356[[#This Row],[Dec-58]]-Table1356[[#This Row],[Dec-57]]</f>
        <v>55564</v>
      </c>
      <c r="AC21" s="47">
        <f t="shared" si="3"/>
        <v>55564</v>
      </c>
      <c r="AD21" s="169">
        <f t="shared" si="2"/>
        <v>4630.333333333333</v>
      </c>
      <c r="AE21" s="178">
        <f>200000/Table1356[[#This Row],[เฉลี่ยการใช้งานต่อเดือน]]</f>
        <v>43.193434597941113</v>
      </c>
      <c r="AF21" s="119" t="s">
        <v>268</v>
      </c>
    </row>
    <row r="22" spans="1:32">
      <c r="A22" s="48"/>
      <c r="B22" s="118"/>
      <c r="C22" s="160"/>
      <c r="D22" s="67" t="s">
        <v>45</v>
      </c>
      <c r="E22" s="47" t="s">
        <v>143</v>
      </c>
      <c r="F22" s="48" t="s">
        <v>144</v>
      </c>
      <c r="G22" s="47" t="s">
        <v>145</v>
      </c>
      <c r="H22" s="47"/>
      <c r="I22" s="47"/>
      <c r="J22" s="69" t="s">
        <v>697</v>
      </c>
      <c r="K22" s="48">
        <v>1</v>
      </c>
      <c r="L22" s="48" t="s">
        <v>26</v>
      </c>
      <c r="M22" s="48"/>
      <c r="N22" s="48" t="s">
        <v>146</v>
      </c>
      <c r="O22" s="48">
        <v>114268</v>
      </c>
      <c r="P22" s="47">
        <v>115953</v>
      </c>
      <c r="Q22" s="47">
        <v>122362</v>
      </c>
      <c r="R22" s="47">
        <v>128737</v>
      </c>
      <c r="S22" s="47">
        <v>133296</v>
      </c>
      <c r="T22" s="47">
        <v>139182</v>
      </c>
      <c r="U22" s="47">
        <v>147093</v>
      </c>
      <c r="V22" s="47">
        <v>150528</v>
      </c>
      <c r="W22" s="47">
        <v>154681</v>
      </c>
      <c r="X22" s="47">
        <v>159486</v>
      </c>
      <c r="Y22" s="47">
        <v>165247</v>
      </c>
      <c r="Z22" s="47">
        <v>168867</v>
      </c>
      <c r="AA22" s="47"/>
      <c r="AB22" s="47">
        <f>Table1356[[#This Row],[Nov-58]]-Table1356[[#This Row],[Dec-57]]</f>
        <v>54599</v>
      </c>
      <c r="AC22" s="47">
        <v>60791</v>
      </c>
      <c r="AD22" s="169">
        <f t="shared" si="2"/>
        <v>5065.916666666667</v>
      </c>
      <c r="AE22" s="178">
        <f>200000/Table1356[[#This Row],[เฉลี่ยการใช้งานต่อเดือน]]</f>
        <v>39.479528219637771</v>
      </c>
      <c r="AF22" s="119" t="s">
        <v>136</v>
      </c>
    </row>
    <row r="23" spans="1:32">
      <c r="A23" s="48"/>
      <c r="B23" s="118"/>
      <c r="C23" s="160"/>
      <c r="D23" s="67" t="s">
        <v>46</v>
      </c>
      <c r="E23" s="47" t="s">
        <v>148</v>
      </c>
      <c r="F23" s="48" t="s">
        <v>149</v>
      </c>
      <c r="G23" s="47" t="s">
        <v>150</v>
      </c>
      <c r="H23" s="47"/>
      <c r="I23" s="47"/>
      <c r="J23" s="69" t="s">
        <v>697</v>
      </c>
      <c r="K23" s="48">
        <v>1</v>
      </c>
      <c r="L23" s="48" t="s">
        <v>26</v>
      </c>
      <c r="M23" s="48"/>
      <c r="N23" s="48" t="s">
        <v>151</v>
      </c>
      <c r="O23" s="48">
        <v>69223</v>
      </c>
      <c r="P23" s="47">
        <v>74767</v>
      </c>
      <c r="Q23" s="47">
        <v>79568</v>
      </c>
      <c r="R23" s="47">
        <v>86571</v>
      </c>
      <c r="S23" s="47">
        <v>92523</v>
      </c>
      <c r="T23" s="47">
        <v>97661</v>
      </c>
      <c r="U23" s="47">
        <v>101063</v>
      </c>
      <c r="V23" s="47">
        <v>107170</v>
      </c>
      <c r="W23" s="47">
        <v>113031</v>
      </c>
      <c r="X23" s="47">
        <v>116419</v>
      </c>
      <c r="Y23" s="47">
        <v>121593</v>
      </c>
      <c r="Z23" s="47">
        <v>125679</v>
      </c>
      <c r="AA23" s="47">
        <v>130449</v>
      </c>
      <c r="AB23" s="47">
        <f>Table1356[[#This Row],[Dec-58]]-Table1356[[#This Row],[Dec-57]]</f>
        <v>61226</v>
      </c>
      <c r="AC23" s="47">
        <f>Table1356[[#This Row],[ปริมาณการใชบ้ทั้งปี]]</f>
        <v>61226</v>
      </c>
      <c r="AD23" s="169">
        <f>AB23/12</f>
        <v>5102.166666666667</v>
      </c>
      <c r="AE23" s="178">
        <f>200000/Table1356[[#This Row],[เฉลี่ยการใช้งานต่อเดือน]]</f>
        <v>39.199033090517098</v>
      </c>
      <c r="AF23" s="119" t="s">
        <v>280</v>
      </c>
    </row>
    <row r="24" spans="1:32" s="124" customFormat="1">
      <c r="A24" s="120"/>
      <c r="B24" s="121"/>
      <c r="C24" s="161"/>
      <c r="D24" s="67" t="s">
        <v>47</v>
      </c>
      <c r="E24" s="47" t="s">
        <v>96</v>
      </c>
      <c r="F24" s="48" t="s">
        <v>97</v>
      </c>
      <c r="G24" s="47" t="s">
        <v>98</v>
      </c>
      <c r="H24" s="47"/>
      <c r="I24" s="47"/>
      <c r="J24" s="69" t="s">
        <v>697</v>
      </c>
      <c r="K24" s="48">
        <v>1</v>
      </c>
      <c r="L24" s="48" t="s">
        <v>26</v>
      </c>
      <c r="M24" s="48"/>
      <c r="N24" s="48" t="s">
        <v>101</v>
      </c>
      <c r="O24" s="48">
        <v>72296</v>
      </c>
      <c r="P24" s="47">
        <v>75669</v>
      </c>
      <c r="Q24" s="47">
        <v>80818</v>
      </c>
      <c r="R24" s="47">
        <v>86915</v>
      </c>
      <c r="S24" s="47">
        <v>93964</v>
      </c>
      <c r="T24" s="47">
        <v>98170</v>
      </c>
      <c r="U24" s="47">
        <v>103496</v>
      </c>
      <c r="V24" s="47">
        <v>109631</v>
      </c>
      <c r="W24" s="47">
        <v>113743</v>
      </c>
      <c r="X24" s="47">
        <v>121139</v>
      </c>
      <c r="Y24" s="47">
        <v>124039</v>
      </c>
      <c r="Z24" s="47">
        <v>130789</v>
      </c>
      <c r="AA24" s="47">
        <v>135465</v>
      </c>
      <c r="AB24" s="47">
        <f>Table1356[[#This Row],[Dec-58]]-Table1356[[#This Row],[Dec-57]]</f>
        <v>63169</v>
      </c>
      <c r="AC24" s="47">
        <f t="shared" ref="AC24:AC31" si="4">AB24</f>
        <v>63169</v>
      </c>
      <c r="AD24" s="169">
        <f t="shared" ref="AD24:AD39" si="5">AC24/12</f>
        <v>5264.083333333333</v>
      </c>
      <c r="AE24" s="178">
        <f>200000/Table1356[[#This Row],[เฉลี่ยการใช้งานต่อเดือน]]</f>
        <v>37.993319507986513</v>
      </c>
      <c r="AF24" s="123"/>
    </row>
    <row r="25" spans="1:32">
      <c r="A25" s="48"/>
      <c r="B25" s="118"/>
      <c r="C25" s="160"/>
      <c r="D25" s="67" t="s">
        <v>48</v>
      </c>
      <c r="E25" s="47" t="s">
        <v>294</v>
      </c>
      <c r="F25" s="48" t="s">
        <v>295</v>
      </c>
      <c r="G25" s="47" t="s">
        <v>296</v>
      </c>
      <c r="H25" s="47"/>
      <c r="I25" s="47"/>
      <c r="J25" s="69" t="s">
        <v>697</v>
      </c>
      <c r="K25" s="48">
        <v>1</v>
      </c>
      <c r="L25" s="48" t="s">
        <v>26</v>
      </c>
      <c r="M25" s="48"/>
      <c r="N25" s="48" t="s">
        <v>297</v>
      </c>
      <c r="O25" s="48">
        <v>7706</v>
      </c>
      <c r="P25" s="47">
        <v>10121</v>
      </c>
      <c r="Q25" s="47">
        <v>16974</v>
      </c>
      <c r="R25" s="47">
        <v>22392</v>
      </c>
      <c r="S25" s="47">
        <v>26308</v>
      </c>
      <c r="T25" s="47">
        <v>33346</v>
      </c>
      <c r="U25" s="47">
        <v>40246</v>
      </c>
      <c r="V25" s="47">
        <v>49832</v>
      </c>
      <c r="W25" s="47">
        <v>51699</v>
      </c>
      <c r="X25" s="47">
        <v>56611</v>
      </c>
      <c r="Y25" s="47">
        <v>60351</v>
      </c>
      <c r="Z25" s="47">
        <v>65527</v>
      </c>
      <c r="AA25" s="47">
        <v>70985</v>
      </c>
      <c r="AB25" s="47">
        <f>Table1356[[#This Row],[Dec-58]]-Table1356[[#This Row],[Dec-57]]</f>
        <v>63279</v>
      </c>
      <c r="AC25" s="47">
        <f t="shared" si="4"/>
        <v>63279</v>
      </c>
      <c r="AD25" s="169">
        <f t="shared" si="5"/>
        <v>5273.25</v>
      </c>
      <c r="AE25" s="178">
        <f>200000/Table1356[[#This Row],[เฉลี่ยการใช้งานต่อเดือน]]</f>
        <v>37.927274451239747</v>
      </c>
      <c r="AF25" s="119" t="s">
        <v>288</v>
      </c>
    </row>
    <row r="26" spans="1:32">
      <c r="A26" s="48"/>
      <c r="B26" s="118"/>
      <c r="C26" s="160"/>
      <c r="D26" s="67" t="s">
        <v>49</v>
      </c>
      <c r="E26" s="47" t="s">
        <v>249</v>
      </c>
      <c r="F26" s="48" t="s">
        <v>250</v>
      </c>
      <c r="G26" s="47" t="s">
        <v>251</v>
      </c>
      <c r="H26" s="47"/>
      <c r="I26" s="47"/>
      <c r="J26" s="69" t="s">
        <v>697</v>
      </c>
      <c r="K26" s="48">
        <v>1</v>
      </c>
      <c r="L26" s="48" t="s">
        <v>26</v>
      </c>
      <c r="M26" s="48"/>
      <c r="N26" s="48" t="s">
        <v>252</v>
      </c>
      <c r="O26" s="48">
        <v>126237</v>
      </c>
      <c r="P26" s="47">
        <v>128199</v>
      </c>
      <c r="Q26" s="47">
        <v>133026</v>
      </c>
      <c r="R26" s="47">
        <v>139867</v>
      </c>
      <c r="S26" s="47">
        <v>142946</v>
      </c>
      <c r="T26" s="47">
        <v>149599</v>
      </c>
      <c r="U26" s="47">
        <v>155934</v>
      </c>
      <c r="V26" s="47">
        <v>169894</v>
      </c>
      <c r="W26" s="47">
        <v>173868</v>
      </c>
      <c r="X26" s="47">
        <v>178288</v>
      </c>
      <c r="Y26" s="47">
        <v>181232</v>
      </c>
      <c r="Z26" s="47">
        <v>186787</v>
      </c>
      <c r="AA26" s="47">
        <v>189813</v>
      </c>
      <c r="AB26" s="47">
        <f>Table1356[[#This Row],[Dec-58]]-Table1356[[#This Row],[Dec-57]]</f>
        <v>63576</v>
      </c>
      <c r="AC26" s="47">
        <f t="shared" si="4"/>
        <v>63576</v>
      </c>
      <c r="AD26" s="169">
        <f t="shared" si="5"/>
        <v>5298</v>
      </c>
      <c r="AE26" s="178">
        <f>200000/Table1356[[#This Row],[เฉลี่ยการใช้งานต่อเดือน]]</f>
        <v>37.750094375235939</v>
      </c>
      <c r="AF26" s="119" t="s">
        <v>293</v>
      </c>
    </row>
    <row r="27" spans="1:32">
      <c r="A27" s="48"/>
      <c r="B27" s="118"/>
      <c r="C27" s="160"/>
      <c r="D27" s="67" t="s">
        <v>50</v>
      </c>
      <c r="E27" s="47" t="s">
        <v>78</v>
      </c>
      <c r="F27" s="48" t="s">
        <v>79</v>
      </c>
      <c r="G27" s="47" t="s">
        <v>83</v>
      </c>
      <c r="H27" s="47"/>
      <c r="I27" s="47"/>
      <c r="J27" s="69" t="s">
        <v>697</v>
      </c>
      <c r="K27" s="48">
        <v>1</v>
      </c>
      <c r="L27" s="48" t="s">
        <v>26</v>
      </c>
      <c r="M27" s="48"/>
      <c r="N27" s="48" t="s">
        <v>84</v>
      </c>
      <c r="O27" s="48">
        <v>112605</v>
      </c>
      <c r="P27" s="47">
        <v>115236</v>
      </c>
      <c r="Q27" s="47">
        <v>119558</v>
      </c>
      <c r="R27" s="47">
        <v>123611</v>
      </c>
      <c r="S27" s="47">
        <v>126865</v>
      </c>
      <c r="T27" s="47">
        <v>130992</v>
      </c>
      <c r="U27" s="47">
        <v>136644</v>
      </c>
      <c r="V27" s="47">
        <v>145163</v>
      </c>
      <c r="W27" s="47">
        <v>152516</v>
      </c>
      <c r="X27" s="47">
        <v>158845</v>
      </c>
      <c r="Y27" s="47">
        <v>164600</v>
      </c>
      <c r="Z27" s="47">
        <v>170782</v>
      </c>
      <c r="AA27" s="47">
        <v>177825</v>
      </c>
      <c r="AB27" s="47">
        <f>Table1356[[#This Row],[Dec-58]]-Table1356[[#This Row],[Dec-57]]</f>
        <v>65220</v>
      </c>
      <c r="AC27" s="47">
        <f t="shared" si="4"/>
        <v>65220</v>
      </c>
      <c r="AD27" s="169">
        <f t="shared" si="5"/>
        <v>5435</v>
      </c>
      <c r="AE27" s="178">
        <f>200000/Table1356[[#This Row],[เฉลี่ยการใช้งานต่อเดือน]]</f>
        <v>36.798528058877643</v>
      </c>
      <c r="AF27" s="119" t="s">
        <v>298</v>
      </c>
    </row>
    <row r="28" spans="1:32">
      <c r="A28" s="48"/>
      <c r="B28" s="118"/>
      <c r="C28" s="160"/>
      <c r="D28" s="67" t="s">
        <v>51</v>
      </c>
      <c r="E28" s="47" t="s">
        <v>326</v>
      </c>
      <c r="F28" s="48" t="s">
        <v>327</v>
      </c>
      <c r="G28" s="47" t="s">
        <v>328</v>
      </c>
      <c r="H28" s="47"/>
      <c r="I28" s="47"/>
      <c r="J28" s="69" t="s">
        <v>697</v>
      </c>
      <c r="K28" s="48">
        <v>1</v>
      </c>
      <c r="L28" s="48" t="s">
        <v>26</v>
      </c>
      <c r="M28" s="48"/>
      <c r="N28" s="48" t="s">
        <v>329</v>
      </c>
      <c r="O28" s="48">
        <v>94971</v>
      </c>
      <c r="P28" s="47">
        <v>100140</v>
      </c>
      <c r="Q28" s="47">
        <v>107815</v>
      </c>
      <c r="R28" s="47">
        <v>109440</v>
      </c>
      <c r="S28" s="47">
        <v>113521</v>
      </c>
      <c r="T28" s="47">
        <v>119344</v>
      </c>
      <c r="U28" s="47">
        <v>123338</v>
      </c>
      <c r="V28" s="47">
        <v>131842</v>
      </c>
      <c r="W28" s="47">
        <v>133672</v>
      </c>
      <c r="X28" s="47">
        <v>141402</v>
      </c>
      <c r="Y28" s="47">
        <v>147226</v>
      </c>
      <c r="Z28" s="47">
        <v>155673</v>
      </c>
      <c r="AA28" s="47">
        <v>160850</v>
      </c>
      <c r="AB28" s="47">
        <f>Table1356[[#This Row],[Dec-58]]-Table1356[[#This Row],[Dec-57]]</f>
        <v>65879</v>
      </c>
      <c r="AC28" s="47">
        <f t="shared" si="4"/>
        <v>65879</v>
      </c>
      <c r="AD28" s="169">
        <f t="shared" si="5"/>
        <v>5489.916666666667</v>
      </c>
      <c r="AE28" s="178">
        <f>200000/Table1356[[#This Row],[เฉลี่ยการใช้งานต่อเดือน]]</f>
        <v>36.430425477010878</v>
      </c>
      <c r="AF28" s="119" t="s">
        <v>303</v>
      </c>
    </row>
    <row r="29" spans="1:32">
      <c r="A29" s="48"/>
      <c r="B29" s="118"/>
      <c r="C29" s="160"/>
      <c r="D29" s="67" t="s">
        <v>52</v>
      </c>
      <c r="E29" s="47" t="s">
        <v>138</v>
      </c>
      <c r="F29" s="48" t="s">
        <v>139</v>
      </c>
      <c r="G29" s="47" t="s">
        <v>140</v>
      </c>
      <c r="H29" s="47"/>
      <c r="I29" s="47"/>
      <c r="J29" s="69" t="s">
        <v>697</v>
      </c>
      <c r="K29" s="48">
        <v>1</v>
      </c>
      <c r="L29" s="48" t="s">
        <v>26</v>
      </c>
      <c r="M29" s="48"/>
      <c r="N29" s="48" t="s">
        <v>141</v>
      </c>
      <c r="O29" s="48">
        <v>119838</v>
      </c>
      <c r="P29" s="47">
        <v>123785</v>
      </c>
      <c r="Q29" s="47">
        <v>129553</v>
      </c>
      <c r="R29" s="47">
        <v>136826</v>
      </c>
      <c r="S29" s="47">
        <v>140558</v>
      </c>
      <c r="T29" s="47">
        <v>145622</v>
      </c>
      <c r="U29" s="47">
        <v>150208</v>
      </c>
      <c r="V29" s="47">
        <v>158784</v>
      </c>
      <c r="W29" s="47">
        <v>162433</v>
      </c>
      <c r="X29" s="47">
        <v>168063</v>
      </c>
      <c r="Y29" s="47">
        <v>174618</v>
      </c>
      <c r="Z29" s="47">
        <v>181438</v>
      </c>
      <c r="AA29" s="47">
        <v>186239</v>
      </c>
      <c r="AB29" s="47">
        <f>Table1356[[#This Row],[Dec-58]]-Table1356[[#This Row],[Dec-57]]</f>
        <v>66401</v>
      </c>
      <c r="AC29" s="47">
        <f t="shared" si="4"/>
        <v>66401</v>
      </c>
      <c r="AD29" s="169">
        <f t="shared" si="5"/>
        <v>5533.416666666667</v>
      </c>
      <c r="AE29" s="178">
        <f>200000/Table1356[[#This Row],[เฉลี่ยการใช้งานต่อเดือน]]</f>
        <v>36.144033975391935</v>
      </c>
      <c r="AF29" s="119" t="s">
        <v>152</v>
      </c>
    </row>
    <row r="30" spans="1:32">
      <c r="A30" s="48"/>
      <c r="B30" s="118"/>
      <c r="C30" s="160"/>
      <c r="D30" s="67" t="s">
        <v>53</v>
      </c>
      <c r="E30" s="47" t="s">
        <v>259</v>
      </c>
      <c r="F30" s="48" t="s">
        <v>260</v>
      </c>
      <c r="G30" s="47" t="s">
        <v>261</v>
      </c>
      <c r="H30" s="47"/>
      <c r="I30" s="47"/>
      <c r="J30" s="69" t="s">
        <v>697</v>
      </c>
      <c r="K30" s="48">
        <v>1</v>
      </c>
      <c r="L30" s="48" t="s">
        <v>26</v>
      </c>
      <c r="M30" s="48"/>
      <c r="N30" s="48" t="s">
        <v>262</v>
      </c>
      <c r="O30" s="48">
        <v>86531</v>
      </c>
      <c r="P30" s="47">
        <v>87373</v>
      </c>
      <c r="Q30" s="47">
        <v>91470</v>
      </c>
      <c r="R30" s="47">
        <v>95166</v>
      </c>
      <c r="S30" s="47">
        <v>100706</v>
      </c>
      <c r="T30" s="47">
        <v>108174</v>
      </c>
      <c r="U30" s="47">
        <v>118162</v>
      </c>
      <c r="V30" s="47">
        <v>124914</v>
      </c>
      <c r="W30" s="47">
        <v>128207</v>
      </c>
      <c r="X30" s="47">
        <v>135374</v>
      </c>
      <c r="Y30" s="47">
        <v>142787</v>
      </c>
      <c r="Z30" s="47">
        <v>149237</v>
      </c>
      <c r="AA30" s="47">
        <v>159668</v>
      </c>
      <c r="AB30" s="47">
        <f>Table1356[[#This Row],[Dec-58]]-Table1356[[#This Row],[Dec-57]]</f>
        <v>73137</v>
      </c>
      <c r="AC30" s="47">
        <f t="shared" si="4"/>
        <v>73137</v>
      </c>
      <c r="AD30" s="169">
        <f t="shared" si="5"/>
        <v>6094.75</v>
      </c>
      <c r="AE30" s="178">
        <f>200000/Table1356[[#This Row],[เฉลี่ยการใช้งานต่อเดือน]]</f>
        <v>32.815127773903768</v>
      </c>
      <c r="AF30" s="119" t="s">
        <v>316</v>
      </c>
    </row>
    <row r="31" spans="1:32">
      <c r="A31" s="48"/>
      <c r="B31" s="118"/>
      <c r="C31" s="160"/>
      <c r="D31" s="67" t="s">
        <v>55</v>
      </c>
      <c r="E31" s="47" t="s">
        <v>352</v>
      </c>
      <c r="F31" s="48" t="s">
        <v>353</v>
      </c>
      <c r="G31" s="47" t="s">
        <v>354</v>
      </c>
      <c r="H31" s="47"/>
      <c r="I31" s="47"/>
      <c r="J31" s="69" t="s">
        <v>697</v>
      </c>
      <c r="K31" s="48">
        <v>1</v>
      </c>
      <c r="L31" s="48" t="s">
        <v>26</v>
      </c>
      <c r="M31" s="48"/>
      <c r="N31" s="48" t="s">
        <v>355</v>
      </c>
      <c r="O31" s="48">
        <v>73110</v>
      </c>
      <c r="P31" s="47">
        <v>75678</v>
      </c>
      <c r="Q31" s="47">
        <v>85435</v>
      </c>
      <c r="R31" s="47">
        <v>92065</v>
      </c>
      <c r="S31" s="47">
        <v>104462</v>
      </c>
      <c r="T31" s="47">
        <v>109802</v>
      </c>
      <c r="U31" s="47">
        <v>116840</v>
      </c>
      <c r="V31" s="47">
        <v>120131</v>
      </c>
      <c r="W31" s="47">
        <v>126553</v>
      </c>
      <c r="X31" s="47">
        <v>133717</v>
      </c>
      <c r="Y31" s="47">
        <v>138382</v>
      </c>
      <c r="Z31" s="47">
        <v>142197</v>
      </c>
      <c r="AA31" s="47">
        <v>146475</v>
      </c>
      <c r="AB31" s="47">
        <f>Table1356[[#This Row],[Dec-58]]-Table1356[[#This Row],[Dec-57]]</f>
        <v>73365</v>
      </c>
      <c r="AC31" s="47">
        <f t="shared" si="4"/>
        <v>73365</v>
      </c>
      <c r="AD31" s="169">
        <f t="shared" si="5"/>
        <v>6113.75</v>
      </c>
      <c r="AE31" s="178">
        <f>200000/Table1356[[#This Row],[เฉลี่ยการใช้งานต่อเดือน]]</f>
        <v>32.713146595788182</v>
      </c>
      <c r="AF31" s="119" t="s">
        <v>127</v>
      </c>
    </row>
    <row r="32" spans="1:32">
      <c r="A32" s="48"/>
      <c r="B32" s="118"/>
      <c r="C32" s="160"/>
      <c r="D32" s="67" t="s">
        <v>56</v>
      </c>
      <c r="E32" s="47" t="s">
        <v>346</v>
      </c>
      <c r="F32" s="120" t="s">
        <v>347</v>
      </c>
      <c r="G32" s="122" t="s">
        <v>348</v>
      </c>
      <c r="H32" s="122"/>
      <c r="I32" s="122"/>
      <c r="J32" s="69" t="s">
        <v>697</v>
      </c>
      <c r="K32" s="48">
        <v>1</v>
      </c>
      <c r="L32" s="48" t="s">
        <v>26</v>
      </c>
      <c r="M32" s="120"/>
      <c r="N32" s="120" t="s">
        <v>349</v>
      </c>
      <c r="O32" s="120">
        <v>102578</v>
      </c>
      <c r="P32" s="122">
        <v>107935</v>
      </c>
      <c r="Q32" s="122">
        <v>118248</v>
      </c>
      <c r="R32" s="122">
        <v>128399</v>
      </c>
      <c r="S32" s="122">
        <v>137042</v>
      </c>
      <c r="T32" s="122">
        <v>143510</v>
      </c>
      <c r="U32" s="122">
        <v>149472</v>
      </c>
      <c r="V32" s="122">
        <v>154954</v>
      </c>
      <c r="W32" s="122">
        <v>159843</v>
      </c>
      <c r="X32" s="122">
        <v>165026</v>
      </c>
      <c r="Y32" s="122"/>
      <c r="Z32" s="122"/>
      <c r="AA32" s="122"/>
      <c r="AB32" s="47">
        <f>Table1356[[#This Row],[Sep-58]]-O32</f>
        <v>62448</v>
      </c>
      <c r="AC32" s="47">
        <v>77994</v>
      </c>
      <c r="AD32" s="169">
        <f t="shared" si="5"/>
        <v>6499.5</v>
      </c>
      <c r="AE32" s="178">
        <f>200000/Table1356[[#This Row],[เฉลี่ยการใช้งานต่อเดือน]]</f>
        <v>30.771597815216555</v>
      </c>
      <c r="AF32" s="119" t="s">
        <v>325</v>
      </c>
    </row>
    <row r="33" spans="1:36">
      <c r="A33" s="48"/>
      <c r="B33" s="118"/>
      <c r="C33" s="160"/>
      <c r="D33" s="67" t="s">
        <v>57</v>
      </c>
      <c r="E33" s="47" t="s">
        <v>273</v>
      </c>
      <c r="F33" s="48" t="s">
        <v>274</v>
      </c>
      <c r="G33" s="47" t="s">
        <v>275</v>
      </c>
      <c r="H33" s="47"/>
      <c r="I33" s="47"/>
      <c r="J33" s="69" t="s">
        <v>697</v>
      </c>
      <c r="K33" s="48">
        <v>1</v>
      </c>
      <c r="L33" s="48" t="s">
        <v>26</v>
      </c>
      <c r="M33" s="48"/>
      <c r="N33" s="48" t="s">
        <v>279</v>
      </c>
      <c r="O33" s="48"/>
      <c r="P33" s="47"/>
      <c r="Q33" s="47">
        <v>11841</v>
      </c>
      <c r="R33" s="47">
        <v>17656</v>
      </c>
      <c r="S33" s="47">
        <v>23102</v>
      </c>
      <c r="T33" s="47">
        <v>29182</v>
      </c>
      <c r="U33" s="47">
        <v>40559</v>
      </c>
      <c r="V33" s="47">
        <v>48703</v>
      </c>
      <c r="W33" s="47">
        <v>57112</v>
      </c>
      <c r="X33" s="47">
        <v>68051</v>
      </c>
      <c r="Y33" s="47">
        <v>72875</v>
      </c>
      <c r="Z33" s="47">
        <v>82762</v>
      </c>
      <c r="AA33" s="47">
        <v>91403</v>
      </c>
      <c r="AB33" s="47">
        <f>Table1356[[#This Row],[Dec-58]]-Table1356[[#This Row],[Feb-58]]</f>
        <v>79562</v>
      </c>
      <c r="AC33" s="47">
        <f t="shared" ref="AC33:AC38" si="6">AB33</f>
        <v>79562</v>
      </c>
      <c r="AD33" s="169">
        <f t="shared" si="5"/>
        <v>6630.166666666667</v>
      </c>
      <c r="AE33" s="178">
        <f>200000/Table1356[[#This Row],[เฉลี่ยการใช้งานต่อเดือน]]</f>
        <v>30.165154219350946</v>
      </c>
      <c r="AF33" s="125" t="s">
        <v>330</v>
      </c>
      <c r="AG33" s="77"/>
      <c r="AH33" s="77"/>
      <c r="AI33" s="77"/>
      <c r="AJ33" s="77"/>
    </row>
    <row r="34" spans="1:36">
      <c r="A34" s="48"/>
      <c r="B34" s="118"/>
      <c r="C34" s="160"/>
      <c r="D34" s="67" t="s">
        <v>59</v>
      </c>
      <c r="E34" s="47" t="s">
        <v>91</v>
      </c>
      <c r="F34" s="48" t="s">
        <v>92</v>
      </c>
      <c r="G34" s="47" t="s">
        <v>93</v>
      </c>
      <c r="H34" s="47"/>
      <c r="I34" s="47"/>
      <c r="J34" s="69" t="s">
        <v>697</v>
      </c>
      <c r="K34" s="48">
        <v>1</v>
      </c>
      <c r="L34" s="48" t="s">
        <v>26</v>
      </c>
      <c r="M34" s="48"/>
      <c r="N34" s="48" t="s">
        <v>94</v>
      </c>
      <c r="O34" s="48">
        <v>136872</v>
      </c>
      <c r="P34" s="47">
        <v>140798</v>
      </c>
      <c r="Q34" s="47">
        <v>150469</v>
      </c>
      <c r="R34" s="47">
        <v>157304</v>
      </c>
      <c r="S34" s="47">
        <v>166472</v>
      </c>
      <c r="T34" s="47">
        <v>172761</v>
      </c>
      <c r="U34" s="47">
        <v>180883</v>
      </c>
      <c r="V34" s="47">
        <v>186234</v>
      </c>
      <c r="W34" s="47">
        <v>191827</v>
      </c>
      <c r="X34" s="47">
        <v>198505</v>
      </c>
      <c r="Y34" s="47">
        <v>205878</v>
      </c>
      <c r="Z34" s="47">
        <v>212449</v>
      </c>
      <c r="AA34" s="47">
        <v>218954</v>
      </c>
      <c r="AB34" s="47">
        <f>Table1356[[#This Row],[Dec-58]]-Table1356[[#This Row],[Dec-57]]</f>
        <v>82082</v>
      </c>
      <c r="AC34" s="47">
        <f t="shared" si="6"/>
        <v>82082</v>
      </c>
      <c r="AD34" s="169">
        <f t="shared" si="5"/>
        <v>6840.166666666667</v>
      </c>
      <c r="AE34" s="178">
        <f>200000/Table1356[[#This Row],[เฉลี่ยการใช้งานต่อเดือน]]</f>
        <v>29.23905362929753</v>
      </c>
      <c r="AF34" s="119" t="s">
        <v>340</v>
      </c>
    </row>
    <row r="35" spans="1:36">
      <c r="A35" s="48"/>
      <c r="B35" s="118"/>
      <c r="C35" s="160"/>
      <c r="D35" s="67" t="s">
        <v>60</v>
      </c>
      <c r="E35" s="47" t="s">
        <v>308</v>
      </c>
      <c r="F35" s="48" t="s">
        <v>309</v>
      </c>
      <c r="G35" s="47" t="s">
        <v>310</v>
      </c>
      <c r="H35" s="47"/>
      <c r="I35" s="47"/>
      <c r="J35" s="69" t="s">
        <v>697</v>
      </c>
      <c r="K35" s="48">
        <v>1</v>
      </c>
      <c r="L35" s="48" t="s">
        <v>26</v>
      </c>
      <c r="M35" s="48"/>
      <c r="N35" s="48" t="s">
        <v>311</v>
      </c>
      <c r="O35" s="48">
        <v>132962</v>
      </c>
      <c r="P35" s="47">
        <v>139236</v>
      </c>
      <c r="Q35" s="47">
        <v>146890</v>
      </c>
      <c r="R35" s="47">
        <v>158711</v>
      </c>
      <c r="S35" s="47">
        <v>163453</v>
      </c>
      <c r="T35" s="47">
        <v>172361</v>
      </c>
      <c r="U35" s="47">
        <v>176718</v>
      </c>
      <c r="V35" s="47">
        <v>188193</v>
      </c>
      <c r="W35" s="47">
        <v>199290</v>
      </c>
      <c r="X35" s="47">
        <v>204498</v>
      </c>
      <c r="Y35" s="47">
        <v>210202</v>
      </c>
      <c r="Z35" s="47">
        <v>213758</v>
      </c>
      <c r="AA35" s="47">
        <v>218668</v>
      </c>
      <c r="AB35" s="47">
        <f>Table1356[[#This Row],[Dec-58]]-Table1356[[#This Row],[Dec-57]]</f>
        <v>85706</v>
      </c>
      <c r="AC35" s="47">
        <f t="shared" si="6"/>
        <v>85706</v>
      </c>
      <c r="AD35" s="169">
        <f t="shared" si="5"/>
        <v>7142.166666666667</v>
      </c>
      <c r="AE35" s="178">
        <f>200000/Table1356[[#This Row],[เฉลี่ยการใช้งานต่อเดือน]]</f>
        <v>28.002706928336405</v>
      </c>
      <c r="AF35" s="119" t="s">
        <v>345</v>
      </c>
    </row>
    <row r="36" spans="1:36" s="124" customFormat="1">
      <c r="A36" s="120"/>
      <c r="B36" s="121"/>
      <c r="C36" s="161"/>
      <c r="D36" s="67" t="s">
        <v>61</v>
      </c>
      <c r="E36" s="47" t="s">
        <v>331</v>
      </c>
      <c r="F36" s="48" t="s">
        <v>332</v>
      </c>
      <c r="G36" s="47" t="s">
        <v>333</v>
      </c>
      <c r="H36" s="47"/>
      <c r="I36" s="47"/>
      <c r="J36" s="69" t="s">
        <v>697</v>
      </c>
      <c r="K36" s="48">
        <v>1</v>
      </c>
      <c r="L36" s="48" t="s">
        <v>26</v>
      </c>
      <c r="M36" s="48"/>
      <c r="N36" s="48" t="s">
        <v>334</v>
      </c>
      <c r="O36" s="48">
        <v>10169</v>
      </c>
      <c r="P36" s="47">
        <v>15957</v>
      </c>
      <c r="Q36" s="47">
        <v>25760</v>
      </c>
      <c r="R36" s="47">
        <v>36949</v>
      </c>
      <c r="S36" s="47">
        <v>41480</v>
      </c>
      <c r="T36" s="47">
        <v>50144</v>
      </c>
      <c r="U36" s="47">
        <v>56676</v>
      </c>
      <c r="V36" s="47">
        <v>66503</v>
      </c>
      <c r="W36" s="47">
        <v>69881</v>
      </c>
      <c r="X36" s="47">
        <v>76230</v>
      </c>
      <c r="Y36" s="47">
        <v>85813</v>
      </c>
      <c r="Z36" s="47">
        <v>92655</v>
      </c>
      <c r="AA36" s="47">
        <v>96146</v>
      </c>
      <c r="AB36" s="47">
        <f>Table1356[[#This Row],[Dec-58]]-Table1356[[#This Row],[Dec-57]]</f>
        <v>85977</v>
      </c>
      <c r="AC36" s="47">
        <f t="shared" si="6"/>
        <v>85977</v>
      </c>
      <c r="AD36" s="169">
        <f t="shared" si="5"/>
        <v>7164.75</v>
      </c>
      <c r="AE36" s="178">
        <f>200000/Table1356[[#This Row],[เฉลี่ยการใช้งานต่อเดือน]]</f>
        <v>27.9144422345511</v>
      </c>
      <c r="AF36" s="123" t="s">
        <v>293</v>
      </c>
    </row>
    <row r="37" spans="1:36">
      <c r="A37" s="48"/>
      <c r="B37" s="118"/>
      <c r="C37" s="160"/>
      <c r="D37" s="67" t="s">
        <v>63</v>
      </c>
      <c r="E37" s="47" t="s">
        <v>357</v>
      </c>
      <c r="F37" s="48" t="s">
        <v>358</v>
      </c>
      <c r="G37" s="47" t="s">
        <v>359</v>
      </c>
      <c r="H37" s="47"/>
      <c r="I37" s="47"/>
      <c r="J37" s="69" t="s">
        <v>697</v>
      </c>
      <c r="K37" s="48">
        <v>1</v>
      </c>
      <c r="L37" s="48" t="s">
        <v>26</v>
      </c>
      <c r="M37" s="48"/>
      <c r="N37" s="48" t="s">
        <v>360</v>
      </c>
      <c r="O37" s="48">
        <v>96026</v>
      </c>
      <c r="P37" s="47">
        <v>105373</v>
      </c>
      <c r="Q37" s="47">
        <v>114235</v>
      </c>
      <c r="R37" s="47">
        <v>122667</v>
      </c>
      <c r="S37" s="47">
        <v>128973</v>
      </c>
      <c r="T37" s="47">
        <v>134829</v>
      </c>
      <c r="U37" s="47">
        <v>142981</v>
      </c>
      <c r="V37" s="47">
        <v>150260</v>
      </c>
      <c r="W37" s="47">
        <v>156155</v>
      </c>
      <c r="X37" s="47">
        <v>166117</v>
      </c>
      <c r="Y37" s="47">
        <v>173380</v>
      </c>
      <c r="Z37" s="47">
        <v>181148</v>
      </c>
      <c r="AA37" s="47">
        <v>187123</v>
      </c>
      <c r="AB37" s="47">
        <f>Table1356[[#This Row],[Dec-58]]-Table1356[[#This Row],[Dec-57]]</f>
        <v>91097</v>
      </c>
      <c r="AC37" s="47">
        <f t="shared" si="6"/>
        <v>91097</v>
      </c>
      <c r="AD37" s="169">
        <f t="shared" si="5"/>
        <v>7591.416666666667</v>
      </c>
      <c r="AE37" s="178">
        <f>200000/Table1356[[#This Row],[เฉลี่ยการใช้งานต่อเดือน]]</f>
        <v>26.345543761045917</v>
      </c>
      <c r="AF37" s="119" t="s">
        <v>356</v>
      </c>
    </row>
    <row r="38" spans="1:36">
      <c r="A38" s="48"/>
      <c r="B38" s="118"/>
      <c r="C38" s="160"/>
      <c r="D38" s="67" t="s">
        <v>65</v>
      </c>
      <c r="E38" s="47" t="s">
        <v>321</v>
      </c>
      <c r="F38" s="48" t="s">
        <v>322</v>
      </c>
      <c r="G38" s="47" t="s">
        <v>323</v>
      </c>
      <c r="H38" s="47"/>
      <c r="I38" s="47"/>
      <c r="J38" s="69" t="s">
        <v>697</v>
      </c>
      <c r="K38" s="48">
        <v>1</v>
      </c>
      <c r="L38" s="48" t="s">
        <v>26</v>
      </c>
      <c r="M38" s="48"/>
      <c r="N38" s="48" t="s">
        <v>324</v>
      </c>
      <c r="O38" s="48">
        <v>99988</v>
      </c>
      <c r="P38" s="47">
        <v>103108</v>
      </c>
      <c r="Q38" s="47">
        <v>109058</v>
      </c>
      <c r="R38" s="47">
        <v>114048</v>
      </c>
      <c r="S38" s="47">
        <v>118430</v>
      </c>
      <c r="T38" s="47">
        <v>125316</v>
      </c>
      <c r="U38" s="47">
        <v>137505</v>
      </c>
      <c r="V38" s="47">
        <v>148459</v>
      </c>
      <c r="W38" s="47">
        <v>156476</v>
      </c>
      <c r="X38" s="47">
        <v>166156</v>
      </c>
      <c r="Y38" s="47">
        <v>173752</v>
      </c>
      <c r="Z38" s="47">
        <v>184926</v>
      </c>
      <c r="AA38" s="47">
        <v>194480</v>
      </c>
      <c r="AB38" s="47">
        <f>Table1356[[#This Row],[Dec-58]]-Table1356[[#This Row],[Dec-57]]</f>
        <v>94492</v>
      </c>
      <c r="AC38" s="47">
        <f t="shared" si="6"/>
        <v>94492</v>
      </c>
      <c r="AD38" s="169">
        <f t="shared" si="5"/>
        <v>7874.333333333333</v>
      </c>
      <c r="AE38" s="178">
        <f>200000/Table1356[[#This Row],[เฉลี่ยการใช้งานต่อเดือน]]</f>
        <v>25.398975574651825</v>
      </c>
      <c r="AF38" s="119"/>
    </row>
    <row r="39" spans="1:36">
      <c r="A39" s="48"/>
      <c r="B39" s="118"/>
      <c r="C39" s="160"/>
      <c r="D39" s="67" t="s">
        <v>66</v>
      </c>
      <c r="E39" s="131" t="s">
        <v>254</v>
      </c>
      <c r="F39" s="48" t="s">
        <v>255</v>
      </c>
      <c r="G39" s="47" t="s">
        <v>256</v>
      </c>
      <c r="H39" s="47"/>
      <c r="I39" s="47"/>
      <c r="J39" s="69" t="s">
        <v>697</v>
      </c>
      <c r="K39" s="48">
        <v>1</v>
      </c>
      <c r="L39" s="48" t="s">
        <v>26</v>
      </c>
      <c r="M39" s="48"/>
      <c r="N39" s="48" t="s">
        <v>257</v>
      </c>
      <c r="O39" s="48">
        <v>180298</v>
      </c>
      <c r="P39" s="47">
        <v>186850</v>
      </c>
      <c r="Q39" s="47">
        <v>195231</v>
      </c>
      <c r="R39" s="47">
        <v>204748</v>
      </c>
      <c r="S39" s="47">
        <v>218330</v>
      </c>
      <c r="T39" s="47">
        <v>224544</v>
      </c>
      <c r="U39" s="47">
        <v>235807</v>
      </c>
      <c r="V39" s="47">
        <v>242314</v>
      </c>
      <c r="W39" s="47">
        <v>251839</v>
      </c>
      <c r="X39" s="47">
        <v>260787</v>
      </c>
      <c r="Y39" s="47">
        <v>267560</v>
      </c>
      <c r="Z39" s="47"/>
      <c r="AA39" s="47"/>
      <c r="AB39" s="47">
        <f>Table1356[[#This Row],[Oct-58]]-Table1356[[#This Row],[Dec-57]]</f>
        <v>87262</v>
      </c>
      <c r="AC39" s="47">
        <v>94659</v>
      </c>
      <c r="AD39" s="169">
        <f t="shared" si="5"/>
        <v>7888.25</v>
      </c>
      <c r="AE39" s="178">
        <f>400000/Table1356[[#This Row],[เฉลี่ยการใช้งานต่อเดือน]]</f>
        <v>50.708332012803851</v>
      </c>
      <c r="AF39" s="119" t="s">
        <v>365</v>
      </c>
    </row>
    <row r="40" spans="1:36">
      <c r="A40" s="48"/>
      <c r="B40" s="118"/>
      <c r="C40" s="160"/>
      <c r="D40" s="67" t="s">
        <v>708</v>
      </c>
      <c r="E40" s="131" t="s">
        <v>153</v>
      </c>
      <c r="F40" s="120" t="s">
        <v>154</v>
      </c>
      <c r="G40" s="122" t="s">
        <v>155</v>
      </c>
      <c r="H40" s="122"/>
      <c r="I40" s="122"/>
      <c r="J40" s="69" t="s">
        <v>697</v>
      </c>
      <c r="K40" s="48">
        <v>1</v>
      </c>
      <c r="L40" s="48" t="s">
        <v>26</v>
      </c>
      <c r="M40" s="120"/>
      <c r="N40" s="120" t="s">
        <v>156</v>
      </c>
      <c r="O40" s="120">
        <v>159647</v>
      </c>
      <c r="P40" s="122">
        <v>166777</v>
      </c>
      <c r="Q40" s="122">
        <v>178749</v>
      </c>
      <c r="R40" s="122">
        <v>190921</v>
      </c>
      <c r="S40" s="122">
        <v>200273</v>
      </c>
      <c r="T40" s="122">
        <v>209823</v>
      </c>
      <c r="U40" s="122">
        <v>219659</v>
      </c>
      <c r="V40" s="122">
        <v>228191</v>
      </c>
      <c r="W40" s="122"/>
      <c r="X40" s="122"/>
      <c r="Y40" s="122"/>
      <c r="Z40" s="122"/>
      <c r="AA40" s="122"/>
      <c r="AB40" s="47">
        <f>Table1356[[#This Row],[Jul-58]]-Table1356[[#This Row],[Dec-57]]</f>
        <v>68544</v>
      </c>
      <c r="AC40" s="47">
        <v>71164</v>
      </c>
      <c r="AD40" s="169">
        <f>AC40/9</f>
        <v>7907.1111111111113</v>
      </c>
      <c r="AE40" s="178">
        <f>400000/Table1356[[#This Row],[เฉลี่ยการใช้งานต่อเดือน]]</f>
        <v>50.587375639368219</v>
      </c>
      <c r="AF40" s="119" t="s">
        <v>370</v>
      </c>
    </row>
    <row r="41" spans="1:36">
      <c r="A41" s="48"/>
      <c r="B41" s="59"/>
      <c r="C41" s="162"/>
      <c r="D41" s="67" t="s">
        <v>67</v>
      </c>
      <c r="E41" s="47" t="s">
        <v>103</v>
      </c>
      <c r="F41" s="48" t="s">
        <v>104</v>
      </c>
      <c r="G41" s="47" t="s">
        <v>105</v>
      </c>
      <c r="H41" s="47"/>
      <c r="I41" s="47"/>
      <c r="J41" s="69" t="s">
        <v>697</v>
      </c>
      <c r="K41" s="48">
        <v>1</v>
      </c>
      <c r="L41" s="48" t="s">
        <v>26</v>
      </c>
      <c r="M41" s="48"/>
      <c r="N41" s="48" t="s">
        <v>106</v>
      </c>
      <c r="O41" s="48">
        <v>178094</v>
      </c>
      <c r="P41" s="47">
        <v>184270</v>
      </c>
      <c r="Q41" s="47">
        <v>195045</v>
      </c>
      <c r="R41" s="47">
        <v>204861</v>
      </c>
      <c r="S41" s="47">
        <v>209861</v>
      </c>
      <c r="T41" s="47">
        <v>224024</v>
      </c>
      <c r="U41" s="47">
        <v>233806</v>
      </c>
      <c r="V41" s="47">
        <v>241129</v>
      </c>
      <c r="W41" s="47">
        <v>247866</v>
      </c>
      <c r="X41" s="47">
        <v>255936</v>
      </c>
      <c r="Y41" s="47">
        <v>264473</v>
      </c>
      <c r="Z41" s="47">
        <v>271312</v>
      </c>
      <c r="AA41" s="47">
        <v>278981</v>
      </c>
      <c r="AB41" s="47">
        <f>Table1356[[#This Row],[Dec-58]]-Table1356[[#This Row],[Dec-57]]</f>
        <v>100887</v>
      </c>
      <c r="AC41" s="47">
        <f>AB41</f>
        <v>100887</v>
      </c>
      <c r="AD41" s="169">
        <f>AC41/12</f>
        <v>8407.25</v>
      </c>
      <c r="AE41" s="178">
        <f>400000/Table1356[[#This Row],[เฉลี่ยการใช้งานต่อเดือน]]</f>
        <v>47.577983288233369</v>
      </c>
      <c r="AF41" s="119" t="s">
        <v>293</v>
      </c>
    </row>
    <row r="42" spans="1:36">
      <c r="A42" s="48"/>
      <c r="B42" s="59"/>
      <c r="C42" s="162"/>
      <c r="D42" s="67" t="s">
        <v>68</v>
      </c>
      <c r="E42" s="131" t="s">
        <v>276</v>
      </c>
      <c r="F42" s="120" t="s">
        <v>277</v>
      </c>
      <c r="G42" s="122" t="s">
        <v>278</v>
      </c>
      <c r="H42" s="122"/>
      <c r="I42" s="120"/>
      <c r="J42" s="69" t="s">
        <v>697</v>
      </c>
      <c r="K42" s="48">
        <v>1</v>
      </c>
      <c r="L42" s="48" t="s">
        <v>26</v>
      </c>
      <c r="M42" s="120"/>
      <c r="N42" s="120" t="s">
        <v>281</v>
      </c>
      <c r="O42" s="120">
        <v>32280</v>
      </c>
      <c r="P42" s="122">
        <v>38774</v>
      </c>
      <c r="Q42" s="122">
        <v>48301</v>
      </c>
      <c r="R42" s="122">
        <v>57067</v>
      </c>
      <c r="S42" s="122">
        <v>69145</v>
      </c>
      <c r="T42" s="122"/>
      <c r="U42" s="122"/>
      <c r="V42" s="122"/>
      <c r="W42" s="122"/>
      <c r="X42" s="122"/>
      <c r="Y42" s="122"/>
      <c r="Z42" s="122"/>
      <c r="AA42" s="122"/>
      <c r="AB42" s="47">
        <f>Table1356[[#This Row],[Apr-58]]-Table1356[[#This Row],[Dec-57]]</f>
        <v>36865</v>
      </c>
      <c r="AC42" s="47">
        <v>80627</v>
      </c>
      <c r="AD42" s="169">
        <f>AC42/9</f>
        <v>8958.5555555555547</v>
      </c>
      <c r="AE42" s="178">
        <f>400000/Table1356[[#This Row],[เฉลี่ยการใช้งานต่อเดือน]]</f>
        <v>44.650055192429342</v>
      </c>
      <c r="AF42" s="119" t="s">
        <v>423</v>
      </c>
    </row>
    <row r="43" spans="1:36">
      <c r="A43" s="48"/>
      <c r="B43" s="59"/>
      <c r="C43" s="162"/>
      <c r="D43" s="170" t="s">
        <v>69</v>
      </c>
      <c r="E43" s="60" t="s">
        <v>264</v>
      </c>
      <c r="F43" s="49" t="s">
        <v>265</v>
      </c>
      <c r="G43" s="60" t="s">
        <v>266</v>
      </c>
      <c r="H43" s="60"/>
      <c r="I43" s="60"/>
      <c r="J43" s="171" t="s">
        <v>697</v>
      </c>
      <c r="K43" s="49">
        <v>1</v>
      </c>
      <c r="L43" s="49" t="s">
        <v>26</v>
      </c>
      <c r="M43" s="49"/>
      <c r="N43" s="49" t="s">
        <v>267</v>
      </c>
      <c r="O43" s="49">
        <v>97400</v>
      </c>
      <c r="P43" s="60">
        <v>106401</v>
      </c>
      <c r="Q43" s="60">
        <v>117472</v>
      </c>
      <c r="R43" s="60">
        <v>129553</v>
      </c>
      <c r="S43" s="60">
        <v>136197</v>
      </c>
      <c r="T43" s="60">
        <v>143099</v>
      </c>
      <c r="U43" s="60">
        <v>153931</v>
      </c>
      <c r="V43" s="60">
        <v>164958</v>
      </c>
      <c r="W43" s="60">
        <v>174907</v>
      </c>
      <c r="X43" s="60">
        <v>185248</v>
      </c>
      <c r="Y43" s="60">
        <v>192988</v>
      </c>
      <c r="Z43" s="60">
        <v>203627</v>
      </c>
      <c r="AA43" s="60">
        <v>210787</v>
      </c>
      <c r="AB43" s="60">
        <f>Table1356[[#This Row],[Dec-58]]-Table1356[[#This Row],[Dec-57]]</f>
        <v>113387</v>
      </c>
      <c r="AC43" s="60">
        <f>AB43</f>
        <v>113387</v>
      </c>
      <c r="AD43" s="172">
        <f>AC43/12</f>
        <v>9448.9166666666661</v>
      </c>
      <c r="AE43" s="179">
        <f>400000/Table1356[[#This Row],[เฉลี่ยการใช้งานต่อเดือน]]</f>
        <v>42.332895305458301</v>
      </c>
      <c r="AF43" s="119" t="s">
        <v>428</v>
      </c>
    </row>
    <row r="44" spans="1:36" ht="20">
      <c r="D44" s="163"/>
      <c r="E44" s="164"/>
      <c r="F44" s="165"/>
      <c r="G44" s="164"/>
      <c r="H44" s="164"/>
      <c r="I44" s="164"/>
      <c r="J44" s="164"/>
      <c r="K44" s="164"/>
      <c r="L44" s="165"/>
      <c r="M44" s="165"/>
      <c r="N44" s="165"/>
      <c r="O44" s="165"/>
      <c r="P44" s="164"/>
      <c r="Q44" s="164"/>
      <c r="R44" s="164"/>
      <c r="S44" s="164"/>
      <c r="T44" s="164"/>
      <c r="U44" s="164"/>
      <c r="V44" s="164"/>
      <c r="W44" s="164"/>
      <c r="X44" s="164"/>
      <c r="Y44" s="233" t="s">
        <v>713</v>
      </c>
      <c r="Z44" s="230"/>
      <c r="AA44" s="234"/>
      <c r="AB44" s="107">
        <f>SUM(AB2:AB43)</f>
        <v>2398451</v>
      </c>
      <c r="AC44" s="107"/>
      <c r="AD44" s="110">
        <f>SUM(Table1356[เฉลี่ยการใช้งานต่อเดือน])</f>
        <v>215831.58333333331</v>
      </c>
      <c r="AE44" s="180"/>
    </row>
    <row r="45" spans="1:36">
      <c r="Y45" s="231" t="s">
        <v>714</v>
      </c>
      <c r="Z45" s="231"/>
      <c r="AA45" s="70" t="s">
        <v>719</v>
      </c>
      <c r="AB45" s="73">
        <f>46*5000*12</f>
        <v>2760000</v>
      </c>
      <c r="AC45" s="73"/>
    </row>
    <row r="46" spans="1:36">
      <c r="Y46" s="126"/>
      <c r="Z46" s="126"/>
      <c r="AA46" s="128" t="s">
        <v>704</v>
      </c>
      <c r="AB46" s="101">
        <f>AB45/100*2</f>
        <v>55200</v>
      </c>
      <c r="AC46" s="101"/>
    </row>
    <row r="47" spans="1:36">
      <c r="Y47" s="232" t="s">
        <v>712</v>
      </c>
      <c r="Z47" s="232"/>
      <c r="AA47" s="77" t="s">
        <v>716</v>
      </c>
      <c r="AB47" s="129">
        <f>5000*8*2</f>
        <v>80000</v>
      </c>
      <c r="AC47" s="129"/>
      <c r="AD47" s="109"/>
      <c r="AE47" s="182"/>
    </row>
    <row r="48" spans="1:36">
      <c r="Y48" s="232"/>
      <c r="Z48" s="232"/>
      <c r="AA48" s="77" t="s">
        <v>715</v>
      </c>
      <c r="AB48" s="78">
        <f>5000*7*1</f>
        <v>35000</v>
      </c>
      <c r="AC48" s="78"/>
      <c r="AD48" s="109"/>
      <c r="AE48" s="182"/>
      <c r="AF48" s="73"/>
      <c r="AG48" s="73"/>
    </row>
    <row r="49" spans="25:33">
      <c r="Y49" s="232"/>
      <c r="Z49" s="232"/>
      <c r="AA49" s="77" t="s">
        <v>709</v>
      </c>
      <c r="AB49" s="78">
        <f>5000*3*2</f>
        <v>30000</v>
      </c>
      <c r="AC49" s="78"/>
      <c r="AD49" s="109"/>
      <c r="AE49" s="182"/>
      <c r="AF49" s="73"/>
      <c r="AG49" s="73"/>
    </row>
    <row r="50" spans="25:33" ht="20">
      <c r="Y50" s="231" t="s">
        <v>705</v>
      </c>
      <c r="Z50" s="231"/>
      <c r="AB50" s="74">
        <f>AB45+AB46-AB48-AB47-AB49</f>
        <v>2670200</v>
      </c>
      <c r="AC50" s="74"/>
      <c r="AD50" s="110"/>
      <c r="AE50" s="180"/>
    </row>
    <row r="51" spans="25:33">
      <c r="AA51" s="70" t="s">
        <v>705</v>
      </c>
      <c r="AB51" s="73">
        <f>AB44-AB50</f>
        <v>-271749</v>
      </c>
      <c r="AC51" s="73"/>
    </row>
    <row r="52" spans="25:33">
      <c r="Z52" s="130"/>
      <c r="AA52" s="70" t="s">
        <v>711</v>
      </c>
      <c r="AB52" s="70">
        <v>0.4</v>
      </c>
    </row>
    <row r="53" spans="25:33" ht="20">
      <c r="Z53" s="130"/>
      <c r="AA53" s="70" t="s">
        <v>710</v>
      </c>
      <c r="AB53" s="102">
        <f>AB51*AB52</f>
        <v>-108699.6</v>
      </c>
      <c r="AC53" s="102"/>
      <c r="AD53" s="111"/>
      <c r="AE53" s="183"/>
    </row>
    <row r="54" spans="25:33">
      <c r="Z54" s="130"/>
      <c r="AA54" s="130"/>
      <c r="AB54" s="78"/>
      <c r="AC54" s="78"/>
      <c r="AD54" s="109"/>
      <c r="AE54" s="182"/>
    </row>
    <row r="56" spans="25:33">
      <c r="AB56" s="73"/>
      <c r="AC56" s="73"/>
    </row>
  </sheetData>
  <mergeCells count="4">
    <mergeCell ref="Y44:AA44"/>
    <mergeCell ref="Y45:Z45"/>
    <mergeCell ref="Y47:Z49"/>
    <mergeCell ref="Y50:Z50"/>
  </mergeCells>
  <phoneticPr fontId="11" type="noConversion"/>
  <pageMargins left="0" right="0" top="0.39000000000000007" bottom="0.39000000000000007" header="0" footer="0"/>
  <headerFooter alignWithMargins="0"/>
  <colBreaks count="1" manualBreakCount="1">
    <brk id="26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3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71"/>
  <sheetViews>
    <sheetView topLeftCell="L1" workbookViewId="0">
      <pane ySplit="1" topLeftCell="A2" activePane="bottomLeft" state="frozen"/>
      <selection pane="bottomLeft" activeCell="AC59" sqref="AC59"/>
    </sheetView>
  </sheetViews>
  <sheetFormatPr baseColWidth="10" defaultColWidth="8.83203125" defaultRowHeight="17" x14ac:dyDescent="0"/>
  <cols>
    <col min="1" max="1" width="5.5" style="1" hidden="1" customWidth="1"/>
    <col min="2" max="2" width="6" style="2" hidden="1" customWidth="1"/>
    <col min="3" max="3" width="6.83203125" style="2" hidden="1" customWidth="1"/>
    <col min="4" max="4" width="7.33203125" style="2" customWidth="1"/>
    <col min="5" max="5" width="42.1640625" style="3" customWidth="1"/>
    <col min="6" max="6" width="10" style="1" customWidth="1"/>
    <col min="7" max="7" width="32.33203125" style="3" hidden="1" customWidth="1"/>
    <col min="8" max="8" width="14" style="3" hidden="1" customWidth="1"/>
    <col min="9" max="9" width="12.5" style="3" hidden="1" customWidth="1"/>
    <col min="10" max="10" width="7.5" style="3" customWidth="1"/>
    <col min="11" max="11" width="9" style="3" customWidth="1"/>
    <col min="12" max="12" width="12.83203125" style="1" customWidth="1"/>
    <col min="13" max="13" width="11.5" style="1" hidden="1" customWidth="1"/>
    <col min="14" max="14" width="16.83203125" style="1" customWidth="1"/>
    <col min="15" max="15" width="10.1640625" style="1" customWidth="1"/>
    <col min="16" max="27" width="10.1640625" style="3" customWidth="1"/>
    <col min="28" max="29" width="15.6640625" style="3" customWidth="1"/>
    <col min="30" max="30" width="8.83203125" style="3"/>
    <col min="31" max="31" width="10.33203125" style="3" bestFit="1" customWidth="1"/>
    <col min="32" max="16384" width="8.83203125" style="3"/>
  </cols>
  <sheetData>
    <row r="1" spans="1:39" s="18" customFormat="1">
      <c r="A1" s="6" t="s">
        <v>3</v>
      </c>
      <c r="B1" s="7" t="s">
        <v>4</v>
      </c>
      <c r="C1" s="8"/>
      <c r="D1" s="52" t="s">
        <v>3</v>
      </c>
      <c r="E1" s="9" t="s">
        <v>5</v>
      </c>
      <c r="F1" s="51" t="s">
        <v>0</v>
      </c>
      <c r="G1" s="51" t="s">
        <v>1</v>
      </c>
      <c r="H1" s="51" t="s">
        <v>638</v>
      </c>
      <c r="I1" s="10" t="s">
        <v>6</v>
      </c>
      <c r="J1" s="10" t="s">
        <v>696</v>
      </c>
      <c r="K1" s="10" t="s">
        <v>702</v>
      </c>
      <c r="L1" s="10" t="s">
        <v>7</v>
      </c>
      <c r="M1" s="10" t="s">
        <v>639</v>
      </c>
      <c r="N1" s="51" t="s">
        <v>2</v>
      </c>
      <c r="O1" s="16" t="s">
        <v>668</v>
      </c>
      <c r="P1" s="16" t="s">
        <v>669</v>
      </c>
      <c r="Q1" s="16" t="s">
        <v>672</v>
      </c>
      <c r="R1" s="16" t="s">
        <v>673</v>
      </c>
      <c r="S1" s="16" t="s">
        <v>675</v>
      </c>
      <c r="T1" s="16" t="s">
        <v>678</v>
      </c>
      <c r="U1" s="16" t="s">
        <v>679</v>
      </c>
      <c r="V1" s="16" t="s">
        <v>682</v>
      </c>
      <c r="W1" s="16" t="s">
        <v>684</v>
      </c>
      <c r="X1" s="16" t="s">
        <v>685</v>
      </c>
      <c r="Y1" s="16" t="s">
        <v>686</v>
      </c>
      <c r="Z1" s="16" t="s">
        <v>689</v>
      </c>
      <c r="AA1" s="16" t="s">
        <v>690</v>
      </c>
      <c r="AB1" s="63" t="s">
        <v>703</v>
      </c>
      <c r="AC1" s="103"/>
      <c r="AD1" s="17"/>
    </row>
    <row r="2" spans="1:39" s="35" customFormat="1">
      <c r="A2" s="21"/>
      <c r="B2" s="34"/>
      <c r="C2" s="34"/>
      <c r="D2" s="53" t="s">
        <v>21</v>
      </c>
      <c r="E2" s="20" t="s">
        <v>78</v>
      </c>
      <c r="F2" s="21" t="s">
        <v>79</v>
      </c>
      <c r="G2" s="20" t="s">
        <v>80</v>
      </c>
      <c r="H2" s="20"/>
      <c r="I2" s="20"/>
      <c r="J2" s="58" t="s">
        <v>697</v>
      </c>
      <c r="K2" s="21">
        <v>1</v>
      </c>
      <c r="L2" s="24" t="s">
        <v>26</v>
      </c>
      <c r="M2" s="22"/>
      <c r="N2" s="22" t="s">
        <v>82</v>
      </c>
      <c r="O2" s="22">
        <v>32752</v>
      </c>
      <c r="P2" s="20">
        <v>37846</v>
      </c>
      <c r="Q2" s="20">
        <v>41521</v>
      </c>
      <c r="R2" s="20">
        <v>44849</v>
      </c>
      <c r="S2" s="20">
        <v>47733</v>
      </c>
      <c r="T2" s="20">
        <v>52677</v>
      </c>
      <c r="U2" s="20">
        <v>61821</v>
      </c>
      <c r="V2" s="20">
        <v>65771</v>
      </c>
      <c r="W2" s="20">
        <v>69099</v>
      </c>
      <c r="X2" s="20">
        <v>73258</v>
      </c>
      <c r="Y2" s="20">
        <v>75874</v>
      </c>
      <c r="Z2" s="20">
        <v>79283</v>
      </c>
      <c r="AA2" s="20">
        <v>81962</v>
      </c>
      <c r="AB2" s="79">
        <f>Table135[[#This Row],[Dec-58]]-Table135[[#This Row],[Dec-57]]</f>
        <v>49210</v>
      </c>
      <c r="AC2" s="104">
        <f>AB2</f>
        <v>49210</v>
      </c>
      <c r="AD2" s="28"/>
    </row>
    <row r="3" spans="1:39" s="35" customFormat="1">
      <c r="A3" s="21"/>
      <c r="B3" s="34"/>
      <c r="C3" s="34"/>
      <c r="D3" s="53" t="s">
        <v>23</v>
      </c>
      <c r="E3" s="20" t="s">
        <v>78</v>
      </c>
      <c r="F3" s="21" t="s">
        <v>79</v>
      </c>
      <c r="G3" s="20" t="s">
        <v>83</v>
      </c>
      <c r="H3" s="20"/>
      <c r="I3" s="20"/>
      <c r="J3" s="58" t="s">
        <v>697</v>
      </c>
      <c r="K3" s="21">
        <v>1</v>
      </c>
      <c r="L3" s="24" t="s">
        <v>26</v>
      </c>
      <c r="M3" s="22"/>
      <c r="N3" s="22" t="s">
        <v>84</v>
      </c>
      <c r="O3" s="22">
        <v>112605</v>
      </c>
      <c r="P3" s="20">
        <v>115236</v>
      </c>
      <c r="Q3" s="20">
        <v>119558</v>
      </c>
      <c r="R3" s="20">
        <v>123611</v>
      </c>
      <c r="S3" s="20">
        <v>126865</v>
      </c>
      <c r="T3" s="20">
        <v>130992</v>
      </c>
      <c r="U3" s="20">
        <v>136644</v>
      </c>
      <c r="V3" s="20">
        <v>145163</v>
      </c>
      <c r="W3" s="20">
        <v>152516</v>
      </c>
      <c r="X3" s="20">
        <v>158845</v>
      </c>
      <c r="Y3" s="20">
        <v>164600</v>
      </c>
      <c r="Z3" s="20">
        <v>170782</v>
      </c>
      <c r="AA3" s="20">
        <v>177825</v>
      </c>
      <c r="AB3" s="80">
        <f>Table135[[#This Row],[Dec-58]]-Table135[[#This Row],[Dec-57]]</f>
        <v>65220</v>
      </c>
      <c r="AC3" s="104">
        <f>AB3</f>
        <v>65220</v>
      </c>
      <c r="AD3" s="28" t="s">
        <v>85</v>
      </c>
    </row>
    <row r="4" spans="1:39">
      <c r="A4" s="24"/>
      <c r="B4" s="19"/>
      <c r="C4" s="19"/>
      <c r="D4" s="53" t="s">
        <v>25</v>
      </c>
      <c r="E4" s="25" t="s">
        <v>86</v>
      </c>
      <c r="F4" s="24" t="s">
        <v>87</v>
      </c>
      <c r="G4" s="25" t="s">
        <v>88</v>
      </c>
      <c r="H4" s="25"/>
      <c r="I4" s="25"/>
      <c r="J4" s="58" t="s">
        <v>697</v>
      </c>
      <c r="K4" s="21">
        <v>1</v>
      </c>
      <c r="L4" s="24" t="s">
        <v>695</v>
      </c>
      <c r="M4" s="26"/>
      <c r="N4" s="26" t="s">
        <v>89</v>
      </c>
      <c r="O4" s="26">
        <v>73599</v>
      </c>
      <c r="P4" s="25">
        <v>75729</v>
      </c>
      <c r="Q4" s="25">
        <v>82952</v>
      </c>
      <c r="R4" s="25">
        <v>87195</v>
      </c>
      <c r="S4" s="25">
        <v>89858</v>
      </c>
      <c r="T4" s="25">
        <v>96216</v>
      </c>
      <c r="U4" s="25">
        <v>100872</v>
      </c>
      <c r="V4" s="25">
        <v>103800</v>
      </c>
      <c r="W4" s="25"/>
      <c r="X4" s="25"/>
      <c r="Y4" s="25"/>
      <c r="Z4" s="25"/>
      <c r="AA4" s="25"/>
      <c r="AB4" s="80">
        <f>Table135[[#This Row],[Jul-58]]-Table135[[#This Row],[Dec-57]]</f>
        <v>30201</v>
      </c>
      <c r="AC4" s="104">
        <f>AB4+AB5</f>
        <v>42779</v>
      </c>
      <c r="AD4" s="4" t="s">
        <v>90</v>
      </c>
    </row>
    <row r="5" spans="1:39">
      <c r="A5" s="24"/>
      <c r="B5" s="19"/>
      <c r="C5" s="19"/>
      <c r="D5" s="59"/>
      <c r="E5" s="47"/>
      <c r="F5" s="48"/>
      <c r="G5" s="47"/>
      <c r="H5" s="47"/>
      <c r="I5" s="47"/>
      <c r="J5" s="47"/>
      <c r="K5" s="64"/>
      <c r="L5" s="48"/>
      <c r="M5" s="48"/>
      <c r="N5" s="48"/>
      <c r="O5" s="26"/>
      <c r="P5" s="47"/>
      <c r="Q5" s="47"/>
      <c r="R5" s="47"/>
      <c r="S5" s="47"/>
      <c r="T5" s="47"/>
      <c r="U5" s="47"/>
      <c r="V5" s="47"/>
      <c r="W5" s="25">
        <v>400867</v>
      </c>
      <c r="X5" s="25">
        <v>404679</v>
      </c>
      <c r="Y5" s="25">
        <v>407963</v>
      </c>
      <c r="Z5" s="25">
        <v>411304</v>
      </c>
      <c r="AA5" s="25">
        <v>413445</v>
      </c>
      <c r="AB5" s="80">
        <f>Table135[[#This Row],[Dec-58]]-Table135[[#This Row],[Aug-58]]</f>
        <v>12578</v>
      </c>
      <c r="AC5" s="104">
        <f>AB5</f>
        <v>12578</v>
      </c>
      <c r="AD5" s="4"/>
    </row>
    <row r="6" spans="1:39">
      <c r="A6" s="24"/>
      <c r="B6" s="19"/>
      <c r="C6" s="19"/>
      <c r="D6" s="53" t="s">
        <v>27</v>
      </c>
      <c r="E6" s="25" t="s">
        <v>91</v>
      </c>
      <c r="F6" s="24" t="s">
        <v>92</v>
      </c>
      <c r="G6" s="25" t="s">
        <v>93</v>
      </c>
      <c r="H6" s="25"/>
      <c r="I6" s="25"/>
      <c r="J6" s="58" t="s">
        <v>697</v>
      </c>
      <c r="K6" s="21">
        <v>1</v>
      </c>
      <c r="L6" s="24" t="s">
        <v>26</v>
      </c>
      <c r="M6" s="26"/>
      <c r="N6" s="26" t="s">
        <v>94</v>
      </c>
      <c r="O6" s="26">
        <v>136872</v>
      </c>
      <c r="P6" s="25">
        <v>140798</v>
      </c>
      <c r="Q6" s="25">
        <v>150469</v>
      </c>
      <c r="R6" s="25">
        <v>157304</v>
      </c>
      <c r="S6" s="25">
        <v>166472</v>
      </c>
      <c r="T6" s="25">
        <v>172761</v>
      </c>
      <c r="U6" s="25">
        <v>180883</v>
      </c>
      <c r="V6" s="25">
        <v>186234</v>
      </c>
      <c r="W6" s="25">
        <v>191827</v>
      </c>
      <c r="X6" s="25">
        <v>198505</v>
      </c>
      <c r="Y6" s="25">
        <v>205878</v>
      </c>
      <c r="Z6" s="25">
        <v>212449</v>
      </c>
      <c r="AA6" s="25">
        <v>218954</v>
      </c>
      <c r="AB6" s="80">
        <f>Table135[[#This Row],[Dec-58]]-Table135[[#This Row],[Dec-57]]</f>
        <v>82082</v>
      </c>
      <c r="AC6" s="104">
        <f t="shared" ref="AC6:AC14" si="0">AB6</f>
        <v>82082</v>
      </c>
      <c r="AD6" s="4" t="s">
        <v>95</v>
      </c>
    </row>
    <row r="7" spans="1:39" s="35" customFormat="1">
      <c r="A7" s="21"/>
      <c r="B7" s="34"/>
      <c r="C7" s="34"/>
      <c r="D7" s="53" t="s">
        <v>28</v>
      </c>
      <c r="E7" s="20" t="s">
        <v>96</v>
      </c>
      <c r="F7" s="21" t="s">
        <v>97</v>
      </c>
      <c r="G7" s="20" t="s">
        <v>98</v>
      </c>
      <c r="H7" s="20"/>
      <c r="I7" s="20"/>
      <c r="J7" s="58" t="s">
        <v>697</v>
      </c>
      <c r="K7" s="21">
        <v>1</v>
      </c>
      <c r="L7" s="24" t="s">
        <v>26</v>
      </c>
      <c r="M7" s="22"/>
      <c r="N7" s="22" t="s">
        <v>101</v>
      </c>
      <c r="O7" s="22">
        <v>72296</v>
      </c>
      <c r="P7" s="20">
        <v>75669</v>
      </c>
      <c r="Q7" s="20">
        <v>80818</v>
      </c>
      <c r="R7" s="20">
        <v>86915</v>
      </c>
      <c r="S7" s="20">
        <v>93964</v>
      </c>
      <c r="T7" s="20">
        <v>98170</v>
      </c>
      <c r="U7" s="20">
        <v>103496</v>
      </c>
      <c r="V7" s="20">
        <v>109631</v>
      </c>
      <c r="W7" s="20">
        <v>113743</v>
      </c>
      <c r="X7" s="20">
        <v>121139</v>
      </c>
      <c r="Y7" s="20">
        <v>124039</v>
      </c>
      <c r="Z7" s="20">
        <v>130789</v>
      </c>
      <c r="AA7" s="20">
        <v>135465</v>
      </c>
      <c r="AB7" s="80">
        <f>Table135[[#This Row],[Dec-58]]-Table135[[#This Row],[Dec-57]]</f>
        <v>63169</v>
      </c>
      <c r="AC7" s="104">
        <f t="shared" si="0"/>
        <v>63169</v>
      </c>
      <c r="AD7" s="28" t="s">
        <v>102</v>
      </c>
    </row>
    <row r="8" spans="1:39">
      <c r="A8" s="24"/>
      <c r="B8" s="19"/>
      <c r="C8" s="19"/>
      <c r="D8" s="53" t="s">
        <v>30</v>
      </c>
      <c r="E8" s="25" t="s">
        <v>103</v>
      </c>
      <c r="F8" s="24" t="s">
        <v>104</v>
      </c>
      <c r="G8" s="25" t="s">
        <v>105</v>
      </c>
      <c r="H8" s="25"/>
      <c r="I8" s="25"/>
      <c r="J8" s="58" t="s">
        <v>697</v>
      </c>
      <c r="K8" s="21">
        <v>1</v>
      </c>
      <c r="L8" s="24" t="s">
        <v>26</v>
      </c>
      <c r="M8" s="26"/>
      <c r="N8" s="26" t="s">
        <v>106</v>
      </c>
      <c r="O8" s="26">
        <v>178094</v>
      </c>
      <c r="P8" s="25">
        <v>184270</v>
      </c>
      <c r="Q8" s="25">
        <v>195045</v>
      </c>
      <c r="R8" s="25">
        <v>204861</v>
      </c>
      <c r="S8" s="25">
        <v>209861</v>
      </c>
      <c r="T8" s="25">
        <v>224024</v>
      </c>
      <c r="U8" s="25">
        <v>233806</v>
      </c>
      <c r="V8" s="25">
        <v>241129</v>
      </c>
      <c r="W8" s="25">
        <v>247866</v>
      </c>
      <c r="X8" s="25">
        <v>255936</v>
      </c>
      <c r="Y8" s="25">
        <v>264473</v>
      </c>
      <c r="Z8" s="25">
        <v>271312</v>
      </c>
      <c r="AA8" s="25">
        <v>278981</v>
      </c>
      <c r="AB8" s="80">
        <f>Table135[[#This Row],[Dec-58]]-Table135[[#This Row],[Dec-57]]</f>
        <v>100887</v>
      </c>
      <c r="AC8" s="104">
        <f t="shared" si="0"/>
        <v>100887</v>
      </c>
      <c r="AD8" s="4" t="s">
        <v>107</v>
      </c>
    </row>
    <row r="9" spans="1:39">
      <c r="A9" s="24"/>
      <c r="B9" s="19"/>
      <c r="C9" s="19"/>
      <c r="D9" s="53" t="s">
        <v>31</v>
      </c>
      <c r="E9" s="25" t="s">
        <v>108</v>
      </c>
      <c r="F9" s="24" t="s">
        <v>109</v>
      </c>
      <c r="G9" s="25" t="s">
        <v>110</v>
      </c>
      <c r="H9" s="25"/>
      <c r="I9" s="25"/>
      <c r="J9" s="58" t="s">
        <v>697</v>
      </c>
      <c r="K9" s="21">
        <v>1</v>
      </c>
      <c r="L9" s="24" t="s">
        <v>26</v>
      </c>
      <c r="M9" s="26"/>
      <c r="N9" s="26" t="s">
        <v>111</v>
      </c>
      <c r="O9" s="26">
        <v>71354</v>
      </c>
      <c r="P9" s="25">
        <v>73817</v>
      </c>
      <c r="Q9" s="25">
        <v>80789</v>
      </c>
      <c r="R9" s="25">
        <v>83362</v>
      </c>
      <c r="S9" s="25">
        <v>87741</v>
      </c>
      <c r="T9" s="25">
        <v>94502</v>
      </c>
      <c r="U9" s="25">
        <v>96600</v>
      </c>
      <c r="V9" s="25">
        <v>104644</v>
      </c>
      <c r="W9" s="25">
        <v>106456</v>
      </c>
      <c r="X9" s="25">
        <v>111708</v>
      </c>
      <c r="Y9" s="25">
        <v>116328</v>
      </c>
      <c r="Z9" s="25">
        <v>120762</v>
      </c>
      <c r="AA9" s="25">
        <v>124504</v>
      </c>
      <c r="AB9" s="80">
        <f>Table135[[#This Row],[Dec-58]]-Table135[[#This Row],[Dec-57]]</f>
        <v>53150</v>
      </c>
      <c r="AC9" s="104">
        <f t="shared" si="0"/>
        <v>53150</v>
      </c>
      <c r="AD9" s="4" t="s">
        <v>112</v>
      </c>
    </row>
    <row r="10" spans="1:39">
      <c r="A10" s="24"/>
      <c r="B10" s="19"/>
      <c r="C10" s="19"/>
      <c r="D10" s="53" t="s">
        <v>32</v>
      </c>
      <c r="E10" s="25" t="s">
        <v>113</v>
      </c>
      <c r="F10" s="24" t="s">
        <v>114</v>
      </c>
      <c r="G10" s="25" t="s">
        <v>115</v>
      </c>
      <c r="H10" s="25"/>
      <c r="I10" s="25"/>
      <c r="J10" s="58" t="s">
        <v>697</v>
      </c>
      <c r="K10" s="21">
        <v>1</v>
      </c>
      <c r="L10" s="24" t="s">
        <v>26</v>
      </c>
      <c r="M10" s="26"/>
      <c r="N10" s="26" t="s">
        <v>116</v>
      </c>
      <c r="O10" s="26">
        <v>79780</v>
      </c>
      <c r="P10" s="25">
        <v>84395</v>
      </c>
      <c r="Q10" s="25">
        <v>90213</v>
      </c>
      <c r="R10" s="25">
        <v>95279</v>
      </c>
      <c r="S10" s="25">
        <v>99071</v>
      </c>
      <c r="T10" s="25">
        <v>103220</v>
      </c>
      <c r="U10" s="25">
        <v>109909</v>
      </c>
      <c r="V10" s="25">
        <v>114549</v>
      </c>
      <c r="W10" s="25">
        <v>118183</v>
      </c>
      <c r="X10" s="25">
        <v>122506</v>
      </c>
      <c r="Y10" s="25">
        <v>125942</v>
      </c>
      <c r="Z10" s="25">
        <v>130571</v>
      </c>
      <c r="AA10" s="25">
        <v>133950</v>
      </c>
      <c r="AB10" s="80">
        <f>Table135[[#This Row],[Dec-58]]-Table135[[#This Row],[Dec-57]]</f>
        <v>54170</v>
      </c>
      <c r="AC10" s="104">
        <f t="shared" si="0"/>
        <v>54170</v>
      </c>
      <c r="AD10" s="4" t="s">
        <v>117</v>
      </c>
    </row>
    <row r="11" spans="1:39">
      <c r="A11" s="24"/>
      <c r="B11" s="19"/>
      <c r="C11" s="19"/>
      <c r="D11" s="53" t="s">
        <v>33</v>
      </c>
      <c r="E11" s="25" t="s">
        <v>118</v>
      </c>
      <c r="F11" s="24" t="s">
        <v>119</v>
      </c>
      <c r="G11" s="25" t="s">
        <v>120</v>
      </c>
      <c r="H11" s="25"/>
      <c r="I11" s="25"/>
      <c r="J11" s="58" t="s">
        <v>697</v>
      </c>
      <c r="K11" s="21">
        <v>1</v>
      </c>
      <c r="L11" s="24" t="s">
        <v>26</v>
      </c>
      <c r="M11" s="26"/>
      <c r="N11" s="26" t="s">
        <v>121</v>
      </c>
      <c r="O11" s="26">
        <v>62577</v>
      </c>
      <c r="P11" s="25">
        <v>64177</v>
      </c>
      <c r="Q11" s="25">
        <v>67361</v>
      </c>
      <c r="R11" s="25">
        <v>72368</v>
      </c>
      <c r="S11" s="25">
        <v>76867</v>
      </c>
      <c r="T11" s="25">
        <v>80008</v>
      </c>
      <c r="U11" s="25">
        <v>84381</v>
      </c>
      <c r="V11" s="25">
        <v>88791</v>
      </c>
      <c r="W11" s="25">
        <v>91233</v>
      </c>
      <c r="X11" s="25">
        <v>94561</v>
      </c>
      <c r="Y11" s="25">
        <v>100179</v>
      </c>
      <c r="Z11" s="25">
        <v>103588</v>
      </c>
      <c r="AA11" s="25">
        <v>106431</v>
      </c>
      <c r="AB11" s="80">
        <f>Table135[[#This Row],[Dec-58]]-Table135[[#This Row],[Dec-57]]</f>
        <v>43854</v>
      </c>
      <c r="AC11" s="104">
        <f t="shared" si="0"/>
        <v>43854</v>
      </c>
      <c r="AD11" s="4" t="s">
        <v>122</v>
      </c>
    </row>
    <row r="12" spans="1:39" s="35" customFormat="1">
      <c r="A12" s="21"/>
      <c r="B12" s="34"/>
      <c r="C12" s="34"/>
      <c r="D12" s="53" t="s">
        <v>34</v>
      </c>
      <c r="E12" s="20" t="s">
        <v>123</v>
      </c>
      <c r="F12" s="21" t="s">
        <v>124</v>
      </c>
      <c r="G12" s="20" t="s">
        <v>125</v>
      </c>
      <c r="H12" s="20"/>
      <c r="I12" s="20"/>
      <c r="J12" s="58" t="s">
        <v>697</v>
      </c>
      <c r="K12" s="21">
        <v>1</v>
      </c>
      <c r="L12" s="24" t="s">
        <v>26</v>
      </c>
      <c r="M12" s="22"/>
      <c r="N12" s="22" t="s">
        <v>126</v>
      </c>
      <c r="O12" s="22">
        <v>28512</v>
      </c>
      <c r="P12" s="20">
        <v>29698</v>
      </c>
      <c r="Q12" s="20">
        <v>32273</v>
      </c>
      <c r="R12" s="20">
        <v>34216</v>
      </c>
      <c r="S12" s="20">
        <v>36314</v>
      </c>
      <c r="T12" s="20">
        <v>37789</v>
      </c>
      <c r="U12" s="20">
        <v>40564</v>
      </c>
      <c r="V12" s="20">
        <v>45506</v>
      </c>
      <c r="W12" s="20">
        <v>47112</v>
      </c>
      <c r="X12" s="20">
        <v>49374</v>
      </c>
      <c r="Y12" s="20">
        <v>52616</v>
      </c>
      <c r="Z12" s="20">
        <v>55558</v>
      </c>
      <c r="AA12" s="20">
        <v>57464</v>
      </c>
      <c r="AB12" s="80">
        <f>Table135[[#This Row],[Dec-58]]-Table135[[#This Row],[Dec-57]]</f>
        <v>28952</v>
      </c>
      <c r="AC12" s="104">
        <f t="shared" si="0"/>
        <v>28952</v>
      </c>
      <c r="AD12" s="28" t="s">
        <v>127</v>
      </c>
    </row>
    <row r="13" spans="1:39" s="85" customFormat="1">
      <c r="A13" s="84"/>
      <c r="B13" s="86"/>
      <c r="C13" s="86"/>
      <c r="D13" s="82" t="s">
        <v>35</v>
      </c>
      <c r="E13" s="88" t="s">
        <v>128</v>
      </c>
      <c r="F13" s="87" t="s">
        <v>129</v>
      </c>
      <c r="G13" s="88" t="s">
        <v>130</v>
      </c>
      <c r="H13" s="88"/>
      <c r="I13" s="88"/>
      <c r="J13" s="89" t="s">
        <v>697</v>
      </c>
      <c r="K13" s="87">
        <v>1</v>
      </c>
      <c r="L13" s="87" t="s">
        <v>26</v>
      </c>
      <c r="M13" s="90"/>
      <c r="N13" s="90" t="s">
        <v>75</v>
      </c>
      <c r="O13" s="90">
        <v>76387</v>
      </c>
      <c r="P13" s="88">
        <v>78057</v>
      </c>
      <c r="Q13" s="88">
        <v>82806</v>
      </c>
      <c r="R13" s="88">
        <v>86993</v>
      </c>
      <c r="S13" s="88"/>
      <c r="T13" s="88"/>
      <c r="U13" s="88"/>
      <c r="V13" s="88"/>
      <c r="W13" s="88"/>
      <c r="X13" s="88"/>
      <c r="Y13" s="88"/>
      <c r="Z13" s="88"/>
      <c r="AA13" s="88"/>
      <c r="AB13" s="83">
        <f>Table135[[#This Row],[Mar-58]]-Table135[[#This Row],[Dec-57]]</f>
        <v>10606</v>
      </c>
      <c r="AC13" s="104">
        <f>AB13</f>
        <v>10606</v>
      </c>
      <c r="AD13" s="91" t="s">
        <v>131</v>
      </c>
      <c r="AE13" s="92"/>
      <c r="AF13" s="92"/>
      <c r="AG13" s="92"/>
      <c r="AH13" s="92"/>
      <c r="AI13" s="92"/>
      <c r="AJ13" s="92"/>
      <c r="AK13" s="92"/>
      <c r="AL13" s="92"/>
      <c r="AM13" s="92"/>
    </row>
    <row r="14" spans="1:39" s="35" customFormat="1">
      <c r="A14" s="21"/>
      <c r="B14" s="34"/>
      <c r="C14" s="34"/>
      <c r="D14" s="53" t="s">
        <v>36</v>
      </c>
      <c r="E14" s="20" t="s">
        <v>132</v>
      </c>
      <c r="F14" s="21" t="s">
        <v>133</v>
      </c>
      <c r="G14" s="20" t="s">
        <v>134</v>
      </c>
      <c r="H14" s="20"/>
      <c r="I14" s="20"/>
      <c r="J14" s="58" t="s">
        <v>697</v>
      </c>
      <c r="K14" s="21">
        <v>1</v>
      </c>
      <c r="L14" s="24" t="s">
        <v>26</v>
      </c>
      <c r="M14" s="22"/>
      <c r="N14" s="22" t="s">
        <v>135</v>
      </c>
      <c r="O14" s="22">
        <v>73132</v>
      </c>
      <c r="P14" s="20">
        <v>77151</v>
      </c>
      <c r="Q14" s="20">
        <v>79398</v>
      </c>
      <c r="R14" s="20">
        <v>85770</v>
      </c>
      <c r="S14" s="20">
        <v>87958</v>
      </c>
      <c r="T14" s="20">
        <v>93451</v>
      </c>
      <c r="U14" s="20">
        <v>97016</v>
      </c>
      <c r="V14" s="20">
        <v>102101</v>
      </c>
      <c r="W14" s="20">
        <v>107094</v>
      </c>
      <c r="X14" s="20">
        <v>111514</v>
      </c>
      <c r="Y14" s="20">
        <v>117904</v>
      </c>
      <c r="Z14" s="20">
        <v>120899</v>
      </c>
      <c r="AA14" s="20">
        <v>123775</v>
      </c>
      <c r="AB14" s="80">
        <f>Table135[[#This Row],[Dec-58]]-Table135[[#This Row],[Dec-57]]</f>
        <v>50643</v>
      </c>
      <c r="AC14" s="104">
        <f t="shared" si="0"/>
        <v>50643</v>
      </c>
      <c r="AD14" s="28" t="s">
        <v>136</v>
      </c>
    </row>
    <row r="15" spans="1:39" s="85" customFormat="1">
      <c r="A15" s="84"/>
      <c r="B15" s="86"/>
      <c r="C15" s="86"/>
      <c r="D15" s="82" t="s">
        <v>37</v>
      </c>
      <c r="E15" s="88" t="s">
        <v>118</v>
      </c>
      <c r="F15" s="87" t="s">
        <v>119</v>
      </c>
      <c r="G15" s="88" t="s">
        <v>120</v>
      </c>
      <c r="H15" s="88"/>
      <c r="I15" s="88"/>
      <c r="J15" s="89" t="s">
        <v>697</v>
      </c>
      <c r="K15" s="87">
        <v>1</v>
      </c>
      <c r="L15" s="87" t="s">
        <v>26</v>
      </c>
      <c r="M15" s="90"/>
      <c r="N15" s="90" t="s">
        <v>137</v>
      </c>
      <c r="O15" s="90">
        <v>120925</v>
      </c>
      <c r="P15" s="88">
        <v>124430</v>
      </c>
      <c r="Q15" s="88">
        <v>131102</v>
      </c>
      <c r="R15" s="88">
        <v>142376</v>
      </c>
      <c r="S15" s="88">
        <v>152083</v>
      </c>
      <c r="T15" s="88">
        <v>159560</v>
      </c>
      <c r="U15" s="88">
        <v>169008</v>
      </c>
      <c r="V15" s="88">
        <v>182179</v>
      </c>
      <c r="W15" s="88">
        <v>189307</v>
      </c>
      <c r="X15" s="88">
        <v>203606</v>
      </c>
      <c r="Y15" s="88">
        <v>208738</v>
      </c>
      <c r="Z15" s="88"/>
      <c r="AA15" s="88"/>
      <c r="AB15" s="83">
        <f>Table135[[#This Row],[Oct-58]]-Table135[[#This Row],[Dec-57]]</f>
        <v>87813</v>
      </c>
      <c r="AC15" s="104">
        <f>AB15</f>
        <v>87813</v>
      </c>
      <c r="AD15" s="91" t="s">
        <v>122</v>
      </c>
      <c r="AE15" s="92"/>
      <c r="AF15" s="92"/>
    </row>
    <row r="16" spans="1:39">
      <c r="A16" s="24"/>
      <c r="B16" s="19"/>
      <c r="C16" s="19"/>
      <c r="D16" s="53" t="s">
        <v>38</v>
      </c>
      <c r="E16" s="25" t="s">
        <v>138</v>
      </c>
      <c r="F16" s="24" t="s">
        <v>139</v>
      </c>
      <c r="G16" s="25" t="s">
        <v>140</v>
      </c>
      <c r="H16" s="25"/>
      <c r="I16" s="25"/>
      <c r="J16" s="58" t="s">
        <v>697</v>
      </c>
      <c r="K16" s="21">
        <v>1</v>
      </c>
      <c r="L16" s="24" t="s">
        <v>26</v>
      </c>
      <c r="M16" s="26"/>
      <c r="N16" s="26" t="s">
        <v>141</v>
      </c>
      <c r="O16" s="26">
        <v>119838</v>
      </c>
      <c r="P16" s="25">
        <v>123785</v>
      </c>
      <c r="Q16" s="25">
        <v>129553</v>
      </c>
      <c r="R16" s="25">
        <v>136826</v>
      </c>
      <c r="S16" s="25">
        <v>140558</v>
      </c>
      <c r="T16" s="25">
        <v>145622</v>
      </c>
      <c r="U16" s="25">
        <v>150208</v>
      </c>
      <c r="V16" s="25">
        <v>158784</v>
      </c>
      <c r="W16" s="25">
        <v>162433</v>
      </c>
      <c r="X16" s="25">
        <v>168063</v>
      </c>
      <c r="Y16" s="25">
        <v>174618</v>
      </c>
      <c r="Z16" s="25">
        <v>181438</v>
      </c>
      <c r="AA16" s="25">
        <v>186239</v>
      </c>
      <c r="AB16" s="80">
        <f>Table135[[#This Row],[Dec-58]]-Table135[[#This Row],[Dec-57]]</f>
        <v>66401</v>
      </c>
      <c r="AC16" s="104">
        <f>AB16</f>
        <v>66401</v>
      </c>
      <c r="AD16" s="4" t="s">
        <v>142</v>
      </c>
    </row>
    <row r="17" spans="1:30" s="35" customFormat="1">
      <c r="A17" s="21"/>
      <c r="B17" s="34"/>
      <c r="C17" s="34"/>
      <c r="D17" s="53" t="s">
        <v>39</v>
      </c>
      <c r="E17" s="20" t="s">
        <v>143</v>
      </c>
      <c r="F17" s="21" t="s">
        <v>144</v>
      </c>
      <c r="G17" s="20" t="s">
        <v>145</v>
      </c>
      <c r="H17" s="20"/>
      <c r="I17" s="20"/>
      <c r="J17" s="58" t="s">
        <v>697</v>
      </c>
      <c r="K17" s="21">
        <v>1</v>
      </c>
      <c r="L17" s="24" t="s">
        <v>26</v>
      </c>
      <c r="M17" s="22"/>
      <c r="N17" s="22" t="s">
        <v>146</v>
      </c>
      <c r="O17" s="22">
        <v>114268</v>
      </c>
      <c r="P17" s="20">
        <v>115953</v>
      </c>
      <c r="Q17" s="20">
        <v>122362</v>
      </c>
      <c r="R17" s="20">
        <v>128737</v>
      </c>
      <c r="S17" s="20">
        <v>133296</v>
      </c>
      <c r="T17" s="20">
        <v>139182</v>
      </c>
      <c r="U17" s="20">
        <v>147093</v>
      </c>
      <c r="V17" s="20">
        <v>150528</v>
      </c>
      <c r="W17" s="20">
        <v>154681</v>
      </c>
      <c r="X17" s="20">
        <v>159486</v>
      </c>
      <c r="Y17" s="20">
        <v>165247</v>
      </c>
      <c r="Z17" s="20">
        <v>168867</v>
      </c>
      <c r="AA17" s="20"/>
      <c r="AB17" s="80">
        <f>Table135[[#This Row],[Nov-58]]-Table135[[#This Row],[Dec-57]]</f>
        <v>54599</v>
      </c>
      <c r="AC17" s="104">
        <f>AB17+AB18</f>
        <v>60791</v>
      </c>
      <c r="AD17" s="28" t="s">
        <v>147</v>
      </c>
    </row>
    <row r="18" spans="1:30" s="35" customFormat="1">
      <c r="A18" s="21"/>
      <c r="B18" s="34"/>
      <c r="C18" s="34"/>
      <c r="D18" s="59"/>
      <c r="E18" s="47"/>
      <c r="F18" s="48"/>
      <c r="G18" s="47"/>
      <c r="H18" s="47"/>
      <c r="I18" s="47"/>
      <c r="J18" s="47"/>
      <c r="K18" s="64"/>
      <c r="L18" s="48"/>
      <c r="M18" s="48"/>
      <c r="N18" s="48"/>
      <c r="O18" s="48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>
        <v>69365</v>
      </c>
      <c r="AA18" s="20">
        <v>75557</v>
      </c>
      <c r="AB18" s="80">
        <f>Table135[[#This Row],[Dec-58]]-Table135[[#This Row],[Nov-58]]</f>
        <v>6192</v>
      </c>
      <c r="AC18" s="104"/>
      <c r="AD18" s="28"/>
    </row>
    <row r="19" spans="1:30">
      <c r="A19" s="24"/>
      <c r="B19" s="19"/>
      <c r="C19" s="19"/>
      <c r="D19" s="53" t="s">
        <v>40</v>
      </c>
      <c r="E19" s="25" t="s">
        <v>148</v>
      </c>
      <c r="F19" s="24" t="s">
        <v>149</v>
      </c>
      <c r="G19" s="25" t="s">
        <v>150</v>
      </c>
      <c r="H19" s="25"/>
      <c r="I19" s="25"/>
      <c r="J19" s="58" t="s">
        <v>697</v>
      </c>
      <c r="K19" s="21">
        <v>1</v>
      </c>
      <c r="L19" s="24" t="s">
        <v>26</v>
      </c>
      <c r="M19" s="26"/>
      <c r="N19" s="26" t="s">
        <v>151</v>
      </c>
      <c r="O19" s="26">
        <v>69223</v>
      </c>
      <c r="P19" s="25">
        <v>74767</v>
      </c>
      <c r="Q19" s="25">
        <v>79568</v>
      </c>
      <c r="R19" s="25">
        <v>86571</v>
      </c>
      <c r="S19" s="25">
        <v>92523</v>
      </c>
      <c r="T19" s="25">
        <v>97661</v>
      </c>
      <c r="U19" s="25">
        <v>101063</v>
      </c>
      <c r="V19" s="25">
        <v>107170</v>
      </c>
      <c r="W19" s="25">
        <v>113031</v>
      </c>
      <c r="X19" s="25">
        <v>116419</v>
      </c>
      <c r="Y19" s="25">
        <v>121593</v>
      </c>
      <c r="Z19" s="25">
        <v>125679</v>
      </c>
      <c r="AA19" s="25">
        <v>130449</v>
      </c>
      <c r="AB19" s="80">
        <f>Table135[[#This Row],[Dec-58]]-Table135[[#This Row],[Dec-57]]</f>
        <v>61226</v>
      </c>
      <c r="AC19" s="104"/>
      <c r="AD19" s="4" t="s">
        <v>152</v>
      </c>
    </row>
    <row r="20" spans="1:30" s="92" customFormat="1">
      <c r="A20" s="87"/>
      <c r="B20" s="93"/>
      <c r="C20" s="93"/>
      <c r="D20" s="82" t="s">
        <v>41</v>
      </c>
      <c r="E20" s="88" t="s">
        <v>153</v>
      </c>
      <c r="F20" s="87" t="s">
        <v>154</v>
      </c>
      <c r="G20" s="88" t="s">
        <v>155</v>
      </c>
      <c r="H20" s="88"/>
      <c r="I20" s="88"/>
      <c r="J20" s="89" t="s">
        <v>697</v>
      </c>
      <c r="K20" s="87">
        <v>1</v>
      </c>
      <c r="L20" s="87" t="s">
        <v>26</v>
      </c>
      <c r="M20" s="90"/>
      <c r="N20" s="90" t="s">
        <v>156</v>
      </c>
      <c r="O20" s="90">
        <v>159647</v>
      </c>
      <c r="P20" s="88">
        <v>166777</v>
      </c>
      <c r="Q20" s="88">
        <v>178749</v>
      </c>
      <c r="R20" s="88">
        <v>190921</v>
      </c>
      <c r="S20" s="88">
        <v>200273</v>
      </c>
      <c r="T20" s="88">
        <v>209823</v>
      </c>
      <c r="U20" s="88">
        <v>219659</v>
      </c>
      <c r="V20" s="88">
        <v>228191</v>
      </c>
      <c r="W20" s="88"/>
      <c r="X20" s="88"/>
      <c r="Y20" s="88"/>
      <c r="Z20" s="88"/>
      <c r="AA20" s="88"/>
      <c r="AB20" s="83">
        <f>Table135[[#This Row],[Jul-58]]-Table135[[#This Row],[Dec-57]]</f>
        <v>68544</v>
      </c>
      <c r="AC20" s="105">
        <f>AB20+AB21</f>
        <v>71164</v>
      </c>
      <c r="AD20" s="91" t="s">
        <v>95</v>
      </c>
    </row>
    <row r="21" spans="1:30" s="92" customFormat="1">
      <c r="A21" s="87"/>
      <c r="B21" s="93"/>
      <c r="C21" s="93"/>
      <c r="D21" s="82" t="s">
        <v>706</v>
      </c>
      <c r="E21" s="88" t="s">
        <v>153</v>
      </c>
      <c r="F21" s="87" t="s">
        <v>154</v>
      </c>
      <c r="G21" s="88" t="s">
        <v>155</v>
      </c>
      <c r="H21" s="88"/>
      <c r="I21" s="88"/>
      <c r="J21" s="89" t="s">
        <v>697</v>
      </c>
      <c r="K21" s="87">
        <v>1</v>
      </c>
      <c r="L21" s="87" t="s">
        <v>26</v>
      </c>
      <c r="M21" s="90"/>
      <c r="N21" s="90" t="s">
        <v>160</v>
      </c>
      <c r="O21" s="90"/>
      <c r="P21" s="88"/>
      <c r="Q21" s="88"/>
      <c r="R21" s="88"/>
      <c r="S21" s="88"/>
      <c r="T21" s="88"/>
      <c r="U21" s="88"/>
      <c r="V21" s="88"/>
      <c r="W21" s="88">
        <v>113394</v>
      </c>
      <c r="X21" s="88">
        <v>116014</v>
      </c>
      <c r="Y21" s="88"/>
      <c r="Z21" s="88"/>
      <c r="AA21" s="88"/>
      <c r="AB21" s="83">
        <f>Table135[[#This Row],[Sep-58]]-Table135[[#This Row],[Aug-58]]</f>
        <v>2620</v>
      </c>
      <c r="AC21" s="105"/>
      <c r="AD21" s="91" t="s">
        <v>161</v>
      </c>
    </row>
    <row r="22" spans="1:30">
      <c r="A22" s="24"/>
      <c r="B22" s="19"/>
      <c r="C22" s="19"/>
      <c r="D22" s="53" t="s">
        <v>42</v>
      </c>
      <c r="E22" s="25" t="s">
        <v>157</v>
      </c>
      <c r="F22" s="24" t="s">
        <v>158</v>
      </c>
      <c r="G22" s="25" t="s">
        <v>159</v>
      </c>
      <c r="H22" s="25"/>
      <c r="I22" s="25"/>
      <c r="J22" s="58" t="s">
        <v>697</v>
      </c>
      <c r="K22" s="21">
        <v>1</v>
      </c>
      <c r="L22" s="24" t="s">
        <v>26</v>
      </c>
      <c r="M22" s="26"/>
      <c r="N22" s="26" t="s">
        <v>162</v>
      </c>
      <c r="O22" s="26">
        <v>18583</v>
      </c>
      <c r="P22" s="25">
        <v>19438</v>
      </c>
      <c r="Q22" s="25">
        <v>21742</v>
      </c>
      <c r="R22" s="25">
        <v>25251</v>
      </c>
      <c r="S22" s="25">
        <v>28016</v>
      </c>
      <c r="T22" s="25">
        <v>30167</v>
      </c>
      <c r="U22" s="25">
        <v>33997</v>
      </c>
      <c r="V22" s="25">
        <v>36611</v>
      </c>
      <c r="W22" s="25">
        <v>38782</v>
      </c>
      <c r="X22" s="25">
        <v>42016</v>
      </c>
      <c r="Y22" s="25">
        <v>44710</v>
      </c>
      <c r="Z22" s="25">
        <v>47097</v>
      </c>
      <c r="AA22" s="25">
        <v>49485</v>
      </c>
      <c r="AB22" s="80">
        <f>Table135[[#This Row],[Dec-58]]-Table135[[#This Row],[Dec-57]]</f>
        <v>30902</v>
      </c>
      <c r="AC22" s="104">
        <f>AB22</f>
        <v>30902</v>
      </c>
      <c r="AD22" s="4" t="s">
        <v>163</v>
      </c>
    </row>
    <row r="23" spans="1:30">
      <c r="A23" s="24"/>
      <c r="B23" s="19"/>
      <c r="C23" s="19"/>
      <c r="D23" s="53" t="s">
        <v>43</v>
      </c>
      <c r="E23" s="25" t="s">
        <v>249</v>
      </c>
      <c r="F23" s="24" t="s">
        <v>250</v>
      </c>
      <c r="G23" s="25" t="s">
        <v>251</v>
      </c>
      <c r="H23" s="25"/>
      <c r="I23" s="25"/>
      <c r="J23" s="58" t="s">
        <v>697</v>
      </c>
      <c r="K23" s="21">
        <v>1</v>
      </c>
      <c r="L23" s="24" t="s">
        <v>26</v>
      </c>
      <c r="M23" s="26"/>
      <c r="N23" s="26" t="s">
        <v>252</v>
      </c>
      <c r="O23" s="26">
        <v>126237</v>
      </c>
      <c r="P23" s="25">
        <v>128199</v>
      </c>
      <c r="Q23" s="25">
        <v>133026</v>
      </c>
      <c r="R23" s="25">
        <v>139867</v>
      </c>
      <c r="S23" s="25">
        <v>142946</v>
      </c>
      <c r="T23" s="25">
        <v>149599</v>
      </c>
      <c r="U23" s="25">
        <v>155934</v>
      </c>
      <c r="V23" s="25">
        <v>169894</v>
      </c>
      <c r="W23" s="25">
        <v>173868</v>
      </c>
      <c r="X23" s="25">
        <v>178288</v>
      </c>
      <c r="Y23" s="25">
        <v>181232</v>
      </c>
      <c r="Z23" s="25">
        <v>186787</v>
      </c>
      <c r="AA23" s="25">
        <v>189813</v>
      </c>
      <c r="AB23" s="80">
        <f>Table135[[#This Row],[Dec-58]]-Table135[[#This Row],[Dec-57]]</f>
        <v>63576</v>
      </c>
      <c r="AC23" s="104">
        <f>AB23</f>
        <v>63576</v>
      </c>
      <c r="AD23" s="4" t="s">
        <v>253</v>
      </c>
    </row>
    <row r="24" spans="1:30" s="35" customFormat="1">
      <c r="A24" s="21"/>
      <c r="B24" s="34"/>
      <c r="C24" s="34"/>
      <c r="D24" s="53" t="s">
        <v>44</v>
      </c>
      <c r="E24" s="20" t="s">
        <v>254</v>
      </c>
      <c r="F24" s="21" t="s">
        <v>255</v>
      </c>
      <c r="G24" s="20" t="s">
        <v>256</v>
      </c>
      <c r="H24" s="20"/>
      <c r="I24" s="20"/>
      <c r="J24" s="58" t="s">
        <v>697</v>
      </c>
      <c r="K24" s="21">
        <v>1</v>
      </c>
      <c r="L24" s="24" t="s">
        <v>26</v>
      </c>
      <c r="M24" s="22"/>
      <c r="N24" s="22" t="s">
        <v>257</v>
      </c>
      <c r="O24" s="22">
        <v>180298</v>
      </c>
      <c r="P24" s="20">
        <v>186850</v>
      </c>
      <c r="Q24" s="20">
        <v>195231</v>
      </c>
      <c r="R24" s="20">
        <v>204748</v>
      </c>
      <c r="S24" s="20">
        <v>218330</v>
      </c>
      <c r="T24" s="20">
        <v>224544</v>
      </c>
      <c r="U24" s="20">
        <v>235807</v>
      </c>
      <c r="V24" s="20">
        <v>242314</v>
      </c>
      <c r="W24" s="20">
        <v>251839</v>
      </c>
      <c r="X24" s="20">
        <v>260787</v>
      </c>
      <c r="Y24" s="20">
        <v>267560</v>
      </c>
      <c r="Z24" s="20"/>
      <c r="AA24" s="20"/>
      <c r="AB24" s="80">
        <f>Table135[[#This Row],[Oct-58]]-Table135[[#This Row],[Dec-57]]</f>
        <v>87262</v>
      </c>
      <c r="AC24" s="104">
        <f>AB24+AB25</f>
        <v>94659</v>
      </c>
      <c r="AD24" s="28" t="s">
        <v>258</v>
      </c>
    </row>
    <row r="25" spans="1:30" s="35" customFormat="1">
      <c r="A25" s="21"/>
      <c r="B25" s="34"/>
      <c r="C25" s="34"/>
      <c r="D25" s="59"/>
      <c r="E25" s="47"/>
      <c r="F25" s="48"/>
      <c r="G25" s="47"/>
      <c r="H25" s="47"/>
      <c r="I25" s="47"/>
      <c r="J25" s="47"/>
      <c r="K25" s="64"/>
      <c r="L25" s="48"/>
      <c r="M25" s="48"/>
      <c r="N25" s="48"/>
      <c r="O25" s="48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20">
        <v>99478</v>
      </c>
      <c r="AA25" s="20">
        <v>106875</v>
      </c>
      <c r="AB25" s="80">
        <f>Table135[[#This Row],[Dec-58]]-Table135[[#This Row],[Nov-58]]</f>
        <v>7397</v>
      </c>
      <c r="AC25" s="104"/>
      <c r="AD25" s="28"/>
    </row>
    <row r="26" spans="1:30">
      <c r="A26" s="24"/>
      <c r="B26" s="19"/>
      <c r="C26" s="19"/>
      <c r="D26" s="53" t="s">
        <v>45</v>
      </c>
      <c r="E26" s="20" t="s">
        <v>259</v>
      </c>
      <c r="F26" s="21" t="s">
        <v>260</v>
      </c>
      <c r="G26" s="20" t="s">
        <v>261</v>
      </c>
      <c r="H26" s="20"/>
      <c r="I26" s="20"/>
      <c r="J26" s="58" t="s">
        <v>697</v>
      </c>
      <c r="K26" s="21">
        <v>1</v>
      </c>
      <c r="L26" s="24" t="s">
        <v>26</v>
      </c>
      <c r="M26" s="26"/>
      <c r="N26" s="26" t="s">
        <v>262</v>
      </c>
      <c r="O26" s="26">
        <v>86531</v>
      </c>
      <c r="P26" s="25">
        <v>87373</v>
      </c>
      <c r="Q26" s="25">
        <v>91470</v>
      </c>
      <c r="R26" s="25">
        <v>95166</v>
      </c>
      <c r="S26" s="25">
        <v>100706</v>
      </c>
      <c r="T26" s="25">
        <v>108174</v>
      </c>
      <c r="U26" s="25">
        <v>118162</v>
      </c>
      <c r="V26" s="25">
        <v>124914</v>
      </c>
      <c r="W26" s="25">
        <v>128207</v>
      </c>
      <c r="X26" s="25">
        <v>135374</v>
      </c>
      <c r="Y26" s="25">
        <v>142787</v>
      </c>
      <c r="Z26" s="25">
        <v>149237</v>
      </c>
      <c r="AA26" s="25">
        <v>159668</v>
      </c>
      <c r="AB26" s="80">
        <f>Table135[[#This Row],[Dec-58]]-Table135[[#This Row],[Dec-57]]</f>
        <v>73137</v>
      </c>
      <c r="AC26" s="104">
        <f>AB26</f>
        <v>73137</v>
      </c>
      <c r="AD26" s="4" t="s">
        <v>263</v>
      </c>
    </row>
    <row r="27" spans="1:30">
      <c r="A27" s="24"/>
      <c r="B27" s="19"/>
      <c r="C27" s="19"/>
      <c r="D27" s="53" t="s">
        <v>46</v>
      </c>
      <c r="E27" s="25" t="s">
        <v>264</v>
      </c>
      <c r="F27" s="24" t="s">
        <v>265</v>
      </c>
      <c r="G27" s="25" t="s">
        <v>266</v>
      </c>
      <c r="H27" s="25"/>
      <c r="I27" s="25"/>
      <c r="J27" s="58" t="s">
        <v>697</v>
      </c>
      <c r="K27" s="21">
        <v>1</v>
      </c>
      <c r="L27" s="24" t="s">
        <v>26</v>
      </c>
      <c r="M27" s="26"/>
      <c r="N27" s="26" t="s">
        <v>267</v>
      </c>
      <c r="O27" s="26">
        <v>97400</v>
      </c>
      <c r="P27" s="25">
        <v>106401</v>
      </c>
      <c r="Q27" s="25">
        <v>117472</v>
      </c>
      <c r="R27" s="25">
        <v>129553</v>
      </c>
      <c r="S27" s="25">
        <v>136197</v>
      </c>
      <c r="T27" s="25">
        <v>143099</v>
      </c>
      <c r="U27" s="25">
        <v>153931</v>
      </c>
      <c r="V27" s="25">
        <v>164958</v>
      </c>
      <c r="W27" s="25">
        <v>174907</v>
      </c>
      <c r="X27" s="25">
        <v>185248</v>
      </c>
      <c r="Y27" s="25">
        <v>192988</v>
      </c>
      <c r="Z27" s="25">
        <v>203627</v>
      </c>
      <c r="AA27" s="25">
        <v>210787</v>
      </c>
      <c r="AB27" s="80">
        <f>Table135[[#This Row],[Dec-58]]-Table135[[#This Row],[Dec-57]]</f>
        <v>113387</v>
      </c>
      <c r="AC27" s="104">
        <f>AB27</f>
        <v>113387</v>
      </c>
      <c r="AD27" s="4" t="s">
        <v>268</v>
      </c>
    </row>
    <row r="28" spans="1:30">
      <c r="A28" s="24"/>
      <c r="B28" s="19"/>
      <c r="C28" s="19"/>
      <c r="D28" s="53" t="s">
        <v>47</v>
      </c>
      <c r="E28" s="25" t="s">
        <v>269</v>
      </c>
      <c r="F28" s="24" t="s">
        <v>270</v>
      </c>
      <c r="G28" s="25" t="s">
        <v>271</v>
      </c>
      <c r="H28" s="25"/>
      <c r="I28" s="25"/>
      <c r="J28" s="58" t="s">
        <v>697</v>
      </c>
      <c r="K28" s="21">
        <v>1</v>
      </c>
      <c r="L28" s="24" t="s">
        <v>26</v>
      </c>
      <c r="M28" s="26"/>
      <c r="N28" s="26" t="s">
        <v>272</v>
      </c>
      <c r="O28" s="26">
        <v>83962</v>
      </c>
      <c r="P28" s="25">
        <v>87794</v>
      </c>
      <c r="Q28" s="25">
        <v>93283</v>
      </c>
      <c r="R28" s="25">
        <v>100810</v>
      </c>
      <c r="S28" s="25">
        <v>109561</v>
      </c>
      <c r="T28" s="25">
        <v>115185</v>
      </c>
      <c r="U28" s="25">
        <v>122322</v>
      </c>
      <c r="V28" s="25">
        <v>131494</v>
      </c>
      <c r="W28" s="25">
        <v>138001</v>
      </c>
      <c r="X28" s="25">
        <v>149923</v>
      </c>
      <c r="Y28" s="25">
        <v>153968</v>
      </c>
      <c r="Z28" s="25">
        <v>159916</v>
      </c>
      <c r="AA28" s="25">
        <v>164442</v>
      </c>
      <c r="AB28" s="80">
        <f>Table135[[#This Row],[Dec-58]]-Table135[[#This Row],[Dec-57]]</f>
        <v>80480</v>
      </c>
      <c r="AC28" s="104">
        <f>AB28</f>
        <v>80480</v>
      </c>
      <c r="AD28" s="4" t="s">
        <v>136</v>
      </c>
    </row>
    <row r="29" spans="1:30" s="35" customFormat="1">
      <c r="A29" s="21"/>
      <c r="B29" s="34"/>
      <c r="C29" s="34"/>
      <c r="D29" s="53" t="s">
        <v>48</v>
      </c>
      <c r="E29" s="25" t="s">
        <v>273</v>
      </c>
      <c r="F29" s="24" t="s">
        <v>274</v>
      </c>
      <c r="G29" s="25" t="s">
        <v>275</v>
      </c>
      <c r="H29" s="25"/>
      <c r="I29" s="25"/>
      <c r="J29" s="58" t="s">
        <v>697</v>
      </c>
      <c r="K29" s="21">
        <v>1</v>
      </c>
      <c r="L29" s="24" t="s">
        <v>26</v>
      </c>
      <c r="M29" s="22"/>
      <c r="N29" s="22" t="s">
        <v>279</v>
      </c>
      <c r="O29" s="22"/>
      <c r="P29" s="20"/>
      <c r="Q29" s="20">
        <v>11841</v>
      </c>
      <c r="R29" s="20">
        <v>17656</v>
      </c>
      <c r="S29" s="20">
        <v>23102</v>
      </c>
      <c r="T29" s="20">
        <v>29182</v>
      </c>
      <c r="U29" s="20">
        <v>40559</v>
      </c>
      <c r="V29" s="20">
        <v>48703</v>
      </c>
      <c r="W29" s="20">
        <v>57112</v>
      </c>
      <c r="X29" s="20">
        <v>68051</v>
      </c>
      <c r="Y29" s="20">
        <v>72875</v>
      </c>
      <c r="Z29" s="20">
        <v>82762</v>
      </c>
      <c r="AA29" s="20">
        <v>91403</v>
      </c>
      <c r="AB29" s="80">
        <f>Table135[[#This Row],[Dec-58]]-Table135[[#This Row],[Feb-58]]</f>
        <v>79562</v>
      </c>
      <c r="AC29" s="104">
        <f>AB29</f>
        <v>79562</v>
      </c>
      <c r="AD29" s="28" t="s">
        <v>280</v>
      </c>
    </row>
    <row r="30" spans="1:30" s="92" customFormat="1">
      <c r="A30" s="87"/>
      <c r="B30" s="93"/>
      <c r="C30" s="93"/>
      <c r="D30" s="82" t="s">
        <v>49</v>
      </c>
      <c r="E30" s="88" t="s">
        <v>276</v>
      </c>
      <c r="F30" s="87" t="s">
        <v>277</v>
      </c>
      <c r="G30" s="88" t="s">
        <v>278</v>
      </c>
      <c r="H30" s="88"/>
      <c r="I30" s="87"/>
      <c r="J30" s="89" t="s">
        <v>697</v>
      </c>
      <c r="K30" s="87">
        <v>1</v>
      </c>
      <c r="L30" s="87" t="s">
        <v>26</v>
      </c>
      <c r="M30" s="90"/>
      <c r="N30" s="90" t="s">
        <v>281</v>
      </c>
      <c r="O30" s="90">
        <v>32280</v>
      </c>
      <c r="P30" s="88">
        <v>38774</v>
      </c>
      <c r="Q30" s="88">
        <v>48301</v>
      </c>
      <c r="R30" s="88">
        <v>57067</v>
      </c>
      <c r="S30" s="88">
        <v>69145</v>
      </c>
      <c r="T30" s="88"/>
      <c r="U30" s="88"/>
      <c r="V30" s="88"/>
      <c r="W30" s="88"/>
      <c r="X30" s="88"/>
      <c r="Y30" s="88"/>
      <c r="Z30" s="88"/>
      <c r="AA30" s="88"/>
      <c r="AB30" s="83">
        <f>Table135[[#This Row],[Apr-58]]-Table135[[#This Row],[Dec-57]]</f>
        <v>36865</v>
      </c>
      <c r="AC30" s="105">
        <f>AB30+AB31</f>
        <v>80627</v>
      </c>
      <c r="AD30" s="91"/>
    </row>
    <row r="31" spans="1:30" s="92" customFormat="1">
      <c r="A31" s="87"/>
      <c r="B31" s="93"/>
      <c r="C31" s="93"/>
      <c r="D31" s="82" t="s">
        <v>707</v>
      </c>
      <c r="E31" s="88" t="s">
        <v>276</v>
      </c>
      <c r="F31" s="87" t="s">
        <v>277</v>
      </c>
      <c r="G31" s="88" t="s">
        <v>278</v>
      </c>
      <c r="H31" s="88"/>
      <c r="I31" s="87"/>
      <c r="J31" s="87"/>
      <c r="K31" s="87">
        <v>1</v>
      </c>
      <c r="L31" s="87" t="s">
        <v>695</v>
      </c>
      <c r="M31" s="90"/>
      <c r="N31" s="90" t="s">
        <v>282</v>
      </c>
      <c r="O31" s="90"/>
      <c r="P31" s="88"/>
      <c r="Q31" s="88"/>
      <c r="R31" s="88"/>
      <c r="S31" s="88"/>
      <c r="T31" s="88">
        <v>113282</v>
      </c>
      <c r="U31" s="88">
        <v>128399</v>
      </c>
      <c r="V31" s="88">
        <v>140151</v>
      </c>
      <c r="W31" s="88">
        <v>150367</v>
      </c>
      <c r="X31" s="88">
        <v>157044</v>
      </c>
      <c r="Y31" s="88"/>
      <c r="Z31" s="88"/>
      <c r="AA31" s="88"/>
      <c r="AB31" s="83">
        <f>Table135[[#This Row],[Sep-58]]-Table135[[#This Row],[May-58]]</f>
        <v>43762</v>
      </c>
      <c r="AC31" s="105"/>
      <c r="AD31" s="91" t="s">
        <v>283</v>
      </c>
    </row>
    <row r="32" spans="1:30" s="35" customFormat="1">
      <c r="A32" s="21"/>
      <c r="B32" s="34"/>
      <c r="C32" s="34"/>
      <c r="D32" s="53" t="s">
        <v>50</v>
      </c>
      <c r="E32" s="20" t="s">
        <v>284</v>
      </c>
      <c r="F32" s="21" t="s">
        <v>285</v>
      </c>
      <c r="G32" s="20" t="s">
        <v>286</v>
      </c>
      <c r="H32" s="20"/>
      <c r="I32" s="20"/>
      <c r="J32" s="58" t="s">
        <v>697</v>
      </c>
      <c r="K32" s="21">
        <v>1</v>
      </c>
      <c r="L32" s="24" t="s">
        <v>26</v>
      </c>
      <c r="M32" s="22"/>
      <c r="N32" s="22" t="s">
        <v>287</v>
      </c>
      <c r="O32" s="22">
        <v>31629</v>
      </c>
      <c r="P32" s="20">
        <v>33213</v>
      </c>
      <c r="Q32" s="20">
        <v>38801</v>
      </c>
      <c r="R32" s="20">
        <v>42883</v>
      </c>
      <c r="S32" s="20">
        <v>44650</v>
      </c>
      <c r="T32" s="20">
        <v>47560</v>
      </c>
      <c r="U32" s="20">
        <v>50995</v>
      </c>
      <c r="V32" s="20">
        <v>53416</v>
      </c>
      <c r="W32" s="20">
        <v>56918</v>
      </c>
      <c r="X32" s="20">
        <v>61243</v>
      </c>
      <c r="Y32" s="20">
        <v>63972</v>
      </c>
      <c r="Z32" s="20">
        <v>66858</v>
      </c>
      <c r="AA32" s="20">
        <v>69817</v>
      </c>
      <c r="AB32" s="80">
        <f>Table135[[#This Row],[Dec-58]]-Table135[[#This Row],[Dec-57]]</f>
        <v>38188</v>
      </c>
      <c r="AC32" s="104">
        <f t="shared" ref="AC32:AC37" si="1">AB32</f>
        <v>38188</v>
      </c>
      <c r="AD32" s="28" t="s">
        <v>288</v>
      </c>
    </row>
    <row r="33" spans="1:34">
      <c r="A33" s="24"/>
      <c r="B33" s="19"/>
      <c r="C33" s="19"/>
      <c r="D33" s="53" t="s">
        <v>51</v>
      </c>
      <c r="E33" s="25" t="s">
        <v>289</v>
      </c>
      <c r="F33" s="24" t="s">
        <v>290</v>
      </c>
      <c r="G33" s="25" t="s">
        <v>291</v>
      </c>
      <c r="H33" s="25"/>
      <c r="I33" s="25"/>
      <c r="J33" s="58" t="s">
        <v>697</v>
      </c>
      <c r="K33" s="21">
        <v>1</v>
      </c>
      <c r="L33" s="24" t="s">
        <v>26</v>
      </c>
      <c r="M33" s="26"/>
      <c r="N33" s="26" t="s">
        <v>292</v>
      </c>
      <c r="O33" s="26">
        <v>75155</v>
      </c>
      <c r="P33" s="25">
        <v>80450</v>
      </c>
      <c r="Q33" s="25">
        <v>84976</v>
      </c>
      <c r="R33" s="25">
        <v>89803</v>
      </c>
      <c r="S33" s="25">
        <v>96310</v>
      </c>
      <c r="T33" s="25">
        <v>101310</v>
      </c>
      <c r="U33" s="25">
        <v>101617</v>
      </c>
      <c r="V33" s="25">
        <v>106552</v>
      </c>
      <c r="W33" s="25">
        <v>111652</v>
      </c>
      <c r="X33" s="25">
        <v>116788</v>
      </c>
      <c r="Y33" s="25">
        <v>120499</v>
      </c>
      <c r="Z33" s="25">
        <v>124931</v>
      </c>
      <c r="AA33" s="25">
        <v>128495</v>
      </c>
      <c r="AB33" s="80">
        <f>Table135[[#This Row],[Dec-58]]-Table135[[#This Row],[Dec-57]]</f>
        <v>53340</v>
      </c>
      <c r="AC33" s="104">
        <f t="shared" si="1"/>
        <v>53340</v>
      </c>
      <c r="AD33" s="4" t="s">
        <v>293</v>
      </c>
    </row>
    <row r="34" spans="1:34" s="35" customFormat="1">
      <c r="A34" s="21"/>
      <c r="B34" s="34"/>
      <c r="C34" s="34"/>
      <c r="D34" s="53" t="s">
        <v>52</v>
      </c>
      <c r="E34" s="20" t="s">
        <v>294</v>
      </c>
      <c r="F34" s="21" t="s">
        <v>295</v>
      </c>
      <c r="G34" s="20" t="s">
        <v>296</v>
      </c>
      <c r="H34" s="20"/>
      <c r="I34" s="20"/>
      <c r="J34" s="58" t="s">
        <v>697</v>
      </c>
      <c r="K34" s="21">
        <v>1</v>
      </c>
      <c r="L34" s="24" t="s">
        <v>26</v>
      </c>
      <c r="M34" s="22"/>
      <c r="N34" s="22" t="s">
        <v>297</v>
      </c>
      <c r="O34" s="22">
        <v>7706</v>
      </c>
      <c r="P34" s="20">
        <v>10121</v>
      </c>
      <c r="Q34" s="20">
        <v>16974</v>
      </c>
      <c r="R34" s="20">
        <v>22392</v>
      </c>
      <c r="S34" s="20">
        <v>26308</v>
      </c>
      <c r="T34" s="20">
        <v>33346</v>
      </c>
      <c r="U34" s="20">
        <v>40246</v>
      </c>
      <c r="V34" s="20">
        <v>49832</v>
      </c>
      <c r="W34" s="20">
        <v>51699</v>
      </c>
      <c r="X34" s="20">
        <v>56611</v>
      </c>
      <c r="Y34" s="20">
        <v>60351</v>
      </c>
      <c r="Z34" s="20">
        <v>65527</v>
      </c>
      <c r="AA34" s="20">
        <v>70985</v>
      </c>
      <c r="AB34" s="80">
        <f>Table135[[#This Row],[Dec-58]]-Table135[[#This Row],[Dec-57]]</f>
        <v>63279</v>
      </c>
      <c r="AC34" s="104">
        <f t="shared" si="1"/>
        <v>63279</v>
      </c>
      <c r="AD34" s="28" t="s">
        <v>298</v>
      </c>
    </row>
    <row r="35" spans="1:34" s="35" customFormat="1">
      <c r="A35" s="21"/>
      <c r="B35" s="34"/>
      <c r="C35" s="34"/>
      <c r="D35" s="53" t="s">
        <v>53</v>
      </c>
      <c r="E35" s="20" t="s">
        <v>299</v>
      </c>
      <c r="F35" s="21" t="s">
        <v>300</v>
      </c>
      <c r="G35" s="20" t="s">
        <v>301</v>
      </c>
      <c r="H35" s="20"/>
      <c r="I35" s="20"/>
      <c r="J35" s="58" t="s">
        <v>697</v>
      </c>
      <c r="K35" s="21">
        <v>1</v>
      </c>
      <c r="L35" s="24" t="s">
        <v>26</v>
      </c>
      <c r="M35" s="22"/>
      <c r="N35" s="22" t="s">
        <v>302</v>
      </c>
      <c r="O35" s="22">
        <v>29704</v>
      </c>
      <c r="P35" s="20">
        <v>32157</v>
      </c>
      <c r="Q35" s="20">
        <v>35321</v>
      </c>
      <c r="R35" s="20">
        <v>38543</v>
      </c>
      <c r="S35" s="20">
        <v>39422</v>
      </c>
      <c r="T35" s="20">
        <v>42103</v>
      </c>
      <c r="U35" s="20">
        <v>45516</v>
      </c>
      <c r="V35" s="20">
        <v>49202</v>
      </c>
      <c r="W35" s="20">
        <v>50390</v>
      </c>
      <c r="X35" s="20">
        <v>53147</v>
      </c>
      <c r="Y35" s="20">
        <v>54610</v>
      </c>
      <c r="Z35" s="20">
        <v>56075</v>
      </c>
      <c r="AA35" s="20">
        <v>57904</v>
      </c>
      <c r="AB35" s="80">
        <f>Table135[[#This Row],[Dec-58]]-Table135[[#This Row],[Dec-57]]</f>
        <v>28200</v>
      </c>
      <c r="AC35" s="104">
        <f t="shared" si="1"/>
        <v>28200</v>
      </c>
      <c r="AD35" s="28" t="s">
        <v>303</v>
      </c>
    </row>
    <row r="36" spans="1:34" s="92" customFormat="1" hidden="1">
      <c r="A36" s="87"/>
      <c r="B36" s="93"/>
      <c r="C36" s="93"/>
      <c r="D36" s="82" t="s">
        <v>55</v>
      </c>
      <c r="E36" s="88" t="s">
        <v>304</v>
      </c>
      <c r="F36" s="87" t="s">
        <v>305</v>
      </c>
      <c r="G36" s="88" t="s">
        <v>306</v>
      </c>
      <c r="H36" s="88"/>
      <c r="I36" s="88"/>
      <c r="J36" s="89" t="s">
        <v>697</v>
      </c>
      <c r="K36" s="87">
        <v>1</v>
      </c>
      <c r="L36" s="87" t="s">
        <v>26</v>
      </c>
      <c r="M36" s="90"/>
      <c r="N36" s="90" t="s">
        <v>81</v>
      </c>
      <c r="O36" s="90">
        <v>41649</v>
      </c>
      <c r="P36" s="88">
        <v>44875</v>
      </c>
      <c r="Q36" s="88">
        <v>47503</v>
      </c>
      <c r="R36" s="88">
        <v>49928</v>
      </c>
      <c r="S36" s="88">
        <v>51106</v>
      </c>
      <c r="T36" s="88"/>
      <c r="U36" s="88"/>
      <c r="V36" s="88"/>
      <c r="W36" s="88"/>
      <c r="X36" s="88"/>
      <c r="Y36" s="88"/>
      <c r="Z36" s="88"/>
      <c r="AA36" s="88"/>
      <c r="AB36" s="83">
        <f>Table135[[#This Row],[Apr-58]]-Table135[[#This Row],[Dec-57]]</f>
        <v>9457</v>
      </c>
      <c r="AC36" s="104">
        <f t="shared" si="1"/>
        <v>9457</v>
      </c>
      <c r="AD36" s="91" t="s">
        <v>307</v>
      </c>
    </row>
    <row r="37" spans="1:34">
      <c r="A37" s="24"/>
      <c r="B37" s="19"/>
      <c r="C37" s="19"/>
      <c r="D37" s="53" t="s">
        <v>56</v>
      </c>
      <c r="E37" s="25" t="s">
        <v>308</v>
      </c>
      <c r="F37" s="24" t="s">
        <v>309</v>
      </c>
      <c r="G37" s="25" t="s">
        <v>310</v>
      </c>
      <c r="H37" s="25"/>
      <c r="I37" s="25"/>
      <c r="J37" s="58" t="s">
        <v>697</v>
      </c>
      <c r="K37" s="21">
        <v>1</v>
      </c>
      <c r="L37" s="24" t="s">
        <v>26</v>
      </c>
      <c r="M37" s="26"/>
      <c r="N37" s="26" t="s">
        <v>311</v>
      </c>
      <c r="O37" s="26">
        <v>132962</v>
      </c>
      <c r="P37" s="25">
        <v>139236</v>
      </c>
      <c r="Q37" s="25">
        <v>146890</v>
      </c>
      <c r="R37" s="25">
        <v>158711</v>
      </c>
      <c r="S37" s="25">
        <v>163453</v>
      </c>
      <c r="T37" s="25">
        <v>172361</v>
      </c>
      <c r="U37" s="25">
        <v>176718</v>
      </c>
      <c r="V37" s="25">
        <v>188193</v>
      </c>
      <c r="W37" s="25">
        <v>199290</v>
      </c>
      <c r="X37" s="25">
        <v>204498</v>
      </c>
      <c r="Y37" s="25">
        <v>210202</v>
      </c>
      <c r="Z37" s="25">
        <v>213758</v>
      </c>
      <c r="AA37" s="25">
        <v>218668</v>
      </c>
      <c r="AB37" s="80">
        <f>Table135[[#This Row],[Dec-58]]-Table135[[#This Row],[Dec-57]]</f>
        <v>85706</v>
      </c>
      <c r="AC37" s="104">
        <f t="shared" si="1"/>
        <v>85706</v>
      </c>
      <c r="AD37" s="4" t="s">
        <v>152</v>
      </c>
    </row>
    <row r="38" spans="1:34">
      <c r="A38" s="24"/>
      <c r="B38" s="19"/>
      <c r="C38" s="19"/>
      <c r="D38" s="53" t="s">
        <v>57</v>
      </c>
      <c r="E38" s="25" t="s">
        <v>312</v>
      </c>
      <c r="F38" s="24" t="s">
        <v>313</v>
      </c>
      <c r="G38" s="25" t="s">
        <v>314</v>
      </c>
      <c r="H38" s="25"/>
      <c r="I38" s="25"/>
      <c r="J38" s="58" t="s">
        <v>697</v>
      </c>
      <c r="K38" s="21">
        <v>1</v>
      </c>
      <c r="L38" s="24" t="s">
        <v>26</v>
      </c>
      <c r="M38" s="26"/>
      <c r="N38" s="26" t="s">
        <v>315</v>
      </c>
      <c r="O38" s="26">
        <v>30242</v>
      </c>
      <c r="P38" s="25">
        <v>31286</v>
      </c>
      <c r="Q38" s="25">
        <v>35060</v>
      </c>
      <c r="R38" s="25">
        <v>37644</v>
      </c>
      <c r="S38" s="25">
        <v>40467</v>
      </c>
      <c r="T38" s="25">
        <v>44681</v>
      </c>
      <c r="U38" s="25">
        <v>48909</v>
      </c>
      <c r="V38" s="25"/>
      <c r="W38" s="25"/>
      <c r="X38" s="25"/>
      <c r="Y38" s="25"/>
      <c r="Z38" s="25"/>
      <c r="AA38" s="25"/>
      <c r="AB38" s="80">
        <f>Table135[[#This Row],[Jun-58]]-Table135[[#This Row],[Dec-57]]</f>
        <v>18667</v>
      </c>
      <c r="AC38" s="104">
        <f>AB38+AB39</f>
        <v>37476</v>
      </c>
      <c r="AD38" s="4" t="s">
        <v>316</v>
      </c>
    </row>
    <row r="39" spans="1:34">
      <c r="A39" s="24"/>
      <c r="B39" s="19"/>
      <c r="C39" s="19"/>
      <c r="D39" s="59"/>
      <c r="E39" s="47"/>
      <c r="F39" s="48"/>
      <c r="G39" s="47"/>
      <c r="H39" s="47"/>
      <c r="I39" s="47"/>
      <c r="J39" s="47"/>
      <c r="K39" s="64"/>
      <c r="L39" s="48"/>
      <c r="M39" s="48"/>
      <c r="N39" s="48"/>
      <c r="O39" s="48"/>
      <c r="P39" s="47"/>
      <c r="Q39" s="47"/>
      <c r="R39" s="47"/>
      <c r="S39" s="47"/>
      <c r="T39" s="47"/>
      <c r="U39" s="47"/>
      <c r="V39" s="25">
        <v>1475</v>
      </c>
      <c r="W39" s="25">
        <v>5407</v>
      </c>
      <c r="X39" s="25">
        <v>9057</v>
      </c>
      <c r="Y39" s="25">
        <v>11720</v>
      </c>
      <c r="Z39" s="25">
        <v>15982</v>
      </c>
      <c r="AA39" s="25">
        <v>20284</v>
      </c>
      <c r="AB39" s="80">
        <f>Table135[[#This Row],[Dec-58]]-Table135[[#This Row],[Jul-58]]</f>
        <v>18809</v>
      </c>
      <c r="AC39" s="104"/>
      <c r="AD39" s="4"/>
    </row>
    <row r="40" spans="1:34" s="35" customFormat="1">
      <c r="A40" s="21"/>
      <c r="B40" s="34"/>
      <c r="C40" s="34"/>
      <c r="D40" s="53" t="s">
        <v>59</v>
      </c>
      <c r="E40" s="20" t="s">
        <v>317</v>
      </c>
      <c r="F40" s="21" t="s">
        <v>318</v>
      </c>
      <c r="G40" s="20" t="s">
        <v>319</v>
      </c>
      <c r="H40" s="20"/>
      <c r="I40" s="20"/>
      <c r="J40" s="58" t="s">
        <v>697</v>
      </c>
      <c r="K40" s="21">
        <v>1</v>
      </c>
      <c r="L40" s="24" t="s">
        <v>26</v>
      </c>
      <c r="M40" s="22"/>
      <c r="N40" s="22" t="s">
        <v>320</v>
      </c>
      <c r="O40" s="22">
        <v>51439</v>
      </c>
      <c r="P40" s="20">
        <v>53057</v>
      </c>
      <c r="Q40" s="20">
        <v>55258</v>
      </c>
      <c r="R40" s="20">
        <v>58379</v>
      </c>
      <c r="S40" s="20">
        <v>59250</v>
      </c>
      <c r="T40" s="20">
        <v>62205</v>
      </c>
      <c r="U40" s="20">
        <v>64838</v>
      </c>
      <c r="V40" s="20">
        <v>66471</v>
      </c>
      <c r="W40" s="20">
        <v>69224</v>
      </c>
      <c r="X40" s="20">
        <v>73578</v>
      </c>
      <c r="Y40" s="20">
        <v>75899</v>
      </c>
      <c r="Z40" s="20">
        <v>78025</v>
      </c>
      <c r="AA40" s="20">
        <v>82102</v>
      </c>
      <c r="AB40" s="80">
        <f>Table135[[#This Row],[Dec-58]]-Table135[[#This Row],[Dec-57]]</f>
        <v>30663</v>
      </c>
      <c r="AC40" s="104">
        <f>AB40</f>
        <v>30663</v>
      </c>
      <c r="AD40" s="28" t="s">
        <v>127</v>
      </c>
    </row>
    <row r="41" spans="1:34">
      <c r="A41" s="24"/>
      <c r="B41" s="19"/>
      <c r="C41" s="19"/>
      <c r="D41" s="53" t="s">
        <v>60</v>
      </c>
      <c r="E41" s="25" t="s">
        <v>321</v>
      </c>
      <c r="F41" s="24" t="s">
        <v>322</v>
      </c>
      <c r="G41" s="25" t="s">
        <v>323</v>
      </c>
      <c r="H41" s="25"/>
      <c r="I41" s="25"/>
      <c r="J41" s="58" t="s">
        <v>697</v>
      </c>
      <c r="K41" s="21">
        <v>1</v>
      </c>
      <c r="L41" s="24" t="s">
        <v>26</v>
      </c>
      <c r="M41" s="26"/>
      <c r="N41" s="26" t="s">
        <v>324</v>
      </c>
      <c r="O41" s="26">
        <v>99988</v>
      </c>
      <c r="P41" s="25">
        <v>103108</v>
      </c>
      <c r="Q41" s="25">
        <v>109058</v>
      </c>
      <c r="R41" s="25">
        <v>114048</v>
      </c>
      <c r="S41" s="25">
        <v>118430</v>
      </c>
      <c r="T41" s="25">
        <v>125316</v>
      </c>
      <c r="U41" s="25">
        <v>137505</v>
      </c>
      <c r="V41" s="25">
        <v>148459</v>
      </c>
      <c r="W41" s="25">
        <v>156476</v>
      </c>
      <c r="X41" s="25">
        <v>166156</v>
      </c>
      <c r="Y41" s="25">
        <v>173752</v>
      </c>
      <c r="Z41" s="25">
        <v>184926</v>
      </c>
      <c r="AA41" s="25">
        <v>194480</v>
      </c>
      <c r="AB41" s="80">
        <f>Table135[[#This Row],[Dec-58]]-Table135[[#This Row],[Dec-57]]</f>
        <v>94492</v>
      </c>
      <c r="AC41" s="104">
        <f>AB41</f>
        <v>94492</v>
      </c>
      <c r="AD41" s="4" t="s">
        <v>325</v>
      </c>
    </row>
    <row r="42" spans="1:34" s="35" customFormat="1">
      <c r="A42" s="21"/>
      <c r="B42" s="34"/>
      <c r="C42" s="34"/>
      <c r="D42" s="53" t="s">
        <v>61</v>
      </c>
      <c r="E42" s="20" t="s">
        <v>326</v>
      </c>
      <c r="F42" s="21" t="s">
        <v>327</v>
      </c>
      <c r="G42" s="20" t="s">
        <v>328</v>
      </c>
      <c r="H42" s="20"/>
      <c r="I42" s="20"/>
      <c r="J42" s="58" t="s">
        <v>697</v>
      </c>
      <c r="K42" s="21">
        <v>1</v>
      </c>
      <c r="L42" s="24" t="s">
        <v>26</v>
      </c>
      <c r="M42" s="22"/>
      <c r="N42" s="22" t="s">
        <v>329</v>
      </c>
      <c r="O42" s="22">
        <v>94971</v>
      </c>
      <c r="P42" s="20">
        <v>100140</v>
      </c>
      <c r="Q42" s="20">
        <v>107815</v>
      </c>
      <c r="R42" s="20">
        <v>109440</v>
      </c>
      <c r="S42" s="20">
        <v>113521</v>
      </c>
      <c r="T42" s="20">
        <v>119344</v>
      </c>
      <c r="U42" s="20">
        <v>123338</v>
      </c>
      <c r="V42" s="20">
        <v>131842</v>
      </c>
      <c r="W42" s="20">
        <v>133672</v>
      </c>
      <c r="X42" s="20">
        <v>141402</v>
      </c>
      <c r="Y42" s="20">
        <v>147226</v>
      </c>
      <c r="Z42" s="20">
        <v>155673</v>
      </c>
      <c r="AA42" s="20">
        <v>160850</v>
      </c>
      <c r="AB42" s="80">
        <f>Table135[[#This Row],[Dec-58]]-Table135[[#This Row],[Dec-57]]</f>
        <v>65879</v>
      </c>
      <c r="AC42" s="104">
        <f>AB42</f>
        <v>65879</v>
      </c>
      <c r="AD42" s="36" t="s">
        <v>330</v>
      </c>
      <c r="AE42" s="37"/>
      <c r="AF42" s="37"/>
      <c r="AG42" s="37"/>
      <c r="AH42" s="37"/>
    </row>
    <row r="43" spans="1:34">
      <c r="A43" s="24"/>
      <c r="B43" s="19"/>
      <c r="C43" s="19"/>
      <c r="D43" s="53" t="s">
        <v>63</v>
      </c>
      <c r="E43" s="25" t="s">
        <v>331</v>
      </c>
      <c r="F43" s="24" t="s">
        <v>332</v>
      </c>
      <c r="G43" s="25" t="s">
        <v>333</v>
      </c>
      <c r="H43" s="25"/>
      <c r="I43" s="25"/>
      <c r="J43" s="58" t="s">
        <v>697</v>
      </c>
      <c r="K43" s="21">
        <v>1</v>
      </c>
      <c r="L43" s="24" t="s">
        <v>26</v>
      </c>
      <c r="M43" s="26"/>
      <c r="N43" s="26" t="s">
        <v>334</v>
      </c>
      <c r="O43" s="26">
        <v>10169</v>
      </c>
      <c r="P43" s="25">
        <v>15957</v>
      </c>
      <c r="Q43" s="25">
        <v>25760</v>
      </c>
      <c r="R43" s="25">
        <v>36949</v>
      </c>
      <c r="S43" s="25">
        <v>41480</v>
      </c>
      <c r="T43" s="25">
        <v>50144</v>
      </c>
      <c r="U43" s="25">
        <v>56676</v>
      </c>
      <c r="V43" s="25">
        <v>66503</v>
      </c>
      <c r="W43" s="25">
        <v>69881</v>
      </c>
      <c r="X43" s="25">
        <v>76230</v>
      </c>
      <c r="Y43" s="25">
        <v>85813</v>
      </c>
      <c r="Z43" s="25">
        <v>92655</v>
      </c>
      <c r="AA43" s="25">
        <v>96146</v>
      </c>
      <c r="AB43" s="80">
        <f>Table135[[#This Row],[Dec-58]]-Table135[[#This Row],[Dec-57]]</f>
        <v>85977</v>
      </c>
      <c r="AC43" s="104">
        <f>AB43</f>
        <v>85977</v>
      </c>
      <c r="AD43" s="4" t="s">
        <v>335</v>
      </c>
    </row>
    <row r="44" spans="1:34">
      <c r="A44" s="24"/>
      <c r="B44" s="19"/>
      <c r="C44" s="19"/>
      <c r="D44" s="53" t="s">
        <v>65</v>
      </c>
      <c r="E44" s="25" t="s">
        <v>336</v>
      </c>
      <c r="F44" s="24" t="s">
        <v>337</v>
      </c>
      <c r="G44" s="25" t="s">
        <v>338</v>
      </c>
      <c r="H44" s="25"/>
      <c r="I44" s="25"/>
      <c r="J44" s="58" t="s">
        <v>697</v>
      </c>
      <c r="K44" s="21">
        <v>1</v>
      </c>
      <c r="L44" s="24" t="s">
        <v>26</v>
      </c>
      <c r="M44" s="26"/>
      <c r="N44" s="26" t="s">
        <v>339</v>
      </c>
      <c r="O44" s="26">
        <v>78628</v>
      </c>
      <c r="P44" s="25">
        <v>81473</v>
      </c>
      <c r="Q44" s="25">
        <v>87182</v>
      </c>
      <c r="R44" s="25">
        <v>92536</v>
      </c>
      <c r="S44" s="25">
        <v>96850</v>
      </c>
      <c r="T44" s="25">
        <v>102762</v>
      </c>
      <c r="U44" s="25">
        <v>108472</v>
      </c>
      <c r="V44" s="25">
        <v>111589</v>
      </c>
      <c r="W44" s="25">
        <v>116749</v>
      </c>
      <c r="X44" s="25">
        <v>120028</v>
      </c>
      <c r="Y44" s="25">
        <v>123386</v>
      </c>
      <c r="Z44" s="25">
        <v>127717</v>
      </c>
      <c r="AA44" s="25">
        <v>131589</v>
      </c>
      <c r="AB44" s="80">
        <f>Table135[[#This Row],[Dec-58]]-Table135[[#This Row],[Dec-57]]</f>
        <v>52961</v>
      </c>
      <c r="AC44" s="104">
        <f>AB44</f>
        <v>52961</v>
      </c>
      <c r="AD44" s="4" t="s">
        <v>340</v>
      </c>
    </row>
    <row r="45" spans="1:34">
      <c r="A45" s="24"/>
      <c r="B45" s="19"/>
      <c r="C45" s="19"/>
      <c r="D45" s="53"/>
      <c r="E45" s="25" t="s">
        <v>341</v>
      </c>
      <c r="F45" s="24" t="s">
        <v>342</v>
      </c>
      <c r="G45" s="25" t="s">
        <v>343</v>
      </c>
      <c r="H45" s="25"/>
      <c r="I45" s="25"/>
      <c r="J45" s="58" t="s">
        <v>697</v>
      </c>
      <c r="K45" s="21">
        <v>1</v>
      </c>
      <c r="L45" s="24" t="s">
        <v>26</v>
      </c>
      <c r="M45" s="26"/>
      <c r="N45" s="26" t="s">
        <v>344</v>
      </c>
      <c r="O45" s="26">
        <v>71077</v>
      </c>
      <c r="P45" s="25">
        <v>72407</v>
      </c>
      <c r="Q45" s="25">
        <v>77023</v>
      </c>
      <c r="R45" s="25">
        <v>83109</v>
      </c>
      <c r="S45" s="25">
        <v>86542</v>
      </c>
      <c r="T45" s="25">
        <v>89999</v>
      </c>
      <c r="U45" s="25">
        <v>92515</v>
      </c>
      <c r="V45" s="25">
        <v>94406</v>
      </c>
      <c r="W45" s="25">
        <v>97680</v>
      </c>
      <c r="X45" s="25">
        <v>101539</v>
      </c>
      <c r="Y45" s="25">
        <v>104025</v>
      </c>
      <c r="Z45" s="25">
        <v>105860</v>
      </c>
      <c r="AA45" s="25"/>
      <c r="AB45" s="80">
        <f>Table135[[#This Row],[Nov-58]]-Table135[[#This Row],[Dec-57]]</f>
        <v>34783</v>
      </c>
      <c r="AC45" s="104">
        <f>AB45+AB46</f>
        <v>36992</v>
      </c>
      <c r="AD45" s="4" t="s">
        <v>345</v>
      </c>
    </row>
    <row r="46" spans="1:34">
      <c r="A46" s="24"/>
      <c r="B46" s="19"/>
      <c r="C46" s="19"/>
      <c r="D46" s="59"/>
      <c r="E46" s="47"/>
      <c r="F46" s="48"/>
      <c r="G46" s="47"/>
      <c r="H46" s="47"/>
      <c r="I46" s="47"/>
      <c r="J46" s="47"/>
      <c r="K46" s="64"/>
      <c r="L46" s="48"/>
      <c r="M46" s="48"/>
      <c r="N46" s="48"/>
      <c r="O46" s="26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25">
        <v>2209</v>
      </c>
      <c r="AB46" s="80">
        <f>Table135[[#This Row],[Dec-58]]</f>
        <v>2209</v>
      </c>
      <c r="AC46" s="104"/>
      <c r="AD46" s="4"/>
    </row>
    <row r="47" spans="1:34" s="92" customFormat="1">
      <c r="A47" s="87"/>
      <c r="B47" s="93"/>
      <c r="C47" s="93"/>
      <c r="D47" s="82" t="s">
        <v>66</v>
      </c>
      <c r="E47" s="88" t="s">
        <v>346</v>
      </c>
      <c r="F47" s="87" t="s">
        <v>347</v>
      </c>
      <c r="G47" s="88" t="s">
        <v>348</v>
      </c>
      <c r="H47" s="88"/>
      <c r="I47" s="88"/>
      <c r="J47" s="89" t="s">
        <v>697</v>
      </c>
      <c r="K47" s="87">
        <v>1</v>
      </c>
      <c r="L47" s="87" t="s">
        <v>26</v>
      </c>
      <c r="M47" s="90"/>
      <c r="N47" s="90" t="s">
        <v>349</v>
      </c>
      <c r="O47" s="90">
        <v>102578</v>
      </c>
      <c r="P47" s="88">
        <v>107935</v>
      </c>
      <c r="Q47" s="88">
        <v>118248</v>
      </c>
      <c r="R47" s="88">
        <v>128399</v>
      </c>
      <c r="S47" s="88">
        <v>137042</v>
      </c>
      <c r="T47" s="88">
        <v>143510</v>
      </c>
      <c r="U47" s="88">
        <v>149472</v>
      </c>
      <c r="V47" s="88">
        <v>154954</v>
      </c>
      <c r="W47" s="88">
        <v>159843</v>
      </c>
      <c r="X47" s="88">
        <v>165026</v>
      </c>
      <c r="Y47" s="88"/>
      <c r="Z47" s="88"/>
      <c r="AA47" s="88"/>
      <c r="AB47" s="83">
        <f>Table135[[#This Row],[Sep-58]]-O47</f>
        <v>62448</v>
      </c>
      <c r="AC47" s="105">
        <f>AB47+AB48</f>
        <v>77994</v>
      </c>
      <c r="AD47" s="91" t="s">
        <v>293</v>
      </c>
    </row>
    <row r="48" spans="1:34">
      <c r="A48" s="24"/>
      <c r="B48" s="19"/>
      <c r="C48" s="19"/>
      <c r="D48" s="53" t="s">
        <v>717</v>
      </c>
      <c r="E48" s="25" t="s">
        <v>346</v>
      </c>
      <c r="F48" s="24" t="s">
        <v>347</v>
      </c>
      <c r="G48" s="25" t="s">
        <v>348</v>
      </c>
      <c r="H48" s="25"/>
      <c r="I48" s="25"/>
      <c r="J48" s="58" t="s">
        <v>697</v>
      </c>
      <c r="K48" s="21">
        <v>1</v>
      </c>
      <c r="L48" s="24" t="s">
        <v>26</v>
      </c>
      <c r="M48" s="26"/>
      <c r="N48" s="26" t="s">
        <v>350</v>
      </c>
      <c r="O48" s="26"/>
      <c r="P48" s="25"/>
      <c r="Q48" s="25"/>
      <c r="R48" s="25"/>
      <c r="S48" s="25"/>
      <c r="T48" s="25"/>
      <c r="U48" s="25"/>
      <c r="V48" s="25"/>
      <c r="W48" s="25"/>
      <c r="X48" s="25">
        <v>56964</v>
      </c>
      <c r="Y48" s="25">
        <v>62712</v>
      </c>
      <c r="Z48" s="25">
        <v>66832</v>
      </c>
      <c r="AA48" s="25">
        <v>72510</v>
      </c>
      <c r="AB48" s="80">
        <f>Table135[[#This Row],[Dec-58]]-Table135[[#This Row],[Sep-58]]</f>
        <v>15546</v>
      </c>
      <c r="AC48" s="104">
        <f>AB48</f>
        <v>15546</v>
      </c>
      <c r="AD48" s="4" t="s">
        <v>351</v>
      </c>
    </row>
    <row r="49" spans="1:31" s="35" customFormat="1">
      <c r="A49" s="21"/>
      <c r="B49" s="34"/>
      <c r="C49" s="34"/>
      <c r="D49" s="53" t="s">
        <v>708</v>
      </c>
      <c r="E49" s="20" t="s">
        <v>352</v>
      </c>
      <c r="F49" s="21" t="s">
        <v>353</v>
      </c>
      <c r="G49" s="20" t="s">
        <v>354</v>
      </c>
      <c r="H49" s="20"/>
      <c r="I49" s="20"/>
      <c r="J49" s="58" t="s">
        <v>697</v>
      </c>
      <c r="K49" s="21">
        <v>1</v>
      </c>
      <c r="L49" s="24" t="s">
        <v>26</v>
      </c>
      <c r="M49" s="22"/>
      <c r="N49" s="22" t="s">
        <v>355</v>
      </c>
      <c r="O49" s="22">
        <v>73110</v>
      </c>
      <c r="P49" s="20">
        <v>75678</v>
      </c>
      <c r="Q49" s="20">
        <v>85435</v>
      </c>
      <c r="R49" s="20">
        <v>92065</v>
      </c>
      <c r="S49" s="20">
        <v>104462</v>
      </c>
      <c r="T49" s="20">
        <v>109802</v>
      </c>
      <c r="U49" s="20">
        <v>116840</v>
      </c>
      <c r="V49" s="20">
        <v>120131</v>
      </c>
      <c r="W49" s="20">
        <v>126553</v>
      </c>
      <c r="X49" s="20">
        <v>133717</v>
      </c>
      <c r="Y49" s="20">
        <v>138382</v>
      </c>
      <c r="Z49" s="20">
        <v>142197</v>
      </c>
      <c r="AA49" s="20">
        <v>146475</v>
      </c>
      <c r="AB49" s="80">
        <f>Table135[[#This Row],[Dec-58]]-Table135[[#This Row],[Dec-57]]</f>
        <v>73365</v>
      </c>
      <c r="AC49" s="104">
        <f t="shared" ref="AC49:AC54" si="2">AB49</f>
        <v>73365</v>
      </c>
      <c r="AD49" s="28" t="s">
        <v>356</v>
      </c>
    </row>
    <row r="50" spans="1:31" s="35" customFormat="1">
      <c r="A50" s="21"/>
      <c r="B50" s="34"/>
      <c r="C50" s="34"/>
      <c r="D50" s="53" t="s">
        <v>67</v>
      </c>
      <c r="E50" s="20" t="s">
        <v>357</v>
      </c>
      <c r="F50" s="21" t="s">
        <v>358</v>
      </c>
      <c r="G50" s="20" t="s">
        <v>359</v>
      </c>
      <c r="H50" s="20"/>
      <c r="I50" s="20"/>
      <c r="J50" s="58" t="s">
        <v>697</v>
      </c>
      <c r="K50" s="21">
        <v>1</v>
      </c>
      <c r="L50" s="24" t="s">
        <v>26</v>
      </c>
      <c r="M50" s="22"/>
      <c r="N50" s="22" t="s">
        <v>360</v>
      </c>
      <c r="O50" s="22">
        <v>96026</v>
      </c>
      <c r="P50" s="20">
        <v>105373</v>
      </c>
      <c r="Q50" s="20">
        <v>114235</v>
      </c>
      <c r="R50" s="20">
        <v>122667</v>
      </c>
      <c r="S50" s="20">
        <v>128973</v>
      </c>
      <c r="T50" s="20">
        <v>134829</v>
      </c>
      <c r="U50" s="20">
        <v>142981</v>
      </c>
      <c r="V50" s="20">
        <v>150260</v>
      </c>
      <c r="W50" s="20">
        <v>156155</v>
      </c>
      <c r="X50" s="20">
        <v>166117</v>
      </c>
      <c r="Y50" s="20">
        <v>173380</v>
      </c>
      <c r="Z50" s="20">
        <v>181148</v>
      </c>
      <c r="AA50" s="20">
        <v>187123</v>
      </c>
      <c r="AB50" s="80">
        <f>Table135[[#This Row],[Dec-58]]-Table135[[#This Row],[Dec-57]]</f>
        <v>91097</v>
      </c>
      <c r="AC50" s="104">
        <f t="shared" si="2"/>
        <v>91097</v>
      </c>
      <c r="AD50" s="28"/>
    </row>
    <row r="51" spans="1:31" s="35" customFormat="1">
      <c r="A51" s="21"/>
      <c r="B51" s="34"/>
      <c r="C51" s="34"/>
      <c r="D51" s="53" t="s">
        <v>68</v>
      </c>
      <c r="E51" s="20" t="s">
        <v>361</v>
      </c>
      <c r="F51" s="21" t="s">
        <v>362</v>
      </c>
      <c r="G51" s="20" t="s">
        <v>363</v>
      </c>
      <c r="H51" s="20"/>
      <c r="I51" s="20"/>
      <c r="J51" s="58" t="s">
        <v>697</v>
      </c>
      <c r="K51" s="21">
        <v>1</v>
      </c>
      <c r="L51" s="24" t="s">
        <v>26</v>
      </c>
      <c r="M51" s="22"/>
      <c r="N51" s="22" t="s">
        <v>364</v>
      </c>
      <c r="O51" s="22">
        <v>38301</v>
      </c>
      <c r="P51" s="20">
        <v>39138</v>
      </c>
      <c r="Q51" s="20">
        <v>42835</v>
      </c>
      <c r="R51" s="20">
        <v>46127</v>
      </c>
      <c r="S51" s="20">
        <v>47335</v>
      </c>
      <c r="T51" s="20">
        <v>49843</v>
      </c>
      <c r="U51" s="20">
        <v>50862</v>
      </c>
      <c r="V51" s="20">
        <v>52730</v>
      </c>
      <c r="W51" s="20">
        <v>54540</v>
      </c>
      <c r="X51" s="20">
        <v>56826</v>
      </c>
      <c r="Y51" s="20">
        <v>58548</v>
      </c>
      <c r="Z51" s="20">
        <v>60254</v>
      </c>
      <c r="AA51" s="20">
        <v>61932</v>
      </c>
      <c r="AB51" s="80">
        <f>Table135[[#This Row],[Dec-58]]-Table135[[#This Row],[Dec-57]]</f>
        <v>23631</v>
      </c>
      <c r="AC51" s="104">
        <f t="shared" si="2"/>
        <v>23631</v>
      </c>
      <c r="AD51" s="28" t="s">
        <v>365</v>
      </c>
    </row>
    <row r="52" spans="1:31">
      <c r="A52" s="24"/>
      <c r="B52" s="19"/>
      <c r="C52" s="19"/>
      <c r="D52" s="53" t="s">
        <v>69</v>
      </c>
      <c r="E52" s="25" t="s">
        <v>366</v>
      </c>
      <c r="F52" s="24" t="s">
        <v>367</v>
      </c>
      <c r="G52" s="25" t="s">
        <v>368</v>
      </c>
      <c r="H52" s="25"/>
      <c r="I52" s="25"/>
      <c r="J52" s="58" t="s">
        <v>697</v>
      </c>
      <c r="K52" s="21">
        <v>1</v>
      </c>
      <c r="L52" s="24" t="s">
        <v>26</v>
      </c>
      <c r="M52" s="26"/>
      <c r="N52" s="26" t="s">
        <v>369</v>
      </c>
      <c r="O52" s="26">
        <v>30362</v>
      </c>
      <c r="P52" s="25">
        <v>31207</v>
      </c>
      <c r="Q52" s="25">
        <v>33351</v>
      </c>
      <c r="R52" s="25">
        <v>37894</v>
      </c>
      <c r="S52" s="25">
        <v>39694</v>
      </c>
      <c r="T52" s="25">
        <v>40650</v>
      </c>
      <c r="U52" s="25">
        <v>41950</v>
      </c>
      <c r="V52" s="25">
        <v>44096</v>
      </c>
      <c r="W52" s="25">
        <v>46475</v>
      </c>
      <c r="X52" s="25">
        <v>50784</v>
      </c>
      <c r="Y52" s="25">
        <v>52653</v>
      </c>
      <c r="Z52" s="25">
        <v>55128</v>
      </c>
      <c r="AA52" s="25">
        <v>57248</v>
      </c>
      <c r="AB52" s="80">
        <f>Table135[[#This Row],[Dec-58]]-Table135[[#This Row],[Dec-57]]</f>
        <v>26886</v>
      </c>
      <c r="AC52" s="104">
        <f t="shared" si="2"/>
        <v>26886</v>
      </c>
      <c r="AD52" s="4" t="s">
        <v>370</v>
      </c>
    </row>
    <row r="53" spans="1:31">
      <c r="A53" s="24"/>
      <c r="B53" s="38"/>
      <c r="C53" s="38"/>
      <c r="D53" s="53" t="s">
        <v>70</v>
      </c>
      <c r="E53" s="25" t="s">
        <v>405</v>
      </c>
      <c r="F53" s="24" t="s">
        <v>406</v>
      </c>
      <c r="G53" s="25" t="s">
        <v>275</v>
      </c>
      <c r="H53" s="39"/>
      <c r="I53" s="39"/>
      <c r="J53" s="58" t="s">
        <v>697</v>
      </c>
      <c r="K53" s="21">
        <v>1</v>
      </c>
      <c r="L53" s="24" t="s">
        <v>26</v>
      </c>
      <c r="M53" s="5"/>
      <c r="N53" s="40" t="s">
        <v>407</v>
      </c>
      <c r="O53" s="40">
        <v>10525</v>
      </c>
      <c r="P53" s="25">
        <v>11212</v>
      </c>
      <c r="Q53" s="25">
        <v>12549</v>
      </c>
      <c r="R53" s="25">
        <v>13470</v>
      </c>
      <c r="S53" s="25">
        <v>13883</v>
      </c>
      <c r="T53" s="25">
        <v>14603</v>
      </c>
      <c r="U53" s="25">
        <v>15529</v>
      </c>
      <c r="V53" s="25">
        <v>16092</v>
      </c>
      <c r="W53" s="25">
        <v>16477</v>
      </c>
      <c r="X53" s="25">
        <v>16990</v>
      </c>
      <c r="Y53" s="25">
        <v>17794</v>
      </c>
      <c r="Z53" s="25">
        <v>18160</v>
      </c>
      <c r="AA53" s="25">
        <v>18402</v>
      </c>
      <c r="AB53" s="80">
        <f>Table135[[#This Row],[Dec-58]]-Table135[[#This Row],[Dec-57]]</f>
        <v>7877</v>
      </c>
      <c r="AC53" s="104">
        <f t="shared" si="2"/>
        <v>7877</v>
      </c>
      <c r="AD53" s="4" t="s">
        <v>293</v>
      </c>
    </row>
    <row r="54" spans="1:31">
      <c r="A54" s="24"/>
      <c r="B54" s="38"/>
      <c r="C54" s="38"/>
      <c r="D54" s="53" t="s">
        <v>71</v>
      </c>
      <c r="E54" s="25" t="s">
        <v>408</v>
      </c>
      <c r="F54" s="24" t="s">
        <v>409</v>
      </c>
      <c r="G54" s="25" t="s">
        <v>410</v>
      </c>
      <c r="H54" s="39"/>
      <c r="I54" s="39"/>
      <c r="J54" s="58" t="s">
        <v>697</v>
      </c>
      <c r="K54" s="21">
        <v>1</v>
      </c>
      <c r="L54" s="24" t="s">
        <v>26</v>
      </c>
      <c r="M54" s="5"/>
      <c r="N54" s="40" t="s">
        <v>411</v>
      </c>
      <c r="O54" s="40">
        <v>69714</v>
      </c>
      <c r="P54" s="25">
        <v>69920</v>
      </c>
      <c r="Q54" s="25">
        <v>73872</v>
      </c>
      <c r="R54" s="25">
        <v>83743</v>
      </c>
      <c r="S54" s="25">
        <v>86290</v>
      </c>
      <c r="T54" s="25">
        <v>87648</v>
      </c>
      <c r="U54" s="25">
        <v>94685</v>
      </c>
      <c r="V54" s="25">
        <v>97978</v>
      </c>
      <c r="W54" s="25">
        <v>100899</v>
      </c>
      <c r="X54" s="25">
        <v>103880</v>
      </c>
      <c r="Y54" s="25">
        <v>106730</v>
      </c>
      <c r="Z54" s="25">
        <v>112188</v>
      </c>
      <c r="AA54" s="25">
        <v>115434</v>
      </c>
      <c r="AB54" s="80">
        <f>Table135[[#This Row],[Dec-58]]-Table135[[#This Row],[Dec-57]]</f>
        <v>45720</v>
      </c>
      <c r="AC54" s="104">
        <f t="shared" si="2"/>
        <v>45720</v>
      </c>
      <c r="AD54" s="4" t="s">
        <v>412</v>
      </c>
    </row>
    <row r="55" spans="1:31" s="92" customFormat="1">
      <c r="A55" s="87"/>
      <c r="B55" s="94"/>
      <c r="C55" s="94"/>
      <c r="D55" s="82" t="s">
        <v>73</v>
      </c>
      <c r="E55" s="95" t="s">
        <v>413</v>
      </c>
      <c r="F55" s="96" t="s">
        <v>414</v>
      </c>
      <c r="G55" s="95" t="s">
        <v>415</v>
      </c>
      <c r="H55" s="95"/>
      <c r="I55" s="96"/>
      <c r="J55" s="89" t="s">
        <v>697</v>
      </c>
      <c r="K55" s="87">
        <v>1</v>
      </c>
      <c r="L55" s="87" t="s">
        <v>695</v>
      </c>
      <c r="N55" s="97" t="s">
        <v>417</v>
      </c>
      <c r="O55" s="97">
        <v>904135</v>
      </c>
      <c r="P55" s="88">
        <v>907490</v>
      </c>
      <c r="Q55" s="88">
        <v>915914</v>
      </c>
      <c r="R55" s="88">
        <v>921387</v>
      </c>
      <c r="S55" s="88"/>
      <c r="T55" s="88"/>
      <c r="U55" s="88"/>
      <c r="V55" s="88"/>
      <c r="W55" s="88"/>
      <c r="X55" s="88"/>
      <c r="Y55" s="88"/>
      <c r="Z55" s="88"/>
      <c r="AA55" s="88"/>
      <c r="AB55" s="83">
        <f>Table135[[#This Row],[Mar-58]]-Table135[[#This Row],[Dec-57]]</f>
        <v>17252</v>
      </c>
      <c r="AC55" s="105">
        <f>AB55</f>
        <v>17252</v>
      </c>
      <c r="AD55" s="91" t="s">
        <v>418</v>
      </c>
    </row>
    <row r="56" spans="1:31">
      <c r="A56" s="24"/>
      <c r="B56" s="38"/>
      <c r="C56" s="38"/>
      <c r="D56" s="67" t="s">
        <v>718</v>
      </c>
      <c r="E56" s="60" t="s">
        <v>419</v>
      </c>
      <c r="F56" s="49" t="s">
        <v>420</v>
      </c>
      <c r="G56" s="68" t="s">
        <v>421</v>
      </c>
      <c r="H56" s="60"/>
      <c r="I56" s="49"/>
      <c r="J56" s="69" t="s">
        <v>697</v>
      </c>
      <c r="K56" s="48">
        <v>1</v>
      </c>
      <c r="L56" s="48" t="s">
        <v>26</v>
      </c>
      <c r="M56" s="70"/>
      <c r="N56" s="71" t="s">
        <v>422</v>
      </c>
      <c r="O56" s="71">
        <v>59300</v>
      </c>
      <c r="P56" s="72">
        <v>62310</v>
      </c>
      <c r="Q56" s="72">
        <v>63626</v>
      </c>
      <c r="R56" s="72"/>
      <c r="S56" s="42"/>
      <c r="T56" s="42"/>
      <c r="U56" s="42"/>
      <c r="V56" s="42"/>
      <c r="W56" s="42"/>
      <c r="X56" s="42"/>
      <c r="Y56" s="42"/>
      <c r="Z56" s="42"/>
      <c r="AA56" s="42"/>
      <c r="AB56" s="80">
        <f>Table135[[#This Row],[Feb-58]]-Table135[[#This Row],[Dec-57]]</f>
        <v>4326</v>
      </c>
      <c r="AC56" s="104">
        <f>AB56+AB57</f>
        <v>46758</v>
      </c>
      <c r="AD56" s="4" t="s">
        <v>423</v>
      </c>
    </row>
    <row r="57" spans="1:31">
      <c r="A57" s="24"/>
      <c r="B57" s="38"/>
      <c r="C57" s="38"/>
      <c r="D57" s="59"/>
      <c r="E57" s="47"/>
      <c r="F57" s="48"/>
      <c r="G57" s="47"/>
      <c r="H57" s="47"/>
      <c r="I57" s="47"/>
      <c r="J57" s="47"/>
      <c r="K57" s="64"/>
      <c r="L57" s="48"/>
      <c r="M57" s="48"/>
      <c r="N57" s="48"/>
      <c r="O57" s="48"/>
      <c r="P57" s="47"/>
      <c r="Q57" s="47"/>
      <c r="R57" s="42">
        <v>4052</v>
      </c>
      <c r="S57" s="42">
        <v>5843</v>
      </c>
      <c r="T57" s="42">
        <v>10268</v>
      </c>
      <c r="U57" s="42">
        <v>13387</v>
      </c>
      <c r="V57" s="42">
        <v>18396</v>
      </c>
      <c r="W57" s="42">
        <v>24874</v>
      </c>
      <c r="X57" s="42">
        <v>29027</v>
      </c>
      <c r="Y57" s="42">
        <v>37865</v>
      </c>
      <c r="Z57" s="42">
        <v>43091</v>
      </c>
      <c r="AA57" s="42">
        <v>46484</v>
      </c>
      <c r="AB57" s="81">
        <f>AA57-R57</f>
        <v>42432</v>
      </c>
      <c r="AC57" s="104"/>
      <c r="AD57" s="4"/>
    </row>
    <row r="58" spans="1:31">
      <c r="A58" s="24"/>
      <c r="B58" s="38"/>
      <c r="C58" s="38"/>
      <c r="D58" s="53" t="s">
        <v>74</v>
      </c>
      <c r="E58" s="39" t="s">
        <v>424</v>
      </c>
      <c r="F58" s="41" t="s">
        <v>425</v>
      </c>
      <c r="G58" s="43" t="s">
        <v>426</v>
      </c>
      <c r="H58" s="39"/>
      <c r="I58" s="41"/>
      <c r="J58" s="58" t="s">
        <v>697</v>
      </c>
      <c r="K58" s="21">
        <v>1</v>
      </c>
      <c r="L58" s="24" t="s">
        <v>26</v>
      </c>
      <c r="M58" s="3"/>
      <c r="N58" s="40" t="s">
        <v>427</v>
      </c>
      <c r="O58" s="40">
        <v>103488</v>
      </c>
      <c r="P58" s="25">
        <v>107800</v>
      </c>
      <c r="Q58" s="25">
        <v>111415</v>
      </c>
      <c r="R58" s="25">
        <v>118123</v>
      </c>
      <c r="S58" s="25">
        <v>120058</v>
      </c>
      <c r="T58" s="25">
        <v>124935</v>
      </c>
      <c r="U58" s="25">
        <v>126326</v>
      </c>
      <c r="V58" s="25">
        <v>132045</v>
      </c>
      <c r="W58" s="25">
        <v>137973</v>
      </c>
      <c r="X58" s="25">
        <v>148485</v>
      </c>
      <c r="Y58" s="25">
        <v>153224</v>
      </c>
      <c r="Z58" s="25">
        <v>157177</v>
      </c>
      <c r="AA58" s="25">
        <v>159052</v>
      </c>
      <c r="AB58" s="81">
        <f>Table135[[#This Row],[Dec-58]]-Table135[[#This Row],[Dec-57]]</f>
        <v>55564</v>
      </c>
      <c r="AC58" s="104">
        <f>AB58</f>
        <v>55564</v>
      </c>
      <c r="AD58" s="4" t="s">
        <v>428</v>
      </c>
    </row>
    <row r="59" spans="1:31" ht="20">
      <c r="D59" s="59"/>
      <c r="E59" s="60"/>
      <c r="F59" s="49"/>
      <c r="G59" s="60"/>
      <c r="H59" s="60"/>
      <c r="I59" s="60"/>
      <c r="J59" s="60"/>
      <c r="K59" s="61"/>
      <c r="L59" s="49"/>
      <c r="M59" s="49"/>
      <c r="N59" s="49"/>
      <c r="O59" s="49"/>
      <c r="P59" s="60"/>
      <c r="Q59" s="60"/>
      <c r="R59" s="60"/>
      <c r="S59" s="60"/>
      <c r="T59" s="60"/>
      <c r="U59" s="60"/>
      <c r="V59" s="60"/>
      <c r="W59" s="60"/>
      <c r="X59" s="60"/>
      <c r="Y59" s="235" t="s">
        <v>713</v>
      </c>
      <c r="Z59" s="236"/>
      <c r="AA59" s="237"/>
      <c r="AB59" s="66">
        <f>SUM(AB2:AB58)</f>
        <v>2757201</v>
      </c>
      <c r="AC59" s="66"/>
    </row>
    <row r="60" spans="1:31">
      <c r="Y60" s="238" t="s">
        <v>714</v>
      </c>
      <c r="Z60" s="238"/>
      <c r="AA60" s="3" t="s">
        <v>719</v>
      </c>
      <c r="AB60" s="65">
        <f>46*5000*12</f>
        <v>2760000</v>
      </c>
      <c r="AC60" s="65"/>
    </row>
    <row r="61" spans="1:31">
      <c r="A61" s="98"/>
      <c r="F61" s="98"/>
      <c r="L61" s="98"/>
      <c r="M61" s="98"/>
      <c r="N61" s="98"/>
      <c r="O61" s="98"/>
      <c r="Y61" s="98"/>
      <c r="Z61" s="98"/>
      <c r="AA61" s="100" t="s">
        <v>704</v>
      </c>
      <c r="AB61" s="101">
        <f>AB60/100*2</f>
        <v>55200</v>
      </c>
      <c r="AC61" s="101"/>
    </row>
    <row r="62" spans="1:31">
      <c r="Y62" s="239" t="s">
        <v>712</v>
      </c>
      <c r="Z62" s="239"/>
      <c r="AA62" s="75" t="s">
        <v>716</v>
      </c>
      <c r="AB62" s="76">
        <f>5000*8*2</f>
        <v>80000</v>
      </c>
      <c r="AC62" s="76"/>
    </row>
    <row r="63" spans="1:31">
      <c r="Y63" s="239"/>
      <c r="Z63" s="239"/>
      <c r="AA63" s="77" t="s">
        <v>715</v>
      </c>
      <c r="AB63" s="78">
        <f>5000*7*1</f>
        <v>35000</v>
      </c>
      <c r="AC63" s="78"/>
      <c r="AD63" s="73"/>
      <c r="AE63" s="65"/>
    </row>
    <row r="64" spans="1:31">
      <c r="Y64" s="239"/>
      <c r="Z64" s="239"/>
      <c r="AA64" s="77" t="s">
        <v>709</v>
      </c>
      <c r="AB64" s="78">
        <f>5000*3*2</f>
        <v>30000</v>
      </c>
      <c r="AC64" s="78"/>
      <c r="AD64" s="73"/>
      <c r="AE64" s="65"/>
    </row>
    <row r="65" spans="1:30" ht="20">
      <c r="Y65" s="238" t="s">
        <v>705</v>
      </c>
      <c r="Z65" s="238"/>
      <c r="AA65" s="70"/>
      <c r="AB65" s="74">
        <f>AB60+AB61-AB63-AB62-AB64</f>
        <v>2670200</v>
      </c>
      <c r="AC65" s="74"/>
      <c r="AD65" s="70"/>
    </row>
    <row r="66" spans="1:30">
      <c r="AA66" s="70" t="s">
        <v>705</v>
      </c>
      <c r="AB66" s="73">
        <f>AB59-AB65</f>
        <v>87001</v>
      </c>
      <c r="AC66" s="73"/>
      <c r="AD66" s="70"/>
    </row>
    <row r="67" spans="1:30">
      <c r="Z67" s="62"/>
      <c r="AA67" s="3" t="s">
        <v>711</v>
      </c>
      <c r="AB67" s="3">
        <v>0.4</v>
      </c>
      <c r="AD67" s="70"/>
    </row>
    <row r="68" spans="1:30" ht="20">
      <c r="Z68" s="62"/>
      <c r="AA68" s="3" t="s">
        <v>710</v>
      </c>
      <c r="AB68" s="102">
        <f>AB66*AB67</f>
        <v>34800.400000000001</v>
      </c>
      <c r="AC68" s="102"/>
      <c r="AD68" s="70"/>
    </row>
    <row r="69" spans="1:30">
      <c r="A69" s="98"/>
      <c r="F69" s="98"/>
      <c r="L69" s="98"/>
      <c r="M69" s="98"/>
      <c r="N69" s="98"/>
      <c r="O69" s="98"/>
      <c r="Z69" s="99"/>
      <c r="AA69" s="99"/>
      <c r="AB69" s="78"/>
      <c r="AC69" s="78"/>
      <c r="AD69" s="70"/>
    </row>
    <row r="71" spans="1:30">
      <c r="AB71" s="65"/>
      <c r="AC71" s="65"/>
    </row>
  </sheetData>
  <mergeCells count="4">
    <mergeCell ref="Y59:AA59"/>
    <mergeCell ref="Y60:Z60"/>
    <mergeCell ref="Y62:Z64"/>
    <mergeCell ref="Y65:Z65"/>
  </mergeCells>
  <phoneticPr fontId="11" type="noConversion"/>
  <pageMargins left="0" right="0" top="0.39000000000000007" bottom="0.39000000000000007" header="0" footer="0"/>
  <headerFooter alignWithMargins="0"/>
  <colBreaks count="1" manualBreakCount="1">
    <brk id="26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3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ธัญญะบุรี </vt:lpstr>
      <vt:lpstr>The Copperate </vt:lpstr>
      <vt:lpstr>starmaker</vt:lpstr>
      <vt:lpstr>กลุ่มโรงเรียน  (4)</vt:lpstr>
      <vt:lpstr>กลุ่มโรงเรียน  (3)</vt:lpstr>
      <vt:lpstr>กลุ่มโรงเรียน  (2)</vt:lpstr>
      <vt:lpstr>กลุ่มโรงเรียน 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Kirati Srichawla</dc:creator>
  <cp:lastModifiedBy>Kirati Srichawla</cp:lastModifiedBy>
  <cp:lastPrinted>2016-07-27T07:12:55Z</cp:lastPrinted>
  <dcterms:created xsi:type="dcterms:W3CDTF">2016-01-10T14:08:02Z</dcterms:created>
  <dcterms:modified xsi:type="dcterms:W3CDTF">2016-07-30T04:26:20Z</dcterms:modified>
</cp:coreProperties>
</file>