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rylo_kundik/Downloads/"/>
    </mc:Choice>
  </mc:AlternateContent>
  <xr:revisionPtr revIDLastSave="0" documentId="13_ncr:1_{97CFE177-2056-724E-B935-544499984953}" xr6:coauthVersionLast="47" xr6:coauthVersionMax="47" xr10:uidLastSave="{00000000-0000-0000-0000-000000000000}"/>
  <bookViews>
    <workbookView xWindow="0" yWindow="460" windowWidth="33600" windowHeight="20540" xr2:uid="{6A55973F-0BC6-46E9-9127-3E6E8D67F421}"/>
  </bookViews>
  <sheets>
    <sheet name="Sheet1" sheetId="1" r:id="rId1"/>
  </sheets>
  <calcPr calcId="191029" calcMode="autoNoTable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H36" i="1"/>
  <c r="D34" i="1"/>
  <c r="I22" i="1"/>
  <c r="I23" i="1" s="1"/>
  <c r="I26" i="1" s="1"/>
  <c r="D26" i="1"/>
  <c r="D24" i="1"/>
  <c r="D23" i="1"/>
  <c r="D22" i="1"/>
  <c r="H16" i="1"/>
  <c r="E16" i="1"/>
  <c r="D6" i="1"/>
  <c r="D9" i="1"/>
  <c r="D13" i="1" s="1"/>
  <c r="E5" i="1"/>
  <c r="F5" i="1" s="1"/>
  <c r="E12" i="1"/>
  <c r="F12" i="1" s="1"/>
  <c r="G12" i="1" s="1"/>
  <c r="H12" i="1" s="1"/>
  <c r="I12" i="1" s="1"/>
  <c r="E11" i="1"/>
  <c r="F11" i="1" s="1"/>
  <c r="G11" i="1" s="1"/>
  <c r="H11" i="1" s="1"/>
  <c r="I11" i="1" s="1"/>
  <c r="E10" i="1"/>
  <c r="F10" i="1" s="1"/>
  <c r="G10" i="1" s="1"/>
  <c r="H10" i="1" s="1"/>
  <c r="I10" i="1" s="1"/>
  <c r="E7" i="1"/>
  <c r="F7" i="1" s="1"/>
  <c r="G7" i="1" s="1"/>
  <c r="E3" i="1"/>
  <c r="F6" i="1" l="1"/>
  <c r="F9" i="1" s="1"/>
  <c r="F13" i="1" s="1"/>
  <c r="G5" i="1"/>
  <c r="E6" i="1"/>
  <c r="E9" i="1" s="1"/>
  <c r="E13" i="1" s="1"/>
  <c r="H7" i="1"/>
  <c r="F3" i="1"/>
  <c r="F16" i="1" l="1"/>
  <c r="H5" i="1"/>
  <c r="G6" i="1"/>
  <c r="G9" i="1" s="1"/>
  <c r="G13" i="1" s="1"/>
  <c r="I7" i="1"/>
  <c r="G3" i="1"/>
  <c r="G16" i="1" l="1"/>
  <c r="I5" i="1"/>
  <c r="H6" i="1"/>
  <c r="H9" i="1" s="1"/>
  <c r="H13" i="1" s="1"/>
  <c r="H3" i="1"/>
  <c r="I3" i="1" s="1"/>
  <c r="I6" i="1" l="1"/>
  <c r="I9" i="1" s="1"/>
  <c r="I13" i="1" s="1"/>
  <c r="I16" i="1" l="1"/>
  <c r="D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tc={BC382456-6BDD-CE4E-BBA9-D49F15E90AD6}</author>
    <author>tc={82C46289-379C-A445-8E93-ACBB7A98C4F4}</author>
    <author>tc={93B694AE-73C8-2A44-ADC9-EACC3CC50276}</author>
    <author>tc={A052A091-1D64-FA4E-BA21-AD9767AC582F}</author>
  </authors>
  <commentList>
    <comment ref="D7" authorId="0" shapeId="0" xr:uid="{BC382456-6BDD-CE4E-BBA9-D49F15E90AD6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annual report 2020</t>
      </text>
    </comment>
    <comment ref="D11" authorId="1" shapeId="0" xr:uid="{82C46289-379C-A445-8E93-ACBB7A98C4F4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assets - Current Liabilities</t>
      </text>
    </comment>
    <comment ref="E15" authorId="2" shapeId="0" xr:uid="{93B694AE-73C8-2A44-ADC9-EACC3CC50276}">
      <text>
        <t>[Threaded comment]
Your version of Excel allows you to read this threaded comment; however, any edits to it will get removed if the file is opened in a newer version of Excel. Learn more: https://go.microsoft.com/fwlink/?linkid=870924
Comment:
    WACC based on market data</t>
      </text>
    </comment>
    <comment ref="D21" authorId="3" shapeId="0" xr:uid="{A052A091-1D64-FA4E-BA21-AD9767AC582F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rate assumption based on market trend</t>
      </text>
    </comment>
  </commentList>
</comments>
</file>

<file path=xl/sharedStrings.xml><?xml version="1.0" encoding="utf-8"?>
<sst xmlns="http://schemas.openxmlformats.org/spreadsheetml/2006/main" count="37" uniqueCount="30">
  <si>
    <t>Period (t)</t>
  </si>
  <si>
    <t>EBIT</t>
  </si>
  <si>
    <t>Tax rate</t>
  </si>
  <si>
    <t>EBIT (1-t)</t>
  </si>
  <si>
    <t>D&amp;A</t>
  </si>
  <si>
    <t>NWC</t>
  </si>
  <si>
    <t>Capital expenditures</t>
  </si>
  <si>
    <t>PV of UFCFs</t>
  </si>
  <si>
    <t>Unlevered free cash flows (UFCF)</t>
  </si>
  <si>
    <t>EBITDA</t>
  </si>
  <si>
    <t>Long term growth rate</t>
  </si>
  <si>
    <t>Enterprise value (stage 1 + 2)</t>
  </si>
  <si>
    <t>Stage 2: PV of TV</t>
  </si>
  <si>
    <t>Stage 1: Sum of present values</t>
  </si>
  <si>
    <t>Terminal value - growth in perpetuity approach</t>
  </si>
  <si>
    <t>Terminal value - EBITDA multiple approach</t>
  </si>
  <si>
    <t>EBITDA multiple</t>
  </si>
  <si>
    <t>Net debt</t>
  </si>
  <si>
    <t>Cash and equivalents</t>
  </si>
  <si>
    <t>Data as of:</t>
  </si>
  <si>
    <t>Shares outstanding</t>
  </si>
  <si>
    <t>Basic shares outstanding</t>
  </si>
  <si>
    <t>Equity value</t>
  </si>
  <si>
    <t>Perpetuity</t>
  </si>
  <si>
    <t>approach</t>
  </si>
  <si>
    <t>WACC (r)</t>
  </si>
  <si>
    <t>Boeing Unlevered Free Cash Flows</t>
  </si>
  <si>
    <t>2025 FCF x (1+g)</t>
  </si>
  <si>
    <t>Terminal value in 2025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</si>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</sst>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_);\(#,##0.0\);@_)"/>
    <numFmt numFmtId="165" formatCode="#,##0_);\(#,##0\);@_)"/>
    <numFmt numFmtId="166" formatCode="0%_);\(0%\);@_)"/>
    <numFmt numFmtId="167" formatCode="0000\A"/>
    <numFmt numFmtId="168" formatCode="0000\P"/>
    <numFmt numFmtId="169" formatCode="0.0\x_);\(0.0\x\);@_)"/>
    <numFmt numFmtId="170" formatCode="&quot;$&quot;#,##0.00_);\(&quot;$&quot;#,##0.00\);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9" fontId="4" fillId="0" borderId="0" xfId="0" applyNumberFormat="1" applyFont="1"/>
    <xf numFmtId="165" fontId="3" fillId="0" borderId="0" xfId="0" applyNumberFormat="1" applyFont="1"/>
    <xf numFmtId="0" fontId="1" fillId="0" borderId="1" xfId="0" applyFont="1" applyBorder="1"/>
    <xf numFmtId="0" fontId="1" fillId="0" borderId="0" xfId="0" applyFont="1" applyBorder="1"/>
    <xf numFmtId="167" fontId="1" fillId="0" borderId="1" xfId="0" applyNumberFormat="1" applyFont="1" applyBorder="1"/>
    <xf numFmtId="168" fontId="1" fillId="0" borderId="1" xfId="0" applyNumberFormat="1" applyFont="1" applyBorder="1"/>
    <xf numFmtId="0" fontId="0" fillId="0" borderId="0" xfId="0" applyFont="1" applyBorder="1"/>
    <xf numFmtId="166" fontId="3" fillId="0" borderId="0" xfId="0" applyNumberFormat="1" applyFont="1" applyBorder="1"/>
    <xf numFmtId="166" fontId="0" fillId="0" borderId="0" xfId="0" applyNumberFormat="1" applyFont="1" applyBorder="1"/>
    <xf numFmtId="165" fontId="5" fillId="0" borderId="0" xfId="0" applyNumberFormat="1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168" fontId="2" fillId="0" borderId="0" xfId="0" applyNumberFormat="1" applyFont="1"/>
    <xf numFmtId="165" fontId="0" fillId="0" borderId="0" xfId="0" applyNumberFormat="1" applyFont="1"/>
    <xf numFmtId="165" fontId="5" fillId="0" borderId="0" xfId="0" applyNumberFormat="1" applyFont="1"/>
    <xf numFmtId="165" fontId="6" fillId="0" borderId="0" xfId="0" applyNumberFormat="1" applyFont="1"/>
    <xf numFmtId="165" fontId="1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vertical="center"/>
    </xf>
    <xf numFmtId="3" fontId="2" fillId="0" borderId="0" xfId="0" applyNumberFormat="1" applyFont="1"/>
    <xf numFmtId="0" fontId="2" fillId="0" borderId="0" xfId="0" applyFont="1" applyAlignment="1">
      <alignment horizontal="left" indent="1"/>
    </xf>
    <xf numFmtId="0" fontId="0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3" fontId="4" fillId="0" borderId="0" xfId="0" applyNumberFormat="1" applyFont="1"/>
    <xf numFmtId="3" fontId="8" fillId="0" borderId="0" xfId="0" applyNumberFormat="1" applyFont="1"/>
    <xf numFmtId="3" fontId="9" fillId="0" borderId="0" xfId="0" applyNumberFormat="1" applyFont="1"/>
    <xf numFmtId="170" fontId="1" fillId="0" borderId="0" xfId="0" applyNumberFormat="1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0" fillId="0" borderId="0" xfId="0" applyNumberFormat="1" applyFont="1" applyBorder="1"/>
    <xf numFmtId="165" fontId="10" fillId="0" borderId="0" xfId="0" applyNumberFormat="1" applyFont="1" applyBorder="1"/>
    <xf numFmtId="10" fontId="11" fillId="0" borderId="0" xfId="0" applyNumberFormat="1" applyFont="1" applyBorder="1"/>
    <xf numFmtId="165" fontId="11" fillId="0" borderId="0" xfId="0" applyNumberFormat="1" applyFont="1" applyBorder="1"/>
    <xf numFmtId="10" fontId="11" fillId="0" borderId="0" xfId="0" applyNumberFormat="1" applyFont="1"/>
    <xf numFmtId="165" fontId="11" fillId="0" borderId="0" xfId="0" applyNumberFormat="1" applyFont="1"/>
    <xf numFmtId="9" fontId="11" fillId="0" borderId="0" xfId="0" applyNumberFormat="1" applyFont="1"/>
    <xf numFmtId="169" fontId="11" fillId="0" borderId="0" xfId="0" applyNumberFormat="1" applyFont="1"/>
    <xf numFmtId="3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165652</xdr:colOff>
      <xdr:row>19</xdr:row>
      <xdr:rowOff>119638</xdr:rowOff>
    </xdr:from>
    <xdr:to>
      <xdr:col>20</xdr:col>
      <xdr:colOff>244429</xdr:colOff>
      <xdr:row>34</xdr:row>
      <xdr:rowOff>56258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A76B67-D415-9D45-ADBE-78E5E5A8D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623" y="3810000"/>
          <a:ext cx="7772400" cy="28355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Кундік Кирило Володимирович" id="{E63C2067-0AB9-7B44-8DBC-58B7C1A7235C}" userId="S::k.kundik@ukma.edu.ua::bdae2dde-d069-4dee-b9ec-8ad4ecba67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1-12-01T20:10:50.28" personId="{E63C2067-0AB9-7B44-8DBC-58B7C1A7235C}" id="{BC382456-6BDD-CE4E-BBA9-D49F15E90AD6}">
    <text>From annual report 2020</text>
  </threadedComment>
  <threadedComment ref="D11" dT="2021-12-01T20:17:51.50" personId="{E63C2067-0AB9-7B44-8DBC-58B7C1A7235C}" id="{82C46289-379C-A445-8E93-ACBB7A98C4F4}">
    <text>Current assets - Current Liabilities</text>
  </threadedComment>
  <threadedComment ref="E15" dT="2021-12-01T20:02:35.56" personId="{E63C2067-0AB9-7B44-8DBC-58B7C1A7235C}" id="{93B694AE-73C8-2A44-ADC9-EACC3CC50276}">
    <text>WACC based on market data</text>
  </threadedComment>
  <threadedComment ref="D21" dT="2021-12-01T20:28:14.85" personId="{E63C2067-0AB9-7B44-8DBC-58B7C1A7235C}" id="{A052A091-1D64-FA4E-BA21-AD9767AC582F}">
    <text>Growth rate assumption based on market trend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0943-B459-4602-B51F-42D9817A9FF7}">
  <dimension ref="B2:I42"/>
  <sheetViews>
    <sheetView tabSelected="1" topLeftCell="A2" zoomScale="138" workbookViewId="0">
      <selection activeCell="I36" sqref="I36"/>
    </sheetView>
  </sheetViews>
  <sheetFormatPr baseColWidth="10" defaultColWidth="9.1640625" defaultRowHeight="15" x14ac:dyDescent="0.2"/>
  <cols>
    <col min="1" max="1" width="9.1640625" style="1"/>
    <col min="2" max="2" width="32.6640625" style="1" customWidth="1"/>
    <col min="3" max="9" width="11.6640625" style="1" customWidth="1"/>
    <col min="10" max="16384" width="9.1640625" style="1"/>
  </cols>
  <sheetData>
    <row r="2" spans="2:9" ht="16" thickBot="1" x14ac:dyDescent="0.25">
      <c r="B2" s="2" t="s">
        <v>26</v>
      </c>
    </row>
    <row r="3" spans="2:9" ht="16" thickBot="1" x14ac:dyDescent="0.25">
      <c r="B3" s="6" t="s">
        <v>0</v>
      </c>
      <c r="C3" s="6"/>
      <c r="D3" s="8">
        <v>2020</v>
      </c>
      <c r="E3" s="9">
        <f>D3+1</f>
        <v>2021</v>
      </c>
      <c r="F3" s="9">
        <f t="shared" ref="F3:H3" si="0">E3+1</f>
        <v>2022</v>
      </c>
      <c r="G3" s="9">
        <f t="shared" si="0"/>
        <v>2023</v>
      </c>
      <c r="H3" s="9">
        <f t="shared" si="0"/>
        <v>2024</v>
      </c>
      <c r="I3" s="9">
        <f t="shared" ref="I3" si="1">H3+1</f>
        <v>2025</v>
      </c>
    </row>
    <row r="4" spans="2:9" x14ac:dyDescent="0.2">
      <c r="B4" s="7"/>
      <c r="C4" s="7"/>
      <c r="D4" s="7"/>
      <c r="E4" s="7"/>
      <c r="F4" s="7"/>
      <c r="G4" s="7"/>
      <c r="H4" s="7"/>
      <c r="I4" s="7"/>
    </row>
    <row r="5" spans="2:9" x14ac:dyDescent="0.2">
      <c r="B5" s="7" t="s">
        <v>9</v>
      </c>
      <c r="C5" s="7"/>
      <c r="D5" s="36">
        <v>-10521</v>
      </c>
      <c r="E5" s="15">
        <f>D5*1.05</f>
        <v>-11047.050000000001</v>
      </c>
      <c r="F5" s="15">
        <f t="shared" ref="F5:I5" si="2">E5*1.05</f>
        <v>-11599.402500000002</v>
      </c>
      <c r="G5" s="15">
        <f t="shared" si="2"/>
        <v>-12179.372625000002</v>
      </c>
      <c r="H5" s="15">
        <f t="shared" si="2"/>
        <v>-12788.341256250002</v>
      </c>
      <c r="I5" s="15">
        <f t="shared" si="2"/>
        <v>-13427.758319062503</v>
      </c>
    </row>
    <row r="6" spans="2:9" x14ac:dyDescent="0.2">
      <c r="B6" s="10" t="s">
        <v>1</v>
      </c>
      <c r="C6" s="10"/>
      <c r="D6" s="13">
        <f>D5-D10</f>
        <v>-12767</v>
      </c>
      <c r="E6" s="13">
        <f t="shared" ref="E6:I6" si="3">E5-E10</f>
        <v>-13405.350000000002</v>
      </c>
      <c r="F6" s="13">
        <f t="shared" si="3"/>
        <v>-14075.617500000002</v>
      </c>
      <c r="G6" s="13">
        <f t="shared" si="3"/>
        <v>-14779.398375000002</v>
      </c>
      <c r="H6" s="13">
        <f t="shared" si="3"/>
        <v>-15518.368293750002</v>
      </c>
      <c r="I6" s="13">
        <f t="shared" si="3"/>
        <v>-16294.286708437503</v>
      </c>
    </row>
    <row r="7" spans="2:9" x14ac:dyDescent="0.2">
      <c r="B7" s="10" t="s">
        <v>2</v>
      </c>
      <c r="C7" s="10"/>
      <c r="D7" s="37">
        <v>0.17499999999999999</v>
      </c>
      <c r="E7" s="35">
        <f>D7</f>
        <v>0.17499999999999999</v>
      </c>
      <c r="F7" s="35">
        <f t="shared" ref="F7:H7" si="4">E7</f>
        <v>0.17499999999999999</v>
      </c>
      <c r="G7" s="35">
        <f t="shared" si="4"/>
        <v>0.17499999999999999</v>
      </c>
      <c r="H7" s="35">
        <f t="shared" si="4"/>
        <v>0.17499999999999999</v>
      </c>
      <c r="I7" s="35">
        <f t="shared" ref="I7" si="5">H7</f>
        <v>0.17499999999999999</v>
      </c>
    </row>
    <row r="8" spans="2:9" x14ac:dyDescent="0.2">
      <c r="B8" s="10"/>
      <c r="C8" s="10"/>
      <c r="D8" s="11"/>
      <c r="E8" s="12"/>
      <c r="F8" s="12"/>
      <c r="G8" s="12"/>
      <c r="H8" s="12"/>
      <c r="I8" s="12"/>
    </row>
    <row r="9" spans="2:9" x14ac:dyDescent="0.2">
      <c r="B9" s="10" t="s">
        <v>3</v>
      </c>
      <c r="C9" s="10"/>
      <c r="D9" s="14">
        <f>D6*(1-D7)</f>
        <v>-10532.775</v>
      </c>
      <c r="E9" s="14">
        <f t="shared" ref="E9:H9" si="6">E6*(1-E7)</f>
        <v>-11059.413750000002</v>
      </c>
      <c r="F9" s="14">
        <f t="shared" si="6"/>
        <v>-11612.384437500001</v>
      </c>
      <c r="G9" s="14">
        <f t="shared" si="6"/>
        <v>-12193.003659375001</v>
      </c>
      <c r="H9" s="14">
        <f t="shared" si="6"/>
        <v>-12802.653842343751</v>
      </c>
      <c r="I9" s="14">
        <f t="shared" ref="I9" si="7">I6*(1-I7)</f>
        <v>-13442.78653446094</v>
      </c>
    </row>
    <row r="10" spans="2:9" x14ac:dyDescent="0.2">
      <c r="B10" s="10" t="s">
        <v>4</v>
      </c>
      <c r="C10" s="10"/>
      <c r="D10" s="38">
        <v>2246</v>
      </c>
      <c r="E10" s="13">
        <f>D10*1.05</f>
        <v>2358.3000000000002</v>
      </c>
      <c r="F10" s="13">
        <f t="shared" ref="F10:H10" si="8">E10*1.05</f>
        <v>2476.2150000000001</v>
      </c>
      <c r="G10" s="13">
        <f t="shared" si="8"/>
        <v>2600.0257500000002</v>
      </c>
      <c r="H10" s="13">
        <f t="shared" si="8"/>
        <v>2730.0270375000005</v>
      </c>
      <c r="I10" s="13">
        <f t="shared" ref="I10" si="9">H10*1.05</f>
        <v>2866.5283893750006</v>
      </c>
    </row>
    <row r="11" spans="2:9" x14ac:dyDescent="0.2">
      <c r="B11" s="10" t="s">
        <v>5</v>
      </c>
      <c r="C11" s="10"/>
      <c r="D11" s="38">
        <v>-34362</v>
      </c>
      <c r="E11" s="14">
        <f>D11*0.9</f>
        <v>-30925.8</v>
      </c>
      <c r="F11" s="14">
        <f t="shared" ref="F11:H11" si="10">E11*0.9</f>
        <v>-27833.22</v>
      </c>
      <c r="G11" s="14">
        <f t="shared" si="10"/>
        <v>-25049.898000000001</v>
      </c>
      <c r="H11" s="14">
        <f t="shared" si="10"/>
        <v>-22544.908200000002</v>
      </c>
      <c r="I11" s="14">
        <f t="shared" ref="I11" si="11">H11*0.9</f>
        <v>-20290.417380000003</v>
      </c>
    </row>
    <row r="12" spans="2:9" x14ac:dyDescent="0.2">
      <c r="B12" s="10" t="s">
        <v>6</v>
      </c>
      <c r="C12" s="10"/>
      <c r="D12" s="38">
        <v>-1303</v>
      </c>
      <c r="E12" s="14">
        <f>D12*1.045</f>
        <v>-1361.635</v>
      </c>
      <c r="F12" s="14">
        <f t="shared" ref="F12:H12" si="12">E12*1.045</f>
        <v>-1422.9085749999999</v>
      </c>
      <c r="G12" s="14">
        <f t="shared" si="12"/>
        <v>-1486.9394608749999</v>
      </c>
      <c r="H12" s="14">
        <f t="shared" si="12"/>
        <v>-1553.8517366143749</v>
      </c>
      <c r="I12" s="14">
        <f t="shared" ref="I12" si="13">H12*1.045</f>
        <v>-1623.7750647620217</v>
      </c>
    </row>
    <row r="13" spans="2:9" x14ac:dyDescent="0.2">
      <c r="B13" s="7" t="s">
        <v>8</v>
      </c>
      <c r="C13" s="7"/>
      <c r="D13" s="15">
        <f>SUM(D9:D12)</f>
        <v>-43951.775000000001</v>
      </c>
      <c r="E13" s="15">
        <f t="shared" ref="E13:H13" si="14">SUM(E9:E12)</f>
        <v>-40988.548750000002</v>
      </c>
      <c r="F13" s="15">
        <f t="shared" si="14"/>
        <v>-38392.298012500003</v>
      </c>
      <c r="G13" s="15">
        <f t="shared" si="14"/>
        <v>-36129.815370249999</v>
      </c>
      <c r="H13" s="15">
        <f t="shared" si="14"/>
        <v>-34171.386741458125</v>
      </c>
      <c r="I13" s="15">
        <f t="shared" ref="I13" si="15">SUM(I9:I12)</f>
        <v>-32490.450589847966</v>
      </c>
    </row>
    <row r="14" spans="2:9" x14ac:dyDescent="0.2">
      <c r="B14" s="7"/>
      <c r="C14" s="7"/>
      <c r="D14" s="7"/>
      <c r="E14" s="7"/>
      <c r="F14" s="7"/>
      <c r="G14" s="7"/>
      <c r="H14" s="7"/>
      <c r="I14" s="7"/>
    </row>
    <row r="15" spans="2:9" x14ac:dyDescent="0.2">
      <c r="B15" s="1" t="s">
        <v>25</v>
      </c>
      <c r="D15" s="4"/>
      <c r="E15" s="39">
        <v>0.10249999999999999</v>
      </c>
      <c r="F15" s="39">
        <v>0.10249999999999999</v>
      </c>
      <c r="G15" s="39">
        <v>0.10249999999999999</v>
      </c>
      <c r="H15" s="39">
        <v>0.10249999999999999</v>
      </c>
      <c r="I15" s="39">
        <v>0.10249999999999999</v>
      </c>
    </row>
    <row r="16" spans="2:9" x14ac:dyDescent="0.2">
      <c r="B16" s="1" t="s">
        <v>7</v>
      </c>
      <c r="D16" s="18"/>
      <c r="E16" s="18">
        <f>E13/(1+E15)^(E3-$D$3)</f>
        <v>-37177.821995464852</v>
      </c>
      <c r="F16" s="18">
        <f t="shared" ref="F16:I16" si="16">F13/(1+F15)^(F3-$D$3)</f>
        <v>-31585.438587831206</v>
      </c>
      <c r="G16" s="18">
        <f t="shared" si="16"/>
        <v>-26960.62450691923</v>
      </c>
      <c r="H16" s="18">
        <f>H13/(1+H15)^(H3-$D$3)</f>
        <v>-23128.539601724056</v>
      </c>
      <c r="I16" s="18">
        <f t="shared" si="16"/>
        <v>-19946.318230618846</v>
      </c>
    </row>
    <row r="18" spans="2:9" x14ac:dyDescent="0.2">
      <c r="B18" s="2" t="s">
        <v>13</v>
      </c>
      <c r="C18" s="2"/>
      <c r="D18" s="19">
        <f>SUM(E16:I16)</f>
        <v>-138798.74292255819</v>
      </c>
    </row>
    <row r="20" spans="2:9" x14ac:dyDescent="0.2">
      <c r="B20" s="21" t="s">
        <v>14</v>
      </c>
      <c r="C20" s="22"/>
      <c r="D20" s="22"/>
      <c r="F20" s="21" t="s">
        <v>15</v>
      </c>
      <c r="G20" s="22"/>
      <c r="H20" s="22"/>
      <c r="I20" s="22"/>
    </row>
    <row r="21" spans="2:9" x14ac:dyDescent="0.2">
      <c r="B21" s="1" t="s">
        <v>10</v>
      </c>
      <c r="D21" s="41">
        <v>0.03</v>
      </c>
      <c r="F21" s="1" t="s">
        <v>16</v>
      </c>
      <c r="I21" s="42">
        <v>-39.1</v>
      </c>
    </row>
    <row r="22" spans="2:9" x14ac:dyDescent="0.2">
      <c r="B22" s="16" t="s">
        <v>27</v>
      </c>
      <c r="D22" s="17">
        <f>I13*(1+D21)</f>
        <v>-33465.164107543409</v>
      </c>
      <c r="F22" s="1" t="s">
        <v>28</v>
      </c>
      <c r="I22" s="17">
        <f>-I5*I21</f>
        <v>-525025.35027534387</v>
      </c>
    </row>
    <row r="23" spans="2:9" x14ac:dyDescent="0.2">
      <c r="B23" s="1" t="s">
        <v>28</v>
      </c>
      <c r="D23" s="17">
        <f>D22/(I15-D21)</f>
        <v>-461588.47044887464</v>
      </c>
      <c r="F23" s="2" t="s">
        <v>12</v>
      </c>
      <c r="I23" s="20">
        <f>I22/(1+I15)^(I3-D3)</f>
        <v>-322320.02097891312</v>
      </c>
    </row>
    <row r="24" spans="2:9" x14ac:dyDescent="0.2">
      <c r="B24" s="2" t="s">
        <v>12</v>
      </c>
      <c r="C24" s="2"/>
      <c r="D24" s="20">
        <f>D23/(1+I15)^(I3-D3)</f>
        <v>-283375.27969017124</v>
      </c>
    </row>
    <row r="26" spans="2:9" x14ac:dyDescent="0.2">
      <c r="B26" s="2" t="s">
        <v>11</v>
      </c>
      <c r="D26" s="20">
        <f>D18+D24</f>
        <v>-422174.02261272946</v>
      </c>
      <c r="F26" s="2" t="s">
        <v>11</v>
      </c>
      <c r="I26" s="20">
        <f>D18+I23</f>
        <v>-461118.76390147128</v>
      </c>
    </row>
    <row r="28" spans="2:9" x14ac:dyDescent="0.2">
      <c r="B28" s="21" t="s">
        <v>17</v>
      </c>
      <c r="C28" s="22"/>
      <c r="D28" s="22"/>
      <c r="F28" s="21" t="s">
        <v>20</v>
      </c>
      <c r="G28" s="21"/>
      <c r="H28" s="22"/>
      <c r="I28" s="22"/>
    </row>
    <row r="30" spans="2:9" x14ac:dyDescent="0.2">
      <c r="B30" s="1" t="s">
        <v>19</v>
      </c>
      <c r="D30" s="28">
        <v>44531</v>
      </c>
      <c r="F30" s="1" t="s">
        <v>21</v>
      </c>
      <c r="I30" s="40">
        <v>569</v>
      </c>
    </row>
    <row r="31" spans="2:9" x14ac:dyDescent="0.2">
      <c r="D31" s="2"/>
      <c r="I31" s="5"/>
    </row>
    <row r="32" spans="2:9" x14ac:dyDescent="0.2">
      <c r="B32" s="25" t="s">
        <v>29</v>
      </c>
      <c r="D32" s="43">
        <v>170211</v>
      </c>
      <c r="F32" s="21" t="s">
        <v>22</v>
      </c>
      <c r="G32" s="21"/>
      <c r="H32" s="22"/>
      <c r="I32" s="21"/>
    </row>
    <row r="33" spans="2:9" x14ac:dyDescent="0.2">
      <c r="B33" s="23" t="s">
        <v>18</v>
      </c>
      <c r="D33" s="43">
        <v>7752</v>
      </c>
    </row>
    <row r="34" spans="2:9" x14ac:dyDescent="0.2">
      <c r="B34" s="27" t="s">
        <v>17</v>
      </c>
      <c r="C34" s="2"/>
      <c r="D34" s="3">
        <f>D32-D33</f>
        <v>162459</v>
      </c>
      <c r="H34" s="33" t="s">
        <v>23</v>
      </c>
      <c r="I34" s="33" t="s">
        <v>9</v>
      </c>
    </row>
    <row r="35" spans="2:9" x14ac:dyDescent="0.2">
      <c r="B35" s="25"/>
      <c r="D35" s="30"/>
      <c r="H35" s="34" t="s">
        <v>24</v>
      </c>
      <c r="I35" s="34" t="s">
        <v>24</v>
      </c>
    </row>
    <row r="36" spans="2:9" x14ac:dyDescent="0.2">
      <c r="B36" s="25"/>
      <c r="D36" s="24"/>
      <c r="F36" s="2" t="s">
        <v>22</v>
      </c>
      <c r="G36" s="2"/>
      <c r="H36" s="32">
        <f>(D26-D34)/I30</f>
        <v>-1027.4745564371344</v>
      </c>
      <c r="I36" s="32">
        <f>(I26-D34)/I30</f>
        <v>-1095.9187414788598</v>
      </c>
    </row>
    <row r="37" spans="2:9" x14ac:dyDescent="0.2">
      <c r="B37" s="23"/>
      <c r="D37" s="43"/>
    </row>
    <row r="38" spans="2:9" x14ac:dyDescent="0.2">
      <c r="B38" s="23"/>
      <c r="D38" s="29"/>
    </row>
    <row r="39" spans="2:9" x14ac:dyDescent="0.2">
      <c r="B39" s="23"/>
      <c r="D39" s="31"/>
    </row>
    <row r="40" spans="2:9" x14ac:dyDescent="0.2">
      <c r="B40" s="26"/>
      <c r="D40" s="30"/>
    </row>
    <row r="41" spans="2:9" x14ac:dyDescent="0.2">
      <c r="B41" s="26"/>
      <c r="D41" s="24"/>
    </row>
    <row r="42" spans="2:9" x14ac:dyDescent="0.2">
      <c r="B42" s="27"/>
      <c r="C42" s="2"/>
      <c r="D42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Microsoft Office User</cp:lastModifiedBy>
  <dcterms:created xsi:type="dcterms:W3CDTF">2017-11-03T15:01:32Z</dcterms:created>
  <dcterms:modified xsi:type="dcterms:W3CDTF">2021-12-01T20:59:28Z</dcterms:modified>
</cp:coreProperties>
</file>